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corporativo\sgt\REVISÃO\Concessionárias de Distribuição\2022\07 - D61 - Mux\Versão Final\Estrutura\"/>
    </mc:Choice>
  </mc:AlternateContent>
  <xr:revisionPtr revIDLastSave="0" documentId="13_ncr:1_{9289BF6F-C663-49E6-9619-043DC0AA7F83}" xr6:coauthVersionLast="47" xr6:coauthVersionMax="47" xr10:uidLastSave="{00000000-0000-0000-0000-000000000000}"/>
  <bookViews>
    <workbookView xWindow="-120" yWindow="-120" windowWidth="20640" windowHeight="11160" tabRatio="749" firstSheet="15" activeTab="16" xr2:uid="{ECAA72A6-1D78-4AAD-A1FE-4C90860AB26E}"/>
  </bookViews>
  <sheets>
    <sheet name="Mercado_Receita" sheetId="1" r:id="rId1"/>
    <sheet name="EVENTOS" sheetId="2" r:id="rId2"/>
    <sheet name="TAR FIN" sheetId="56" r:id="rId3"/>
    <sheet name="MERCADO TUSD" sheetId="3" r:id="rId4"/>
    <sheet name="MERCADO TE" sheetId="4" r:id="rId5"/>
    <sheet name="CUSTOS" sheetId="5" r:id="rId6"/>
    <sheet name="TRANSICAO" sheetId="55" r:id="rId7"/>
    <sheet name="TR TUSD" sheetId="47" r:id="rId8"/>
    <sheet name="TUSD BE" sheetId="48" r:id="rId9"/>
    <sheet name="TUSD BF" sheetId="49" r:id="rId10"/>
    <sheet name="TUSD CVA" sheetId="50" r:id="rId11"/>
    <sheet name="TR TE" sheetId="51" r:id="rId12"/>
    <sheet name="TE BE" sheetId="52" r:id="rId13"/>
    <sheet name="TE BF" sheetId="53" r:id="rId14"/>
    <sheet name="TE CVA" sheetId="54" r:id="rId15"/>
    <sheet name="EFEITO" sheetId="57" r:id="rId16"/>
    <sheet name="SUBSIDIO" sheetId="58" r:id="rId17"/>
    <sheet name="TabDinEfeito" sheetId="59" r:id="rId18"/>
    <sheet name="TabDinSubsidio" sheetId="60" r:id="rId19"/>
    <sheet name="TABELAS REH" sheetId="72" r:id="rId20"/>
    <sheet name="CONSISTENCIA" sheetId="61" r:id="rId21"/>
    <sheet name="TUSD" sheetId="67" r:id="rId22"/>
    <sheet name="TE" sheetId="68" r:id="rId23"/>
    <sheet name="RESUMO TUSD" sheetId="69" r:id="rId24"/>
    <sheet name="RESUMO TE" sheetId="70" r:id="rId25"/>
    <sheet name="TUSD BF_350" sheetId="63" r:id="rId26"/>
    <sheet name="TE BF_350" sheetId="64" r:id="rId27"/>
    <sheet name="EFEITO_350" sheetId="65" r:id="rId28"/>
    <sheet name="TarifaMedia" sheetId="62" r:id="rId29"/>
    <sheet name="Descontos" sheetId="20" r:id="rId30"/>
    <sheet name="ERD" sheetId="71" r:id="rId31"/>
    <sheet name="TA - Aplicação" sheetId="73" r:id="rId32"/>
    <sheet name="TA - BE" sheetId="74" r:id="rId33"/>
    <sheet name="TA - CVA" sheetId="75" r:id="rId34"/>
  </sheets>
  <definedNames>
    <definedName name="DadosExternos_1" localSheetId="31" hidden="1">'TA - Aplicação'!$B$3:$AR$50</definedName>
    <definedName name="DadosExternos_1" localSheetId="32" hidden="1">'TA - BE'!$B$3:$AR$50</definedName>
    <definedName name="DadosExternos_1" localSheetId="33" hidden="1">'TA - CVA'!$B$3:$AR$50</definedName>
  </definedNames>
  <calcPr calcId="191029" iterate="1"/>
  <pivotCaches>
    <pivotCache cacheId="0" r:id="rId35"/>
    <pivotCache cacheId="1" r:id="rId3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K3" i="58" l="1"/>
  <c r="AK4" i="58"/>
  <c r="AK7" i="58"/>
  <c r="AK9" i="58"/>
  <c r="V33" i="72" l="1"/>
  <c r="V32" i="72"/>
  <c r="V31" i="72"/>
  <c r="V30" i="72"/>
  <c r="V29" i="72"/>
  <c r="V28" i="72"/>
  <c r="V27" i="72"/>
  <c r="V26" i="72"/>
  <c r="V21" i="72"/>
  <c r="V16" i="72"/>
  <c r="V25" i="72"/>
  <c r="V20" i="72"/>
  <c r="V15" i="72"/>
  <c r="V24" i="72"/>
  <c r="V23" i="72"/>
  <c r="V22" i="72"/>
  <c r="V19" i="72"/>
  <c r="V18" i="72"/>
  <c r="V17" i="72"/>
  <c r="V14" i="72"/>
  <c r="V13" i="72"/>
  <c r="V12" i="72"/>
  <c r="V11" i="72"/>
  <c r="V9" i="72"/>
  <c r="V10" i="72"/>
  <c r="V8" i="72"/>
  <c r="V7" i="72"/>
  <c r="V6" i="72"/>
  <c r="V5" i="72"/>
  <c r="J11" i="72"/>
  <c r="J10" i="72"/>
  <c r="J6" i="72"/>
  <c r="J5" i="72"/>
  <c r="I3" i="71"/>
  <c r="B2" i="71"/>
  <c r="C2" i="71"/>
  <c r="D2" i="71"/>
  <c r="E2" i="71"/>
  <c r="F2" i="71"/>
  <c r="G2" i="71"/>
  <c r="H2" i="71"/>
  <c r="I2" i="71"/>
  <c r="J2" i="71"/>
  <c r="K2" i="71"/>
  <c r="L2" i="71"/>
  <c r="B11" i="71"/>
  <c r="E15" i="5" l="1"/>
  <c r="E11" i="5"/>
  <c r="L5" i="70"/>
  <c r="K5" i="70"/>
  <c r="J5" i="70"/>
  <c r="I5" i="70"/>
  <c r="H5" i="70"/>
  <c r="G5" i="70"/>
  <c r="F5" i="70"/>
  <c r="E5" i="70"/>
  <c r="D5" i="70"/>
  <c r="C5" i="70"/>
  <c r="B5" i="70"/>
  <c r="I2" i="70"/>
  <c r="W5" i="69"/>
  <c r="V5" i="69"/>
  <c r="U5" i="69"/>
  <c r="T5" i="69"/>
  <c r="S5" i="69"/>
  <c r="R5" i="69"/>
  <c r="Q5" i="69"/>
  <c r="P5" i="69"/>
  <c r="O5" i="69"/>
  <c r="N5" i="69"/>
  <c r="M5" i="69"/>
  <c r="L5" i="69"/>
  <c r="K5" i="69"/>
  <c r="J5" i="69"/>
  <c r="I5" i="69"/>
  <c r="H5" i="69"/>
  <c r="G5" i="69"/>
  <c r="F5" i="69"/>
  <c r="E5" i="69"/>
  <c r="D5" i="69"/>
  <c r="C5" i="69"/>
  <c r="B5" i="69"/>
  <c r="I2" i="69"/>
  <c r="AE444" i="65"/>
  <c r="AD444" i="65"/>
  <c r="X444" i="65"/>
  <c r="W444" i="65"/>
  <c r="AC444" i="65" s="1"/>
  <c r="V444" i="65"/>
  <c r="AB444" i="65" s="1"/>
  <c r="AE443" i="65"/>
  <c r="X443" i="65"/>
  <c r="AD443" i="65" s="1"/>
  <c r="W443" i="65"/>
  <c r="AC443" i="65" s="1"/>
  <c r="V443" i="65"/>
  <c r="AB443" i="65" s="1"/>
  <c r="AE442" i="65"/>
  <c r="AD442" i="65"/>
  <c r="X442" i="65"/>
  <c r="W442" i="65"/>
  <c r="AC442" i="65" s="1"/>
  <c r="V442" i="65"/>
  <c r="AB442" i="65" s="1"/>
  <c r="AE441" i="65"/>
  <c r="X441" i="65"/>
  <c r="AD441" i="65" s="1"/>
  <c r="W441" i="65"/>
  <c r="AC441" i="65" s="1"/>
  <c r="V441" i="65"/>
  <c r="AB441" i="65" s="1"/>
  <c r="AE440" i="65"/>
  <c r="X440" i="65"/>
  <c r="AD440" i="65" s="1"/>
  <c r="W440" i="65"/>
  <c r="AC440" i="65" s="1"/>
  <c r="V440" i="65"/>
  <c r="AB440" i="65" s="1"/>
  <c r="AE439" i="65"/>
  <c r="AC439" i="65"/>
  <c r="AB439" i="65"/>
  <c r="X439" i="65"/>
  <c r="AD439" i="65" s="1"/>
  <c r="W439" i="65"/>
  <c r="V439" i="65"/>
  <c r="AE438" i="65"/>
  <c r="AD438" i="65"/>
  <c r="X438" i="65"/>
  <c r="W438" i="65"/>
  <c r="AC438" i="65" s="1"/>
  <c r="V438" i="65"/>
  <c r="AB438" i="65" s="1"/>
  <c r="AE437" i="65"/>
  <c r="AD437" i="65"/>
  <c r="X437" i="65"/>
  <c r="W437" i="65"/>
  <c r="AC437" i="65" s="1"/>
  <c r="V437" i="65"/>
  <c r="AB437" i="65" s="1"/>
  <c r="AE436" i="65"/>
  <c r="X436" i="65"/>
  <c r="AD436" i="65" s="1"/>
  <c r="W436" i="65"/>
  <c r="AC436" i="65" s="1"/>
  <c r="V436" i="65"/>
  <c r="AB436" i="65" s="1"/>
  <c r="AE435" i="65"/>
  <c r="AC435" i="65"/>
  <c r="AB435" i="65"/>
  <c r="X435" i="65"/>
  <c r="AD435" i="65" s="1"/>
  <c r="W435" i="65"/>
  <c r="V435" i="65"/>
  <c r="AE434" i="65"/>
  <c r="AD434" i="65"/>
  <c r="X434" i="65"/>
  <c r="W434" i="65"/>
  <c r="AC434" i="65" s="1"/>
  <c r="V434" i="65"/>
  <c r="AB434" i="65" s="1"/>
  <c r="AE433" i="65"/>
  <c r="X433" i="65"/>
  <c r="AD433" i="65" s="1"/>
  <c r="AO6" i="65" s="1"/>
  <c r="W433" i="65"/>
  <c r="AC433" i="65" s="1"/>
  <c r="V433" i="65"/>
  <c r="AB433" i="65" s="1"/>
  <c r="AE432" i="65"/>
  <c r="AB432" i="65"/>
  <c r="X432" i="65"/>
  <c r="AD432" i="65" s="1"/>
  <c r="W432" i="65"/>
  <c r="AC432" i="65" s="1"/>
  <c r="V432" i="65"/>
  <c r="AE431" i="65"/>
  <c r="X431" i="65"/>
  <c r="AD431" i="65" s="1"/>
  <c r="W431" i="65"/>
  <c r="AC431" i="65" s="1"/>
  <c r="V431" i="65"/>
  <c r="AB431" i="65" s="1"/>
  <c r="AE430" i="65"/>
  <c r="AC430" i="65"/>
  <c r="X430" i="65"/>
  <c r="AD430" i="65" s="1"/>
  <c r="W430" i="65"/>
  <c r="V430" i="65"/>
  <c r="AB430" i="65" s="1"/>
  <c r="AE429" i="65"/>
  <c r="AD429" i="65"/>
  <c r="X429" i="65"/>
  <c r="W429" i="65"/>
  <c r="AC429" i="65" s="1"/>
  <c r="V429" i="65"/>
  <c r="AB429" i="65" s="1"/>
  <c r="AE428" i="65"/>
  <c r="X428" i="65"/>
  <c r="AD428" i="65" s="1"/>
  <c r="W428" i="65"/>
  <c r="AC428" i="65" s="1"/>
  <c r="V428" i="65"/>
  <c r="AB428" i="65" s="1"/>
  <c r="AE427" i="65"/>
  <c r="AC427" i="65"/>
  <c r="AB427" i="65"/>
  <c r="X427" i="65"/>
  <c r="AD427" i="65" s="1"/>
  <c r="W427" i="65"/>
  <c r="V427" i="65"/>
  <c r="AE426" i="65"/>
  <c r="AD426" i="65"/>
  <c r="X426" i="65"/>
  <c r="W426" i="65"/>
  <c r="AC426" i="65" s="1"/>
  <c r="V426" i="65"/>
  <c r="AB426" i="65" s="1"/>
  <c r="AE425" i="65"/>
  <c r="X425" i="65"/>
  <c r="AD425" i="65" s="1"/>
  <c r="W425" i="65"/>
  <c r="AC425" i="65" s="1"/>
  <c r="V425" i="65"/>
  <c r="AB425" i="65" s="1"/>
  <c r="AE424" i="65"/>
  <c r="AB424" i="65"/>
  <c r="X424" i="65"/>
  <c r="AD424" i="65" s="1"/>
  <c r="W424" i="65"/>
  <c r="AC424" i="65" s="1"/>
  <c r="V424" i="65"/>
  <c r="AE423" i="65"/>
  <c r="AC423" i="65"/>
  <c r="X423" i="65"/>
  <c r="AD423" i="65" s="1"/>
  <c r="W423" i="65"/>
  <c r="V423" i="65"/>
  <c r="AB423" i="65" s="1"/>
  <c r="AE422" i="65"/>
  <c r="AC422" i="65"/>
  <c r="X422" i="65"/>
  <c r="AD422" i="65" s="1"/>
  <c r="W422" i="65"/>
  <c r="V422" i="65"/>
  <c r="AB422" i="65" s="1"/>
  <c r="AE421" i="65"/>
  <c r="AD421" i="65"/>
  <c r="X421" i="65"/>
  <c r="W421" i="65"/>
  <c r="AC421" i="65" s="1"/>
  <c r="V421" i="65"/>
  <c r="AB421" i="65" s="1"/>
  <c r="AE420" i="65"/>
  <c r="X420" i="65"/>
  <c r="AD420" i="65" s="1"/>
  <c r="W420" i="65"/>
  <c r="AC420" i="65" s="1"/>
  <c r="V420" i="65"/>
  <c r="AB420" i="65" s="1"/>
  <c r="AE419" i="65"/>
  <c r="AC419" i="65"/>
  <c r="AB419" i="65"/>
  <c r="X419" i="65"/>
  <c r="AD419" i="65" s="1"/>
  <c r="W419" i="65"/>
  <c r="V419" i="65"/>
  <c r="AE418" i="65"/>
  <c r="AD418" i="65"/>
  <c r="X418" i="65"/>
  <c r="W418" i="65"/>
  <c r="AC418" i="65" s="1"/>
  <c r="V418" i="65"/>
  <c r="AB418" i="65" s="1"/>
  <c r="AE417" i="65"/>
  <c r="X417" i="65"/>
  <c r="AD417" i="65" s="1"/>
  <c r="W417" i="65"/>
  <c r="AC417" i="65" s="1"/>
  <c r="V417" i="65"/>
  <c r="AB417" i="65" s="1"/>
  <c r="AE416" i="65"/>
  <c r="AB416" i="65"/>
  <c r="X416" i="65"/>
  <c r="AD416" i="65" s="1"/>
  <c r="W416" i="65"/>
  <c r="AC416" i="65" s="1"/>
  <c r="V416" i="65"/>
  <c r="AE415" i="65"/>
  <c r="AC415" i="65"/>
  <c r="X415" i="65"/>
  <c r="AD415" i="65" s="1"/>
  <c r="W415" i="65"/>
  <c r="V415" i="65"/>
  <c r="AB415" i="65" s="1"/>
  <c r="AE414" i="65"/>
  <c r="AC414" i="65"/>
  <c r="X414" i="65"/>
  <c r="AD414" i="65" s="1"/>
  <c r="W414" i="65"/>
  <c r="V414" i="65"/>
  <c r="AB414" i="65" s="1"/>
  <c r="AE413" i="65"/>
  <c r="AD413" i="65"/>
  <c r="X413" i="65"/>
  <c r="W413" i="65"/>
  <c r="AC413" i="65" s="1"/>
  <c r="V413" i="65"/>
  <c r="AB413" i="65" s="1"/>
  <c r="AE412" i="65"/>
  <c r="X412" i="65"/>
  <c r="AD412" i="65" s="1"/>
  <c r="W412" i="65"/>
  <c r="AC412" i="65" s="1"/>
  <c r="V412" i="65"/>
  <c r="AB412" i="65" s="1"/>
  <c r="AE411" i="65"/>
  <c r="AC411" i="65"/>
  <c r="AB411" i="65"/>
  <c r="X411" i="65"/>
  <c r="AD411" i="65" s="1"/>
  <c r="W411" i="65"/>
  <c r="V411" i="65"/>
  <c r="AE410" i="65"/>
  <c r="AD410" i="65"/>
  <c r="X410" i="65"/>
  <c r="W410" i="65"/>
  <c r="AC410" i="65" s="1"/>
  <c r="V410" i="65"/>
  <c r="AB410" i="65" s="1"/>
  <c r="AE409" i="65"/>
  <c r="X409" i="65"/>
  <c r="AD409" i="65" s="1"/>
  <c r="W409" i="65"/>
  <c r="AC409" i="65" s="1"/>
  <c r="V409" i="65"/>
  <c r="AB409" i="65" s="1"/>
  <c r="AE408" i="65"/>
  <c r="AB408" i="65"/>
  <c r="X408" i="65"/>
  <c r="AD408" i="65" s="1"/>
  <c r="W408" i="65"/>
  <c r="AC408" i="65" s="1"/>
  <c r="V408" i="65"/>
  <c r="AE407" i="65"/>
  <c r="AC407" i="65"/>
  <c r="X407" i="65"/>
  <c r="AD407" i="65" s="1"/>
  <c r="W407" i="65"/>
  <c r="V407" i="65"/>
  <c r="AB407" i="65" s="1"/>
  <c r="AE406" i="65"/>
  <c r="AC406" i="65"/>
  <c r="X406" i="65"/>
  <c r="AD406" i="65" s="1"/>
  <c r="W406" i="65"/>
  <c r="V406" i="65"/>
  <c r="AB406" i="65" s="1"/>
  <c r="AE405" i="65"/>
  <c r="AD405" i="65"/>
  <c r="X405" i="65"/>
  <c r="W405" i="65"/>
  <c r="AC405" i="65" s="1"/>
  <c r="V405" i="65"/>
  <c r="AB405" i="65" s="1"/>
  <c r="AE404" i="65"/>
  <c r="X404" i="65"/>
  <c r="AD404" i="65" s="1"/>
  <c r="W404" i="65"/>
  <c r="AC404" i="65" s="1"/>
  <c r="V404" i="65"/>
  <c r="AB404" i="65" s="1"/>
  <c r="AE403" i="65"/>
  <c r="AC403" i="65"/>
  <c r="X403" i="65"/>
  <c r="AD403" i="65" s="1"/>
  <c r="W403" i="65"/>
  <c r="V403" i="65"/>
  <c r="AB403" i="65" s="1"/>
  <c r="AE402" i="65"/>
  <c r="AD402" i="65"/>
  <c r="X402" i="65"/>
  <c r="W402" i="65"/>
  <c r="AC402" i="65" s="1"/>
  <c r="V402" i="65"/>
  <c r="AB402" i="65" s="1"/>
  <c r="AE401" i="65"/>
  <c r="AD401" i="65"/>
  <c r="X401" i="65"/>
  <c r="W401" i="65"/>
  <c r="AC401" i="65" s="1"/>
  <c r="V401" i="65"/>
  <c r="AB401" i="65" s="1"/>
  <c r="AE400" i="65"/>
  <c r="X400" i="65"/>
  <c r="AD400" i="65" s="1"/>
  <c r="W400" i="65"/>
  <c r="AC400" i="65" s="1"/>
  <c r="V400" i="65"/>
  <c r="AB400" i="65" s="1"/>
  <c r="AE399" i="65"/>
  <c r="AC399" i="65"/>
  <c r="X399" i="65"/>
  <c r="AD399" i="65" s="1"/>
  <c r="W399" i="65"/>
  <c r="V399" i="65"/>
  <c r="AB399" i="65" s="1"/>
  <c r="AE398" i="65"/>
  <c r="AC398" i="65"/>
  <c r="X398" i="65"/>
  <c r="AD398" i="65" s="1"/>
  <c r="W398" i="65"/>
  <c r="V398" i="65"/>
  <c r="AB398" i="65" s="1"/>
  <c r="AE397" i="65"/>
  <c r="AD397" i="65"/>
  <c r="X397" i="65"/>
  <c r="W397" i="65"/>
  <c r="AC397" i="65" s="1"/>
  <c r="V397" i="65"/>
  <c r="AB397" i="65" s="1"/>
  <c r="AE396" i="65"/>
  <c r="X396" i="65"/>
  <c r="AD396" i="65" s="1"/>
  <c r="W396" i="65"/>
  <c r="AC396" i="65" s="1"/>
  <c r="V396" i="65"/>
  <c r="AB396" i="65" s="1"/>
  <c r="AE395" i="65"/>
  <c r="AC395" i="65"/>
  <c r="X395" i="65"/>
  <c r="AD395" i="65" s="1"/>
  <c r="W395" i="65"/>
  <c r="V395" i="65"/>
  <c r="AB395" i="65" s="1"/>
  <c r="AE394" i="65"/>
  <c r="AD394" i="65"/>
  <c r="X394" i="65"/>
  <c r="W394" i="65"/>
  <c r="AC394" i="65" s="1"/>
  <c r="V394" i="65"/>
  <c r="AB394" i="65" s="1"/>
  <c r="AE393" i="65"/>
  <c r="AD393" i="65"/>
  <c r="X393" i="65"/>
  <c r="W393" i="65"/>
  <c r="AC393" i="65" s="1"/>
  <c r="V393" i="65"/>
  <c r="AB393" i="65" s="1"/>
  <c r="AE392" i="65"/>
  <c r="X392" i="65"/>
  <c r="AD392" i="65" s="1"/>
  <c r="W392" i="65"/>
  <c r="AC392" i="65" s="1"/>
  <c r="V392" i="65"/>
  <c r="AB392" i="65" s="1"/>
  <c r="AE391" i="65"/>
  <c r="AC391" i="65"/>
  <c r="X391" i="65"/>
  <c r="AD391" i="65" s="1"/>
  <c r="W391" i="65"/>
  <c r="V391" i="65"/>
  <c r="AB391" i="65" s="1"/>
  <c r="AE390" i="65"/>
  <c r="AC390" i="65"/>
  <c r="X390" i="65"/>
  <c r="AD390" i="65" s="1"/>
  <c r="W390" i="65"/>
  <c r="V390" i="65"/>
  <c r="AB390" i="65" s="1"/>
  <c r="AE389" i="65"/>
  <c r="AD389" i="65"/>
  <c r="X389" i="65"/>
  <c r="W389" i="65"/>
  <c r="AC389" i="65" s="1"/>
  <c r="V389" i="65"/>
  <c r="AB389" i="65" s="1"/>
  <c r="AE388" i="65"/>
  <c r="X388" i="65"/>
  <c r="AD388" i="65" s="1"/>
  <c r="W388" i="65"/>
  <c r="AC388" i="65" s="1"/>
  <c r="V388" i="65"/>
  <c r="AB388" i="65" s="1"/>
  <c r="AE387" i="65"/>
  <c r="AC387" i="65"/>
  <c r="X387" i="65"/>
  <c r="AD387" i="65" s="1"/>
  <c r="W387" i="65"/>
  <c r="V387" i="65"/>
  <c r="AB387" i="65" s="1"/>
  <c r="AE386" i="65"/>
  <c r="AD386" i="65"/>
  <c r="X386" i="65"/>
  <c r="W386" i="65"/>
  <c r="AC386" i="65" s="1"/>
  <c r="V386" i="65"/>
  <c r="AB386" i="65" s="1"/>
  <c r="AE385" i="65"/>
  <c r="AD385" i="65"/>
  <c r="X385" i="65"/>
  <c r="W385" i="65"/>
  <c r="AC385" i="65" s="1"/>
  <c r="V385" i="65"/>
  <c r="AB385" i="65" s="1"/>
  <c r="AE384" i="65"/>
  <c r="X384" i="65"/>
  <c r="AD384" i="65" s="1"/>
  <c r="W384" i="65"/>
  <c r="AC384" i="65" s="1"/>
  <c r="V384" i="65"/>
  <c r="AB384" i="65" s="1"/>
  <c r="AE383" i="65"/>
  <c r="AC383" i="65"/>
  <c r="X383" i="65"/>
  <c r="AD383" i="65" s="1"/>
  <c r="W383" i="65"/>
  <c r="V383" i="65"/>
  <c r="AB383" i="65" s="1"/>
  <c r="AE382" i="65"/>
  <c r="AC382" i="65"/>
  <c r="X382" i="65"/>
  <c r="AD382" i="65" s="1"/>
  <c r="W382" i="65"/>
  <c r="V382" i="65"/>
  <c r="AB382" i="65" s="1"/>
  <c r="AE381" i="65"/>
  <c r="AD381" i="65"/>
  <c r="X381" i="65"/>
  <c r="W381" i="65"/>
  <c r="AC381" i="65" s="1"/>
  <c r="V381" i="65"/>
  <c r="AB381" i="65" s="1"/>
  <c r="AE380" i="65"/>
  <c r="AB380" i="65"/>
  <c r="X380" i="65"/>
  <c r="AD380" i="65" s="1"/>
  <c r="W380" i="65"/>
  <c r="AC380" i="65" s="1"/>
  <c r="V380" i="65"/>
  <c r="AE379" i="65"/>
  <c r="AB379" i="65"/>
  <c r="X379" i="65"/>
  <c r="AD379" i="65" s="1"/>
  <c r="W379" i="65"/>
  <c r="AC379" i="65" s="1"/>
  <c r="V379" i="65"/>
  <c r="AE378" i="65"/>
  <c r="X378" i="65"/>
  <c r="AD378" i="65" s="1"/>
  <c r="W378" i="65"/>
  <c r="AC378" i="65" s="1"/>
  <c r="V378" i="65"/>
  <c r="AB378" i="65" s="1"/>
  <c r="AE377" i="65"/>
  <c r="X377" i="65"/>
  <c r="AD377" i="65" s="1"/>
  <c r="W377" i="65"/>
  <c r="AC377" i="65" s="1"/>
  <c r="V377" i="65"/>
  <c r="AB377" i="65" s="1"/>
  <c r="AE376" i="65"/>
  <c r="AB376" i="65"/>
  <c r="X376" i="65"/>
  <c r="AD376" i="65" s="1"/>
  <c r="W376" i="65"/>
  <c r="AC376" i="65" s="1"/>
  <c r="V376" i="65"/>
  <c r="AE375" i="65"/>
  <c r="AB375" i="65"/>
  <c r="X375" i="65"/>
  <c r="AD375" i="65" s="1"/>
  <c r="W375" i="65"/>
  <c r="AC375" i="65" s="1"/>
  <c r="V375" i="65"/>
  <c r="AE374" i="65"/>
  <c r="AD374" i="65"/>
  <c r="AC374" i="65"/>
  <c r="X374" i="65"/>
  <c r="W374" i="65"/>
  <c r="V374" i="65"/>
  <c r="AB374" i="65" s="1"/>
  <c r="AE373" i="65"/>
  <c r="AB373" i="65"/>
  <c r="X373" i="65"/>
  <c r="AD373" i="65" s="1"/>
  <c r="W373" i="65"/>
  <c r="AC373" i="65" s="1"/>
  <c r="V373" i="65"/>
  <c r="AE372" i="65"/>
  <c r="X372" i="65"/>
  <c r="AD372" i="65" s="1"/>
  <c r="W372" i="65"/>
  <c r="AC372" i="65" s="1"/>
  <c r="V372" i="65"/>
  <c r="AB372" i="65" s="1"/>
  <c r="AE371" i="65"/>
  <c r="AC371" i="65"/>
  <c r="X371" i="65"/>
  <c r="AD371" i="65" s="1"/>
  <c r="W371" i="65"/>
  <c r="V371" i="65"/>
  <c r="AB371" i="65" s="1"/>
  <c r="AE370" i="65"/>
  <c r="AC370" i="65"/>
  <c r="X370" i="65"/>
  <c r="AD370" i="65" s="1"/>
  <c r="W370" i="65"/>
  <c r="V370" i="65"/>
  <c r="AB370" i="65" s="1"/>
  <c r="AE369" i="65"/>
  <c r="AD369" i="65"/>
  <c r="X369" i="65"/>
  <c r="W369" i="65"/>
  <c r="AC369" i="65" s="1"/>
  <c r="V369" i="65"/>
  <c r="AB369" i="65" s="1"/>
  <c r="AE368" i="65"/>
  <c r="AB368" i="65"/>
  <c r="X368" i="65"/>
  <c r="AD368" i="65" s="1"/>
  <c r="W368" i="65"/>
  <c r="AC368" i="65" s="1"/>
  <c r="V368" i="65"/>
  <c r="AE367" i="65"/>
  <c r="AB367" i="65"/>
  <c r="X367" i="65"/>
  <c r="AD367" i="65" s="1"/>
  <c r="W367" i="65"/>
  <c r="AC367" i="65" s="1"/>
  <c r="V367" i="65"/>
  <c r="AE366" i="65"/>
  <c r="X366" i="65"/>
  <c r="AD366" i="65" s="1"/>
  <c r="W366" i="65"/>
  <c r="AC366" i="65" s="1"/>
  <c r="V366" i="65"/>
  <c r="AB366" i="65" s="1"/>
  <c r="AE365" i="65"/>
  <c r="AD365" i="65"/>
  <c r="AB365" i="65"/>
  <c r="X365" i="65"/>
  <c r="W365" i="65"/>
  <c r="AC365" i="65" s="1"/>
  <c r="V365" i="65"/>
  <c r="AE364" i="65"/>
  <c r="X364" i="65"/>
  <c r="AD364" i="65" s="1"/>
  <c r="W364" i="65"/>
  <c r="AC364" i="65" s="1"/>
  <c r="V364" i="65"/>
  <c r="AB364" i="65" s="1"/>
  <c r="AE363" i="65"/>
  <c r="AC363" i="65"/>
  <c r="X363" i="65"/>
  <c r="AD363" i="65" s="1"/>
  <c r="W363" i="65"/>
  <c r="V363" i="65"/>
  <c r="AB363" i="65" s="1"/>
  <c r="AE362" i="65"/>
  <c r="AD362" i="65"/>
  <c r="X362" i="65"/>
  <c r="W362" i="65"/>
  <c r="AC362" i="65" s="1"/>
  <c r="V362" i="65"/>
  <c r="AB362" i="65" s="1"/>
  <c r="AE361" i="65"/>
  <c r="X361" i="65"/>
  <c r="AD361" i="65" s="1"/>
  <c r="W361" i="65"/>
  <c r="AC361" i="65" s="1"/>
  <c r="V361" i="65"/>
  <c r="AB361" i="65" s="1"/>
  <c r="AE360" i="65"/>
  <c r="AB360" i="65"/>
  <c r="X360" i="65"/>
  <c r="AD360" i="65" s="1"/>
  <c r="W360" i="65"/>
  <c r="AC360" i="65" s="1"/>
  <c r="V360" i="65"/>
  <c r="AE359" i="65"/>
  <c r="AB359" i="65"/>
  <c r="X359" i="65"/>
  <c r="AD359" i="65" s="1"/>
  <c r="W359" i="65"/>
  <c r="AC359" i="65" s="1"/>
  <c r="V359" i="65"/>
  <c r="AE358" i="65"/>
  <c r="AD358" i="65"/>
  <c r="AC358" i="65"/>
  <c r="X358" i="65"/>
  <c r="W358" i="65"/>
  <c r="V358" i="65"/>
  <c r="AB358" i="65" s="1"/>
  <c r="AE357" i="65"/>
  <c r="AB357" i="65"/>
  <c r="X357" i="65"/>
  <c r="AD357" i="65" s="1"/>
  <c r="W357" i="65"/>
  <c r="AC357" i="65" s="1"/>
  <c r="V357" i="65"/>
  <c r="AE356" i="65"/>
  <c r="X356" i="65"/>
  <c r="AD356" i="65" s="1"/>
  <c r="W356" i="65"/>
  <c r="AC356" i="65" s="1"/>
  <c r="V356" i="65"/>
  <c r="AB356" i="65" s="1"/>
  <c r="AE355" i="65"/>
  <c r="AC355" i="65"/>
  <c r="X355" i="65"/>
  <c r="AD355" i="65" s="1"/>
  <c r="W355" i="65"/>
  <c r="V355" i="65"/>
  <c r="AB355" i="65" s="1"/>
  <c r="AE354" i="65"/>
  <c r="AC354" i="65"/>
  <c r="X354" i="65"/>
  <c r="AD354" i="65" s="1"/>
  <c r="W354" i="65"/>
  <c r="V354" i="65"/>
  <c r="AB354" i="65" s="1"/>
  <c r="AE353" i="65"/>
  <c r="AD353" i="65"/>
  <c r="X353" i="65"/>
  <c r="W353" i="65"/>
  <c r="AC353" i="65" s="1"/>
  <c r="V353" i="65"/>
  <c r="AB353" i="65" s="1"/>
  <c r="AE352" i="65"/>
  <c r="AB352" i="65"/>
  <c r="X352" i="65"/>
  <c r="AD352" i="65" s="1"/>
  <c r="W352" i="65"/>
  <c r="AC352" i="65" s="1"/>
  <c r="V352" i="65"/>
  <c r="AE351" i="65"/>
  <c r="AB351" i="65"/>
  <c r="X351" i="65"/>
  <c r="AD351" i="65" s="1"/>
  <c r="W351" i="65"/>
  <c r="AC351" i="65" s="1"/>
  <c r="V351" i="65"/>
  <c r="AE350" i="65"/>
  <c r="X350" i="65"/>
  <c r="AD350" i="65" s="1"/>
  <c r="W350" i="65"/>
  <c r="AC350" i="65" s="1"/>
  <c r="V350" i="65"/>
  <c r="AB350" i="65" s="1"/>
  <c r="AE349" i="65"/>
  <c r="AD349" i="65"/>
  <c r="AB349" i="65"/>
  <c r="X349" i="65"/>
  <c r="W349" i="65"/>
  <c r="AC349" i="65" s="1"/>
  <c r="V349" i="65"/>
  <c r="AE348" i="65"/>
  <c r="X348" i="65"/>
  <c r="AD348" i="65" s="1"/>
  <c r="W348" i="65"/>
  <c r="AC348" i="65" s="1"/>
  <c r="V348" i="65"/>
  <c r="AB348" i="65" s="1"/>
  <c r="AE347" i="65"/>
  <c r="AC347" i="65"/>
  <c r="X347" i="65"/>
  <c r="AD347" i="65" s="1"/>
  <c r="W347" i="65"/>
  <c r="V347" i="65"/>
  <c r="AB347" i="65" s="1"/>
  <c r="AE346" i="65"/>
  <c r="AD346" i="65"/>
  <c r="X346" i="65"/>
  <c r="W346" i="65"/>
  <c r="AC346" i="65" s="1"/>
  <c r="V346" i="65"/>
  <c r="AB346" i="65" s="1"/>
  <c r="AE345" i="65"/>
  <c r="X345" i="65"/>
  <c r="AD345" i="65" s="1"/>
  <c r="W345" i="65"/>
  <c r="AC345" i="65" s="1"/>
  <c r="V345" i="65"/>
  <c r="AB345" i="65" s="1"/>
  <c r="AE344" i="65"/>
  <c r="AB344" i="65"/>
  <c r="X344" i="65"/>
  <c r="AD344" i="65" s="1"/>
  <c r="W344" i="65"/>
  <c r="AC344" i="65" s="1"/>
  <c r="V344" i="65"/>
  <c r="AE343" i="65"/>
  <c r="AB343" i="65"/>
  <c r="X343" i="65"/>
  <c r="AD343" i="65" s="1"/>
  <c r="W343" i="65"/>
  <c r="AC343" i="65" s="1"/>
  <c r="V343" i="65"/>
  <c r="AE342" i="65"/>
  <c r="AD342" i="65"/>
  <c r="AC342" i="65"/>
  <c r="X342" i="65"/>
  <c r="W342" i="65"/>
  <c r="V342" i="65"/>
  <c r="AB342" i="65" s="1"/>
  <c r="AE341" i="65"/>
  <c r="AB341" i="65"/>
  <c r="X341" i="65"/>
  <c r="AD341" i="65" s="1"/>
  <c r="W341" i="65"/>
  <c r="AC341" i="65" s="1"/>
  <c r="V341" i="65"/>
  <c r="AE340" i="65"/>
  <c r="X340" i="65"/>
  <c r="AD340" i="65" s="1"/>
  <c r="W340" i="65"/>
  <c r="AC340" i="65" s="1"/>
  <c r="V340" i="65"/>
  <c r="AB340" i="65" s="1"/>
  <c r="AE339" i="65"/>
  <c r="AC339" i="65"/>
  <c r="X339" i="65"/>
  <c r="AD339" i="65" s="1"/>
  <c r="W339" i="65"/>
  <c r="V339" i="65"/>
  <c r="AB339" i="65" s="1"/>
  <c r="AE338" i="65"/>
  <c r="AC338" i="65"/>
  <c r="X338" i="65"/>
  <c r="AD338" i="65" s="1"/>
  <c r="AO5" i="65" s="1"/>
  <c r="W338" i="65"/>
  <c r="V338" i="65"/>
  <c r="AB338" i="65" s="1"/>
  <c r="AE337" i="65"/>
  <c r="AD337" i="65"/>
  <c r="X337" i="65"/>
  <c r="W337" i="65"/>
  <c r="AC337" i="65" s="1"/>
  <c r="V337" i="65"/>
  <c r="AB337" i="65" s="1"/>
  <c r="AE336" i="65"/>
  <c r="AB336" i="65"/>
  <c r="X336" i="65"/>
  <c r="AD336" i="65" s="1"/>
  <c r="W336" i="65"/>
  <c r="AC336" i="65" s="1"/>
  <c r="V336" i="65"/>
  <c r="AE335" i="65"/>
  <c r="AB335" i="65"/>
  <c r="X335" i="65"/>
  <c r="AD335" i="65" s="1"/>
  <c r="W335" i="65"/>
  <c r="AC335" i="65" s="1"/>
  <c r="V335" i="65"/>
  <c r="AE334" i="65"/>
  <c r="X334" i="65"/>
  <c r="AD334" i="65" s="1"/>
  <c r="W334" i="65"/>
  <c r="AC334" i="65" s="1"/>
  <c r="V334" i="65"/>
  <c r="AB334" i="65" s="1"/>
  <c r="AE333" i="65"/>
  <c r="AB333" i="65"/>
  <c r="X333" i="65"/>
  <c r="AD333" i="65" s="1"/>
  <c r="W333" i="65"/>
  <c r="AC333" i="65" s="1"/>
  <c r="V333" i="65"/>
  <c r="AE332" i="65"/>
  <c r="X332" i="65"/>
  <c r="AD332" i="65" s="1"/>
  <c r="W332" i="65"/>
  <c r="AC332" i="65" s="1"/>
  <c r="V332" i="65"/>
  <c r="AB332" i="65" s="1"/>
  <c r="AE331" i="65"/>
  <c r="AC331" i="65"/>
  <c r="X331" i="65"/>
  <c r="AD331" i="65" s="1"/>
  <c r="W331" i="65"/>
  <c r="V331" i="65"/>
  <c r="AB331" i="65" s="1"/>
  <c r="AE330" i="65"/>
  <c r="X330" i="65"/>
  <c r="AD330" i="65" s="1"/>
  <c r="W330" i="65"/>
  <c r="AC330" i="65" s="1"/>
  <c r="V330" i="65"/>
  <c r="AB330" i="65" s="1"/>
  <c r="AE329" i="65"/>
  <c r="X329" i="65"/>
  <c r="AD329" i="65" s="1"/>
  <c r="W329" i="65"/>
  <c r="AC329" i="65" s="1"/>
  <c r="V329" i="65"/>
  <c r="AB329" i="65" s="1"/>
  <c r="AE328" i="65"/>
  <c r="AB328" i="65"/>
  <c r="X328" i="65"/>
  <c r="AD328" i="65" s="1"/>
  <c r="W328" i="65"/>
  <c r="AC328" i="65" s="1"/>
  <c r="V328" i="65"/>
  <c r="AE327" i="65"/>
  <c r="AB327" i="65"/>
  <c r="X327" i="65"/>
  <c r="AD327" i="65" s="1"/>
  <c r="W327" i="65"/>
  <c r="AC327" i="65" s="1"/>
  <c r="V327" i="65"/>
  <c r="AE326" i="65"/>
  <c r="AB326" i="65"/>
  <c r="X326" i="65"/>
  <c r="AD326" i="65" s="1"/>
  <c r="W326" i="65"/>
  <c r="AC326" i="65" s="1"/>
  <c r="V326" i="65"/>
  <c r="AE325" i="65"/>
  <c r="AB325" i="65"/>
  <c r="X325" i="65"/>
  <c r="AD325" i="65" s="1"/>
  <c r="W325" i="65"/>
  <c r="AC325" i="65" s="1"/>
  <c r="V325" i="65"/>
  <c r="AE324" i="65"/>
  <c r="AD324" i="65"/>
  <c r="AC324" i="65"/>
  <c r="X324" i="65"/>
  <c r="W324" i="65"/>
  <c r="V324" i="65"/>
  <c r="AB324" i="65" s="1"/>
  <c r="AE323" i="65"/>
  <c r="AB323" i="65"/>
  <c r="X323" i="65"/>
  <c r="AD323" i="65" s="1"/>
  <c r="W323" i="65"/>
  <c r="AC323" i="65" s="1"/>
  <c r="V323" i="65"/>
  <c r="AE322" i="65"/>
  <c r="AB322" i="65"/>
  <c r="X322" i="65"/>
  <c r="AD322" i="65" s="1"/>
  <c r="W322" i="65"/>
  <c r="AC322" i="65" s="1"/>
  <c r="V322" i="65"/>
  <c r="AE321" i="65"/>
  <c r="AC321" i="65"/>
  <c r="X321" i="65"/>
  <c r="AD321" i="65" s="1"/>
  <c r="W321" i="65"/>
  <c r="V321" i="65"/>
  <c r="AB321" i="65" s="1"/>
  <c r="AE320" i="65"/>
  <c r="AC320" i="65"/>
  <c r="X320" i="65"/>
  <c r="AD320" i="65" s="1"/>
  <c r="W320" i="65"/>
  <c r="V320" i="65"/>
  <c r="AB320" i="65" s="1"/>
  <c r="AE319" i="65"/>
  <c r="AD319" i="65"/>
  <c r="X319" i="65"/>
  <c r="W319" i="65"/>
  <c r="AC319" i="65" s="1"/>
  <c r="V319" i="65"/>
  <c r="AB319" i="65" s="1"/>
  <c r="AE318" i="65"/>
  <c r="AB318" i="65"/>
  <c r="X318" i="65"/>
  <c r="AD318" i="65" s="1"/>
  <c r="W318" i="65"/>
  <c r="AC318" i="65" s="1"/>
  <c r="V318" i="65"/>
  <c r="AE317" i="65"/>
  <c r="AC317" i="65"/>
  <c r="AB317" i="65"/>
  <c r="X317" i="65"/>
  <c r="AD317" i="65" s="1"/>
  <c r="W317" i="65"/>
  <c r="V317" i="65"/>
  <c r="AE316" i="65"/>
  <c r="X316" i="65"/>
  <c r="AD316" i="65" s="1"/>
  <c r="W316" i="65"/>
  <c r="AC316" i="65" s="1"/>
  <c r="V316" i="65"/>
  <c r="AB316" i="65" s="1"/>
  <c r="AE315" i="65"/>
  <c r="AD315" i="65"/>
  <c r="AB315" i="65"/>
  <c r="X315" i="65"/>
  <c r="W315" i="65"/>
  <c r="AC315" i="65" s="1"/>
  <c r="V315" i="65"/>
  <c r="AE314" i="65"/>
  <c r="X314" i="65"/>
  <c r="AD314" i="65" s="1"/>
  <c r="W314" i="65"/>
  <c r="AC314" i="65" s="1"/>
  <c r="V314" i="65"/>
  <c r="AB314" i="65" s="1"/>
  <c r="AE313" i="65"/>
  <c r="AC313" i="65"/>
  <c r="AB313" i="65"/>
  <c r="X313" i="65"/>
  <c r="AD313" i="65" s="1"/>
  <c r="W313" i="65"/>
  <c r="V313" i="65"/>
  <c r="AE312" i="65"/>
  <c r="AD312" i="65"/>
  <c r="X312" i="65"/>
  <c r="W312" i="65"/>
  <c r="AC312" i="65" s="1"/>
  <c r="V312" i="65"/>
  <c r="AB312" i="65" s="1"/>
  <c r="AE311" i="65"/>
  <c r="AB311" i="65"/>
  <c r="X311" i="65"/>
  <c r="AD311" i="65" s="1"/>
  <c r="W311" i="65"/>
  <c r="AC311" i="65" s="1"/>
  <c r="V311" i="65"/>
  <c r="AE310" i="65"/>
  <c r="AB310" i="65"/>
  <c r="X310" i="65"/>
  <c r="AD310" i="65" s="1"/>
  <c r="W310" i="65"/>
  <c r="AC310" i="65" s="1"/>
  <c r="V310" i="65"/>
  <c r="AE309" i="65"/>
  <c r="AB309" i="65"/>
  <c r="X309" i="65"/>
  <c r="AD309" i="65" s="1"/>
  <c r="W309" i="65"/>
  <c r="AC309" i="65" s="1"/>
  <c r="V309" i="65"/>
  <c r="AE308" i="65"/>
  <c r="AD308" i="65"/>
  <c r="AC308" i="65"/>
  <c r="X308" i="65"/>
  <c r="W308" i="65"/>
  <c r="V308" i="65"/>
  <c r="AB308" i="65" s="1"/>
  <c r="AE307" i="65"/>
  <c r="AB307" i="65"/>
  <c r="X307" i="65"/>
  <c r="AD307" i="65" s="1"/>
  <c r="W307" i="65"/>
  <c r="AC307" i="65" s="1"/>
  <c r="V307" i="65"/>
  <c r="AE306" i="65"/>
  <c r="AB306" i="65"/>
  <c r="X306" i="65"/>
  <c r="AD306" i="65" s="1"/>
  <c r="W306" i="65"/>
  <c r="AC306" i="65" s="1"/>
  <c r="V306" i="65"/>
  <c r="AE305" i="65"/>
  <c r="AC305" i="65"/>
  <c r="X305" i="65"/>
  <c r="AD305" i="65" s="1"/>
  <c r="W305" i="65"/>
  <c r="V305" i="65"/>
  <c r="AB305" i="65" s="1"/>
  <c r="AE304" i="65"/>
  <c r="AC304" i="65"/>
  <c r="X304" i="65"/>
  <c r="AD304" i="65" s="1"/>
  <c r="W304" i="65"/>
  <c r="V304" i="65"/>
  <c r="AB304" i="65" s="1"/>
  <c r="AE303" i="65"/>
  <c r="AD303" i="65"/>
  <c r="X303" i="65"/>
  <c r="W303" i="65"/>
  <c r="AC303" i="65" s="1"/>
  <c r="V303" i="65"/>
  <c r="AB303" i="65" s="1"/>
  <c r="AE302" i="65"/>
  <c r="AB302" i="65"/>
  <c r="X302" i="65"/>
  <c r="AD302" i="65" s="1"/>
  <c r="W302" i="65"/>
  <c r="AC302" i="65" s="1"/>
  <c r="V302" i="65"/>
  <c r="AE301" i="65"/>
  <c r="AC301" i="65"/>
  <c r="AB301" i="65"/>
  <c r="X301" i="65"/>
  <c r="AD301" i="65" s="1"/>
  <c r="W301" i="65"/>
  <c r="V301" i="65"/>
  <c r="AE300" i="65"/>
  <c r="X300" i="65"/>
  <c r="AD300" i="65" s="1"/>
  <c r="W300" i="65"/>
  <c r="AC300" i="65" s="1"/>
  <c r="V300" i="65"/>
  <c r="AB300" i="65" s="1"/>
  <c r="AE299" i="65"/>
  <c r="AD299" i="65"/>
  <c r="AB299" i="65"/>
  <c r="X299" i="65"/>
  <c r="W299" i="65"/>
  <c r="AC299" i="65" s="1"/>
  <c r="V299" i="65"/>
  <c r="AE298" i="65"/>
  <c r="X298" i="65"/>
  <c r="AD298" i="65" s="1"/>
  <c r="W298" i="65"/>
  <c r="AC298" i="65" s="1"/>
  <c r="V298" i="65"/>
  <c r="AB298" i="65" s="1"/>
  <c r="AE297" i="65"/>
  <c r="AC297" i="65"/>
  <c r="AB297" i="65"/>
  <c r="X297" i="65"/>
  <c r="AD297" i="65" s="1"/>
  <c r="W297" i="65"/>
  <c r="V297" i="65"/>
  <c r="AE296" i="65"/>
  <c r="AD296" i="65"/>
  <c r="X296" i="65"/>
  <c r="W296" i="65"/>
  <c r="AC296" i="65" s="1"/>
  <c r="V296" i="65"/>
  <c r="AB296" i="65" s="1"/>
  <c r="AE295" i="65"/>
  <c r="AB295" i="65"/>
  <c r="X295" i="65"/>
  <c r="AD295" i="65" s="1"/>
  <c r="W295" i="65"/>
  <c r="AC295" i="65" s="1"/>
  <c r="V295" i="65"/>
  <c r="AE294" i="65"/>
  <c r="AB294" i="65"/>
  <c r="X294" i="65"/>
  <c r="AD294" i="65" s="1"/>
  <c r="W294" i="65"/>
  <c r="AC294" i="65" s="1"/>
  <c r="V294" i="65"/>
  <c r="AE293" i="65"/>
  <c r="AB293" i="65"/>
  <c r="X293" i="65"/>
  <c r="AD293" i="65" s="1"/>
  <c r="W293" i="65"/>
  <c r="AC293" i="65" s="1"/>
  <c r="V293" i="65"/>
  <c r="AE292" i="65"/>
  <c r="AD292" i="65"/>
  <c r="AC292" i="65"/>
  <c r="X292" i="65"/>
  <c r="W292" i="65"/>
  <c r="V292" i="65"/>
  <c r="AB292" i="65" s="1"/>
  <c r="AE291" i="65"/>
  <c r="AB291" i="65"/>
  <c r="X291" i="65"/>
  <c r="AD291" i="65" s="1"/>
  <c r="W291" i="65"/>
  <c r="AC291" i="65" s="1"/>
  <c r="V291" i="65"/>
  <c r="AE290" i="65"/>
  <c r="AB290" i="65"/>
  <c r="X290" i="65"/>
  <c r="AD290" i="65" s="1"/>
  <c r="W290" i="65"/>
  <c r="AC290" i="65" s="1"/>
  <c r="V290" i="65"/>
  <c r="AE289" i="65"/>
  <c r="AC289" i="65"/>
  <c r="X289" i="65"/>
  <c r="AD289" i="65" s="1"/>
  <c r="W289" i="65"/>
  <c r="V289" i="65"/>
  <c r="AB289" i="65" s="1"/>
  <c r="AE288" i="65"/>
  <c r="AC288" i="65"/>
  <c r="X288" i="65"/>
  <c r="AD288" i="65" s="1"/>
  <c r="W288" i="65"/>
  <c r="V288" i="65"/>
  <c r="AB288" i="65" s="1"/>
  <c r="AE287" i="65"/>
  <c r="AD287" i="65"/>
  <c r="X287" i="65"/>
  <c r="W287" i="65"/>
  <c r="AC287" i="65" s="1"/>
  <c r="V287" i="65"/>
  <c r="AB287" i="65" s="1"/>
  <c r="AE286" i="65"/>
  <c r="AB286" i="65"/>
  <c r="X286" i="65"/>
  <c r="AD286" i="65" s="1"/>
  <c r="W286" i="65"/>
  <c r="AC286" i="65" s="1"/>
  <c r="V286" i="65"/>
  <c r="AE285" i="65"/>
  <c r="AC285" i="65"/>
  <c r="AB285" i="65"/>
  <c r="X285" i="65"/>
  <c r="AD285" i="65" s="1"/>
  <c r="W285" i="65"/>
  <c r="V285" i="65"/>
  <c r="AE284" i="65"/>
  <c r="X284" i="65"/>
  <c r="AD284" i="65" s="1"/>
  <c r="W284" i="65"/>
  <c r="AC284" i="65" s="1"/>
  <c r="V284" i="65"/>
  <c r="AB284" i="65" s="1"/>
  <c r="AE283" i="65"/>
  <c r="AD283" i="65"/>
  <c r="AB283" i="65"/>
  <c r="X283" i="65"/>
  <c r="W283" i="65"/>
  <c r="AC283" i="65" s="1"/>
  <c r="V283" i="65"/>
  <c r="AE282" i="65"/>
  <c r="X282" i="65"/>
  <c r="AD282" i="65" s="1"/>
  <c r="W282" i="65"/>
  <c r="AC282" i="65" s="1"/>
  <c r="V282" i="65"/>
  <c r="AB282" i="65" s="1"/>
  <c r="AE281" i="65"/>
  <c r="AC281" i="65"/>
  <c r="AB281" i="65"/>
  <c r="X281" i="65"/>
  <c r="AD281" i="65" s="1"/>
  <c r="W281" i="65"/>
  <c r="V281" i="65"/>
  <c r="AE280" i="65"/>
  <c r="AD280" i="65"/>
  <c r="X280" i="65"/>
  <c r="W280" i="65"/>
  <c r="AC280" i="65" s="1"/>
  <c r="V280" i="65"/>
  <c r="AB280" i="65" s="1"/>
  <c r="AE279" i="65"/>
  <c r="X279" i="65"/>
  <c r="AD279" i="65" s="1"/>
  <c r="W279" i="65"/>
  <c r="AC279" i="65" s="1"/>
  <c r="V279" i="65"/>
  <c r="AB279" i="65" s="1"/>
  <c r="AE278" i="65"/>
  <c r="AB278" i="65"/>
  <c r="X278" i="65"/>
  <c r="AD278" i="65" s="1"/>
  <c r="W278" i="65"/>
  <c r="AC278" i="65" s="1"/>
  <c r="V278" i="65"/>
  <c r="AE277" i="65"/>
  <c r="AC277" i="65"/>
  <c r="X277" i="65"/>
  <c r="AD277" i="65" s="1"/>
  <c r="W277" i="65"/>
  <c r="V277" i="65"/>
  <c r="AB277" i="65" s="1"/>
  <c r="AE276" i="65"/>
  <c r="AC276" i="65"/>
  <c r="X276" i="65"/>
  <c r="AD276" i="65" s="1"/>
  <c r="W276" i="65"/>
  <c r="V276" i="65"/>
  <c r="AB276" i="65" s="1"/>
  <c r="AE275" i="65"/>
  <c r="AD275" i="65"/>
  <c r="X275" i="65"/>
  <c r="W275" i="65"/>
  <c r="AC275" i="65" s="1"/>
  <c r="V275" i="65"/>
  <c r="AB275" i="65" s="1"/>
  <c r="AE274" i="65"/>
  <c r="X274" i="65"/>
  <c r="AD274" i="65" s="1"/>
  <c r="W274" i="65"/>
  <c r="AC274" i="65" s="1"/>
  <c r="V274" i="65"/>
  <c r="AB274" i="65" s="1"/>
  <c r="AE273" i="65"/>
  <c r="AC273" i="65"/>
  <c r="AB273" i="65"/>
  <c r="X273" i="65"/>
  <c r="AD273" i="65" s="1"/>
  <c r="W273" i="65"/>
  <c r="V273" i="65"/>
  <c r="AE272" i="65"/>
  <c r="AD272" i="65"/>
  <c r="X272" i="65"/>
  <c r="W272" i="65"/>
  <c r="AC272" i="65" s="1"/>
  <c r="V272" i="65"/>
  <c r="AB272" i="65" s="1"/>
  <c r="AE271" i="65"/>
  <c r="X271" i="65"/>
  <c r="AD271" i="65" s="1"/>
  <c r="W271" i="65"/>
  <c r="AC271" i="65" s="1"/>
  <c r="V271" i="65"/>
  <c r="AB271" i="65" s="1"/>
  <c r="AE270" i="65"/>
  <c r="AB270" i="65"/>
  <c r="X270" i="65"/>
  <c r="AD270" i="65" s="1"/>
  <c r="W270" i="65"/>
  <c r="AC270" i="65" s="1"/>
  <c r="V270" i="65"/>
  <c r="AE269" i="65"/>
  <c r="AC269" i="65"/>
  <c r="X269" i="65"/>
  <c r="AD269" i="65" s="1"/>
  <c r="W269" i="65"/>
  <c r="V269" i="65"/>
  <c r="AB269" i="65" s="1"/>
  <c r="AE268" i="65"/>
  <c r="AC268" i="65"/>
  <c r="X268" i="65"/>
  <c r="AD268" i="65" s="1"/>
  <c r="W268" i="65"/>
  <c r="V268" i="65"/>
  <c r="AB268" i="65" s="1"/>
  <c r="AE267" i="65"/>
  <c r="AD267" i="65"/>
  <c r="X267" i="65"/>
  <c r="W267" i="65"/>
  <c r="AC267" i="65" s="1"/>
  <c r="V267" i="65"/>
  <c r="AB267" i="65" s="1"/>
  <c r="AE266" i="65"/>
  <c r="X266" i="65"/>
  <c r="AD266" i="65" s="1"/>
  <c r="W266" i="65"/>
  <c r="AC266" i="65" s="1"/>
  <c r="V266" i="65"/>
  <c r="AB266" i="65" s="1"/>
  <c r="AE265" i="65"/>
  <c r="AC265" i="65"/>
  <c r="AB265" i="65"/>
  <c r="X265" i="65"/>
  <c r="AD265" i="65" s="1"/>
  <c r="W265" i="65"/>
  <c r="V265" i="65"/>
  <c r="AE264" i="65"/>
  <c r="AD264" i="65"/>
  <c r="X264" i="65"/>
  <c r="W264" i="65"/>
  <c r="AC264" i="65" s="1"/>
  <c r="V264" i="65"/>
  <c r="AB264" i="65" s="1"/>
  <c r="AE263" i="65"/>
  <c r="X263" i="65"/>
  <c r="AD263" i="65" s="1"/>
  <c r="W263" i="65"/>
  <c r="AC263" i="65" s="1"/>
  <c r="V263" i="65"/>
  <c r="AB263" i="65" s="1"/>
  <c r="AE262" i="65"/>
  <c r="AB262" i="65"/>
  <c r="X262" i="65"/>
  <c r="AD262" i="65" s="1"/>
  <c r="W262" i="65"/>
  <c r="AC262" i="65" s="1"/>
  <c r="V262" i="65"/>
  <c r="AE261" i="65"/>
  <c r="AC261" i="65"/>
  <c r="X261" i="65"/>
  <c r="AD261" i="65" s="1"/>
  <c r="W261" i="65"/>
  <c r="V261" i="65"/>
  <c r="AB261" i="65" s="1"/>
  <c r="AE260" i="65"/>
  <c r="AC260" i="65"/>
  <c r="X260" i="65"/>
  <c r="AD260" i="65" s="1"/>
  <c r="W260" i="65"/>
  <c r="V260" i="65"/>
  <c r="AB260" i="65" s="1"/>
  <c r="AE259" i="65"/>
  <c r="AD259" i="65"/>
  <c r="X259" i="65"/>
  <c r="W259" i="65"/>
  <c r="AC259" i="65" s="1"/>
  <c r="V259" i="65"/>
  <c r="AB259" i="65" s="1"/>
  <c r="AE258" i="65"/>
  <c r="X258" i="65"/>
  <c r="AD258" i="65" s="1"/>
  <c r="W258" i="65"/>
  <c r="AC258" i="65" s="1"/>
  <c r="V258" i="65"/>
  <c r="AB258" i="65" s="1"/>
  <c r="AE257" i="65"/>
  <c r="AC257" i="65"/>
  <c r="AB257" i="65"/>
  <c r="X257" i="65"/>
  <c r="AD257" i="65" s="1"/>
  <c r="W257" i="65"/>
  <c r="V257" i="65"/>
  <c r="AE256" i="65"/>
  <c r="AD256" i="65"/>
  <c r="X256" i="65"/>
  <c r="W256" i="65"/>
  <c r="AC256" i="65" s="1"/>
  <c r="V256" i="65"/>
  <c r="AB256" i="65" s="1"/>
  <c r="AE255" i="65"/>
  <c r="X255" i="65"/>
  <c r="AD255" i="65" s="1"/>
  <c r="W255" i="65"/>
  <c r="AC255" i="65" s="1"/>
  <c r="V255" i="65"/>
  <c r="AB255" i="65" s="1"/>
  <c r="AE254" i="65"/>
  <c r="AB254" i="65"/>
  <c r="X254" i="65"/>
  <c r="AD254" i="65" s="1"/>
  <c r="W254" i="65"/>
  <c r="AC254" i="65" s="1"/>
  <c r="V254" i="65"/>
  <c r="AE253" i="65"/>
  <c r="AC253" i="65"/>
  <c r="X253" i="65"/>
  <c r="AD253" i="65" s="1"/>
  <c r="W253" i="65"/>
  <c r="V253" i="65"/>
  <c r="AB253" i="65" s="1"/>
  <c r="AE252" i="65"/>
  <c r="AC252" i="65"/>
  <c r="X252" i="65"/>
  <c r="AD252" i="65" s="1"/>
  <c r="W252" i="65"/>
  <c r="V252" i="65"/>
  <c r="AB252" i="65" s="1"/>
  <c r="AE251" i="65"/>
  <c r="AD251" i="65"/>
  <c r="X251" i="65"/>
  <c r="W251" i="65"/>
  <c r="AC251" i="65" s="1"/>
  <c r="V251" i="65"/>
  <c r="AB251" i="65" s="1"/>
  <c r="AE250" i="65"/>
  <c r="AB250" i="65"/>
  <c r="X250" i="65"/>
  <c r="AD250" i="65" s="1"/>
  <c r="W250" i="65"/>
  <c r="AC250" i="65" s="1"/>
  <c r="V250" i="65"/>
  <c r="AE249" i="65"/>
  <c r="AB249" i="65"/>
  <c r="X249" i="65"/>
  <c r="AD249" i="65" s="1"/>
  <c r="W249" i="65"/>
  <c r="AC249" i="65" s="1"/>
  <c r="V249" i="65"/>
  <c r="AE248" i="65"/>
  <c r="X248" i="65"/>
  <c r="AD248" i="65" s="1"/>
  <c r="W248" i="65"/>
  <c r="AC248" i="65" s="1"/>
  <c r="V248" i="65"/>
  <c r="AB248" i="65" s="1"/>
  <c r="AE247" i="65"/>
  <c r="AD247" i="65"/>
  <c r="AB247" i="65"/>
  <c r="X247" i="65"/>
  <c r="W247" i="65"/>
  <c r="AC247" i="65" s="1"/>
  <c r="V247" i="65"/>
  <c r="AE246" i="65"/>
  <c r="X246" i="65"/>
  <c r="AD246" i="65" s="1"/>
  <c r="W246" i="65"/>
  <c r="AC246" i="65" s="1"/>
  <c r="V246" i="65"/>
  <c r="AB246" i="65" s="1"/>
  <c r="AE245" i="65"/>
  <c r="AC245" i="65"/>
  <c r="AB245" i="65"/>
  <c r="X245" i="65"/>
  <c r="AD245" i="65" s="1"/>
  <c r="W245" i="65"/>
  <c r="V245" i="65"/>
  <c r="AE244" i="65"/>
  <c r="AD244" i="65"/>
  <c r="X244" i="65"/>
  <c r="W244" i="65"/>
  <c r="AC244" i="65" s="1"/>
  <c r="V244" i="65"/>
  <c r="AB244" i="65" s="1"/>
  <c r="AE243" i="65"/>
  <c r="AB243" i="65"/>
  <c r="X243" i="65"/>
  <c r="AD243" i="65" s="1"/>
  <c r="W243" i="65"/>
  <c r="AC243" i="65" s="1"/>
  <c r="V243" i="65"/>
  <c r="AE242" i="65"/>
  <c r="AB242" i="65"/>
  <c r="X242" i="65"/>
  <c r="AD242" i="65" s="1"/>
  <c r="W242" i="65"/>
  <c r="AC242" i="65" s="1"/>
  <c r="V242" i="65"/>
  <c r="AE241" i="65"/>
  <c r="AB241" i="65"/>
  <c r="X241" i="65"/>
  <c r="AD241" i="65" s="1"/>
  <c r="W241" i="65"/>
  <c r="AC241" i="65" s="1"/>
  <c r="V241" i="65"/>
  <c r="AE240" i="65"/>
  <c r="AD240" i="65"/>
  <c r="AC240" i="65"/>
  <c r="X240" i="65"/>
  <c r="W240" i="65"/>
  <c r="V240" i="65"/>
  <c r="AB240" i="65" s="1"/>
  <c r="AE239" i="65"/>
  <c r="AB239" i="65"/>
  <c r="X239" i="65"/>
  <c r="AD239" i="65" s="1"/>
  <c r="W239" i="65"/>
  <c r="AC239" i="65" s="1"/>
  <c r="V239" i="65"/>
  <c r="AE238" i="65"/>
  <c r="AB238" i="65"/>
  <c r="X238" i="65"/>
  <c r="AD238" i="65" s="1"/>
  <c r="W238" i="65"/>
  <c r="AC238" i="65" s="1"/>
  <c r="V238" i="65"/>
  <c r="AE237" i="65"/>
  <c r="AC237" i="65"/>
  <c r="X237" i="65"/>
  <c r="AD237" i="65" s="1"/>
  <c r="W237" i="65"/>
  <c r="V237" i="65"/>
  <c r="AB237" i="65" s="1"/>
  <c r="AE236" i="65"/>
  <c r="AC236" i="65"/>
  <c r="X236" i="65"/>
  <c r="AD236" i="65" s="1"/>
  <c r="W236" i="65"/>
  <c r="V236" i="65"/>
  <c r="AB236" i="65" s="1"/>
  <c r="AE235" i="65"/>
  <c r="AD235" i="65"/>
  <c r="X235" i="65"/>
  <c r="W235" i="65"/>
  <c r="AC235" i="65" s="1"/>
  <c r="V235" i="65"/>
  <c r="AB235" i="65" s="1"/>
  <c r="AE234" i="65"/>
  <c r="AB234" i="65"/>
  <c r="X234" i="65"/>
  <c r="AD234" i="65" s="1"/>
  <c r="W234" i="65"/>
  <c r="AC234" i="65" s="1"/>
  <c r="V234" i="65"/>
  <c r="AE233" i="65"/>
  <c r="AC233" i="65"/>
  <c r="AB233" i="65"/>
  <c r="X233" i="65"/>
  <c r="AD233" i="65" s="1"/>
  <c r="W233" i="65"/>
  <c r="V233" i="65"/>
  <c r="AG232" i="65"/>
  <c r="AF232" i="65"/>
  <c r="AC232" i="65"/>
  <c r="X232" i="65"/>
  <c r="AD232" i="65" s="1"/>
  <c r="W232" i="65"/>
  <c r="V232" i="65"/>
  <c r="AB232" i="65" s="1"/>
  <c r="AG231" i="65"/>
  <c r="AF231" i="65"/>
  <c r="AB231" i="65"/>
  <c r="X231" i="65"/>
  <c r="AD231" i="65" s="1"/>
  <c r="W231" i="65"/>
  <c r="AC231" i="65" s="1"/>
  <c r="V231" i="65"/>
  <c r="AG230" i="65"/>
  <c r="AF230" i="65"/>
  <c r="AB230" i="65"/>
  <c r="X230" i="65"/>
  <c r="AD230" i="65" s="1"/>
  <c r="W230" i="65"/>
  <c r="AC230" i="65" s="1"/>
  <c r="V230" i="65"/>
  <c r="AG229" i="65"/>
  <c r="AF229" i="65"/>
  <c r="AC229" i="65"/>
  <c r="X229" i="65"/>
  <c r="AD229" i="65" s="1"/>
  <c r="W229" i="65"/>
  <c r="V229" i="65"/>
  <c r="AB229" i="65" s="1"/>
  <c r="AG228" i="65"/>
  <c r="AF228" i="65"/>
  <c r="X228" i="65"/>
  <c r="AD228" i="65" s="1"/>
  <c r="W228" i="65"/>
  <c r="AC228" i="65" s="1"/>
  <c r="V228" i="65"/>
  <c r="AB228" i="65" s="1"/>
  <c r="AG227" i="65"/>
  <c r="AF227" i="65"/>
  <c r="AD227" i="65"/>
  <c r="X227" i="65"/>
  <c r="W227" i="65"/>
  <c r="AC227" i="65" s="1"/>
  <c r="V227" i="65"/>
  <c r="AB227" i="65" s="1"/>
  <c r="AG226" i="65"/>
  <c r="AF226" i="65"/>
  <c r="X226" i="65"/>
  <c r="AD226" i="65" s="1"/>
  <c r="W226" i="65"/>
  <c r="AC226" i="65" s="1"/>
  <c r="V226" i="65"/>
  <c r="AB226" i="65" s="1"/>
  <c r="AG225" i="65"/>
  <c r="AF225" i="65"/>
  <c r="AB225" i="65"/>
  <c r="X225" i="65"/>
  <c r="AD225" i="65" s="1"/>
  <c r="W225" i="65"/>
  <c r="AC225" i="65" s="1"/>
  <c r="V225" i="65"/>
  <c r="AG224" i="65"/>
  <c r="AF224" i="65"/>
  <c r="AD224" i="65"/>
  <c r="X224" i="65"/>
  <c r="W224" i="65"/>
  <c r="AC224" i="65" s="1"/>
  <c r="V224" i="65"/>
  <c r="AB224" i="65" s="1"/>
  <c r="AG223" i="65"/>
  <c r="AF223" i="65"/>
  <c r="AD223" i="65"/>
  <c r="AB223" i="65"/>
  <c r="X223" i="65"/>
  <c r="W223" i="65"/>
  <c r="AC223" i="65" s="1"/>
  <c r="V223" i="65"/>
  <c r="AG222" i="65"/>
  <c r="AF222" i="65"/>
  <c r="AB222" i="65"/>
  <c r="X222" i="65"/>
  <c r="AD222" i="65" s="1"/>
  <c r="W222" i="65"/>
  <c r="AC222" i="65" s="1"/>
  <c r="V222" i="65"/>
  <c r="AG221" i="65"/>
  <c r="AF221" i="65"/>
  <c r="AC221" i="65"/>
  <c r="X221" i="65"/>
  <c r="AD221" i="65" s="1"/>
  <c r="W221" i="65"/>
  <c r="V221" i="65"/>
  <c r="AB221" i="65" s="1"/>
  <c r="AE220" i="65"/>
  <c r="AC220" i="65"/>
  <c r="X220" i="65"/>
  <c r="AD220" i="65" s="1"/>
  <c r="W220" i="65"/>
  <c r="V220" i="65"/>
  <c r="AB220" i="65" s="1"/>
  <c r="AE219" i="65"/>
  <c r="AD219" i="65"/>
  <c r="X219" i="65"/>
  <c r="W219" i="65"/>
  <c r="AC219" i="65" s="1"/>
  <c r="V219" i="65"/>
  <c r="AB219" i="65" s="1"/>
  <c r="AE218" i="65"/>
  <c r="AB218" i="65"/>
  <c r="X218" i="65"/>
  <c r="AD218" i="65" s="1"/>
  <c r="W218" i="65"/>
  <c r="AC218" i="65" s="1"/>
  <c r="V218" i="65"/>
  <c r="AE217" i="65"/>
  <c r="AC217" i="65"/>
  <c r="AB217" i="65"/>
  <c r="X217" i="65"/>
  <c r="AD217" i="65" s="1"/>
  <c r="W217" i="65"/>
  <c r="V217" i="65"/>
  <c r="AE216" i="65"/>
  <c r="X216" i="65"/>
  <c r="AD216" i="65" s="1"/>
  <c r="W216" i="65"/>
  <c r="AC216" i="65" s="1"/>
  <c r="V216" i="65"/>
  <c r="AB216" i="65" s="1"/>
  <c r="AE215" i="65"/>
  <c r="AD215" i="65"/>
  <c r="AB215" i="65"/>
  <c r="X215" i="65"/>
  <c r="W215" i="65"/>
  <c r="AC215" i="65" s="1"/>
  <c r="V215" i="65"/>
  <c r="AE214" i="65"/>
  <c r="X214" i="65"/>
  <c r="AD214" i="65" s="1"/>
  <c r="W214" i="65"/>
  <c r="AC214" i="65" s="1"/>
  <c r="V214" i="65"/>
  <c r="AB214" i="65" s="1"/>
  <c r="AE213" i="65"/>
  <c r="AC213" i="65"/>
  <c r="AB213" i="65"/>
  <c r="X213" i="65"/>
  <c r="AD213" i="65" s="1"/>
  <c r="W213" i="65"/>
  <c r="V213" i="65"/>
  <c r="AE212" i="65"/>
  <c r="AD212" i="65"/>
  <c r="X212" i="65"/>
  <c r="W212" i="65"/>
  <c r="AC212" i="65" s="1"/>
  <c r="V212" i="65"/>
  <c r="AB212" i="65" s="1"/>
  <c r="AE211" i="65"/>
  <c r="AB211" i="65"/>
  <c r="X211" i="65"/>
  <c r="AD211" i="65" s="1"/>
  <c r="W211" i="65"/>
  <c r="AC211" i="65" s="1"/>
  <c r="V211" i="65"/>
  <c r="AE210" i="65"/>
  <c r="AB210" i="65"/>
  <c r="X210" i="65"/>
  <c r="AD210" i="65" s="1"/>
  <c r="W210" i="65"/>
  <c r="AC210" i="65" s="1"/>
  <c r="V210" i="65"/>
  <c r="AE209" i="65"/>
  <c r="AB209" i="65"/>
  <c r="X209" i="65"/>
  <c r="AD209" i="65" s="1"/>
  <c r="W209" i="65"/>
  <c r="AC209" i="65" s="1"/>
  <c r="V209" i="65"/>
  <c r="AE208" i="65"/>
  <c r="AD208" i="65"/>
  <c r="AC208" i="65"/>
  <c r="X208" i="65"/>
  <c r="W208" i="65"/>
  <c r="V208" i="65"/>
  <c r="AB208" i="65" s="1"/>
  <c r="AE207" i="65"/>
  <c r="AB207" i="65"/>
  <c r="X207" i="65"/>
  <c r="AD207" i="65" s="1"/>
  <c r="W207" i="65"/>
  <c r="AC207" i="65" s="1"/>
  <c r="V207" i="65"/>
  <c r="AE206" i="65"/>
  <c r="AB206" i="65"/>
  <c r="X206" i="65"/>
  <c r="AD206" i="65" s="1"/>
  <c r="W206" i="65"/>
  <c r="AC206" i="65" s="1"/>
  <c r="V206" i="65"/>
  <c r="AG205" i="65"/>
  <c r="AF205" i="65"/>
  <c r="AB205" i="65"/>
  <c r="X205" i="65"/>
  <c r="AD205" i="65" s="1"/>
  <c r="W205" i="65"/>
  <c r="AC205" i="65" s="1"/>
  <c r="V205" i="65"/>
  <c r="AG204" i="65"/>
  <c r="AF204" i="65"/>
  <c r="AD204" i="65"/>
  <c r="X204" i="65"/>
  <c r="W204" i="65"/>
  <c r="AC204" i="65" s="1"/>
  <c r="V204" i="65"/>
  <c r="AB204" i="65" s="1"/>
  <c r="AG203" i="65"/>
  <c r="AF203" i="65"/>
  <c r="AD203" i="65"/>
  <c r="AB203" i="65"/>
  <c r="X203" i="65"/>
  <c r="W203" i="65"/>
  <c r="AC203" i="65" s="1"/>
  <c r="V203" i="65"/>
  <c r="AG202" i="65"/>
  <c r="AF202" i="65"/>
  <c r="AB202" i="65"/>
  <c r="X202" i="65"/>
  <c r="AD202" i="65" s="1"/>
  <c r="W202" i="65"/>
  <c r="AC202" i="65" s="1"/>
  <c r="V202" i="65"/>
  <c r="AG201" i="65"/>
  <c r="AF201" i="65"/>
  <c r="AC201" i="65"/>
  <c r="X201" i="65"/>
  <c r="AD201" i="65" s="1"/>
  <c r="W201" i="65"/>
  <c r="V201" i="65"/>
  <c r="AB201" i="65" s="1"/>
  <c r="AG200" i="65"/>
  <c r="AF200" i="65"/>
  <c r="AD200" i="65"/>
  <c r="AC200" i="65"/>
  <c r="X200" i="65"/>
  <c r="W200" i="65"/>
  <c r="V200" i="65"/>
  <c r="AB200" i="65" s="1"/>
  <c r="AG199" i="65"/>
  <c r="AF199" i="65"/>
  <c r="AB199" i="65"/>
  <c r="X199" i="65"/>
  <c r="AD199" i="65" s="1"/>
  <c r="W199" i="65"/>
  <c r="AC199" i="65" s="1"/>
  <c r="V199" i="65"/>
  <c r="AG198" i="65"/>
  <c r="AF198" i="65"/>
  <c r="X198" i="65"/>
  <c r="AD198" i="65" s="1"/>
  <c r="W198" i="65"/>
  <c r="AC198" i="65" s="1"/>
  <c r="V198" i="65"/>
  <c r="AB198" i="65" s="1"/>
  <c r="AG197" i="65"/>
  <c r="AF197" i="65"/>
  <c r="AC197" i="65"/>
  <c r="AB197" i="65"/>
  <c r="X197" i="65"/>
  <c r="AD197" i="65" s="1"/>
  <c r="W197" i="65"/>
  <c r="V197" i="65"/>
  <c r="AG196" i="65"/>
  <c r="AF196" i="65"/>
  <c r="AC196" i="65"/>
  <c r="X196" i="65"/>
  <c r="AD196" i="65" s="1"/>
  <c r="W196" i="65"/>
  <c r="V196" i="65"/>
  <c r="AB196" i="65" s="1"/>
  <c r="AG195" i="65"/>
  <c r="AF195" i="65"/>
  <c r="AB195" i="65"/>
  <c r="X195" i="65"/>
  <c r="AD195" i="65" s="1"/>
  <c r="W195" i="65"/>
  <c r="AC195" i="65" s="1"/>
  <c r="V195" i="65"/>
  <c r="AG194" i="65"/>
  <c r="AF194" i="65"/>
  <c r="AB194" i="65"/>
  <c r="X194" i="65"/>
  <c r="AD194" i="65" s="1"/>
  <c r="W194" i="65"/>
  <c r="AC194" i="65" s="1"/>
  <c r="V194" i="65"/>
  <c r="AE193" i="65"/>
  <c r="AB193" i="65"/>
  <c r="X193" i="65"/>
  <c r="AD193" i="65" s="1"/>
  <c r="W193" i="65"/>
  <c r="AC193" i="65" s="1"/>
  <c r="V193" i="65"/>
  <c r="AE192" i="65"/>
  <c r="AD192" i="65"/>
  <c r="AC192" i="65"/>
  <c r="X192" i="65"/>
  <c r="W192" i="65"/>
  <c r="V192" i="65"/>
  <c r="AB192" i="65" s="1"/>
  <c r="AE191" i="65"/>
  <c r="AB191" i="65"/>
  <c r="X191" i="65"/>
  <c r="AD191" i="65" s="1"/>
  <c r="W191" i="65"/>
  <c r="AC191" i="65" s="1"/>
  <c r="V191" i="65"/>
  <c r="AE190" i="65"/>
  <c r="AB190" i="65"/>
  <c r="X190" i="65"/>
  <c r="AD190" i="65" s="1"/>
  <c r="W190" i="65"/>
  <c r="AC190" i="65" s="1"/>
  <c r="V190" i="65"/>
  <c r="AE189" i="65"/>
  <c r="AC189" i="65"/>
  <c r="X189" i="65"/>
  <c r="AD189" i="65" s="1"/>
  <c r="W189" i="65"/>
  <c r="V189" i="65"/>
  <c r="AB189" i="65" s="1"/>
  <c r="AE188" i="65"/>
  <c r="AC188" i="65"/>
  <c r="X188" i="65"/>
  <c r="AD188" i="65" s="1"/>
  <c r="W188" i="65"/>
  <c r="V188" i="65"/>
  <c r="AB188" i="65" s="1"/>
  <c r="AE187" i="65"/>
  <c r="AD187" i="65"/>
  <c r="X187" i="65"/>
  <c r="W187" i="65"/>
  <c r="AC187" i="65" s="1"/>
  <c r="V187" i="65"/>
  <c r="AB187" i="65" s="1"/>
  <c r="AE186" i="65"/>
  <c r="AB186" i="65"/>
  <c r="X186" i="65"/>
  <c r="AD186" i="65" s="1"/>
  <c r="W186" i="65"/>
  <c r="AC186" i="65" s="1"/>
  <c r="V186" i="65"/>
  <c r="AE185" i="65"/>
  <c r="AC185" i="65"/>
  <c r="AB185" i="65"/>
  <c r="X185" i="65"/>
  <c r="AD185" i="65" s="1"/>
  <c r="W185" i="65"/>
  <c r="V185" i="65"/>
  <c r="AE184" i="65"/>
  <c r="X184" i="65"/>
  <c r="AD184" i="65" s="1"/>
  <c r="W184" i="65"/>
  <c r="AC184" i="65" s="1"/>
  <c r="V184" i="65"/>
  <c r="AB184" i="65" s="1"/>
  <c r="AE183" i="65"/>
  <c r="X183" i="65"/>
  <c r="AD183" i="65" s="1"/>
  <c r="W183" i="65"/>
  <c r="AC183" i="65" s="1"/>
  <c r="V183" i="65"/>
  <c r="AB183" i="65" s="1"/>
  <c r="AE182" i="65"/>
  <c r="AB182" i="65"/>
  <c r="X182" i="65"/>
  <c r="AD182" i="65" s="1"/>
  <c r="W182" i="65"/>
  <c r="AC182" i="65" s="1"/>
  <c r="V182" i="65"/>
  <c r="AE181" i="65"/>
  <c r="AB181" i="65"/>
  <c r="X181" i="65"/>
  <c r="AD181" i="65" s="1"/>
  <c r="W181" i="65"/>
  <c r="AC181" i="65" s="1"/>
  <c r="V181" i="65"/>
  <c r="AE180" i="65"/>
  <c r="AD180" i="65"/>
  <c r="AC180" i="65"/>
  <c r="X180" i="65"/>
  <c r="W180" i="65"/>
  <c r="V180" i="65"/>
  <c r="AB180" i="65" s="1"/>
  <c r="AE179" i="65"/>
  <c r="X179" i="65"/>
  <c r="AD179" i="65" s="1"/>
  <c r="W179" i="65"/>
  <c r="AC179" i="65" s="1"/>
  <c r="V179" i="65"/>
  <c r="AB179" i="65" s="1"/>
  <c r="AE178" i="65"/>
  <c r="AB178" i="65"/>
  <c r="X178" i="65"/>
  <c r="AD178" i="65" s="1"/>
  <c r="W178" i="65"/>
  <c r="AC178" i="65" s="1"/>
  <c r="V178" i="65"/>
  <c r="AE177" i="65"/>
  <c r="AC177" i="65"/>
  <c r="AB177" i="65"/>
  <c r="X177" i="65"/>
  <c r="AD177" i="65" s="1"/>
  <c r="W177" i="65"/>
  <c r="V177" i="65"/>
  <c r="AE176" i="65"/>
  <c r="X176" i="65"/>
  <c r="AD176" i="65" s="1"/>
  <c r="W176" i="65"/>
  <c r="AC176" i="65" s="1"/>
  <c r="V176" i="65"/>
  <c r="AB176" i="65" s="1"/>
  <c r="AE175" i="65"/>
  <c r="X175" i="65"/>
  <c r="AD175" i="65" s="1"/>
  <c r="W175" i="65"/>
  <c r="AC175" i="65" s="1"/>
  <c r="V175" i="65"/>
  <c r="AB175" i="65" s="1"/>
  <c r="AE174" i="65"/>
  <c r="AB174" i="65"/>
  <c r="X174" i="65"/>
  <c r="AD174" i="65" s="1"/>
  <c r="W174" i="65"/>
  <c r="AC174" i="65" s="1"/>
  <c r="V174" i="65"/>
  <c r="AE173" i="65"/>
  <c r="AB173" i="65"/>
  <c r="X173" i="65"/>
  <c r="AD173" i="65" s="1"/>
  <c r="W173" i="65"/>
  <c r="AC173" i="65" s="1"/>
  <c r="V173" i="65"/>
  <c r="AE172" i="65"/>
  <c r="X172" i="65"/>
  <c r="AD172" i="65" s="1"/>
  <c r="W172" i="65"/>
  <c r="AC172" i="65" s="1"/>
  <c r="V172" i="65"/>
  <c r="AB172" i="65" s="1"/>
  <c r="AE171" i="65"/>
  <c r="X171" i="65"/>
  <c r="AD171" i="65" s="1"/>
  <c r="W171" i="65"/>
  <c r="AC171" i="65" s="1"/>
  <c r="V171" i="65"/>
  <c r="AB171" i="65" s="1"/>
  <c r="AE170" i="65"/>
  <c r="AB170" i="65"/>
  <c r="X170" i="65"/>
  <c r="AD170" i="65" s="1"/>
  <c r="W170" i="65"/>
  <c r="AC170" i="65" s="1"/>
  <c r="V170" i="65"/>
  <c r="AG169" i="65"/>
  <c r="AF169" i="65"/>
  <c r="AC169" i="65"/>
  <c r="AB169" i="65"/>
  <c r="X169" i="65"/>
  <c r="AD169" i="65" s="1"/>
  <c r="W169" i="65"/>
  <c r="V169" i="65"/>
  <c r="AG168" i="65"/>
  <c r="AF168" i="65"/>
  <c r="X168" i="65"/>
  <c r="AD168" i="65" s="1"/>
  <c r="W168" i="65"/>
  <c r="AC168" i="65" s="1"/>
  <c r="V168" i="65"/>
  <c r="AB168" i="65" s="1"/>
  <c r="AG167" i="65"/>
  <c r="AF167" i="65"/>
  <c r="X167" i="65"/>
  <c r="AD167" i="65" s="1"/>
  <c r="W167" i="65"/>
  <c r="AC167" i="65" s="1"/>
  <c r="V167" i="65"/>
  <c r="AB167" i="65" s="1"/>
  <c r="AG166" i="65"/>
  <c r="AF166" i="65"/>
  <c r="AB166" i="65"/>
  <c r="X166" i="65"/>
  <c r="AD166" i="65" s="1"/>
  <c r="W166" i="65"/>
  <c r="AC166" i="65" s="1"/>
  <c r="V166" i="65"/>
  <c r="AG165" i="65"/>
  <c r="AF165" i="65"/>
  <c r="AC165" i="65"/>
  <c r="AB165" i="65"/>
  <c r="X165" i="65"/>
  <c r="AD165" i="65" s="1"/>
  <c r="W165" i="65"/>
  <c r="V165" i="65"/>
  <c r="AG164" i="65"/>
  <c r="AF164" i="65"/>
  <c r="X164" i="65"/>
  <c r="AD164" i="65" s="1"/>
  <c r="W164" i="65"/>
  <c r="AC164" i="65" s="1"/>
  <c r="V164" i="65"/>
  <c r="AB164" i="65" s="1"/>
  <c r="AG163" i="65"/>
  <c r="AF163" i="65"/>
  <c r="AB163" i="65"/>
  <c r="X163" i="65"/>
  <c r="AD163" i="65" s="1"/>
  <c r="W163" i="65"/>
  <c r="AC163" i="65" s="1"/>
  <c r="V163" i="65"/>
  <c r="AG162" i="65"/>
  <c r="AF162" i="65"/>
  <c r="AC162" i="65"/>
  <c r="X162" i="65"/>
  <c r="AD162" i="65" s="1"/>
  <c r="W162" i="65"/>
  <c r="V162" i="65"/>
  <c r="AB162" i="65" s="1"/>
  <c r="AG161" i="65"/>
  <c r="AF161" i="65"/>
  <c r="AD161" i="65"/>
  <c r="AC161" i="65"/>
  <c r="X161" i="65"/>
  <c r="W161" i="65"/>
  <c r="V161" i="65"/>
  <c r="AB161" i="65" s="1"/>
  <c r="AG160" i="65"/>
  <c r="AF160" i="65"/>
  <c r="AB160" i="65"/>
  <c r="X160" i="65"/>
  <c r="AD160" i="65" s="1"/>
  <c r="W160" i="65"/>
  <c r="AC160" i="65" s="1"/>
  <c r="V160" i="65"/>
  <c r="AG159" i="65"/>
  <c r="AF159" i="65"/>
  <c r="X159" i="65"/>
  <c r="AD159" i="65" s="1"/>
  <c r="W159" i="65"/>
  <c r="AC159" i="65" s="1"/>
  <c r="V159" i="65"/>
  <c r="AB159" i="65" s="1"/>
  <c r="AG158" i="65"/>
  <c r="AF158" i="65"/>
  <c r="AC158" i="65"/>
  <c r="AB158" i="65"/>
  <c r="X158" i="65"/>
  <c r="AD158" i="65" s="1"/>
  <c r="W158" i="65"/>
  <c r="V158" i="65"/>
  <c r="AE157" i="65"/>
  <c r="X157" i="65"/>
  <c r="AD157" i="65" s="1"/>
  <c r="W157" i="65"/>
  <c r="AC157" i="65" s="1"/>
  <c r="V157" i="65"/>
  <c r="AB157" i="65" s="1"/>
  <c r="AE156" i="65"/>
  <c r="AD156" i="65"/>
  <c r="AB156" i="65"/>
  <c r="X156" i="65"/>
  <c r="W156" i="65"/>
  <c r="AC156" i="65" s="1"/>
  <c r="V156" i="65"/>
  <c r="AE155" i="65"/>
  <c r="X155" i="65"/>
  <c r="AD155" i="65" s="1"/>
  <c r="W155" i="65"/>
  <c r="AC155" i="65" s="1"/>
  <c r="V155" i="65"/>
  <c r="AB155" i="65" s="1"/>
  <c r="AE154" i="65"/>
  <c r="AC154" i="65"/>
  <c r="AB154" i="65"/>
  <c r="X154" i="65"/>
  <c r="AD154" i="65" s="1"/>
  <c r="W154" i="65"/>
  <c r="V154" i="65"/>
  <c r="AE153" i="65"/>
  <c r="AD153" i="65"/>
  <c r="X153" i="65"/>
  <c r="W153" i="65"/>
  <c r="AC153" i="65" s="1"/>
  <c r="V153" i="65"/>
  <c r="AB153" i="65" s="1"/>
  <c r="AE152" i="65"/>
  <c r="AB152" i="65"/>
  <c r="X152" i="65"/>
  <c r="AD152" i="65" s="1"/>
  <c r="W152" i="65"/>
  <c r="AC152" i="65" s="1"/>
  <c r="V152" i="65"/>
  <c r="AE151" i="65"/>
  <c r="AB151" i="65"/>
  <c r="X151" i="65"/>
  <c r="AD151" i="65" s="1"/>
  <c r="W151" i="65"/>
  <c r="AC151" i="65" s="1"/>
  <c r="V151" i="65"/>
  <c r="AE150" i="65"/>
  <c r="AB150" i="65"/>
  <c r="X150" i="65"/>
  <c r="AD150" i="65" s="1"/>
  <c r="W150" i="65"/>
  <c r="AC150" i="65" s="1"/>
  <c r="V150" i="65"/>
  <c r="AE149" i="65"/>
  <c r="AD149" i="65"/>
  <c r="AC149" i="65"/>
  <c r="X149" i="65"/>
  <c r="W149" i="65"/>
  <c r="V149" i="65"/>
  <c r="AB149" i="65" s="1"/>
  <c r="AE148" i="65"/>
  <c r="AB148" i="65"/>
  <c r="X148" i="65"/>
  <c r="AD148" i="65" s="1"/>
  <c r="W148" i="65"/>
  <c r="AC148" i="65" s="1"/>
  <c r="V148" i="65"/>
  <c r="AE147" i="65"/>
  <c r="AB147" i="65"/>
  <c r="X147" i="65"/>
  <c r="AD147" i="65" s="1"/>
  <c r="W147" i="65"/>
  <c r="AC147" i="65" s="1"/>
  <c r="V147" i="65"/>
  <c r="AE146" i="65"/>
  <c r="AD146" i="65"/>
  <c r="AB146" i="65"/>
  <c r="X146" i="65"/>
  <c r="W146" i="65"/>
  <c r="AC146" i="65" s="1"/>
  <c r="V146" i="65"/>
  <c r="AG145" i="65"/>
  <c r="AE145" i="65"/>
  <c r="AD145" i="65"/>
  <c r="X145" i="65"/>
  <c r="W145" i="65"/>
  <c r="AC145" i="65" s="1"/>
  <c r="V145" i="65"/>
  <c r="AB145" i="65" s="1"/>
  <c r="AG144" i="65"/>
  <c r="AE144" i="65"/>
  <c r="AD144" i="65"/>
  <c r="AB144" i="65"/>
  <c r="X144" i="65"/>
  <c r="W144" i="65"/>
  <c r="AC144" i="65" s="1"/>
  <c r="V144" i="65"/>
  <c r="AG143" i="65"/>
  <c r="AE143" i="65"/>
  <c r="AC143" i="65"/>
  <c r="AB143" i="65"/>
  <c r="X143" i="65"/>
  <c r="AD143" i="65" s="1"/>
  <c r="W143" i="65"/>
  <c r="V143" i="65"/>
  <c r="AG142" i="65"/>
  <c r="AE142" i="65"/>
  <c r="AB142" i="65"/>
  <c r="X142" i="65"/>
  <c r="AD142" i="65" s="1"/>
  <c r="W142" i="65"/>
  <c r="AC142" i="65" s="1"/>
  <c r="V142" i="65"/>
  <c r="AG141" i="65"/>
  <c r="AE141" i="65"/>
  <c r="AD141" i="65"/>
  <c r="X141" i="65"/>
  <c r="W141" i="65"/>
  <c r="AC141" i="65" s="1"/>
  <c r="V141" i="65"/>
  <c r="AB141" i="65" s="1"/>
  <c r="AG140" i="65"/>
  <c r="AE140" i="65"/>
  <c r="AD140" i="65"/>
  <c r="AB140" i="65"/>
  <c r="X140" i="65"/>
  <c r="W140" i="65"/>
  <c r="AC140" i="65" s="1"/>
  <c r="V140" i="65"/>
  <c r="AG139" i="65"/>
  <c r="AE139" i="65"/>
  <c r="AB139" i="65"/>
  <c r="X139" i="65"/>
  <c r="AD139" i="65" s="1"/>
  <c r="W139" i="65"/>
  <c r="AC139" i="65" s="1"/>
  <c r="V139" i="65"/>
  <c r="AG138" i="65"/>
  <c r="AE138" i="65"/>
  <c r="AC138" i="65"/>
  <c r="X138" i="65"/>
  <c r="AD138" i="65" s="1"/>
  <c r="W138" i="65"/>
  <c r="V138" i="65"/>
  <c r="AB138" i="65" s="1"/>
  <c r="AG137" i="65"/>
  <c r="AE137" i="65"/>
  <c r="AD137" i="65"/>
  <c r="AC137" i="65"/>
  <c r="X137" i="65"/>
  <c r="W137" i="65"/>
  <c r="V137" i="65"/>
  <c r="AB137" i="65" s="1"/>
  <c r="AG136" i="65"/>
  <c r="AE136" i="65"/>
  <c r="AB136" i="65"/>
  <c r="X136" i="65"/>
  <c r="AD136" i="65" s="1"/>
  <c r="W136" i="65"/>
  <c r="AC136" i="65" s="1"/>
  <c r="V136" i="65"/>
  <c r="AG135" i="65"/>
  <c r="AE135" i="65"/>
  <c r="X135" i="65"/>
  <c r="AD135" i="65" s="1"/>
  <c r="W135" i="65"/>
  <c r="AC135" i="65" s="1"/>
  <c r="V135" i="65"/>
  <c r="AB135" i="65" s="1"/>
  <c r="AG134" i="65"/>
  <c r="AE134" i="65"/>
  <c r="AC134" i="65"/>
  <c r="AB134" i="65"/>
  <c r="X134" i="65"/>
  <c r="AD134" i="65" s="1"/>
  <c r="W134" i="65"/>
  <c r="V134" i="65"/>
  <c r="AG133" i="65"/>
  <c r="AF133" i="65"/>
  <c r="AC133" i="65"/>
  <c r="X133" i="65"/>
  <c r="AD133" i="65" s="1"/>
  <c r="W133" i="65"/>
  <c r="V133" i="65"/>
  <c r="AB133" i="65" s="1"/>
  <c r="AG132" i="65"/>
  <c r="AF132" i="65"/>
  <c r="X132" i="65"/>
  <c r="AD132" i="65" s="1"/>
  <c r="W132" i="65"/>
  <c r="AC132" i="65" s="1"/>
  <c r="V132" i="65"/>
  <c r="AB132" i="65" s="1"/>
  <c r="AG131" i="65"/>
  <c r="AF131" i="65"/>
  <c r="AB131" i="65"/>
  <c r="X131" i="65"/>
  <c r="AD131" i="65" s="1"/>
  <c r="W131" i="65"/>
  <c r="AC131" i="65" s="1"/>
  <c r="V131" i="65"/>
  <c r="AG130" i="65"/>
  <c r="AF130" i="65"/>
  <c r="AB130" i="65"/>
  <c r="X130" i="65"/>
  <c r="AD130" i="65" s="1"/>
  <c r="W130" i="65"/>
  <c r="AC130" i="65" s="1"/>
  <c r="V130" i="65"/>
  <c r="AG129" i="65"/>
  <c r="AF129" i="65"/>
  <c r="AD129" i="65"/>
  <c r="X129" i="65"/>
  <c r="W129" i="65"/>
  <c r="AC129" i="65" s="1"/>
  <c r="V129" i="65"/>
  <c r="AB129" i="65" s="1"/>
  <c r="AG128" i="65"/>
  <c r="AF128" i="65"/>
  <c r="X128" i="65"/>
  <c r="AD128" i="65" s="1"/>
  <c r="W128" i="65"/>
  <c r="AC128" i="65" s="1"/>
  <c r="V128" i="65"/>
  <c r="AB128" i="65" s="1"/>
  <c r="AG127" i="65"/>
  <c r="AF127" i="65"/>
  <c r="X127" i="65"/>
  <c r="AD127" i="65" s="1"/>
  <c r="W127" i="65"/>
  <c r="AC127" i="65" s="1"/>
  <c r="V127" i="65"/>
  <c r="AB127" i="65" s="1"/>
  <c r="AG126" i="65"/>
  <c r="AF126" i="65"/>
  <c r="AC126" i="65"/>
  <c r="AB126" i="65"/>
  <c r="X126" i="65"/>
  <c r="AD126" i="65" s="1"/>
  <c r="W126" i="65"/>
  <c r="V126" i="65"/>
  <c r="AG125" i="65"/>
  <c r="AF125" i="65"/>
  <c r="AC125" i="65"/>
  <c r="X125" i="65"/>
  <c r="AD125" i="65" s="1"/>
  <c r="W125" i="65"/>
  <c r="V125" i="65"/>
  <c r="AB125" i="65" s="1"/>
  <c r="AG124" i="65"/>
  <c r="AF124" i="65"/>
  <c r="X124" i="65"/>
  <c r="AD124" i="65" s="1"/>
  <c r="W124" i="65"/>
  <c r="AC124" i="65" s="1"/>
  <c r="V124" i="65"/>
  <c r="AB124" i="65" s="1"/>
  <c r="AG123" i="65"/>
  <c r="AF123" i="65"/>
  <c r="AB123" i="65"/>
  <c r="X123" i="65"/>
  <c r="AD123" i="65" s="1"/>
  <c r="W123" i="65"/>
  <c r="AC123" i="65" s="1"/>
  <c r="V123" i="65"/>
  <c r="AG122" i="65"/>
  <c r="AF122" i="65"/>
  <c r="AB122" i="65"/>
  <c r="X122" i="65"/>
  <c r="AD122" i="65" s="1"/>
  <c r="W122" i="65"/>
  <c r="AC122" i="65" s="1"/>
  <c r="V122" i="65"/>
  <c r="AG121" i="65"/>
  <c r="AE121" i="65"/>
  <c r="AD121" i="65"/>
  <c r="X121" i="65"/>
  <c r="W121" i="65"/>
  <c r="AC121" i="65" s="1"/>
  <c r="V121" i="65"/>
  <c r="AB121" i="65" s="1"/>
  <c r="AG120" i="65"/>
  <c r="AE120" i="65"/>
  <c r="X120" i="65"/>
  <c r="AD120" i="65" s="1"/>
  <c r="W120" i="65"/>
  <c r="AC120" i="65" s="1"/>
  <c r="V120" i="65"/>
  <c r="AB120" i="65" s="1"/>
  <c r="AG119" i="65"/>
  <c r="AE119" i="65"/>
  <c r="X119" i="65"/>
  <c r="AD119" i="65" s="1"/>
  <c r="W119" i="65"/>
  <c r="AC119" i="65" s="1"/>
  <c r="V119" i="65"/>
  <c r="AB119" i="65" s="1"/>
  <c r="AG118" i="65"/>
  <c r="AE118" i="65"/>
  <c r="AC118" i="65"/>
  <c r="AB118" i="65"/>
  <c r="X118" i="65"/>
  <c r="AD118" i="65" s="1"/>
  <c r="W118" i="65"/>
  <c r="V118" i="65"/>
  <c r="AG117" i="65"/>
  <c r="AE117" i="65"/>
  <c r="AC117" i="65"/>
  <c r="X117" i="65"/>
  <c r="AD117" i="65" s="1"/>
  <c r="W117" i="65"/>
  <c r="V117" i="65"/>
  <c r="AB117" i="65" s="1"/>
  <c r="AG116" i="65"/>
  <c r="AE116" i="65"/>
  <c r="X116" i="65"/>
  <c r="AD116" i="65" s="1"/>
  <c r="W116" i="65"/>
  <c r="AC116" i="65" s="1"/>
  <c r="V116" i="65"/>
  <c r="AB116" i="65" s="1"/>
  <c r="AG115" i="65"/>
  <c r="AE115" i="65"/>
  <c r="AB115" i="65"/>
  <c r="X115" i="65"/>
  <c r="AD115" i="65" s="1"/>
  <c r="W115" i="65"/>
  <c r="AC115" i="65" s="1"/>
  <c r="V115" i="65"/>
  <c r="AG114" i="65"/>
  <c r="AE114" i="65"/>
  <c r="AB114" i="65"/>
  <c r="X114" i="65"/>
  <c r="AD114" i="65" s="1"/>
  <c r="W114" i="65"/>
  <c r="AC114" i="65" s="1"/>
  <c r="V114" i="65"/>
  <c r="AG113" i="65"/>
  <c r="AE113" i="65"/>
  <c r="AD113" i="65"/>
  <c r="X113" i="65"/>
  <c r="W113" i="65"/>
  <c r="AC113" i="65" s="1"/>
  <c r="V113" i="65"/>
  <c r="AB113" i="65" s="1"/>
  <c r="AG112" i="65"/>
  <c r="AE112" i="65"/>
  <c r="X112" i="65"/>
  <c r="AD112" i="65" s="1"/>
  <c r="W112" i="65"/>
  <c r="AC112" i="65" s="1"/>
  <c r="V112" i="65"/>
  <c r="AB112" i="65" s="1"/>
  <c r="AG111" i="65"/>
  <c r="AE111" i="65"/>
  <c r="X111" i="65"/>
  <c r="AD111" i="65" s="1"/>
  <c r="W111" i="65"/>
  <c r="AC111" i="65" s="1"/>
  <c r="V111" i="65"/>
  <c r="AB111" i="65" s="1"/>
  <c r="AG110" i="65"/>
  <c r="AE110" i="65"/>
  <c r="AC110" i="65"/>
  <c r="AB110" i="65"/>
  <c r="X110" i="65"/>
  <c r="AD110" i="65" s="1"/>
  <c r="W110" i="65"/>
  <c r="V110" i="65"/>
  <c r="AE109" i="65"/>
  <c r="X109" i="65"/>
  <c r="AD109" i="65" s="1"/>
  <c r="W109" i="65"/>
  <c r="AC109" i="65" s="1"/>
  <c r="V109" i="65"/>
  <c r="AB109" i="65" s="1"/>
  <c r="AE108" i="65"/>
  <c r="X108" i="65"/>
  <c r="AD108" i="65" s="1"/>
  <c r="W108" i="65"/>
  <c r="AC108" i="65" s="1"/>
  <c r="V108" i="65"/>
  <c r="AB108" i="65" s="1"/>
  <c r="AE107" i="65"/>
  <c r="AB107" i="65"/>
  <c r="X107" i="65"/>
  <c r="AD107" i="65" s="1"/>
  <c r="W107" i="65"/>
  <c r="AC107" i="65" s="1"/>
  <c r="V107" i="65"/>
  <c r="AE106" i="65"/>
  <c r="AB106" i="65"/>
  <c r="X106" i="65"/>
  <c r="AD106" i="65" s="1"/>
  <c r="W106" i="65"/>
  <c r="AC106" i="65" s="1"/>
  <c r="V106" i="65"/>
  <c r="AE105" i="65"/>
  <c r="AD105" i="65"/>
  <c r="AC105" i="65"/>
  <c r="X105" i="65"/>
  <c r="W105" i="65"/>
  <c r="V105" i="65"/>
  <c r="AB105" i="65" s="1"/>
  <c r="AE104" i="65"/>
  <c r="X104" i="65"/>
  <c r="AD104" i="65" s="1"/>
  <c r="W104" i="65"/>
  <c r="AC104" i="65" s="1"/>
  <c r="V104" i="65"/>
  <c r="AB104" i="65" s="1"/>
  <c r="AE103" i="65"/>
  <c r="AB103" i="65"/>
  <c r="X103" i="65"/>
  <c r="AD103" i="65" s="1"/>
  <c r="W103" i="65"/>
  <c r="AC103" i="65" s="1"/>
  <c r="V103" i="65"/>
  <c r="AE102" i="65"/>
  <c r="AC102" i="65"/>
  <c r="AB102" i="65"/>
  <c r="X102" i="65"/>
  <c r="AD102" i="65" s="1"/>
  <c r="W102" i="65"/>
  <c r="V102" i="65"/>
  <c r="AE101" i="65"/>
  <c r="X101" i="65"/>
  <c r="AD101" i="65" s="1"/>
  <c r="W101" i="65"/>
  <c r="AC101" i="65" s="1"/>
  <c r="V101" i="65"/>
  <c r="AB101" i="65" s="1"/>
  <c r="AE100" i="65"/>
  <c r="X100" i="65"/>
  <c r="AD100" i="65" s="1"/>
  <c r="W100" i="65"/>
  <c r="AC100" i="65" s="1"/>
  <c r="V100" i="65"/>
  <c r="AB100" i="65" s="1"/>
  <c r="AE99" i="65"/>
  <c r="AB99" i="65"/>
  <c r="X99" i="65"/>
  <c r="AD99" i="65" s="1"/>
  <c r="W99" i="65"/>
  <c r="AC99" i="65" s="1"/>
  <c r="V99" i="65"/>
  <c r="AE98" i="65"/>
  <c r="AB98" i="65"/>
  <c r="X98" i="65"/>
  <c r="AD98" i="65" s="1"/>
  <c r="W98" i="65"/>
  <c r="AC98" i="65" s="1"/>
  <c r="V98" i="65"/>
  <c r="AE97" i="65"/>
  <c r="AD97" i="65"/>
  <c r="AC97" i="65"/>
  <c r="X97" i="65"/>
  <c r="W97" i="65"/>
  <c r="V97" i="65"/>
  <c r="AB97" i="65" s="1"/>
  <c r="AE96" i="65"/>
  <c r="X96" i="65"/>
  <c r="AD96" i="65" s="1"/>
  <c r="W96" i="65"/>
  <c r="AC96" i="65" s="1"/>
  <c r="V96" i="65"/>
  <c r="AB96" i="65" s="1"/>
  <c r="AE95" i="65"/>
  <c r="AB95" i="65"/>
  <c r="X95" i="65"/>
  <c r="AD95" i="65" s="1"/>
  <c r="W95" i="65"/>
  <c r="AC95" i="65" s="1"/>
  <c r="V95" i="65"/>
  <c r="AE94" i="65"/>
  <c r="AC94" i="65"/>
  <c r="AB94" i="65"/>
  <c r="X94" i="65"/>
  <c r="AD94" i="65" s="1"/>
  <c r="W94" i="65"/>
  <c r="V94" i="65"/>
  <c r="AE93" i="65"/>
  <c r="X93" i="65"/>
  <c r="AD93" i="65" s="1"/>
  <c r="W93" i="65"/>
  <c r="AC93" i="65" s="1"/>
  <c r="V93" i="65"/>
  <c r="AB93" i="65" s="1"/>
  <c r="AE92" i="65"/>
  <c r="X92" i="65"/>
  <c r="AD92" i="65" s="1"/>
  <c r="W92" i="65"/>
  <c r="AC92" i="65" s="1"/>
  <c r="V92" i="65"/>
  <c r="AB92" i="65" s="1"/>
  <c r="AE91" i="65"/>
  <c r="AB91" i="65"/>
  <c r="X91" i="65"/>
  <c r="AD91" i="65" s="1"/>
  <c r="W91" i="65"/>
  <c r="AC91" i="65" s="1"/>
  <c r="V91" i="65"/>
  <c r="AE90" i="65"/>
  <c r="AB90" i="65"/>
  <c r="X90" i="65"/>
  <c r="AD90" i="65" s="1"/>
  <c r="W90" i="65"/>
  <c r="AC90" i="65" s="1"/>
  <c r="V90" i="65"/>
  <c r="AE89" i="65"/>
  <c r="AD89" i="65"/>
  <c r="AC89" i="65"/>
  <c r="X89" i="65"/>
  <c r="W89" i="65"/>
  <c r="V89" i="65"/>
  <c r="AB89" i="65" s="1"/>
  <c r="AE88" i="65"/>
  <c r="X88" i="65"/>
  <c r="AD88" i="65" s="1"/>
  <c r="W88" i="65"/>
  <c r="AC88" i="65" s="1"/>
  <c r="V88" i="65"/>
  <c r="AB88" i="65" s="1"/>
  <c r="AE87" i="65"/>
  <c r="X87" i="65"/>
  <c r="AD87" i="65" s="1"/>
  <c r="W87" i="65"/>
  <c r="AC87" i="65" s="1"/>
  <c r="V87" i="65"/>
  <c r="AB87" i="65" s="1"/>
  <c r="AE86" i="65"/>
  <c r="AC86" i="65"/>
  <c r="AB86" i="65"/>
  <c r="X86" i="65"/>
  <c r="AD86" i="65" s="1"/>
  <c r="W86" i="65"/>
  <c r="V86" i="65"/>
  <c r="AG85" i="65"/>
  <c r="AF85" i="65"/>
  <c r="AC85" i="65"/>
  <c r="X85" i="65"/>
  <c r="AD85" i="65" s="1"/>
  <c r="W85" i="65"/>
  <c r="V85" i="65"/>
  <c r="AB85" i="65" s="1"/>
  <c r="AG84" i="65"/>
  <c r="AF84" i="65"/>
  <c r="X84" i="65"/>
  <c r="AD84" i="65" s="1"/>
  <c r="W84" i="65"/>
  <c r="AC84" i="65" s="1"/>
  <c r="V84" i="65"/>
  <c r="AB84" i="65" s="1"/>
  <c r="AG83" i="65"/>
  <c r="AF83" i="65"/>
  <c r="AB83" i="65"/>
  <c r="X83" i="65"/>
  <c r="AD83" i="65" s="1"/>
  <c r="W83" i="65"/>
  <c r="AC83" i="65" s="1"/>
  <c r="V83" i="65"/>
  <c r="AG82" i="65"/>
  <c r="AF82" i="65"/>
  <c r="X82" i="65"/>
  <c r="AD82" i="65" s="1"/>
  <c r="W82" i="65"/>
  <c r="AC82" i="65" s="1"/>
  <c r="V82" i="65"/>
  <c r="AB82" i="65" s="1"/>
  <c r="AG81" i="65"/>
  <c r="AF81" i="65"/>
  <c r="AD81" i="65"/>
  <c r="X81" i="65"/>
  <c r="W81" i="65"/>
  <c r="AC81" i="65" s="1"/>
  <c r="V81" i="65"/>
  <c r="AB81" i="65" s="1"/>
  <c r="AG80" i="65"/>
  <c r="AF80" i="65"/>
  <c r="X80" i="65"/>
  <c r="AD80" i="65" s="1"/>
  <c r="W80" i="65"/>
  <c r="AC80" i="65" s="1"/>
  <c r="V80" i="65"/>
  <c r="AB80" i="65" s="1"/>
  <c r="AG79" i="65"/>
  <c r="AF79" i="65"/>
  <c r="X79" i="65"/>
  <c r="AD79" i="65" s="1"/>
  <c r="W79" i="65"/>
  <c r="AC79" i="65" s="1"/>
  <c r="V79" i="65"/>
  <c r="AB79" i="65" s="1"/>
  <c r="AG78" i="65"/>
  <c r="AF78" i="65"/>
  <c r="AC78" i="65"/>
  <c r="AB78" i="65"/>
  <c r="X78" i="65"/>
  <c r="AD78" i="65" s="1"/>
  <c r="W78" i="65"/>
  <c r="V78" i="65"/>
  <c r="AG77" i="65"/>
  <c r="AF77" i="65"/>
  <c r="AC77" i="65"/>
  <c r="X77" i="65"/>
  <c r="AD77" i="65" s="1"/>
  <c r="W77" i="65"/>
  <c r="V77" i="65"/>
  <c r="AB77" i="65" s="1"/>
  <c r="AG76" i="65"/>
  <c r="AF76" i="65"/>
  <c r="X76" i="65"/>
  <c r="AD76" i="65" s="1"/>
  <c r="W76" i="65"/>
  <c r="AC76" i="65" s="1"/>
  <c r="V76" i="65"/>
  <c r="AB76" i="65" s="1"/>
  <c r="AG75" i="65"/>
  <c r="AF75" i="65"/>
  <c r="AB75" i="65"/>
  <c r="X75" i="65"/>
  <c r="AD75" i="65" s="1"/>
  <c r="W75" i="65"/>
  <c r="AC75" i="65" s="1"/>
  <c r="V75" i="65"/>
  <c r="AG74" i="65"/>
  <c r="AF74" i="65"/>
  <c r="AB74" i="65"/>
  <c r="X74" i="65"/>
  <c r="AD74" i="65" s="1"/>
  <c r="W74" i="65"/>
  <c r="AC74" i="65" s="1"/>
  <c r="V74" i="65"/>
  <c r="AG73" i="65"/>
  <c r="AF73" i="65"/>
  <c r="AD73" i="65"/>
  <c r="X73" i="65"/>
  <c r="W73" i="65"/>
  <c r="AC73" i="65" s="1"/>
  <c r="V73" i="65"/>
  <c r="AB73" i="65" s="1"/>
  <c r="AG72" i="65"/>
  <c r="AF72" i="65"/>
  <c r="X72" i="65"/>
  <c r="AD72" i="65" s="1"/>
  <c r="W72" i="65"/>
  <c r="AC72" i="65" s="1"/>
  <c r="V72" i="65"/>
  <c r="AB72" i="65" s="1"/>
  <c r="AG71" i="65"/>
  <c r="AF71" i="65"/>
  <c r="X71" i="65"/>
  <c r="AD71" i="65" s="1"/>
  <c r="W71" i="65"/>
  <c r="AC71" i="65" s="1"/>
  <c r="V71" i="65"/>
  <c r="AB71" i="65" s="1"/>
  <c r="AG70" i="65"/>
  <c r="AF70" i="65"/>
  <c r="AC70" i="65"/>
  <c r="AB70" i="65"/>
  <c r="X70" i="65"/>
  <c r="AD70" i="65" s="1"/>
  <c r="W70" i="65"/>
  <c r="V70" i="65"/>
  <c r="AG69" i="65"/>
  <c r="AF69" i="65"/>
  <c r="AC69" i="65"/>
  <c r="X69" i="65"/>
  <c r="AD69" i="65" s="1"/>
  <c r="W69" i="65"/>
  <c r="V69" i="65"/>
  <c r="AB69" i="65" s="1"/>
  <c r="AG68" i="65"/>
  <c r="AF68" i="65"/>
  <c r="X68" i="65"/>
  <c r="AD68" i="65" s="1"/>
  <c r="W68" i="65"/>
  <c r="AC68" i="65" s="1"/>
  <c r="V68" i="65"/>
  <c r="AB68" i="65" s="1"/>
  <c r="AG67" i="65"/>
  <c r="AF67" i="65"/>
  <c r="X67" i="65"/>
  <c r="AD67" i="65" s="1"/>
  <c r="W67" i="65"/>
  <c r="AC67" i="65" s="1"/>
  <c r="V67" i="65"/>
  <c r="AB67" i="65" s="1"/>
  <c r="AG66" i="65"/>
  <c r="AF66" i="65"/>
  <c r="AB66" i="65"/>
  <c r="X66" i="65"/>
  <c r="AD66" i="65" s="1"/>
  <c r="W66" i="65"/>
  <c r="AC66" i="65" s="1"/>
  <c r="V66" i="65"/>
  <c r="AG65" i="65"/>
  <c r="AF65" i="65"/>
  <c r="AD65" i="65"/>
  <c r="X65" i="65"/>
  <c r="W65" i="65"/>
  <c r="AC65" i="65" s="1"/>
  <c r="V65" i="65"/>
  <c r="AB65" i="65" s="1"/>
  <c r="AG64" i="65"/>
  <c r="AF64" i="65"/>
  <c r="X64" i="65"/>
  <c r="AD64" i="65" s="1"/>
  <c r="W64" i="65"/>
  <c r="AC64" i="65" s="1"/>
  <c r="V64" i="65"/>
  <c r="AB64" i="65" s="1"/>
  <c r="AG63" i="65"/>
  <c r="AF63" i="65"/>
  <c r="X63" i="65"/>
  <c r="AD63" i="65" s="1"/>
  <c r="W63" i="65"/>
  <c r="AC63" i="65" s="1"/>
  <c r="V63" i="65"/>
  <c r="AB63" i="65" s="1"/>
  <c r="AG62" i="65"/>
  <c r="AF62" i="65"/>
  <c r="AB62" i="65"/>
  <c r="X62" i="65"/>
  <c r="AD62" i="65" s="1"/>
  <c r="W62" i="65"/>
  <c r="AC62" i="65" s="1"/>
  <c r="V62" i="65"/>
  <c r="AE61" i="65"/>
  <c r="X61" i="65"/>
  <c r="AD61" i="65" s="1"/>
  <c r="W61" i="65"/>
  <c r="AC61" i="65" s="1"/>
  <c r="V61" i="65"/>
  <c r="AB61" i="65" s="1"/>
  <c r="AE60" i="65"/>
  <c r="X60" i="65"/>
  <c r="AD60" i="65" s="1"/>
  <c r="W60" i="65"/>
  <c r="AC60" i="65" s="1"/>
  <c r="V60" i="65"/>
  <c r="AB60" i="65" s="1"/>
  <c r="AE59" i="65"/>
  <c r="AB59" i="65"/>
  <c r="X59" i="65"/>
  <c r="AD59" i="65" s="1"/>
  <c r="W59" i="65"/>
  <c r="AC59" i="65" s="1"/>
  <c r="V59" i="65"/>
  <c r="AE58" i="65"/>
  <c r="AB58" i="65"/>
  <c r="X58" i="65"/>
  <c r="AD58" i="65" s="1"/>
  <c r="W58" i="65"/>
  <c r="AC58" i="65" s="1"/>
  <c r="V58" i="65"/>
  <c r="AE57" i="65"/>
  <c r="AD57" i="65"/>
  <c r="AC57" i="65"/>
  <c r="X57" i="65"/>
  <c r="W57" i="65"/>
  <c r="V57" i="65"/>
  <c r="AB57" i="65" s="1"/>
  <c r="AE56" i="65"/>
  <c r="X56" i="65"/>
  <c r="AD56" i="65" s="1"/>
  <c r="W56" i="65"/>
  <c r="AC56" i="65" s="1"/>
  <c r="V56" i="65"/>
  <c r="AB56" i="65" s="1"/>
  <c r="AE55" i="65"/>
  <c r="AB55" i="65"/>
  <c r="X55" i="65"/>
  <c r="AD55" i="65" s="1"/>
  <c r="W55" i="65"/>
  <c r="AC55" i="65" s="1"/>
  <c r="V55" i="65"/>
  <c r="AE54" i="65"/>
  <c r="AC54" i="65"/>
  <c r="AB54" i="65"/>
  <c r="X54" i="65"/>
  <c r="AD54" i="65" s="1"/>
  <c r="W54" i="65"/>
  <c r="V54" i="65"/>
  <c r="AE53" i="65"/>
  <c r="X53" i="65"/>
  <c r="AD53" i="65" s="1"/>
  <c r="W53" i="65"/>
  <c r="AC53" i="65" s="1"/>
  <c r="V53" i="65"/>
  <c r="AB53" i="65" s="1"/>
  <c r="AE52" i="65"/>
  <c r="X52" i="65"/>
  <c r="AD52" i="65" s="1"/>
  <c r="W52" i="65"/>
  <c r="AC52" i="65" s="1"/>
  <c r="V52" i="65"/>
  <c r="AB52" i="65" s="1"/>
  <c r="AE51" i="65"/>
  <c r="AB51" i="65"/>
  <c r="X51" i="65"/>
  <c r="AD51" i="65" s="1"/>
  <c r="W51" i="65"/>
  <c r="AC51" i="65" s="1"/>
  <c r="V51" i="65"/>
  <c r="AE50" i="65"/>
  <c r="AB50" i="65"/>
  <c r="X50" i="65"/>
  <c r="AD50" i="65" s="1"/>
  <c r="W50" i="65"/>
  <c r="AC50" i="65" s="1"/>
  <c r="V50" i="65"/>
  <c r="AE49" i="65"/>
  <c r="AD49" i="65"/>
  <c r="AC49" i="65"/>
  <c r="X49" i="65"/>
  <c r="W49" i="65"/>
  <c r="V49" i="65"/>
  <c r="AB49" i="65" s="1"/>
  <c r="AE48" i="65"/>
  <c r="X48" i="65"/>
  <c r="AD48" i="65" s="1"/>
  <c r="W48" i="65"/>
  <c r="AC48" i="65" s="1"/>
  <c r="V48" i="65"/>
  <c r="AB48" i="65" s="1"/>
  <c r="AE47" i="65"/>
  <c r="X47" i="65"/>
  <c r="AD47" i="65" s="1"/>
  <c r="W47" i="65"/>
  <c r="AC47" i="65" s="1"/>
  <c r="V47" i="65"/>
  <c r="AB47" i="65" s="1"/>
  <c r="AE46" i="65"/>
  <c r="AC46" i="65"/>
  <c r="AB46" i="65"/>
  <c r="X46" i="65"/>
  <c r="AD46" i="65" s="1"/>
  <c r="W46" i="65"/>
  <c r="V46" i="65"/>
  <c r="AE45" i="65"/>
  <c r="X45" i="65"/>
  <c r="AD45" i="65" s="1"/>
  <c r="W45" i="65"/>
  <c r="AC45" i="65" s="1"/>
  <c r="V45" i="65"/>
  <c r="AB45" i="65" s="1"/>
  <c r="AE44" i="65"/>
  <c r="AD44" i="65"/>
  <c r="AB44" i="65"/>
  <c r="X44" i="65"/>
  <c r="W44" i="65"/>
  <c r="AC44" i="65" s="1"/>
  <c r="V44" i="65"/>
  <c r="AE43" i="65"/>
  <c r="X43" i="65"/>
  <c r="AD43" i="65" s="1"/>
  <c r="W43" i="65"/>
  <c r="AC43" i="65" s="1"/>
  <c r="V43" i="65"/>
  <c r="AB43" i="65" s="1"/>
  <c r="AE42" i="65"/>
  <c r="AB42" i="65"/>
  <c r="X42" i="65"/>
  <c r="AD42" i="65" s="1"/>
  <c r="W42" i="65"/>
  <c r="AC42" i="65" s="1"/>
  <c r="V42" i="65"/>
  <c r="AE41" i="65"/>
  <c r="AD41" i="65"/>
  <c r="X41" i="65"/>
  <c r="W41" i="65"/>
  <c r="AC41" i="65" s="1"/>
  <c r="V41" i="65"/>
  <c r="AB41" i="65" s="1"/>
  <c r="AE40" i="65"/>
  <c r="X40" i="65"/>
  <c r="AD40" i="65" s="1"/>
  <c r="W40" i="65"/>
  <c r="AC40" i="65" s="1"/>
  <c r="V40" i="65"/>
  <c r="AB40" i="65" s="1"/>
  <c r="AE39" i="65"/>
  <c r="AB39" i="65"/>
  <c r="X39" i="65"/>
  <c r="AD39" i="65" s="1"/>
  <c r="W39" i="65"/>
  <c r="AC39" i="65" s="1"/>
  <c r="V39" i="65"/>
  <c r="AE38" i="65"/>
  <c r="AC38" i="65"/>
  <c r="X38" i="65"/>
  <c r="AD38" i="65" s="1"/>
  <c r="W38" i="65"/>
  <c r="V38" i="65"/>
  <c r="AB38" i="65" s="1"/>
  <c r="AG37" i="65"/>
  <c r="AC37" i="65"/>
  <c r="X37" i="65"/>
  <c r="AD37" i="65" s="1"/>
  <c r="W37" i="65"/>
  <c r="V37" i="65"/>
  <c r="AB37" i="65" s="1"/>
  <c r="AG36" i="65"/>
  <c r="AD36" i="65"/>
  <c r="X36" i="65"/>
  <c r="W36" i="65"/>
  <c r="AC36" i="65" s="1"/>
  <c r="V36" i="65"/>
  <c r="AB36" i="65" s="1"/>
  <c r="AG35" i="65"/>
  <c r="AB35" i="65"/>
  <c r="X35" i="65"/>
  <c r="AD35" i="65" s="1"/>
  <c r="W35" i="65"/>
  <c r="AC35" i="65" s="1"/>
  <c r="V35" i="65"/>
  <c r="AG34" i="65"/>
  <c r="AC34" i="65"/>
  <c r="AB34" i="65"/>
  <c r="X34" i="65"/>
  <c r="AD34" i="65" s="1"/>
  <c r="W34" i="65"/>
  <c r="V34" i="65"/>
  <c r="AG33" i="65"/>
  <c r="X33" i="65"/>
  <c r="AD33" i="65" s="1"/>
  <c r="W33" i="65"/>
  <c r="AC33" i="65" s="1"/>
  <c r="V33" i="65"/>
  <c r="AB33" i="65" s="1"/>
  <c r="AG32" i="65"/>
  <c r="AD32" i="65"/>
  <c r="AB32" i="65"/>
  <c r="X32" i="65"/>
  <c r="W32" i="65"/>
  <c r="AC32" i="65" s="1"/>
  <c r="V32" i="65"/>
  <c r="AG31" i="65"/>
  <c r="X31" i="65"/>
  <c r="AD31" i="65" s="1"/>
  <c r="W31" i="65"/>
  <c r="AC31" i="65" s="1"/>
  <c r="V31" i="65"/>
  <c r="AB31" i="65" s="1"/>
  <c r="AG30" i="65"/>
  <c r="AC30" i="65"/>
  <c r="AB30" i="65"/>
  <c r="X30" i="65"/>
  <c r="AD30" i="65" s="1"/>
  <c r="W30" i="65"/>
  <c r="V30" i="65"/>
  <c r="AG29" i="65"/>
  <c r="AD29" i="65"/>
  <c r="X29" i="65"/>
  <c r="W29" i="65"/>
  <c r="AC29" i="65" s="1"/>
  <c r="V29" i="65"/>
  <c r="AB29" i="65" s="1"/>
  <c r="AG28" i="65"/>
  <c r="AB28" i="65"/>
  <c r="X28" i="65"/>
  <c r="AD28" i="65" s="1"/>
  <c r="W28" i="65"/>
  <c r="AC28" i="65" s="1"/>
  <c r="V28" i="65"/>
  <c r="AG27" i="65"/>
  <c r="AB27" i="65"/>
  <c r="X27" i="65"/>
  <c r="AD27" i="65" s="1"/>
  <c r="W27" i="65"/>
  <c r="AC27" i="65" s="1"/>
  <c r="V27" i="65"/>
  <c r="AG26" i="65"/>
  <c r="AB26" i="65"/>
  <c r="X26" i="65"/>
  <c r="AD26" i="65" s="1"/>
  <c r="W26" i="65"/>
  <c r="AC26" i="65" s="1"/>
  <c r="V26" i="65"/>
  <c r="AG25" i="65"/>
  <c r="AE25" i="65"/>
  <c r="AD25" i="65"/>
  <c r="X25" i="65"/>
  <c r="W25" i="65"/>
  <c r="AC25" i="65" s="1"/>
  <c r="V25" i="65"/>
  <c r="AB25" i="65" s="1"/>
  <c r="AG24" i="65"/>
  <c r="AE24" i="65"/>
  <c r="X24" i="65"/>
  <c r="AD24" i="65" s="1"/>
  <c r="W24" i="65"/>
  <c r="AC24" i="65" s="1"/>
  <c r="V24" i="65"/>
  <c r="AB24" i="65" s="1"/>
  <c r="AG23" i="65"/>
  <c r="AE23" i="65"/>
  <c r="X23" i="65"/>
  <c r="AD23" i="65" s="1"/>
  <c r="W23" i="65"/>
  <c r="AC23" i="65" s="1"/>
  <c r="V23" i="65"/>
  <c r="AB23" i="65" s="1"/>
  <c r="AG22" i="65"/>
  <c r="AE22" i="65"/>
  <c r="AC22" i="65"/>
  <c r="AB22" i="65"/>
  <c r="X22" i="65"/>
  <c r="AD22" i="65" s="1"/>
  <c r="W22" i="65"/>
  <c r="V22" i="65"/>
  <c r="AG21" i="65"/>
  <c r="AE21" i="65"/>
  <c r="AC21" i="65"/>
  <c r="X21" i="65"/>
  <c r="AD21" i="65" s="1"/>
  <c r="W21" i="65"/>
  <c r="V21" i="65"/>
  <c r="AB21" i="65" s="1"/>
  <c r="AG20" i="65"/>
  <c r="AE20" i="65"/>
  <c r="X20" i="65"/>
  <c r="AD20" i="65" s="1"/>
  <c r="W20" i="65"/>
  <c r="AC20" i="65" s="1"/>
  <c r="V20" i="65"/>
  <c r="AB20" i="65" s="1"/>
  <c r="AG19" i="65"/>
  <c r="AE19" i="65"/>
  <c r="X19" i="65"/>
  <c r="AD19" i="65" s="1"/>
  <c r="W19" i="65"/>
  <c r="AC19" i="65" s="1"/>
  <c r="V19" i="65"/>
  <c r="AB19" i="65" s="1"/>
  <c r="AG18" i="65"/>
  <c r="AE18" i="65"/>
  <c r="AB18" i="65"/>
  <c r="X18" i="65"/>
  <c r="AD18" i="65" s="1"/>
  <c r="W18" i="65"/>
  <c r="AC18" i="65" s="1"/>
  <c r="V18" i="65"/>
  <c r="AG17" i="65"/>
  <c r="AE17" i="65"/>
  <c r="AD17" i="65"/>
  <c r="X17" i="65"/>
  <c r="W17" i="65"/>
  <c r="AC17" i="65" s="1"/>
  <c r="V17" i="65"/>
  <c r="AB17" i="65" s="1"/>
  <c r="AG16" i="65"/>
  <c r="AE16" i="65"/>
  <c r="X16" i="65"/>
  <c r="AD16" i="65" s="1"/>
  <c r="W16" i="65"/>
  <c r="AC16" i="65" s="1"/>
  <c r="V16" i="65"/>
  <c r="AB16" i="65" s="1"/>
  <c r="AG15" i="65"/>
  <c r="AE15" i="65"/>
  <c r="X15" i="65"/>
  <c r="AD15" i="65" s="1"/>
  <c r="W15" i="65"/>
  <c r="AC15" i="65" s="1"/>
  <c r="V15" i="65"/>
  <c r="AB15" i="65" s="1"/>
  <c r="AG14" i="65"/>
  <c r="AE14" i="65"/>
  <c r="AB14" i="65"/>
  <c r="X14" i="65"/>
  <c r="AD14" i="65" s="1"/>
  <c r="W14" i="65"/>
  <c r="AC14" i="65" s="1"/>
  <c r="V14" i="65"/>
  <c r="AG13" i="65"/>
  <c r="X13" i="65"/>
  <c r="AD13" i="65" s="1"/>
  <c r="W13" i="65"/>
  <c r="AC13" i="65" s="1"/>
  <c r="V13" i="65"/>
  <c r="AB13" i="65" s="1"/>
  <c r="AG12" i="65"/>
  <c r="AD12" i="65"/>
  <c r="AB12" i="65"/>
  <c r="X12" i="65"/>
  <c r="W12" i="65"/>
  <c r="AC12" i="65" s="1"/>
  <c r="V12" i="65"/>
  <c r="AG11" i="65"/>
  <c r="X11" i="65"/>
  <c r="AD11" i="65" s="1"/>
  <c r="W11" i="65"/>
  <c r="AC11" i="65" s="1"/>
  <c r="V11" i="65"/>
  <c r="AB11" i="65" s="1"/>
  <c r="AG10" i="65"/>
  <c r="AC10" i="65"/>
  <c r="X10" i="65"/>
  <c r="AD10" i="65" s="1"/>
  <c r="W10" i="65"/>
  <c r="V10" i="65"/>
  <c r="AB10" i="65" s="1"/>
  <c r="AG9" i="65"/>
  <c r="AD9" i="65"/>
  <c r="X9" i="65"/>
  <c r="W9" i="65"/>
  <c r="AC9" i="65" s="1"/>
  <c r="V9" i="65"/>
  <c r="AB9" i="65" s="1"/>
  <c r="AG8" i="65"/>
  <c r="AB8" i="65"/>
  <c r="X8" i="65"/>
  <c r="AD8" i="65" s="1"/>
  <c r="W8" i="65"/>
  <c r="AC8" i="65" s="1"/>
  <c r="V8" i="65"/>
  <c r="AG7" i="65"/>
  <c r="X7" i="65"/>
  <c r="AD7" i="65" s="1"/>
  <c r="W7" i="65"/>
  <c r="AC7" i="65" s="1"/>
  <c r="V7" i="65"/>
  <c r="AB7" i="65" s="1"/>
  <c r="AG6" i="65"/>
  <c r="AB6" i="65"/>
  <c r="X6" i="65"/>
  <c r="AD6" i="65" s="1"/>
  <c r="W6" i="65"/>
  <c r="AC6" i="65" s="1"/>
  <c r="V6" i="65"/>
  <c r="AG5" i="65"/>
  <c r="AD5" i="65"/>
  <c r="X5" i="65"/>
  <c r="W5" i="65"/>
  <c r="AC5" i="65" s="1"/>
  <c r="V5" i="65"/>
  <c r="AB5" i="65" s="1"/>
  <c r="AG4" i="65"/>
  <c r="AD4" i="65"/>
  <c r="X4" i="65"/>
  <c r="W4" i="65"/>
  <c r="AC4" i="65" s="1"/>
  <c r="V4" i="65"/>
  <c r="AB4" i="65" s="1"/>
  <c r="AG3" i="65"/>
  <c r="AB3" i="65"/>
  <c r="X3" i="65"/>
  <c r="AD3" i="65" s="1"/>
  <c r="W3" i="65"/>
  <c r="AC3" i="65" s="1"/>
  <c r="V3" i="65"/>
  <c r="AG2" i="65"/>
  <c r="AD2" i="65"/>
  <c r="X2" i="65"/>
  <c r="W2" i="65"/>
  <c r="AC2" i="65" s="1"/>
  <c r="V2" i="65"/>
  <c r="AB2" i="65" s="1"/>
  <c r="AG42" i="64"/>
  <c r="AF42" i="64"/>
  <c r="AC42" i="64"/>
  <c r="AG41" i="64"/>
  <c r="AF41" i="64"/>
  <c r="AE41" i="64"/>
  <c r="AE42" i="64" s="1"/>
  <c r="AD41" i="64"/>
  <c r="AD42" i="64" s="1"/>
  <c r="AC41" i="64"/>
  <c r="AG40" i="64"/>
  <c r="AF40" i="64"/>
  <c r="AE40" i="64"/>
  <c r="AD40" i="64"/>
  <c r="AG39" i="64"/>
  <c r="AF39" i="64"/>
  <c r="AE39" i="64"/>
  <c r="AD39" i="64"/>
  <c r="AF37" i="64"/>
  <c r="AF38" i="64" s="1"/>
  <c r="AG36" i="64"/>
  <c r="AG37" i="64" s="1"/>
  <c r="AG38" i="64" s="1"/>
  <c r="AF36" i="64"/>
  <c r="AE36" i="64"/>
  <c r="AE37" i="64" s="1"/>
  <c r="AE38" i="64" s="1"/>
  <c r="AD36" i="64"/>
  <c r="AD37" i="64" s="1"/>
  <c r="AD38" i="64" s="1"/>
  <c r="AC36" i="64"/>
  <c r="AC37" i="64" s="1"/>
  <c r="AC38" i="64" s="1"/>
  <c r="AC39" i="64" s="1"/>
  <c r="AC40" i="64" s="1"/>
  <c r="AG35" i="64"/>
  <c r="AF35" i="64"/>
  <c r="AG34" i="64"/>
  <c r="AF34" i="64"/>
  <c r="AG33" i="64"/>
  <c r="AF33" i="64"/>
  <c r="AE33" i="64"/>
  <c r="AE34" i="64" s="1"/>
  <c r="AE35" i="64" s="1"/>
  <c r="AD33" i="64"/>
  <c r="AD34" i="64" s="1"/>
  <c r="AD35" i="64" s="1"/>
  <c r="AG32" i="64"/>
  <c r="AF32" i="64"/>
  <c r="AE32" i="64"/>
  <c r="AD32" i="64"/>
  <c r="AD30" i="64"/>
  <c r="AD31" i="64" s="1"/>
  <c r="AG29" i="64"/>
  <c r="AG30" i="64" s="1"/>
  <c r="AG31" i="64" s="1"/>
  <c r="AF29" i="64"/>
  <c r="AF30" i="64" s="1"/>
  <c r="AF31" i="64" s="1"/>
  <c r="AE29" i="64"/>
  <c r="AE30" i="64" s="1"/>
  <c r="AE31" i="64" s="1"/>
  <c r="AD29" i="64"/>
  <c r="AG28" i="64"/>
  <c r="AF28" i="64"/>
  <c r="AE28" i="64"/>
  <c r="AD28" i="64"/>
  <c r="AG26" i="64"/>
  <c r="AG27" i="64" s="1"/>
  <c r="AG25" i="64"/>
  <c r="AF25" i="64"/>
  <c r="AF26" i="64" s="1"/>
  <c r="AF27" i="64" s="1"/>
  <c r="AE25" i="64"/>
  <c r="AE26" i="64" s="1"/>
  <c r="AE27" i="64" s="1"/>
  <c r="AD25" i="64"/>
  <c r="AD26" i="64" s="1"/>
  <c r="AD27" i="64" s="1"/>
  <c r="AG24" i="64"/>
  <c r="AF24" i="64"/>
  <c r="AE24" i="64"/>
  <c r="AD24" i="64"/>
  <c r="AG21" i="64"/>
  <c r="AG22" i="64" s="1"/>
  <c r="AG23" i="64" s="1"/>
  <c r="AF21" i="64"/>
  <c r="AF22" i="64" s="1"/>
  <c r="AF23" i="64" s="1"/>
  <c r="AE21" i="64"/>
  <c r="AE22" i="64" s="1"/>
  <c r="AE23" i="64" s="1"/>
  <c r="AD21" i="64"/>
  <c r="AD22" i="64" s="1"/>
  <c r="AD23" i="64" s="1"/>
  <c r="AC21" i="64"/>
  <c r="AC22" i="64" s="1"/>
  <c r="AC23" i="64" s="1"/>
  <c r="AC24" i="64" s="1"/>
  <c r="AC25" i="64" s="1"/>
  <c r="AC26" i="64" s="1"/>
  <c r="AC27" i="64" s="1"/>
  <c r="AC28" i="64" s="1"/>
  <c r="AC29" i="64" s="1"/>
  <c r="AC30" i="64" s="1"/>
  <c r="AC31" i="64" s="1"/>
  <c r="AC32" i="64" s="1"/>
  <c r="AC33" i="64" s="1"/>
  <c r="AC34" i="64" s="1"/>
  <c r="AC35" i="64" s="1"/>
  <c r="AG20" i="64"/>
  <c r="AF20" i="64"/>
  <c r="AG19" i="64"/>
  <c r="AF19" i="64"/>
  <c r="AG18" i="64"/>
  <c r="AF18" i="64"/>
  <c r="AG17" i="64"/>
  <c r="AF17" i="64"/>
  <c r="AG16" i="64"/>
  <c r="AF16" i="64"/>
  <c r="AE16" i="64"/>
  <c r="AE17" i="64" s="1"/>
  <c r="AE18" i="64" s="1"/>
  <c r="AE19" i="64" s="1"/>
  <c r="AE20" i="64" s="1"/>
  <c r="AD16" i="64"/>
  <c r="AD17" i="64" s="1"/>
  <c r="AD18" i="64" s="1"/>
  <c r="AD19" i="64" s="1"/>
  <c r="AD20" i="64" s="1"/>
  <c r="AG15" i="64"/>
  <c r="AF15" i="64"/>
  <c r="AG14" i="64"/>
  <c r="AF14" i="64"/>
  <c r="AG13" i="64"/>
  <c r="AF13" i="64"/>
  <c r="AG12" i="64"/>
  <c r="AF12" i="64"/>
  <c r="AG11" i="64"/>
  <c r="AF11" i="64"/>
  <c r="AE11" i="64"/>
  <c r="AE12" i="64" s="1"/>
  <c r="AE13" i="64" s="1"/>
  <c r="AE14" i="64" s="1"/>
  <c r="AE15" i="64" s="1"/>
  <c r="AD11" i="64"/>
  <c r="AD12" i="64" s="1"/>
  <c r="AD13" i="64" s="1"/>
  <c r="AD14" i="64" s="1"/>
  <c r="AD15" i="64" s="1"/>
  <c r="AG8" i="64"/>
  <c r="AG9" i="64" s="1"/>
  <c r="AG10" i="64" s="1"/>
  <c r="AF8" i="64"/>
  <c r="AF9" i="64" s="1"/>
  <c r="AF10" i="64" s="1"/>
  <c r="AE8" i="64"/>
  <c r="AE9" i="64" s="1"/>
  <c r="AE10" i="64" s="1"/>
  <c r="AD8" i="64"/>
  <c r="AD9" i="64" s="1"/>
  <c r="AD10" i="64" s="1"/>
  <c r="AC8" i="64"/>
  <c r="AC9" i="64" s="1"/>
  <c r="AC10" i="64" s="1"/>
  <c r="AC11" i="64" s="1"/>
  <c r="AC12" i="64" s="1"/>
  <c r="AC13" i="64" s="1"/>
  <c r="AC14" i="64" s="1"/>
  <c r="AC15" i="64" s="1"/>
  <c r="AC16" i="64" s="1"/>
  <c r="AC17" i="64" s="1"/>
  <c r="AC18" i="64" s="1"/>
  <c r="AC19" i="64" s="1"/>
  <c r="AC20" i="64" s="1"/>
  <c r="AG7" i="64"/>
  <c r="AF7" i="64"/>
  <c r="AE7" i="64"/>
  <c r="AD7" i="64"/>
  <c r="AG5" i="64"/>
  <c r="AG6" i="64" s="1"/>
  <c r="AF5" i="64"/>
  <c r="AF6" i="64" s="1"/>
  <c r="AE5" i="64"/>
  <c r="AE6" i="64" s="1"/>
  <c r="AD5" i="64"/>
  <c r="AD6" i="64" s="1"/>
  <c r="AC5" i="64"/>
  <c r="AC6" i="64" s="1"/>
  <c r="AC7" i="64" s="1"/>
  <c r="N49" i="64"/>
  <c r="X47" i="64"/>
  <c r="V47" i="64"/>
  <c r="T47" i="64"/>
  <c r="P47" i="64"/>
  <c r="O47" i="64"/>
  <c r="N47" i="64"/>
  <c r="M47" i="64"/>
  <c r="V46" i="64"/>
  <c r="U46" i="64"/>
  <c r="T46" i="64"/>
  <c r="P46" i="64"/>
  <c r="O46" i="64"/>
  <c r="N46" i="64"/>
  <c r="M46" i="64"/>
  <c r="X45" i="64"/>
  <c r="V45" i="64"/>
  <c r="V49" i="64" s="1"/>
  <c r="U45" i="64"/>
  <c r="T45" i="64"/>
  <c r="T49" i="64" s="1"/>
  <c r="P45" i="64"/>
  <c r="P49" i="64" s="1"/>
  <c r="O45" i="64"/>
  <c r="O49" i="64" s="1"/>
  <c r="N45" i="64"/>
  <c r="M45" i="64"/>
  <c r="AU51" i="63"/>
  <c r="AT51" i="63"/>
  <c r="AU50" i="63"/>
  <c r="AT50" i="63"/>
  <c r="AS50" i="63"/>
  <c r="AS51" i="63" s="1"/>
  <c r="AR50" i="63"/>
  <c r="AR51" i="63" s="1"/>
  <c r="AV51" i="63" s="1"/>
  <c r="AQ50" i="63"/>
  <c r="AQ51" i="63" s="1"/>
  <c r="AU49" i="63"/>
  <c r="AT49" i="63"/>
  <c r="AS49" i="63"/>
  <c r="AR49" i="63"/>
  <c r="AV49" i="63" s="1"/>
  <c r="AU48" i="63"/>
  <c r="AT48" i="63"/>
  <c r="AS48" i="63"/>
  <c r="AR48" i="63"/>
  <c r="AV48" i="63" s="1"/>
  <c r="AS46" i="63"/>
  <c r="AS47" i="63" s="1"/>
  <c r="AU45" i="63"/>
  <c r="AU46" i="63" s="1"/>
  <c r="AU47" i="63" s="1"/>
  <c r="AT45" i="63"/>
  <c r="AT46" i="63" s="1"/>
  <c r="AT47" i="63" s="1"/>
  <c r="AS45" i="63"/>
  <c r="AR45" i="63"/>
  <c r="AV45" i="63" s="1"/>
  <c r="AQ45" i="63"/>
  <c r="AQ46" i="63" s="1"/>
  <c r="AQ47" i="63" s="1"/>
  <c r="AQ48" i="63" s="1"/>
  <c r="AQ49" i="63" s="1"/>
  <c r="AU44" i="63"/>
  <c r="AT44" i="63"/>
  <c r="AU43" i="63"/>
  <c r="AT43" i="63"/>
  <c r="AU42" i="63"/>
  <c r="AT42" i="63"/>
  <c r="AS42" i="63"/>
  <c r="AS43" i="63" s="1"/>
  <c r="AS44" i="63" s="1"/>
  <c r="AR42" i="63"/>
  <c r="AR43" i="63" s="1"/>
  <c r="AU41" i="63"/>
  <c r="AT41" i="63"/>
  <c r="AS41" i="63"/>
  <c r="AR41" i="63"/>
  <c r="AV41" i="63" s="1"/>
  <c r="AT40" i="63"/>
  <c r="AU38" i="63"/>
  <c r="AU39" i="63" s="1"/>
  <c r="AU40" i="63" s="1"/>
  <c r="AT38" i="63"/>
  <c r="AT39" i="63" s="1"/>
  <c r="AS38" i="63"/>
  <c r="AS39" i="63" s="1"/>
  <c r="AS40" i="63" s="1"/>
  <c r="AR38" i="63"/>
  <c r="AR39" i="63" s="1"/>
  <c r="AV39" i="63" s="1"/>
  <c r="AU37" i="63"/>
  <c r="AT37" i="63"/>
  <c r="AS37" i="63"/>
  <c r="AR37" i="63"/>
  <c r="AV37" i="63" s="1"/>
  <c r="AU34" i="63"/>
  <c r="AU35" i="63" s="1"/>
  <c r="AU36" i="63" s="1"/>
  <c r="AT34" i="63"/>
  <c r="AT35" i="63" s="1"/>
  <c r="AT36" i="63" s="1"/>
  <c r="AS34" i="63"/>
  <c r="AS35" i="63" s="1"/>
  <c r="AS36" i="63" s="1"/>
  <c r="AR34" i="63"/>
  <c r="AV34" i="63" s="1"/>
  <c r="AU33" i="63"/>
  <c r="AT33" i="63"/>
  <c r="AS33" i="63"/>
  <c r="AR33" i="63"/>
  <c r="AV33" i="63" s="1"/>
  <c r="AR32" i="63"/>
  <c r="AV32" i="63" s="1"/>
  <c r="AQ31" i="63"/>
  <c r="AQ32" i="63" s="1"/>
  <c r="AQ33" i="63" s="1"/>
  <c r="AQ34" i="63" s="1"/>
  <c r="AQ35" i="63" s="1"/>
  <c r="AQ36" i="63" s="1"/>
  <c r="AQ37" i="63" s="1"/>
  <c r="AQ38" i="63" s="1"/>
  <c r="AQ39" i="63" s="1"/>
  <c r="AQ40" i="63" s="1"/>
  <c r="AQ41" i="63" s="1"/>
  <c r="AQ42" i="63" s="1"/>
  <c r="AQ43" i="63" s="1"/>
  <c r="AQ44" i="63" s="1"/>
  <c r="AU30" i="63"/>
  <c r="AU31" i="63" s="1"/>
  <c r="AU32" i="63" s="1"/>
  <c r="AT30" i="63"/>
  <c r="AT31" i="63" s="1"/>
  <c r="AT32" i="63" s="1"/>
  <c r="AS30" i="63"/>
  <c r="AS31" i="63" s="1"/>
  <c r="AS32" i="63" s="1"/>
  <c r="AR30" i="63"/>
  <c r="AR31" i="63" s="1"/>
  <c r="AV31" i="63" s="1"/>
  <c r="AQ30" i="63"/>
  <c r="AU29" i="63"/>
  <c r="AT29" i="63"/>
  <c r="AU28" i="63"/>
  <c r="AT28" i="63"/>
  <c r="AU27" i="63"/>
  <c r="AT27" i="63"/>
  <c r="AU26" i="63"/>
  <c r="AT26" i="63"/>
  <c r="AU25" i="63"/>
  <c r="AT25" i="63"/>
  <c r="AS25" i="63"/>
  <c r="AS26" i="63" s="1"/>
  <c r="AS27" i="63" s="1"/>
  <c r="AS28" i="63" s="1"/>
  <c r="AS29" i="63" s="1"/>
  <c r="AR25" i="63"/>
  <c r="AV25" i="63" s="1"/>
  <c r="AU24" i="63"/>
  <c r="AT24" i="63"/>
  <c r="AU23" i="63"/>
  <c r="AT23" i="63"/>
  <c r="AU22" i="63"/>
  <c r="AT22" i="63"/>
  <c r="AU21" i="63"/>
  <c r="AT21" i="63"/>
  <c r="AU20" i="63"/>
  <c r="AT20" i="63"/>
  <c r="AS20" i="63"/>
  <c r="AS21" i="63" s="1"/>
  <c r="AS22" i="63" s="1"/>
  <c r="AS23" i="63" s="1"/>
  <c r="AS24" i="63" s="1"/>
  <c r="AR20" i="63"/>
  <c r="AV20" i="63" s="1"/>
  <c r="AU17" i="63"/>
  <c r="AU18" i="63" s="1"/>
  <c r="AU19" i="63" s="1"/>
  <c r="AT17" i="63"/>
  <c r="AT18" i="63" s="1"/>
  <c r="AT19" i="63" s="1"/>
  <c r="AS17" i="63"/>
  <c r="AS18" i="63" s="1"/>
  <c r="AS19" i="63" s="1"/>
  <c r="AR17" i="63"/>
  <c r="AV17" i="63" s="1"/>
  <c r="AQ17" i="63"/>
  <c r="AQ18" i="63" s="1"/>
  <c r="AQ19" i="63" s="1"/>
  <c r="AQ20" i="63" s="1"/>
  <c r="AQ21" i="63" s="1"/>
  <c r="AQ22" i="63" s="1"/>
  <c r="AQ23" i="63" s="1"/>
  <c r="AQ24" i="63" s="1"/>
  <c r="AQ25" i="63" s="1"/>
  <c r="AQ26" i="63" s="1"/>
  <c r="AQ27" i="63" s="1"/>
  <c r="AQ28" i="63" s="1"/>
  <c r="AQ29" i="63" s="1"/>
  <c r="AU16" i="63"/>
  <c r="AU15" i="63"/>
  <c r="AT15" i="63"/>
  <c r="AT16" i="63" s="1"/>
  <c r="AS15" i="63"/>
  <c r="AS16" i="63" s="1"/>
  <c r="AR15" i="63"/>
  <c r="AV15" i="63" s="1"/>
  <c r="AQ15" i="63"/>
  <c r="AQ16" i="63" s="1"/>
  <c r="AU13" i="63"/>
  <c r="AU14" i="63" s="1"/>
  <c r="AU10" i="63"/>
  <c r="AU11" i="63" s="1"/>
  <c r="AU12" i="63" s="1"/>
  <c r="AT10" i="63"/>
  <c r="AT11" i="63" s="1"/>
  <c r="AT12" i="63" s="1"/>
  <c r="AT13" i="63" s="1"/>
  <c r="AT14" i="63" s="1"/>
  <c r="AS10" i="63"/>
  <c r="AS11" i="63" s="1"/>
  <c r="AS12" i="63" s="1"/>
  <c r="AS13" i="63" s="1"/>
  <c r="AS14" i="63" s="1"/>
  <c r="AR10" i="63"/>
  <c r="AV10" i="63" s="1"/>
  <c r="AU9" i="63"/>
  <c r="AT9" i="63"/>
  <c r="AS9" i="63"/>
  <c r="AR9" i="63"/>
  <c r="AV9" i="63" s="1"/>
  <c r="AU8" i="63"/>
  <c r="AU6" i="63"/>
  <c r="AU7" i="63" s="1"/>
  <c r="AR6" i="63"/>
  <c r="AR7" i="63" s="1"/>
  <c r="AQ6" i="63"/>
  <c r="AQ7" i="63" s="1"/>
  <c r="AU5" i="63"/>
  <c r="AT5" i="63"/>
  <c r="AT6" i="63" s="1"/>
  <c r="AT7" i="63" s="1"/>
  <c r="AT8" i="63" s="1"/>
  <c r="AS5" i="63"/>
  <c r="AS6" i="63" s="1"/>
  <c r="AS7" i="63" s="1"/>
  <c r="AS8" i="63" s="1"/>
  <c r="AR5" i="63"/>
  <c r="AV5" i="63" s="1"/>
  <c r="AQ5" i="63"/>
  <c r="AL57" i="63"/>
  <c r="AG57" i="63"/>
  <c r="AD57" i="63"/>
  <c r="AB57" i="63"/>
  <c r="T57" i="63"/>
  <c r="AK56" i="63"/>
  <c r="AF56" i="63"/>
  <c r="AE56" i="63"/>
  <c r="AC56" i="63"/>
  <c r="Y56" i="63"/>
  <c r="X56" i="63"/>
  <c r="W56" i="63"/>
  <c r="S56" i="63"/>
  <c r="R56" i="63"/>
  <c r="Q56" i="63"/>
  <c r="P56" i="63"/>
  <c r="O56" i="63"/>
  <c r="M56" i="63"/>
  <c r="L56" i="63"/>
  <c r="AK55" i="63"/>
  <c r="AF55" i="63"/>
  <c r="AP54" i="63" s="1"/>
  <c r="AC55" i="63"/>
  <c r="AA55" i="63"/>
  <c r="Z55" i="63"/>
  <c r="Y55" i="63"/>
  <c r="X55" i="63"/>
  <c r="W55" i="63"/>
  <c r="V55" i="63"/>
  <c r="U55" i="63"/>
  <c r="S55" i="63"/>
  <c r="R55" i="63"/>
  <c r="Q55" i="63"/>
  <c r="P55" i="63"/>
  <c r="O55" i="63"/>
  <c r="M55" i="63"/>
  <c r="L55" i="63"/>
  <c r="J14" i="62"/>
  <c r="J11" i="62"/>
  <c r="F14" i="62"/>
  <c r="F13" i="62"/>
  <c r="J13" i="62" s="1"/>
  <c r="F12" i="62"/>
  <c r="J12" i="62" s="1"/>
  <c r="F11" i="62"/>
  <c r="F10" i="62"/>
  <c r="J10" i="62" s="1"/>
  <c r="F9" i="62"/>
  <c r="J9" i="62" s="1"/>
  <c r="F8" i="62"/>
  <c r="F7" i="62"/>
  <c r="J7" i="62" s="1"/>
  <c r="F6" i="62"/>
  <c r="J6" i="62" s="1"/>
  <c r="F5" i="62"/>
  <c r="J5" i="62" s="1"/>
  <c r="AE13" i="61"/>
  <c r="AD13" i="61"/>
  <c r="AC13" i="61"/>
  <c r="AB13" i="61"/>
  <c r="AA13" i="61"/>
  <c r="W13" i="61"/>
  <c r="AJ13" i="61" s="1"/>
  <c r="V13" i="61"/>
  <c r="U13" i="61"/>
  <c r="AI13" i="61" s="1"/>
  <c r="T13" i="61"/>
  <c r="S13" i="61"/>
  <c r="Y13" i="61" s="1"/>
  <c r="R13" i="61"/>
  <c r="X13" i="61" s="1"/>
  <c r="AF13" i="61" s="1"/>
  <c r="AE12" i="61"/>
  <c r="AD12" i="61"/>
  <c r="AE8" i="61"/>
  <c r="AD8" i="61"/>
  <c r="AC8" i="61"/>
  <c r="AB8" i="61"/>
  <c r="AA8" i="61"/>
  <c r="W8" i="61"/>
  <c r="V8" i="61"/>
  <c r="U8" i="61"/>
  <c r="AI8" i="61" s="1"/>
  <c r="T8" i="61"/>
  <c r="S8" i="61"/>
  <c r="Y8" i="61" s="1"/>
  <c r="AG8" i="61" s="1"/>
  <c r="R8" i="61"/>
  <c r="X8" i="61" s="1"/>
  <c r="AE6" i="61"/>
  <c r="AD6" i="61"/>
  <c r="AC6" i="61"/>
  <c r="AB6" i="61"/>
  <c r="AA6" i="61"/>
  <c r="W6" i="61"/>
  <c r="V6" i="61"/>
  <c r="U6" i="61"/>
  <c r="AI6" i="61" s="1"/>
  <c r="T6" i="61"/>
  <c r="S6" i="61"/>
  <c r="Y6" i="61" s="1"/>
  <c r="AG6" i="61" s="1"/>
  <c r="R6" i="61"/>
  <c r="AE5" i="61"/>
  <c r="AD5" i="61"/>
  <c r="AC5" i="61"/>
  <c r="AB5" i="61"/>
  <c r="AA5" i="61"/>
  <c r="W5" i="61"/>
  <c r="AJ5" i="61" s="1"/>
  <c r="V5" i="61"/>
  <c r="U5" i="61"/>
  <c r="AI5" i="61" s="1"/>
  <c r="T5" i="61"/>
  <c r="S5" i="61"/>
  <c r="Y5" i="61" s="1"/>
  <c r="AG5" i="61" s="1"/>
  <c r="R5" i="61"/>
  <c r="X5" i="61" s="1"/>
  <c r="AF5" i="61" s="1"/>
  <c r="AE4" i="61"/>
  <c r="AD4" i="61"/>
  <c r="AC4" i="61"/>
  <c r="AB4" i="61"/>
  <c r="AA4" i="61"/>
  <c r="W4" i="61"/>
  <c r="V4" i="61"/>
  <c r="U4" i="61"/>
  <c r="AI4" i="61" s="1"/>
  <c r="T4" i="61"/>
  <c r="S4" i="61"/>
  <c r="Y4" i="61" s="1"/>
  <c r="AG4" i="61" s="1"/>
  <c r="R4" i="61"/>
  <c r="AE3" i="61"/>
  <c r="AD3" i="61"/>
  <c r="AC3" i="61"/>
  <c r="AB3" i="61"/>
  <c r="AA3" i="61"/>
  <c r="W3" i="61"/>
  <c r="V3" i="61"/>
  <c r="U3" i="61"/>
  <c r="AI3" i="61" s="1"/>
  <c r="T3" i="61"/>
  <c r="S3" i="61"/>
  <c r="R3" i="61"/>
  <c r="X3" i="61" s="1"/>
  <c r="AF3" i="61" s="1"/>
  <c r="J432" i="61"/>
  <c r="J431" i="61"/>
  <c r="M431" i="61" s="1"/>
  <c r="J430" i="61"/>
  <c r="J429" i="61"/>
  <c r="M429" i="61" s="1"/>
  <c r="J428" i="61"/>
  <c r="J427" i="61"/>
  <c r="M427" i="61" s="1"/>
  <c r="J426" i="61"/>
  <c r="J425" i="61"/>
  <c r="M425" i="61" s="1"/>
  <c r="J424" i="61"/>
  <c r="J423" i="61"/>
  <c r="M423" i="61" s="1"/>
  <c r="J422" i="61"/>
  <c r="J421" i="61"/>
  <c r="M421" i="61" s="1"/>
  <c r="J235" i="61"/>
  <c r="J234" i="61"/>
  <c r="J233" i="61"/>
  <c r="L232" i="61"/>
  <c r="K232" i="61"/>
  <c r="L231" i="61"/>
  <c r="K231" i="61"/>
  <c r="L230" i="61"/>
  <c r="K230" i="61"/>
  <c r="L229" i="61"/>
  <c r="K229" i="61"/>
  <c r="L228" i="61"/>
  <c r="K228" i="61"/>
  <c r="L227" i="61"/>
  <c r="K227" i="61"/>
  <c r="L226" i="61"/>
  <c r="K226" i="61"/>
  <c r="L225" i="61"/>
  <c r="K225" i="61"/>
  <c r="L224" i="61"/>
  <c r="K224" i="61"/>
  <c r="L223" i="61"/>
  <c r="K223" i="61"/>
  <c r="L222" i="61"/>
  <c r="K222" i="61"/>
  <c r="L221" i="61"/>
  <c r="K221" i="61"/>
  <c r="J220" i="61"/>
  <c r="J219" i="61"/>
  <c r="J218" i="61"/>
  <c r="J444" i="61"/>
  <c r="M444" i="61" s="1"/>
  <c r="M443" i="61"/>
  <c r="J443" i="61"/>
  <c r="M442" i="61"/>
  <c r="J442" i="61"/>
  <c r="M441" i="61"/>
  <c r="J441" i="61"/>
  <c r="J440" i="61"/>
  <c r="M440" i="61" s="1"/>
  <c r="J439" i="61"/>
  <c r="M439" i="61" s="1"/>
  <c r="J438" i="61"/>
  <c r="M438" i="61" s="1"/>
  <c r="M437" i="61"/>
  <c r="J437" i="61"/>
  <c r="J436" i="61"/>
  <c r="M436" i="61" s="1"/>
  <c r="J435" i="61"/>
  <c r="M435" i="61" s="1"/>
  <c r="J434" i="61"/>
  <c r="M434" i="61" s="1"/>
  <c r="J433" i="61"/>
  <c r="M432" i="61"/>
  <c r="M430" i="61"/>
  <c r="M428" i="61"/>
  <c r="M426" i="61"/>
  <c r="M424" i="61"/>
  <c r="M422" i="61"/>
  <c r="J420" i="61"/>
  <c r="M420" i="61" s="1"/>
  <c r="J419" i="61"/>
  <c r="M419" i="61" s="1"/>
  <c r="J418" i="61"/>
  <c r="M418" i="61" s="1"/>
  <c r="J417" i="61"/>
  <c r="M417" i="61" s="1"/>
  <c r="J416" i="61"/>
  <c r="M416" i="61" s="1"/>
  <c r="J415" i="61"/>
  <c r="M415" i="61" s="1"/>
  <c r="J414" i="61"/>
  <c r="M414" i="61" s="1"/>
  <c r="M413" i="61"/>
  <c r="J413" i="61"/>
  <c r="J412" i="61"/>
  <c r="M412" i="61" s="1"/>
  <c r="J411" i="61"/>
  <c r="M411" i="61" s="1"/>
  <c r="J410" i="61"/>
  <c r="M410" i="61" s="1"/>
  <c r="J409" i="61"/>
  <c r="M409" i="61" s="1"/>
  <c r="J408" i="61"/>
  <c r="M408" i="61" s="1"/>
  <c r="J407" i="61"/>
  <c r="M407" i="61" s="1"/>
  <c r="J406" i="61"/>
  <c r="M406" i="61" s="1"/>
  <c r="M405" i="61"/>
  <c r="J405" i="61"/>
  <c r="J404" i="61"/>
  <c r="M404" i="61" s="1"/>
  <c r="J403" i="61"/>
  <c r="M403" i="61" s="1"/>
  <c r="J402" i="61"/>
  <c r="M402" i="61" s="1"/>
  <c r="M401" i="61"/>
  <c r="J401" i="61"/>
  <c r="J400" i="61"/>
  <c r="M400" i="61" s="1"/>
  <c r="J399" i="61"/>
  <c r="M399" i="61" s="1"/>
  <c r="J398" i="61"/>
  <c r="M398" i="61" s="1"/>
  <c r="J397" i="61"/>
  <c r="M397" i="61" s="1"/>
  <c r="J396" i="61"/>
  <c r="M396" i="61" s="1"/>
  <c r="J395" i="61"/>
  <c r="M395" i="61" s="1"/>
  <c r="J394" i="61"/>
  <c r="M394" i="61" s="1"/>
  <c r="J393" i="61"/>
  <c r="M393" i="61" s="1"/>
  <c r="J392" i="61"/>
  <c r="M392" i="61" s="1"/>
  <c r="J391" i="61"/>
  <c r="M391" i="61" s="1"/>
  <c r="J390" i="61"/>
  <c r="M390" i="61" s="1"/>
  <c r="J389" i="61"/>
  <c r="M389" i="61" s="1"/>
  <c r="J388" i="61"/>
  <c r="M388" i="61" s="1"/>
  <c r="M387" i="61"/>
  <c r="J387" i="61"/>
  <c r="J386" i="61"/>
  <c r="M386" i="61" s="1"/>
  <c r="J385" i="61"/>
  <c r="M385" i="61" s="1"/>
  <c r="J384" i="61"/>
  <c r="M384" i="61" s="1"/>
  <c r="J383" i="61"/>
  <c r="M383" i="61" s="1"/>
  <c r="J382" i="61"/>
  <c r="M382" i="61" s="1"/>
  <c r="J381" i="61"/>
  <c r="M381" i="61" s="1"/>
  <c r="J380" i="61"/>
  <c r="M380" i="61" s="1"/>
  <c r="M379" i="61"/>
  <c r="J379" i="61"/>
  <c r="J378" i="61"/>
  <c r="M378" i="61" s="1"/>
  <c r="J377" i="61"/>
  <c r="M377" i="61" s="1"/>
  <c r="J376" i="61"/>
  <c r="M376" i="61" s="1"/>
  <c r="J375" i="61"/>
  <c r="M375" i="61" s="1"/>
  <c r="J374" i="61"/>
  <c r="M374" i="61" s="1"/>
  <c r="J373" i="61"/>
  <c r="M373" i="61" s="1"/>
  <c r="J372" i="61"/>
  <c r="M372" i="61" s="1"/>
  <c r="M371" i="61"/>
  <c r="J371" i="61"/>
  <c r="J370" i="61"/>
  <c r="M370" i="61" s="1"/>
  <c r="J369" i="61"/>
  <c r="M369" i="61" s="1"/>
  <c r="J368" i="61"/>
  <c r="M368" i="61" s="1"/>
  <c r="J367" i="61"/>
  <c r="M367" i="61" s="1"/>
  <c r="J366" i="61"/>
  <c r="M366" i="61" s="1"/>
  <c r="J365" i="61"/>
  <c r="M365" i="61" s="1"/>
  <c r="J364" i="61"/>
  <c r="M364" i="61" s="1"/>
  <c r="M363" i="61"/>
  <c r="J363" i="61"/>
  <c r="J362" i="61"/>
  <c r="M362" i="61" s="1"/>
  <c r="J361" i="61"/>
  <c r="M361" i="61" s="1"/>
  <c r="J360" i="61"/>
  <c r="M360" i="61" s="1"/>
  <c r="J359" i="61"/>
  <c r="M359" i="61" s="1"/>
  <c r="J358" i="61"/>
  <c r="M358" i="61" s="1"/>
  <c r="J357" i="61"/>
  <c r="M357" i="61" s="1"/>
  <c r="J356" i="61"/>
  <c r="M356" i="61" s="1"/>
  <c r="J355" i="61"/>
  <c r="M355" i="61" s="1"/>
  <c r="J354" i="61"/>
  <c r="M354" i="61" s="1"/>
  <c r="M353" i="61"/>
  <c r="J353" i="61"/>
  <c r="J352" i="61"/>
  <c r="M352" i="61" s="1"/>
  <c r="J351" i="61"/>
  <c r="M351" i="61" s="1"/>
  <c r="J350" i="61"/>
  <c r="M350" i="61" s="1"/>
  <c r="J349" i="61"/>
  <c r="M349" i="61" s="1"/>
  <c r="J348" i="61"/>
  <c r="M348" i="61" s="1"/>
  <c r="J347" i="61"/>
  <c r="M347" i="61" s="1"/>
  <c r="J346" i="61"/>
  <c r="M346" i="61" s="1"/>
  <c r="J345" i="61"/>
  <c r="M345" i="61" s="1"/>
  <c r="J344" i="61"/>
  <c r="M344" i="61" s="1"/>
  <c r="M343" i="61"/>
  <c r="J343" i="61"/>
  <c r="J342" i="61"/>
  <c r="M342" i="61" s="1"/>
  <c r="J341" i="61"/>
  <c r="M341" i="61" s="1"/>
  <c r="J340" i="61"/>
  <c r="M340" i="61" s="1"/>
  <c r="J339" i="61"/>
  <c r="M339" i="61" s="1"/>
  <c r="J338" i="61"/>
  <c r="M337" i="61"/>
  <c r="J337" i="61"/>
  <c r="M336" i="61"/>
  <c r="J336" i="61"/>
  <c r="M335" i="61"/>
  <c r="J335" i="61"/>
  <c r="J334" i="61"/>
  <c r="M334" i="61" s="1"/>
  <c r="J333" i="61"/>
  <c r="M333" i="61" s="1"/>
  <c r="J332" i="61"/>
  <c r="M332" i="61" s="1"/>
  <c r="J331" i="61"/>
  <c r="M331" i="61" s="1"/>
  <c r="J330" i="61"/>
  <c r="M330" i="61" s="1"/>
  <c r="J329" i="61"/>
  <c r="M329" i="61" s="1"/>
  <c r="J328" i="61"/>
  <c r="M328" i="61" s="1"/>
  <c r="J327" i="61"/>
  <c r="M327" i="61" s="1"/>
  <c r="J326" i="61"/>
  <c r="M326" i="61" s="1"/>
  <c r="J325" i="61"/>
  <c r="M325" i="61" s="1"/>
  <c r="J324" i="61"/>
  <c r="M324" i="61" s="1"/>
  <c r="J323" i="61"/>
  <c r="M323" i="61" s="1"/>
  <c r="J322" i="61"/>
  <c r="M322" i="61" s="1"/>
  <c r="J321" i="61"/>
  <c r="M321" i="61" s="1"/>
  <c r="J320" i="61"/>
  <c r="M320" i="61" s="1"/>
  <c r="J319" i="61"/>
  <c r="M319" i="61" s="1"/>
  <c r="J318" i="61"/>
  <c r="M318" i="61" s="1"/>
  <c r="J317" i="61"/>
  <c r="M317" i="61" s="1"/>
  <c r="J316" i="61"/>
  <c r="M316" i="61" s="1"/>
  <c r="J315" i="61"/>
  <c r="M315" i="61" s="1"/>
  <c r="J314" i="61"/>
  <c r="M314" i="61" s="1"/>
  <c r="J313" i="61"/>
  <c r="M313" i="61" s="1"/>
  <c r="J312" i="61"/>
  <c r="M312" i="61" s="1"/>
  <c r="J311" i="61"/>
  <c r="M311" i="61" s="1"/>
  <c r="J310" i="61"/>
  <c r="M310" i="61" s="1"/>
  <c r="J309" i="61"/>
  <c r="M309" i="61" s="1"/>
  <c r="J308" i="61"/>
  <c r="M308" i="61" s="1"/>
  <c r="J307" i="61"/>
  <c r="M307" i="61" s="1"/>
  <c r="J306" i="61"/>
  <c r="M306" i="61" s="1"/>
  <c r="J305" i="61"/>
  <c r="M305" i="61" s="1"/>
  <c r="J304" i="61"/>
  <c r="M304" i="61" s="1"/>
  <c r="J303" i="61"/>
  <c r="M303" i="61" s="1"/>
  <c r="J302" i="61"/>
  <c r="M302" i="61" s="1"/>
  <c r="J301" i="61"/>
  <c r="M301" i="61" s="1"/>
  <c r="J300" i="61"/>
  <c r="M300" i="61" s="1"/>
  <c r="J299" i="61"/>
  <c r="M299" i="61" s="1"/>
  <c r="J298" i="61"/>
  <c r="M298" i="61" s="1"/>
  <c r="J297" i="61"/>
  <c r="M297" i="61" s="1"/>
  <c r="J296" i="61"/>
  <c r="M296" i="61" s="1"/>
  <c r="J295" i="61"/>
  <c r="M295" i="61" s="1"/>
  <c r="J294" i="61"/>
  <c r="M294" i="61" s="1"/>
  <c r="J293" i="61"/>
  <c r="M293" i="61" s="1"/>
  <c r="J292" i="61"/>
  <c r="M292" i="61" s="1"/>
  <c r="J291" i="61"/>
  <c r="M291" i="61" s="1"/>
  <c r="J290" i="61"/>
  <c r="M290" i="61" s="1"/>
  <c r="J289" i="61"/>
  <c r="M289" i="61" s="1"/>
  <c r="J288" i="61"/>
  <c r="M288" i="61" s="1"/>
  <c r="J287" i="61"/>
  <c r="M287" i="61" s="1"/>
  <c r="J286" i="61"/>
  <c r="M286" i="61" s="1"/>
  <c r="J285" i="61"/>
  <c r="M285" i="61" s="1"/>
  <c r="J284" i="61"/>
  <c r="M284" i="61" s="1"/>
  <c r="J283" i="61"/>
  <c r="M283" i="61" s="1"/>
  <c r="J282" i="61"/>
  <c r="M282" i="61" s="1"/>
  <c r="J281" i="61"/>
  <c r="M281" i="61" s="1"/>
  <c r="J280" i="61"/>
  <c r="M280" i="61" s="1"/>
  <c r="J279" i="61"/>
  <c r="M279" i="61" s="1"/>
  <c r="J278" i="61"/>
  <c r="M278" i="61" s="1"/>
  <c r="J277" i="61"/>
  <c r="M277" i="61" s="1"/>
  <c r="J276" i="61"/>
  <c r="M276" i="61" s="1"/>
  <c r="J275" i="61"/>
  <c r="M275" i="61" s="1"/>
  <c r="J274" i="61"/>
  <c r="M274" i="61" s="1"/>
  <c r="J273" i="61"/>
  <c r="M273" i="61" s="1"/>
  <c r="J272" i="61"/>
  <c r="M272" i="61" s="1"/>
  <c r="J271" i="61"/>
  <c r="M271" i="61" s="1"/>
  <c r="J270" i="61"/>
  <c r="M270" i="61" s="1"/>
  <c r="J269" i="61"/>
  <c r="M269" i="61" s="1"/>
  <c r="J268" i="61"/>
  <c r="M268" i="61" s="1"/>
  <c r="J267" i="61"/>
  <c r="M267" i="61" s="1"/>
  <c r="J266" i="61"/>
  <c r="M266" i="61" s="1"/>
  <c r="J265" i="61"/>
  <c r="M265" i="61" s="1"/>
  <c r="J264" i="61"/>
  <c r="M264" i="61" s="1"/>
  <c r="J263" i="61"/>
  <c r="M263" i="61" s="1"/>
  <c r="J262" i="61"/>
  <c r="M262" i="61" s="1"/>
  <c r="J261" i="61"/>
  <c r="M261" i="61" s="1"/>
  <c r="J260" i="61"/>
  <c r="M260" i="61" s="1"/>
  <c r="J259" i="61"/>
  <c r="M259" i="61" s="1"/>
  <c r="J258" i="61"/>
  <c r="M258" i="61" s="1"/>
  <c r="J257" i="61"/>
  <c r="M257" i="61" s="1"/>
  <c r="J256" i="61"/>
  <c r="M256" i="61" s="1"/>
  <c r="J255" i="61"/>
  <c r="M255" i="61" s="1"/>
  <c r="J254" i="61"/>
  <c r="M254" i="61" s="1"/>
  <c r="J253" i="61"/>
  <c r="M253" i="61" s="1"/>
  <c r="J252" i="61"/>
  <c r="M252" i="61" s="1"/>
  <c r="J251" i="61"/>
  <c r="M251" i="61" s="1"/>
  <c r="J250" i="61"/>
  <c r="M250" i="61" s="1"/>
  <c r="J249" i="61"/>
  <c r="M249" i="61" s="1"/>
  <c r="J248" i="61"/>
  <c r="M248" i="61" s="1"/>
  <c r="J247" i="61"/>
  <c r="M247" i="61" s="1"/>
  <c r="J246" i="61"/>
  <c r="M246" i="61" s="1"/>
  <c r="J245" i="61"/>
  <c r="M245" i="61" s="1"/>
  <c r="J244" i="61"/>
  <c r="M244" i="61" s="1"/>
  <c r="J243" i="61"/>
  <c r="M243" i="61" s="1"/>
  <c r="J242" i="61"/>
  <c r="M242" i="61" s="1"/>
  <c r="J241" i="61"/>
  <c r="M241" i="61" s="1"/>
  <c r="J240" i="61"/>
  <c r="M240" i="61" s="1"/>
  <c r="J239" i="61"/>
  <c r="M239" i="61" s="1"/>
  <c r="J238" i="61"/>
  <c r="M238" i="61" s="1"/>
  <c r="J237" i="61"/>
  <c r="M237" i="61" s="1"/>
  <c r="J236" i="61"/>
  <c r="R9" i="61" s="1"/>
  <c r="M235" i="61"/>
  <c r="M234" i="61"/>
  <c r="M233" i="61"/>
  <c r="O232" i="61"/>
  <c r="N232" i="61"/>
  <c r="O231" i="61"/>
  <c r="N231" i="61"/>
  <c r="O230" i="61"/>
  <c r="N230" i="61"/>
  <c r="O229" i="61"/>
  <c r="N229" i="61"/>
  <c r="O228" i="61"/>
  <c r="N228" i="61"/>
  <c r="O227" i="61"/>
  <c r="N227" i="61"/>
  <c r="O226" i="61"/>
  <c r="N226" i="61"/>
  <c r="O225" i="61"/>
  <c r="N225" i="61"/>
  <c r="O224" i="61"/>
  <c r="N224" i="61"/>
  <c r="O223" i="61"/>
  <c r="N223" i="61"/>
  <c r="O222" i="61"/>
  <c r="N222" i="61"/>
  <c r="O221" i="61"/>
  <c r="N221" i="61"/>
  <c r="M220" i="61"/>
  <c r="M219" i="61"/>
  <c r="M218" i="61"/>
  <c r="J217" i="61"/>
  <c r="M217" i="61" s="1"/>
  <c r="M216" i="61"/>
  <c r="J216" i="61"/>
  <c r="J215" i="61"/>
  <c r="M215" i="61" s="1"/>
  <c r="J214" i="61"/>
  <c r="M214" i="61" s="1"/>
  <c r="J213" i="61"/>
  <c r="M213" i="61" s="1"/>
  <c r="M212" i="61"/>
  <c r="J212" i="61"/>
  <c r="J211" i="61"/>
  <c r="M211" i="61" s="1"/>
  <c r="J210" i="61"/>
  <c r="M210" i="61" s="1"/>
  <c r="J209" i="61"/>
  <c r="M209" i="61" s="1"/>
  <c r="M208" i="61"/>
  <c r="J208" i="61"/>
  <c r="J207" i="61"/>
  <c r="M207" i="61" s="1"/>
  <c r="J206" i="61"/>
  <c r="M206" i="61" s="1"/>
  <c r="L205" i="61"/>
  <c r="O205" i="61" s="1"/>
  <c r="K205" i="61"/>
  <c r="N205" i="61" s="1"/>
  <c r="O204" i="61"/>
  <c r="L204" i="61"/>
  <c r="K204" i="61"/>
  <c r="N204" i="61" s="1"/>
  <c r="N203" i="61"/>
  <c r="L203" i="61"/>
  <c r="O203" i="61" s="1"/>
  <c r="K203" i="61"/>
  <c r="L202" i="61"/>
  <c r="O202" i="61" s="1"/>
  <c r="K202" i="61"/>
  <c r="N202" i="61" s="1"/>
  <c r="L201" i="61"/>
  <c r="O201" i="61" s="1"/>
  <c r="K201" i="61"/>
  <c r="N201" i="61" s="1"/>
  <c r="O200" i="61"/>
  <c r="L200" i="61"/>
  <c r="K200" i="61"/>
  <c r="N200" i="61" s="1"/>
  <c r="N199" i="61"/>
  <c r="L199" i="61"/>
  <c r="O199" i="61" s="1"/>
  <c r="K199" i="61"/>
  <c r="L198" i="61"/>
  <c r="O198" i="61" s="1"/>
  <c r="K198" i="61"/>
  <c r="N198" i="61" s="1"/>
  <c r="L197" i="61"/>
  <c r="O197" i="61" s="1"/>
  <c r="K197" i="61"/>
  <c r="N197" i="61" s="1"/>
  <c r="O196" i="61"/>
  <c r="L196" i="61"/>
  <c r="K196" i="61"/>
  <c r="N196" i="61" s="1"/>
  <c r="N195" i="61"/>
  <c r="L195" i="61"/>
  <c r="O195" i="61" s="1"/>
  <c r="K195" i="61"/>
  <c r="L194" i="61"/>
  <c r="O194" i="61" s="1"/>
  <c r="K194" i="61"/>
  <c r="N194" i="61" s="1"/>
  <c r="J193" i="61"/>
  <c r="M193" i="61" s="1"/>
  <c r="J192" i="61"/>
  <c r="M192" i="61" s="1"/>
  <c r="J191" i="61"/>
  <c r="M191" i="61" s="1"/>
  <c r="M190" i="61"/>
  <c r="J190" i="61"/>
  <c r="M189" i="61"/>
  <c r="J189" i="61"/>
  <c r="M188" i="61"/>
  <c r="J188" i="61"/>
  <c r="J187" i="61"/>
  <c r="M187" i="61" s="1"/>
  <c r="J186" i="61"/>
  <c r="M186" i="61" s="1"/>
  <c r="J185" i="61"/>
  <c r="M185" i="61" s="1"/>
  <c r="J184" i="61"/>
  <c r="M184" i="61" s="1"/>
  <c r="J183" i="61"/>
  <c r="M183" i="61" s="1"/>
  <c r="M182" i="61"/>
  <c r="J182" i="61"/>
  <c r="M181" i="61"/>
  <c r="J181" i="61"/>
  <c r="M180" i="61"/>
  <c r="J180" i="61"/>
  <c r="J179" i="61"/>
  <c r="M179" i="61" s="1"/>
  <c r="J178" i="61"/>
  <c r="M178" i="61" s="1"/>
  <c r="J177" i="61"/>
  <c r="M177" i="61" s="1"/>
  <c r="J176" i="61"/>
  <c r="M176" i="61" s="1"/>
  <c r="J175" i="61"/>
  <c r="M175" i="61" s="1"/>
  <c r="M174" i="61"/>
  <c r="J174" i="61"/>
  <c r="M173" i="61"/>
  <c r="J173" i="61"/>
  <c r="M172" i="61"/>
  <c r="J172" i="61"/>
  <c r="J171" i="61"/>
  <c r="M171" i="61" s="1"/>
  <c r="J170" i="61"/>
  <c r="M170" i="61" s="1"/>
  <c r="L169" i="61"/>
  <c r="O169" i="61" s="1"/>
  <c r="K169" i="61"/>
  <c r="N169" i="61" s="1"/>
  <c r="O168" i="61"/>
  <c r="L168" i="61"/>
  <c r="K168" i="61"/>
  <c r="N168" i="61" s="1"/>
  <c r="L167" i="61"/>
  <c r="O167" i="61" s="1"/>
  <c r="K167" i="61"/>
  <c r="N167" i="61" s="1"/>
  <c r="N166" i="61"/>
  <c r="L166" i="61"/>
  <c r="O166" i="61" s="1"/>
  <c r="K166" i="61"/>
  <c r="L165" i="61"/>
  <c r="O165" i="61" s="1"/>
  <c r="K165" i="61"/>
  <c r="N165" i="61" s="1"/>
  <c r="L164" i="61"/>
  <c r="O164" i="61" s="1"/>
  <c r="K164" i="61"/>
  <c r="N164" i="61" s="1"/>
  <c r="L163" i="61"/>
  <c r="O163" i="61" s="1"/>
  <c r="K163" i="61"/>
  <c r="N163" i="61" s="1"/>
  <c r="N162" i="61"/>
  <c r="L162" i="61"/>
  <c r="O162" i="61" s="1"/>
  <c r="K162" i="61"/>
  <c r="L161" i="61"/>
  <c r="O161" i="61" s="1"/>
  <c r="K161" i="61"/>
  <c r="N161" i="61" s="1"/>
  <c r="L160" i="61"/>
  <c r="O160" i="61" s="1"/>
  <c r="K160" i="61"/>
  <c r="N160" i="61" s="1"/>
  <c r="L159" i="61"/>
  <c r="O159" i="61" s="1"/>
  <c r="K159" i="61"/>
  <c r="N159" i="61" s="1"/>
  <c r="N158" i="61"/>
  <c r="L158" i="61"/>
  <c r="O158" i="61" s="1"/>
  <c r="K158" i="61"/>
  <c r="J157" i="61"/>
  <c r="M157" i="61" s="1"/>
  <c r="M156" i="61"/>
  <c r="J156" i="61"/>
  <c r="J155" i="61"/>
  <c r="M155" i="61" s="1"/>
  <c r="J154" i="61"/>
  <c r="M154" i="61" s="1"/>
  <c r="J153" i="61"/>
  <c r="M153" i="61" s="1"/>
  <c r="M152" i="61"/>
  <c r="J152" i="61"/>
  <c r="J151" i="61"/>
  <c r="M151" i="61" s="1"/>
  <c r="J150" i="61"/>
  <c r="M150" i="61" s="1"/>
  <c r="J149" i="61"/>
  <c r="M149" i="61" s="1"/>
  <c r="M148" i="61"/>
  <c r="J148" i="61"/>
  <c r="J147" i="61"/>
  <c r="M147" i="61" s="1"/>
  <c r="J146" i="61"/>
  <c r="M146" i="61" s="1"/>
  <c r="L145" i="61"/>
  <c r="O145" i="61" s="1"/>
  <c r="J145" i="61"/>
  <c r="M145" i="61" s="1"/>
  <c r="M144" i="61"/>
  <c r="L144" i="61"/>
  <c r="O144" i="61" s="1"/>
  <c r="J144" i="61"/>
  <c r="L143" i="61"/>
  <c r="O143" i="61" s="1"/>
  <c r="J143" i="61"/>
  <c r="M143" i="61" s="1"/>
  <c r="L142" i="61"/>
  <c r="O142" i="61" s="1"/>
  <c r="J142" i="61"/>
  <c r="M142" i="61" s="1"/>
  <c r="L141" i="61"/>
  <c r="O141" i="61" s="1"/>
  <c r="J141" i="61"/>
  <c r="M141" i="61" s="1"/>
  <c r="M140" i="61"/>
  <c r="L140" i="61"/>
  <c r="O140" i="61" s="1"/>
  <c r="J140" i="61"/>
  <c r="L139" i="61"/>
  <c r="O139" i="61" s="1"/>
  <c r="J139" i="61"/>
  <c r="M139" i="61" s="1"/>
  <c r="L138" i="61"/>
  <c r="O138" i="61" s="1"/>
  <c r="J138" i="61"/>
  <c r="M138" i="61" s="1"/>
  <c r="L137" i="61"/>
  <c r="O137" i="61" s="1"/>
  <c r="J137" i="61"/>
  <c r="M137" i="61" s="1"/>
  <c r="M136" i="61"/>
  <c r="L136" i="61"/>
  <c r="O136" i="61" s="1"/>
  <c r="J136" i="61"/>
  <c r="L135" i="61"/>
  <c r="O135" i="61" s="1"/>
  <c r="J135" i="61"/>
  <c r="M135" i="61" s="1"/>
  <c r="L134" i="61"/>
  <c r="O134" i="61" s="1"/>
  <c r="J134" i="61"/>
  <c r="M134" i="61" s="1"/>
  <c r="L133" i="61"/>
  <c r="O133" i="61" s="1"/>
  <c r="K133" i="61"/>
  <c r="N133" i="61" s="1"/>
  <c r="N132" i="61"/>
  <c r="L132" i="61"/>
  <c r="O132" i="61" s="1"/>
  <c r="K132" i="61"/>
  <c r="L131" i="61"/>
  <c r="O131" i="61" s="1"/>
  <c r="K131" i="61"/>
  <c r="N131" i="61" s="1"/>
  <c r="L130" i="61"/>
  <c r="O130" i="61" s="1"/>
  <c r="K130" i="61"/>
  <c r="N130" i="61" s="1"/>
  <c r="L129" i="61"/>
  <c r="O129" i="61" s="1"/>
  <c r="K129" i="61"/>
  <c r="N129" i="61" s="1"/>
  <c r="N128" i="61"/>
  <c r="L128" i="61"/>
  <c r="O128" i="61" s="1"/>
  <c r="K128" i="61"/>
  <c r="L127" i="61"/>
  <c r="O127" i="61" s="1"/>
  <c r="K127" i="61"/>
  <c r="N127" i="61" s="1"/>
  <c r="L126" i="61"/>
  <c r="O126" i="61" s="1"/>
  <c r="K126" i="61"/>
  <c r="N126" i="61" s="1"/>
  <c r="L125" i="61"/>
  <c r="O125" i="61" s="1"/>
  <c r="K125" i="61"/>
  <c r="N125" i="61" s="1"/>
  <c r="N124" i="61"/>
  <c r="L124" i="61"/>
  <c r="O124" i="61" s="1"/>
  <c r="K124" i="61"/>
  <c r="L123" i="61"/>
  <c r="O123" i="61" s="1"/>
  <c r="K123" i="61"/>
  <c r="N123" i="61" s="1"/>
  <c r="L122" i="61"/>
  <c r="O122" i="61" s="1"/>
  <c r="K122" i="61"/>
  <c r="N122" i="61" s="1"/>
  <c r="L121" i="61"/>
  <c r="O121" i="61" s="1"/>
  <c r="J121" i="61"/>
  <c r="M121" i="61" s="1"/>
  <c r="M120" i="61"/>
  <c r="L120" i="61"/>
  <c r="O120" i="61" s="1"/>
  <c r="J120" i="61"/>
  <c r="L119" i="61"/>
  <c r="O119" i="61" s="1"/>
  <c r="J119" i="61"/>
  <c r="M119" i="61" s="1"/>
  <c r="L118" i="61"/>
  <c r="O118" i="61" s="1"/>
  <c r="J118" i="61"/>
  <c r="M118" i="61" s="1"/>
  <c r="L117" i="61"/>
  <c r="O117" i="61" s="1"/>
  <c r="J117" i="61"/>
  <c r="M117" i="61" s="1"/>
  <c r="M116" i="61"/>
  <c r="L116" i="61"/>
  <c r="O116" i="61" s="1"/>
  <c r="J116" i="61"/>
  <c r="L115" i="61"/>
  <c r="O115" i="61" s="1"/>
  <c r="J115" i="61"/>
  <c r="M115" i="61" s="1"/>
  <c r="L114" i="61"/>
  <c r="O114" i="61" s="1"/>
  <c r="J114" i="61"/>
  <c r="M114" i="61" s="1"/>
  <c r="L113" i="61"/>
  <c r="O113" i="61" s="1"/>
  <c r="J113" i="61"/>
  <c r="M113" i="61" s="1"/>
  <c r="M112" i="61"/>
  <c r="L112" i="61"/>
  <c r="O112" i="61" s="1"/>
  <c r="J112" i="61"/>
  <c r="L111" i="61"/>
  <c r="O111" i="61" s="1"/>
  <c r="J111" i="61"/>
  <c r="M111" i="61" s="1"/>
  <c r="L110" i="61"/>
  <c r="O110" i="61" s="1"/>
  <c r="J110" i="61"/>
  <c r="M110" i="61" s="1"/>
  <c r="J109" i="61"/>
  <c r="M109" i="61" s="1"/>
  <c r="M108" i="61"/>
  <c r="J108" i="61"/>
  <c r="J107" i="61"/>
  <c r="M107" i="61" s="1"/>
  <c r="J106" i="61"/>
  <c r="M106" i="61" s="1"/>
  <c r="J105" i="61"/>
  <c r="M105" i="61" s="1"/>
  <c r="M104" i="61"/>
  <c r="J104" i="61"/>
  <c r="J103" i="61"/>
  <c r="M103" i="61" s="1"/>
  <c r="J102" i="61"/>
  <c r="M102" i="61" s="1"/>
  <c r="J101" i="61"/>
  <c r="M101" i="61" s="1"/>
  <c r="M100" i="61"/>
  <c r="J100" i="61"/>
  <c r="J99" i="61"/>
  <c r="M99" i="61" s="1"/>
  <c r="J98" i="61"/>
  <c r="M98" i="61" s="1"/>
  <c r="J97" i="61"/>
  <c r="M97" i="61" s="1"/>
  <c r="M96" i="61"/>
  <c r="J96" i="61"/>
  <c r="J95" i="61"/>
  <c r="M95" i="61" s="1"/>
  <c r="J94" i="61"/>
  <c r="M94" i="61" s="1"/>
  <c r="J93" i="61"/>
  <c r="M93" i="61" s="1"/>
  <c r="J92" i="61"/>
  <c r="M92" i="61" s="1"/>
  <c r="J91" i="61"/>
  <c r="M91" i="61" s="1"/>
  <c r="M90" i="61"/>
  <c r="J90" i="61"/>
  <c r="J89" i="61"/>
  <c r="M89" i="61" s="1"/>
  <c r="J88" i="61"/>
  <c r="M88" i="61" s="1"/>
  <c r="J87" i="61"/>
  <c r="M87" i="61" s="1"/>
  <c r="J86" i="61"/>
  <c r="M86" i="61" s="1"/>
  <c r="L85" i="61"/>
  <c r="O85" i="61" s="1"/>
  <c r="K85" i="61"/>
  <c r="N85" i="61" s="1"/>
  <c r="L84" i="61"/>
  <c r="O84" i="61" s="1"/>
  <c r="K84" i="61"/>
  <c r="N84" i="61" s="1"/>
  <c r="L83" i="61"/>
  <c r="O83" i="61" s="1"/>
  <c r="K83" i="61"/>
  <c r="N83" i="61" s="1"/>
  <c r="N82" i="61"/>
  <c r="L82" i="61"/>
  <c r="O82" i="61" s="1"/>
  <c r="K82" i="61"/>
  <c r="L81" i="61"/>
  <c r="O81" i="61" s="1"/>
  <c r="K81" i="61"/>
  <c r="N81" i="61" s="1"/>
  <c r="L80" i="61"/>
  <c r="O80" i="61" s="1"/>
  <c r="K80" i="61"/>
  <c r="N80" i="61" s="1"/>
  <c r="L79" i="61"/>
  <c r="O79" i="61" s="1"/>
  <c r="K79" i="61"/>
  <c r="N79" i="61" s="1"/>
  <c r="N78" i="61"/>
  <c r="L78" i="61"/>
  <c r="O78" i="61" s="1"/>
  <c r="K78" i="61"/>
  <c r="L77" i="61"/>
  <c r="O77" i="61" s="1"/>
  <c r="K77" i="61"/>
  <c r="N77" i="61" s="1"/>
  <c r="L76" i="61"/>
  <c r="O76" i="61" s="1"/>
  <c r="K76" i="61"/>
  <c r="N76" i="61" s="1"/>
  <c r="L75" i="61"/>
  <c r="O75" i="61" s="1"/>
  <c r="K75" i="61"/>
  <c r="N75" i="61" s="1"/>
  <c r="N74" i="61"/>
  <c r="L74" i="61"/>
  <c r="O74" i="61" s="1"/>
  <c r="K74" i="61"/>
  <c r="L73" i="61"/>
  <c r="O73" i="61" s="1"/>
  <c r="K73" i="61"/>
  <c r="N73" i="61" s="1"/>
  <c r="L72" i="61"/>
  <c r="O72" i="61" s="1"/>
  <c r="K72" i="61"/>
  <c r="N72" i="61" s="1"/>
  <c r="L71" i="61"/>
  <c r="O71" i="61" s="1"/>
  <c r="K71" i="61"/>
  <c r="N71" i="61" s="1"/>
  <c r="N70" i="61"/>
  <c r="L70" i="61"/>
  <c r="O70" i="61" s="1"/>
  <c r="K70" i="61"/>
  <c r="L69" i="61"/>
  <c r="O69" i="61" s="1"/>
  <c r="K69" i="61"/>
  <c r="N69" i="61" s="1"/>
  <c r="L68" i="61"/>
  <c r="O68" i="61" s="1"/>
  <c r="K68" i="61"/>
  <c r="N68" i="61" s="1"/>
  <c r="L67" i="61"/>
  <c r="O67" i="61" s="1"/>
  <c r="K67" i="61"/>
  <c r="N67" i="61" s="1"/>
  <c r="N66" i="61"/>
  <c r="L66" i="61"/>
  <c r="O66" i="61" s="1"/>
  <c r="K66" i="61"/>
  <c r="L65" i="61"/>
  <c r="O65" i="61" s="1"/>
  <c r="K65" i="61"/>
  <c r="N65" i="61" s="1"/>
  <c r="L64" i="61"/>
  <c r="O64" i="61" s="1"/>
  <c r="K64" i="61"/>
  <c r="N64" i="61" s="1"/>
  <c r="L63" i="61"/>
  <c r="O63" i="61" s="1"/>
  <c r="K63" i="61"/>
  <c r="N63" i="61" s="1"/>
  <c r="N62" i="61"/>
  <c r="L62" i="61"/>
  <c r="O62" i="61" s="1"/>
  <c r="K62" i="61"/>
  <c r="J61" i="61"/>
  <c r="M61" i="61" s="1"/>
  <c r="J60" i="61"/>
  <c r="M60" i="61" s="1"/>
  <c r="J59" i="61"/>
  <c r="M59" i="61" s="1"/>
  <c r="M58" i="61"/>
  <c r="J58" i="61"/>
  <c r="J57" i="61"/>
  <c r="M57" i="61" s="1"/>
  <c r="J56" i="61"/>
  <c r="M56" i="61" s="1"/>
  <c r="J55" i="61"/>
  <c r="M55" i="61" s="1"/>
  <c r="J54" i="61"/>
  <c r="M54" i="61" s="1"/>
  <c r="J53" i="61"/>
  <c r="M53" i="61" s="1"/>
  <c r="J52" i="61"/>
  <c r="M52" i="61" s="1"/>
  <c r="J51" i="61"/>
  <c r="M51" i="61" s="1"/>
  <c r="M50" i="61"/>
  <c r="J50" i="61"/>
  <c r="J49" i="61"/>
  <c r="M49" i="61" s="1"/>
  <c r="J48" i="61"/>
  <c r="M48" i="61" s="1"/>
  <c r="J47" i="61"/>
  <c r="M47" i="61" s="1"/>
  <c r="J46" i="61"/>
  <c r="M46" i="61" s="1"/>
  <c r="J45" i="61"/>
  <c r="M45" i="61" s="1"/>
  <c r="M44" i="61"/>
  <c r="J44" i="61"/>
  <c r="J43" i="61"/>
  <c r="M43" i="61" s="1"/>
  <c r="J42" i="61"/>
  <c r="M42" i="61" s="1"/>
  <c r="J41" i="61"/>
  <c r="M41" i="61" s="1"/>
  <c r="J40" i="61"/>
  <c r="M40" i="61" s="1"/>
  <c r="J39" i="61"/>
  <c r="M39" i="61" s="1"/>
  <c r="J38" i="61"/>
  <c r="M38" i="61" s="1"/>
  <c r="L37" i="61"/>
  <c r="O37" i="61" s="1"/>
  <c r="L36" i="61"/>
  <c r="O36" i="61" s="1"/>
  <c r="L35" i="61"/>
  <c r="O35" i="61" s="1"/>
  <c r="L34" i="61"/>
  <c r="O34" i="61" s="1"/>
  <c r="O33" i="61"/>
  <c r="L33" i="61"/>
  <c r="L32" i="61"/>
  <c r="O32" i="61" s="1"/>
  <c r="L31" i="61"/>
  <c r="O31" i="61" s="1"/>
  <c r="L30" i="61"/>
  <c r="O30" i="61" s="1"/>
  <c r="L29" i="61"/>
  <c r="O29" i="61" s="1"/>
  <c r="L28" i="61"/>
  <c r="O28" i="61" s="1"/>
  <c r="L27" i="61"/>
  <c r="O27" i="61" s="1"/>
  <c r="L26" i="61"/>
  <c r="O26" i="61" s="1"/>
  <c r="O25" i="61"/>
  <c r="L25" i="61"/>
  <c r="J25" i="61"/>
  <c r="M25" i="61" s="1"/>
  <c r="O24" i="61"/>
  <c r="L24" i="61"/>
  <c r="J24" i="61"/>
  <c r="M24" i="61" s="1"/>
  <c r="O23" i="61"/>
  <c r="L23" i="61"/>
  <c r="J23" i="61"/>
  <c r="M23" i="61" s="1"/>
  <c r="O22" i="61"/>
  <c r="L22" i="61"/>
  <c r="J22" i="61"/>
  <c r="M22" i="61" s="1"/>
  <c r="O21" i="61"/>
  <c r="L21" i="61"/>
  <c r="J21" i="61"/>
  <c r="M21" i="61" s="1"/>
  <c r="O20" i="61"/>
  <c r="L20" i="61"/>
  <c r="J20" i="61"/>
  <c r="M20" i="61" s="1"/>
  <c r="O19" i="61"/>
  <c r="L19" i="61"/>
  <c r="J19" i="61"/>
  <c r="M19" i="61" s="1"/>
  <c r="O18" i="61"/>
  <c r="L18" i="61"/>
  <c r="J18" i="61"/>
  <c r="M18" i="61" s="1"/>
  <c r="O17" i="61"/>
  <c r="L17" i="61"/>
  <c r="J17" i="61"/>
  <c r="M17" i="61" s="1"/>
  <c r="O16" i="61"/>
  <c r="L16" i="61"/>
  <c r="J16" i="61"/>
  <c r="M16" i="61" s="1"/>
  <c r="O15" i="61"/>
  <c r="L15" i="61"/>
  <c r="J15" i="61"/>
  <c r="M15" i="61" s="1"/>
  <c r="O14" i="61"/>
  <c r="L14" i="61"/>
  <c r="J14" i="61"/>
  <c r="M14" i="61" s="1"/>
  <c r="L13" i="61"/>
  <c r="O13" i="61" s="1"/>
  <c r="L12" i="61"/>
  <c r="O12" i="61" s="1"/>
  <c r="L11" i="61"/>
  <c r="O11" i="61" s="1"/>
  <c r="L10" i="61"/>
  <c r="O10" i="61" s="1"/>
  <c r="L9" i="61"/>
  <c r="O9" i="61" s="1"/>
  <c r="L8" i="61"/>
  <c r="O8" i="61" s="1"/>
  <c r="L7" i="61"/>
  <c r="O7" i="61" s="1"/>
  <c r="L6" i="61"/>
  <c r="O6" i="61" s="1"/>
  <c r="L5" i="61"/>
  <c r="O5" i="61" s="1"/>
  <c r="L4" i="61"/>
  <c r="O4" i="61" s="1"/>
  <c r="L3" i="61"/>
  <c r="O3" i="61" s="1"/>
  <c r="L2" i="61"/>
  <c r="O2" i="61" s="1"/>
  <c r="X432" i="57"/>
  <c r="W432" i="57"/>
  <c r="X431" i="57"/>
  <c r="W431" i="57"/>
  <c r="X430" i="57"/>
  <c r="W430" i="57"/>
  <c r="X429" i="57"/>
  <c r="W429" i="57"/>
  <c r="X428" i="57"/>
  <c r="W428" i="57"/>
  <c r="X427" i="57"/>
  <c r="W427" i="57"/>
  <c r="X426" i="57"/>
  <c r="W426" i="57"/>
  <c r="X425" i="57"/>
  <c r="W425" i="57"/>
  <c r="X424" i="57"/>
  <c r="W424" i="57"/>
  <c r="X423" i="57"/>
  <c r="W423" i="57"/>
  <c r="X422" i="57"/>
  <c r="W422" i="57"/>
  <c r="X421" i="57"/>
  <c r="W421" i="57"/>
  <c r="X235" i="57"/>
  <c r="W235" i="57"/>
  <c r="X234" i="57"/>
  <c r="W234" i="57"/>
  <c r="X233" i="57"/>
  <c r="W233" i="57"/>
  <c r="V232" i="57"/>
  <c r="V231" i="57"/>
  <c r="V230" i="57"/>
  <c r="V229" i="57"/>
  <c r="V228" i="57"/>
  <c r="V227" i="57"/>
  <c r="V226" i="57"/>
  <c r="V225" i="57"/>
  <c r="V224" i="57"/>
  <c r="V223" i="57"/>
  <c r="V222" i="57"/>
  <c r="V221" i="57"/>
  <c r="X220" i="57"/>
  <c r="W220" i="57"/>
  <c r="X219" i="57"/>
  <c r="W219" i="57"/>
  <c r="X218" i="57"/>
  <c r="W218" i="57"/>
  <c r="AD178" i="58"/>
  <c r="X178" i="58"/>
  <c r="W178" i="58"/>
  <c r="AC178" i="58" s="1"/>
  <c r="AD177" i="58"/>
  <c r="X177" i="58"/>
  <c r="W177" i="58"/>
  <c r="AC177" i="58" s="1"/>
  <c r="AD176" i="58"/>
  <c r="X176" i="58"/>
  <c r="W176" i="58"/>
  <c r="AC176" i="58" s="1"/>
  <c r="AD175" i="58"/>
  <c r="X175" i="58"/>
  <c r="W175" i="58"/>
  <c r="AC175" i="58" s="1"/>
  <c r="AD174" i="58"/>
  <c r="X174" i="58"/>
  <c r="W174" i="58"/>
  <c r="AC174" i="58" s="1"/>
  <c r="AD173" i="58"/>
  <c r="X173" i="58"/>
  <c r="W173" i="58"/>
  <c r="AC173" i="58" s="1"/>
  <c r="AD172" i="58"/>
  <c r="X172" i="58"/>
  <c r="W172" i="58"/>
  <c r="AC172" i="58" s="1"/>
  <c r="AD171" i="58"/>
  <c r="X171" i="58"/>
  <c r="W171" i="58"/>
  <c r="AC171" i="58" s="1"/>
  <c r="AD170" i="58"/>
  <c r="X170" i="58"/>
  <c r="W170" i="58"/>
  <c r="AC170" i="58" s="1"/>
  <c r="AD169" i="58"/>
  <c r="X169" i="58"/>
  <c r="W169" i="58"/>
  <c r="AC169" i="58" s="1"/>
  <c r="AD168" i="58"/>
  <c r="X168" i="58"/>
  <c r="W168" i="58"/>
  <c r="AC168" i="58" s="1"/>
  <c r="AD167" i="58"/>
  <c r="AD11" i="61" s="1"/>
  <c r="X167" i="58"/>
  <c r="W167" i="58"/>
  <c r="AC167" i="58" s="1"/>
  <c r="AD91" i="58"/>
  <c r="X91" i="58"/>
  <c r="W91" i="58"/>
  <c r="AC91" i="58" s="1"/>
  <c r="AD90" i="58"/>
  <c r="X90" i="58"/>
  <c r="W90" i="58"/>
  <c r="AC90" i="58" s="1"/>
  <c r="AD89" i="58"/>
  <c r="X89" i="58"/>
  <c r="W89" i="58"/>
  <c r="AC89" i="58" s="1"/>
  <c r="AE88" i="58"/>
  <c r="V88" i="58"/>
  <c r="AB88" i="58" s="1"/>
  <c r="AE87" i="58"/>
  <c r="V87" i="58"/>
  <c r="AB87" i="58" s="1"/>
  <c r="AE86" i="58"/>
  <c r="V86" i="58"/>
  <c r="AB86" i="58" s="1"/>
  <c r="AE85" i="58"/>
  <c r="V85" i="58"/>
  <c r="AB85" i="58" s="1"/>
  <c r="AE84" i="58"/>
  <c r="V84" i="58"/>
  <c r="AB84" i="58" s="1"/>
  <c r="AE83" i="58"/>
  <c r="V83" i="58"/>
  <c r="AB83" i="58" s="1"/>
  <c r="AE82" i="58"/>
  <c r="V82" i="58"/>
  <c r="AB82" i="58" s="1"/>
  <c r="AE81" i="58"/>
  <c r="V81" i="58"/>
  <c r="AB81" i="58" s="1"/>
  <c r="AE80" i="58"/>
  <c r="V80" i="58"/>
  <c r="AB80" i="58" s="1"/>
  <c r="AE79" i="58"/>
  <c r="V79" i="58"/>
  <c r="AB79" i="58" s="1"/>
  <c r="AE78" i="58"/>
  <c r="V78" i="58"/>
  <c r="AB78" i="58" s="1"/>
  <c r="AE77" i="58"/>
  <c r="V77" i="58"/>
  <c r="AB77" i="58" s="1"/>
  <c r="AD76" i="58"/>
  <c r="X76" i="58"/>
  <c r="W76" i="58"/>
  <c r="AC76" i="58" s="1"/>
  <c r="AD75" i="58"/>
  <c r="X75" i="58"/>
  <c r="W75" i="58"/>
  <c r="AC75" i="58" s="1"/>
  <c r="AD74" i="58"/>
  <c r="X74" i="58"/>
  <c r="W74" i="58"/>
  <c r="AC74" i="58" s="1"/>
  <c r="M40" i="5"/>
  <c r="M39" i="5"/>
  <c r="M38" i="5"/>
  <c r="AJ9" i="58"/>
  <c r="AI9" i="58"/>
  <c r="AJ7" i="58"/>
  <c r="AI7" i="58"/>
  <c r="AJ4" i="58"/>
  <c r="AI4" i="58"/>
  <c r="AJ3" i="58"/>
  <c r="AI3" i="58"/>
  <c r="AD166" i="58"/>
  <c r="AD165" i="58"/>
  <c r="AD164" i="58"/>
  <c r="AD163" i="58"/>
  <c r="AD162" i="58"/>
  <c r="AD161" i="58"/>
  <c r="AD160" i="58"/>
  <c r="AD159" i="58"/>
  <c r="AD158" i="58"/>
  <c r="AD157" i="58"/>
  <c r="AD156" i="58"/>
  <c r="AD155" i="58"/>
  <c r="AD154" i="58"/>
  <c r="AD153" i="58"/>
  <c r="AD152" i="58"/>
  <c r="AD151" i="58"/>
  <c r="AD150" i="58"/>
  <c r="AD149" i="58"/>
  <c r="AD10" i="61" s="1"/>
  <c r="AD148" i="58"/>
  <c r="AD147" i="58"/>
  <c r="AD146" i="58"/>
  <c r="AD145" i="58"/>
  <c r="AD144" i="58"/>
  <c r="AD143" i="58"/>
  <c r="AD142" i="58"/>
  <c r="AD141" i="58"/>
  <c r="AD140" i="58"/>
  <c r="AD139" i="58"/>
  <c r="AD138" i="58"/>
  <c r="AD137" i="58"/>
  <c r="AD136" i="58"/>
  <c r="AD135" i="58"/>
  <c r="AD134" i="58"/>
  <c r="AD133" i="58"/>
  <c r="AD132" i="58"/>
  <c r="AD131" i="58"/>
  <c r="AD130" i="58"/>
  <c r="AD129" i="58"/>
  <c r="AD128" i="58"/>
  <c r="AD127" i="58"/>
  <c r="AD126" i="58"/>
  <c r="AD125" i="58"/>
  <c r="AD124" i="58"/>
  <c r="AD123" i="58"/>
  <c r="AD122" i="58"/>
  <c r="AD121" i="58"/>
  <c r="AD120" i="58"/>
  <c r="AD119" i="58"/>
  <c r="AD118" i="58"/>
  <c r="AD117" i="58"/>
  <c r="AD116" i="58"/>
  <c r="AD115" i="58"/>
  <c r="AD114" i="58"/>
  <c r="AD113" i="58"/>
  <c r="AD112" i="58"/>
  <c r="AD111" i="58"/>
  <c r="AD110" i="58"/>
  <c r="AD109" i="58"/>
  <c r="AD108" i="58"/>
  <c r="AD107" i="58"/>
  <c r="AD106" i="58"/>
  <c r="AD105" i="58"/>
  <c r="AD104" i="58"/>
  <c r="AD103" i="58"/>
  <c r="AD102" i="58"/>
  <c r="AD101" i="58"/>
  <c r="AD100" i="58"/>
  <c r="AD99" i="58"/>
  <c r="AD98" i="58"/>
  <c r="AD97" i="58"/>
  <c r="AD96" i="58"/>
  <c r="AD95" i="58"/>
  <c r="AD94" i="58"/>
  <c r="AD93" i="58"/>
  <c r="AD92" i="58"/>
  <c r="AD9" i="61" s="1"/>
  <c r="AD73" i="58"/>
  <c r="AD72" i="58"/>
  <c r="AD71" i="58"/>
  <c r="AD70" i="58"/>
  <c r="AD69" i="58"/>
  <c r="AD68" i="58"/>
  <c r="AD67" i="58"/>
  <c r="AD66" i="58"/>
  <c r="AD65" i="58"/>
  <c r="AD64" i="58"/>
  <c r="AD63" i="58"/>
  <c r="AD62" i="58"/>
  <c r="AE61" i="58"/>
  <c r="AE60" i="58"/>
  <c r="AE59" i="58"/>
  <c r="AE58" i="58"/>
  <c r="AE57" i="58"/>
  <c r="AE56" i="58"/>
  <c r="AE55" i="58"/>
  <c r="AE54" i="58"/>
  <c r="AE53" i="58"/>
  <c r="AE52" i="58"/>
  <c r="AE51" i="58"/>
  <c r="AE50" i="58"/>
  <c r="AD49" i="58"/>
  <c r="AD48" i="58"/>
  <c r="AD47" i="58"/>
  <c r="AD46" i="58"/>
  <c r="AD45" i="58"/>
  <c r="AD44" i="58"/>
  <c r="AD43" i="58"/>
  <c r="AD42" i="58"/>
  <c r="AD41" i="58"/>
  <c r="AD40" i="58"/>
  <c r="AD39" i="58"/>
  <c r="AD38" i="58"/>
  <c r="AD25" i="58"/>
  <c r="AD24" i="58"/>
  <c r="AD23" i="58"/>
  <c r="AD22" i="58"/>
  <c r="AD21" i="58"/>
  <c r="AD20" i="58"/>
  <c r="AD19" i="58"/>
  <c r="AD18" i="58"/>
  <c r="AD17" i="58"/>
  <c r="AD16" i="58"/>
  <c r="AD15" i="58"/>
  <c r="AD14" i="58"/>
  <c r="V178" i="58"/>
  <c r="AB178" i="58" s="1"/>
  <c r="V177" i="58"/>
  <c r="AB177" i="58" s="1"/>
  <c r="V176" i="58"/>
  <c r="AB176" i="58" s="1"/>
  <c r="V175" i="58"/>
  <c r="AB175" i="58" s="1"/>
  <c r="V174" i="58"/>
  <c r="AB174" i="58" s="1"/>
  <c r="V173" i="58"/>
  <c r="AB173" i="58" s="1"/>
  <c r="V172" i="58"/>
  <c r="AB172" i="58" s="1"/>
  <c r="V171" i="58"/>
  <c r="AB171" i="58" s="1"/>
  <c r="V170" i="58"/>
  <c r="AB170" i="58" s="1"/>
  <c r="V169" i="58"/>
  <c r="AB169" i="58" s="1"/>
  <c r="V168" i="58"/>
  <c r="AB168" i="58" s="1"/>
  <c r="V167" i="58"/>
  <c r="AB167" i="58" s="1"/>
  <c r="X166" i="58"/>
  <c r="W166" i="58"/>
  <c r="V166" i="58"/>
  <c r="AB166" i="58" s="1"/>
  <c r="X165" i="58"/>
  <c r="W165" i="58"/>
  <c r="V165" i="58"/>
  <c r="AB165" i="58" s="1"/>
  <c r="X164" i="58"/>
  <c r="W164" i="58"/>
  <c r="V164" i="58"/>
  <c r="AB164" i="58" s="1"/>
  <c r="X163" i="58"/>
  <c r="W163" i="58"/>
  <c r="V163" i="58"/>
  <c r="AB163" i="58" s="1"/>
  <c r="X162" i="58"/>
  <c r="W162" i="58"/>
  <c r="V162" i="58"/>
  <c r="AB162" i="58" s="1"/>
  <c r="X161" i="58"/>
  <c r="W161" i="58"/>
  <c r="V161" i="58"/>
  <c r="AB161" i="58" s="1"/>
  <c r="X160" i="58"/>
  <c r="W160" i="58"/>
  <c r="V160" i="58"/>
  <c r="AB160" i="58" s="1"/>
  <c r="X159" i="58"/>
  <c r="W159" i="58"/>
  <c r="V159" i="58"/>
  <c r="AB159" i="58" s="1"/>
  <c r="X158" i="58"/>
  <c r="W158" i="58"/>
  <c r="V158" i="58"/>
  <c r="AB158" i="58" s="1"/>
  <c r="X157" i="58"/>
  <c r="W157" i="58"/>
  <c r="V157" i="58"/>
  <c r="AB157" i="58" s="1"/>
  <c r="X156" i="58"/>
  <c r="W156" i="58"/>
  <c r="V156" i="58"/>
  <c r="AB156" i="58" s="1"/>
  <c r="X155" i="58"/>
  <c r="W155" i="58"/>
  <c r="V155" i="58"/>
  <c r="AB155" i="58" s="1"/>
  <c r="X154" i="58"/>
  <c r="W154" i="58"/>
  <c r="V154" i="58"/>
  <c r="AB154" i="58" s="1"/>
  <c r="X153" i="58"/>
  <c r="W153" i="58"/>
  <c r="V153" i="58"/>
  <c r="AB153" i="58" s="1"/>
  <c r="X152" i="58"/>
  <c r="W152" i="58"/>
  <c r="V152" i="58"/>
  <c r="AB152" i="58" s="1"/>
  <c r="X151" i="58"/>
  <c r="W151" i="58"/>
  <c r="V151" i="58"/>
  <c r="AB151" i="58" s="1"/>
  <c r="X150" i="58"/>
  <c r="W150" i="58"/>
  <c r="V150" i="58"/>
  <c r="AB150" i="58" s="1"/>
  <c r="X149" i="58"/>
  <c r="W149" i="58"/>
  <c r="V149" i="58"/>
  <c r="AB149" i="58" s="1"/>
  <c r="X148" i="58"/>
  <c r="W148" i="58"/>
  <c r="V148" i="58"/>
  <c r="AB148" i="58" s="1"/>
  <c r="X147" i="58"/>
  <c r="W147" i="58"/>
  <c r="V147" i="58"/>
  <c r="AB147" i="58" s="1"/>
  <c r="X146" i="58"/>
  <c r="W146" i="58"/>
  <c r="V146" i="58"/>
  <c r="AB146" i="58" s="1"/>
  <c r="X145" i="58"/>
  <c r="W145" i="58"/>
  <c r="V145" i="58"/>
  <c r="AB145" i="58" s="1"/>
  <c r="X144" i="58"/>
  <c r="W144" i="58"/>
  <c r="V144" i="58"/>
  <c r="AB144" i="58" s="1"/>
  <c r="X143" i="58"/>
  <c r="W143" i="58"/>
  <c r="V143" i="58"/>
  <c r="AB143" i="58" s="1"/>
  <c r="X142" i="58"/>
  <c r="W142" i="58"/>
  <c r="V142" i="58"/>
  <c r="AB142" i="58" s="1"/>
  <c r="X141" i="58"/>
  <c r="W141" i="58"/>
  <c r="V141" i="58"/>
  <c r="AB141" i="58" s="1"/>
  <c r="X140" i="58"/>
  <c r="W140" i="58"/>
  <c r="V140" i="58"/>
  <c r="AB140" i="58" s="1"/>
  <c r="X139" i="58"/>
  <c r="W139" i="58"/>
  <c r="V139" i="58"/>
  <c r="AB139" i="58" s="1"/>
  <c r="X138" i="58"/>
  <c r="W138" i="58"/>
  <c r="V138" i="58"/>
  <c r="AB138" i="58" s="1"/>
  <c r="X137" i="58"/>
  <c r="W137" i="58"/>
  <c r="V137" i="58"/>
  <c r="AB137" i="58" s="1"/>
  <c r="X136" i="58"/>
  <c r="W136" i="58"/>
  <c r="V136" i="58"/>
  <c r="AB136" i="58" s="1"/>
  <c r="X135" i="58"/>
  <c r="W135" i="58"/>
  <c r="AC135" i="58" s="1"/>
  <c r="V135" i="58"/>
  <c r="AB135" i="58" s="1"/>
  <c r="X134" i="58"/>
  <c r="W134" i="58"/>
  <c r="V134" i="58"/>
  <c r="AB134" i="58" s="1"/>
  <c r="X133" i="58"/>
  <c r="W133" i="58"/>
  <c r="V133" i="58"/>
  <c r="AB133" i="58" s="1"/>
  <c r="X132" i="58"/>
  <c r="W132" i="58"/>
  <c r="V132" i="58"/>
  <c r="AB132" i="58" s="1"/>
  <c r="X131" i="58"/>
  <c r="W131" i="58"/>
  <c r="AC131" i="58" s="1"/>
  <c r="V131" i="58"/>
  <c r="AB131" i="58" s="1"/>
  <c r="X130" i="58"/>
  <c r="W130" i="58"/>
  <c r="V130" i="58"/>
  <c r="AB130" i="58" s="1"/>
  <c r="X129" i="58"/>
  <c r="W129" i="58"/>
  <c r="V129" i="58"/>
  <c r="AB129" i="58" s="1"/>
  <c r="X128" i="58"/>
  <c r="W128" i="58"/>
  <c r="V128" i="58"/>
  <c r="AB128" i="58" s="1"/>
  <c r="X127" i="58"/>
  <c r="W127" i="58"/>
  <c r="AC127" i="58" s="1"/>
  <c r="V127" i="58"/>
  <c r="AB127" i="58" s="1"/>
  <c r="X126" i="58"/>
  <c r="W126" i="58"/>
  <c r="V126" i="58"/>
  <c r="AB126" i="58" s="1"/>
  <c r="X125" i="58"/>
  <c r="W125" i="58"/>
  <c r="V125" i="58"/>
  <c r="AB125" i="58" s="1"/>
  <c r="X124" i="58"/>
  <c r="W124" i="58"/>
  <c r="V124" i="58"/>
  <c r="AB124" i="58" s="1"/>
  <c r="X123" i="58"/>
  <c r="W123" i="58"/>
  <c r="AC123" i="58" s="1"/>
  <c r="V123" i="58"/>
  <c r="AB123" i="58" s="1"/>
  <c r="X122" i="58"/>
  <c r="W122" i="58"/>
  <c r="V122" i="58"/>
  <c r="AB122" i="58" s="1"/>
  <c r="X121" i="58"/>
  <c r="W121" i="58"/>
  <c r="V121" i="58"/>
  <c r="AB121" i="58" s="1"/>
  <c r="X120" i="58"/>
  <c r="W120" i="58"/>
  <c r="V120" i="58"/>
  <c r="AB120" i="58" s="1"/>
  <c r="X119" i="58"/>
  <c r="W119" i="58"/>
  <c r="AC119" i="58" s="1"/>
  <c r="V119" i="58"/>
  <c r="AB119" i="58" s="1"/>
  <c r="X118" i="58"/>
  <c r="W118" i="58"/>
  <c r="V118" i="58"/>
  <c r="AB118" i="58" s="1"/>
  <c r="X117" i="58"/>
  <c r="W117" i="58"/>
  <c r="V117" i="58"/>
  <c r="AB117" i="58" s="1"/>
  <c r="X116" i="58"/>
  <c r="W116" i="58"/>
  <c r="V116" i="58"/>
  <c r="AB116" i="58" s="1"/>
  <c r="X115" i="58"/>
  <c r="W115" i="58"/>
  <c r="AC115" i="58" s="1"/>
  <c r="V115" i="58"/>
  <c r="AB115" i="58" s="1"/>
  <c r="X114" i="58"/>
  <c r="W114" i="58"/>
  <c r="V114" i="58"/>
  <c r="AB114" i="58" s="1"/>
  <c r="X113" i="58"/>
  <c r="W113" i="58"/>
  <c r="V113" i="58"/>
  <c r="AB113" i="58" s="1"/>
  <c r="X112" i="58"/>
  <c r="W112" i="58"/>
  <c r="V112" i="58"/>
  <c r="AB112" i="58" s="1"/>
  <c r="X111" i="58"/>
  <c r="W111" i="58"/>
  <c r="AC111" i="58" s="1"/>
  <c r="V111" i="58"/>
  <c r="AB111" i="58" s="1"/>
  <c r="X110" i="58"/>
  <c r="W110" i="58"/>
  <c r="V110" i="58"/>
  <c r="AB110" i="58" s="1"/>
  <c r="X109" i="58"/>
  <c r="W109" i="58"/>
  <c r="V109" i="58"/>
  <c r="AB109" i="58" s="1"/>
  <c r="X108" i="58"/>
  <c r="W108" i="58"/>
  <c r="V108" i="58"/>
  <c r="AB108" i="58" s="1"/>
  <c r="X107" i="58"/>
  <c r="W107" i="58"/>
  <c r="AC107" i="58" s="1"/>
  <c r="V107" i="58"/>
  <c r="AB107" i="58" s="1"/>
  <c r="X106" i="58"/>
  <c r="W106" i="58"/>
  <c r="V106" i="58"/>
  <c r="AB106" i="58" s="1"/>
  <c r="X105" i="58"/>
  <c r="W105" i="58"/>
  <c r="V105" i="58"/>
  <c r="AB105" i="58" s="1"/>
  <c r="X104" i="58"/>
  <c r="W104" i="58"/>
  <c r="V104" i="58"/>
  <c r="AB104" i="58" s="1"/>
  <c r="X103" i="58"/>
  <c r="W103" i="58"/>
  <c r="AC103" i="58" s="1"/>
  <c r="V103" i="58"/>
  <c r="AB103" i="58" s="1"/>
  <c r="X102" i="58"/>
  <c r="W102" i="58"/>
  <c r="V102" i="58"/>
  <c r="AB102" i="58" s="1"/>
  <c r="X101" i="58"/>
  <c r="W101" i="58"/>
  <c r="V101" i="58"/>
  <c r="AB101" i="58" s="1"/>
  <c r="X100" i="58"/>
  <c r="W100" i="58"/>
  <c r="V100" i="58"/>
  <c r="AB100" i="58" s="1"/>
  <c r="X99" i="58"/>
  <c r="W99" i="58"/>
  <c r="AC99" i="58" s="1"/>
  <c r="V99" i="58"/>
  <c r="AB99" i="58" s="1"/>
  <c r="X98" i="58"/>
  <c r="W98" i="58"/>
  <c r="V98" i="58"/>
  <c r="AB98" i="58" s="1"/>
  <c r="X97" i="58"/>
  <c r="W97" i="58"/>
  <c r="V97" i="58"/>
  <c r="AB97" i="58" s="1"/>
  <c r="X96" i="58"/>
  <c r="W96" i="58"/>
  <c r="V96" i="58"/>
  <c r="AB96" i="58" s="1"/>
  <c r="X95" i="58"/>
  <c r="W95" i="58"/>
  <c r="AC95" i="58" s="1"/>
  <c r="V95" i="58"/>
  <c r="AB95" i="58" s="1"/>
  <c r="X94" i="58"/>
  <c r="W94" i="58"/>
  <c r="V94" i="58"/>
  <c r="AB94" i="58" s="1"/>
  <c r="X93" i="58"/>
  <c r="W93" i="58"/>
  <c r="V93" i="58"/>
  <c r="AB93" i="58" s="1"/>
  <c r="X92" i="58"/>
  <c r="W92" i="58"/>
  <c r="AC92" i="58" s="1"/>
  <c r="V92" i="58"/>
  <c r="AB92" i="58" s="1"/>
  <c r="V91" i="58"/>
  <c r="AB91" i="58" s="1"/>
  <c r="V90" i="58"/>
  <c r="AB90" i="58" s="1"/>
  <c r="V89" i="58"/>
  <c r="AB89" i="58" s="1"/>
  <c r="X88" i="58"/>
  <c r="W88" i="58"/>
  <c r="AC88" i="58" s="1"/>
  <c r="X87" i="58"/>
  <c r="W87" i="58"/>
  <c r="AC87" i="58" s="1"/>
  <c r="X86" i="58"/>
  <c r="W86" i="58"/>
  <c r="AC86" i="58" s="1"/>
  <c r="X85" i="58"/>
  <c r="W85" i="58"/>
  <c r="AC85" i="58" s="1"/>
  <c r="X84" i="58"/>
  <c r="W84" i="58"/>
  <c r="AC84" i="58" s="1"/>
  <c r="X83" i="58"/>
  <c r="W83" i="58"/>
  <c r="AC83" i="58" s="1"/>
  <c r="X82" i="58"/>
  <c r="W82" i="58"/>
  <c r="AC82" i="58" s="1"/>
  <c r="X81" i="58"/>
  <c r="W81" i="58"/>
  <c r="AC81" i="58" s="1"/>
  <c r="X80" i="58"/>
  <c r="W80" i="58"/>
  <c r="AC80" i="58" s="1"/>
  <c r="X79" i="58"/>
  <c r="W79" i="58"/>
  <c r="AC79" i="58" s="1"/>
  <c r="X78" i="58"/>
  <c r="W78" i="58"/>
  <c r="AC78" i="58" s="1"/>
  <c r="X77" i="58"/>
  <c r="W77" i="58"/>
  <c r="AC77" i="58" s="1"/>
  <c r="V76" i="58"/>
  <c r="AB76" i="58" s="1"/>
  <c r="V75" i="58"/>
  <c r="AB75" i="58" s="1"/>
  <c r="V74" i="58"/>
  <c r="AB74" i="58" s="1"/>
  <c r="X73" i="58"/>
  <c r="W73" i="58"/>
  <c r="V73" i="58"/>
  <c r="AB73" i="58" s="1"/>
  <c r="X72" i="58"/>
  <c r="W72" i="58"/>
  <c r="V72" i="58"/>
  <c r="AB72" i="58" s="1"/>
  <c r="X71" i="58"/>
  <c r="W71" i="58"/>
  <c r="V71" i="58"/>
  <c r="AB71" i="58" s="1"/>
  <c r="X70" i="58"/>
  <c r="W70" i="58"/>
  <c r="V70" i="58"/>
  <c r="AB70" i="58" s="1"/>
  <c r="X69" i="58"/>
  <c r="W69" i="58"/>
  <c r="V69" i="58"/>
  <c r="AB69" i="58" s="1"/>
  <c r="X68" i="58"/>
  <c r="W68" i="58"/>
  <c r="V68" i="58"/>
  <c r="AB68" i="58" s="1"/>
  <c r="X67" i="58"/>
  <c r="W67" i="58"/>
  <c r="V67" i="58"/>
  <c r="AB67" i="58" s="1"/>
  <c r="X66" i="58"/>
  <c r="W66" i="58"/>
  <c r="V66" i="58"/>
  <c r="AB66" i="58" s="1"/>
  <c r="X65" i="58"/>
  <c r="W65" i="58"/>
  <c r="V65" i="58"/>
  <c r="AB65" i="58" s="1"/>
  <c r="X64" i="58"/>
  <c r="W64" i="58"/>
  <c r="V64" i="58"/>
  <c r="AB64" i="58" s="1"/>
  <c r="X63" i="58"/>
  <c r="W63" i="58"/>
  <c r="V63" i="58"/>
  <c r="AB63" i="58" s="1"/>
  <c r="X62" i="58"/>
  <c r="W62" i="58"/>
  <c r="V62" i="58"/>
  <c r="AB62" i="58" s="1"/>
  <c r="X61" i="58"/>
  <c r="W61" i="58"/>
  <c r="V61" i="58"/>
  <c r="AB61" i="58" s="1"/>
  <c r="X60" i="58"/>
  <c r="W60" i="58"/>
  <c r="V60" i="58"/>
  <c r="AB60" i="58" s="1"/>
  <c r="X59" i="58"/>
  <c r="W59" i="58"/>
  <c r="V59" i="58"/>
  <c r="AB59" i="58" s="1"/>
  <c r="X58" i="58"/>
  <c r="W58" i="58"/>
  <c r="V58" i="58"/>
  <c r="AB58" i="58" s="1"/>
  <c r="X57" i="58"/>
  <c r="W57" i="58"/>
  <c r="V57" i="58"/>
  <c r="AB57" i="58" s="1"/>
  <c r="X56" i="58"/>
  <c r="W56" i="58"/>
  <c r="V56" i="58"/>
  <c r="AB56" i="58" s="1"/>
  <c r="X55" i="58"/>
  <c r="W55" i="58"/>
  <c r="V55" i="58"/>
  <c r="AB55" i="58" s="1"/>
  <c r="X54" i="58"/>
  <c r="W54" i="58"/>
  <c r="V54" i="58"/>
  <c r="AB54" i="58" s="1"/>
  <c r="X53" i="58"/>
  <c r="W53" i="58"/>
  <c r="V53" i="58"/>
  <c r="AB53" i="58" s="1"/>
  <c r="X52" i="58"/>
  <c r="W52" i="58"/>
  <c r="V52" i="58"/>
  <c r="AB52" i="58" s="1"/>
  <c r="X51" i="58"/>
  <c r="W51" i="58"/>
  <c r="V51" i="58"/>
  <c r="AB51" i="58" s="1"/>
  <c r="X50" i="58"/>
  <c r="W50" i="58"/>
  <c r="V50" i="58"/>
  <c r="AB50" i="58" s="1"/>
  <c r="X49" i="58"/>
  <c r="W49" i="58"/>
  <c r="V49" i="58"/>
  <c r="AB49" i="58" s="1"/>
  <c r="X48" i="58"/>
  <c r="W48" i="58"/>
  <c r="V48" i="58"/>
  <c r="AB48" i="58" s="1"/>
  <c r="X47" i="58"/>
  <c r="W47" i="58"/>
  <c r="V47" i="58"/>
  <c r="AB47" i="58" s="1"/>
  <c r="X46" i="58"/>
  <c r="W46" i="58"/>
  <c r="V46" i="58"/>
  <c r="AB46" i="58" s="1"/>
  <c r="X45" i="58"/>
  <c r="W45" i="58"/>
  <c r="V45" i="58"/>
  <c r="AB45" i="58" s="1"/>
  <c r="X44" i="58"/>
  <c r="W44" i="58"/>
  <c r="V44" i="58"/>
  <c r="AB44" i="58" s="1"/>
  <c r="X43" i="58"/>
  <c r="W43" i="58"/>
  <c r="V43" i="58"/>
  <c r="AB43" i="58" s="1"/>
  <c r="X42" i="58"/>
  <c r="W42" i="58"/>
  <c r="V42" i="58"/>
  <c r="AB42" i="58" s="1"/>
  <c r="X41" i="58"/>
  <c r="W41" i="58"/>
  <c r="V41" i="58"/>
  <c r="AB41" i="58" s="1"/>
  <c r="X40" i="58"/>
  <c r="W40" i="58"/>
  <c r="V40" i="58"/>
  <c r="AB40" i="58" s="1"/>
  <c r="X39" i="58"/>
  <c r="W39" i="58"/>
  <c r="V39" i="58"/>
  <c r="AB39" i="58" s="1"/>
  <c r="X38" i="58"/>
  <c r="W38" i="58"/>
  <c r="V38" i="58"/>
  <c r="AB38" i="58" s="1"/>
  <c r="X37" i="58"/>
  <c r="W37" i="58"/>
  <c r="V37" i="58"/>
  <c r="AB37" i="58" s="1"/>
  <c r="X36" i="58"/>
  <c r="W36" i="58"/>
  <c r="V36" i="58"/>
  <c r="AB36" i="58" s="1"/>
  <c r="X35" i="58"/>
  <c r="W35" i="58"/>
  <c r="AC35" i="58" s="1"/>
  <c r="V35" i="58"/>
  <c r="AB35" i="58" s="1"/>
  <c r="X34" i="58"/>
  <c r="W34" i="58"/>
  <c r="V34" i="58"/>
  <c r="AB34" i="58" s="1"/>
  <c r="X33" i="58"/>
  <c r="W33" i="58"/>
  <c r="V33" i="58"/>
  <c r="AB33" i="58" s="1"/>
  <c r="X32" i="58"/>
  <c r="W32" i="58"/>
  <c r="V32" i="58"/>
  <c r="AB32" i="58" s="1"/>
  <c r="X31" i="58"/>
  <c r="W31" i="58"/>
  <c r="AC31" i="58" s="1"/>
  <c r="V31" i="58"/>
  <c r="AB31" i="58" s="1"/>
  <c r="X30" i="58"/>
  <c r="W30" i="58"/>
  <c r="V30" i="58"/>
  <c r="AB30" i="58" s="1"/>
  <c r="X29" i="58"/>
  <c r="W29" i="58"/>
  <c r="V29" i="58"/>
  <c r="AB29" i="58" s="1"/>
  <c r="X28" i="58"/>
  <c r="W28" i="58"/>
  <c r="V28" i="58"/>
  <c r="AB28" i="58" s="1"/>
  <c r="X27" i="58"/>
  <c r="W27" i="58"/>
  <c r="AC27" i="58" s="1"/>
  <c r="V27" i="58"/>
  <c r="AB27" i="58" s="1"/>
  <c r="X26" i="58"/>
  <c r="W26" i="58"/>
  <c r="V26" i="58"/>
  <c r="AB26" i="58" s="1"/>
  <c r="X25" i="58"/>
  <c r="W25" i="58"/>
  <c r="V25" i="58"/>
  <c r="AB25" i="58" s="1"/>
  <c r="X24" i="58"/>
  <c r="W24" i="58"/>
  <c r="V24" i="58"/>
  <c r="AB24" i="58" s="1"/>
  <c r="X23" i="58"/>
  <c r="W23" i="58"/>
  <c r="V23" i="58"/>
  <c r="AB23" i="58" s="1"/>
  <c r="X22" i="58"/>
  <c r="W22" i="58"/>
  <c r="AC22" i="58" s="1"/>
  <c r="V22" i="58"/>
  <c r="AB22" i="58" s="1"/>
  <c r="X21" i="58"/>
  <c r="W21" i="58"/>
  <c r="V21" i="58"/>
  <c r="AB21" i="58" s="1"/>
  <c r="X20" i="58"/>
  <c r="W20" i="58"/>
  <c r="AC20" i="58" s="1"/>
  <c r="V20" i="58"/>
  <c r="AB20" i="58" s="1"/>
  <c r="X19" i="58"/>
  <c r="W19" i="58"/>
  <c r="AC19" i="58" s="1"/>
  <c r="V19" i="58"/>
  <c r="AB19" i="58" s="1"/>
  <c r="X18" i="58"/>
  <c r="W18" i="58"/>
  <c r="AC18" i="58" s="1"/>
  <c r="V18" i="58"/>
  <c r="AB18" i="58" s="1"/>
  <c r="X17" i="58"/>
  <c r="W17" i="58"/>
  <c r="V17" i="58"/>
  <c r="AB17" i="58" s="1"/>
  <c r="X16" i="58"/>
  <c r="W16" i="58"/>
  <c r="AC16" i="58" s="1"/>
  <c r="V16" i="58"/>
  <c r="AB16" i="58" s="1"/>
  <c r="X15" i="58"/>
  <c r="W15" i="58"/>
  <c r="AC15" i="58" s="1"/>
  <c r="V15" i="58"/>
  <c r="AB15" i="58" s="1"/>
  <c r="X14" i="58"/>
  <c r="W14" i="58"/>
  <c r="AC14" i="58" s="1"/>
  <c r="V14" i="58"/>
  <c r="AB14" i="58" s="1"/>
  <c r="X13" i="58"/>
  <c r="W13" i="58"/>
  <c r="V13" i="58"/>
  <c r="AB13" i="58" s="1"/>
  <c r="X12" i="58"/>
  <c r="W12" i="58"/>
  <c r="AC12" i="58" s="1"/>
  <c r="V12" i="58"/>
  <c r="AB12" i="58" s="1"/>
  <c r="X11" i="58"/>
  <c r="W11" i="58"/>
  <c r="AC11" i="58" s="1"/>
  <c r="V11" i="58"/>
  <c r="AB11" i="58" s="1"/>
  <c r="X10" i="58"/>
  <c r="W10" i="58"/>
  <c r="AC10" i="58" s="1"/>
  <c r="V10" i="58"/>
  <c r="AB10" i="58" s="1"/>
  <c r="X9" i="58"/>
  <c r="W9" i="58"/>
  <c r="V9" i="58"/>
  <c r="AB9" i="58" s="1"/>
  <c r="X8" i="58"/>
  <c r="W8" i="58"/>
  <c r="AC8" i="58" s="1"/>
  <c r="V8" i="58"/>
  <c r="AB8" i="58" s="1"/>
  <c r="X7" i="58"/>
  <c r="W7" i="58"/>
  <c r="AC7" i="58" s="1"/>
  <c r="V7" i="58"/>
  <c r="AB7" i="58" s="1"/>
  <c r="X6" i="58"/>
  <c r="W6" i="58"/>
  <c r="AC6" i="58" s="1"/>
  <c r="V6" i="58"/>
  <c r="AB6" i="58" s="1"/>
  <c r="X5" i="58"/>
  <c r="W5" i="58"/>
  <c r="V5" i="58"/>
  <c r="AB5" i="58" s="1"/>
  <c r="X4" i="58"/>
  <c r="W4" i="58"/>
  <c r="AC4" i="58" s="1"/>
  <c r="V4" i="58"/>
  <c r="AB4" i="58" s="1"/>
  <c r="X3" i="58"/>
  <c r="W3" i="58"/>
  <c r="AC3" i="58" s="1"/>
  <c r="V3" i="58"/>
  <c r="AB3" i="58" s="1"/>
  <c r="X2" i="58"/>
  <c r="W2" i="58"/>
  <c r="AC2" i="58" s="1"/>
  <c r="V2" i="58"/>
  <c r="AB2" i="58" s="1"/>
  <c r="AE444" i="57"/>
  <c r="AE443" i="57"/>
  <c r="AE442" i="57"/>
  <c r="AE441" i="57"/>
  <c r="AE440" i="57"/>
  <c r="AE439" i="57"/>
  <c r="AE438" i="57"/>
  <c r="AE437" i="57"/>
  <c r="AE436" i="57"/>
  <c r="AE435" i="57"/>
  <c r="AE434" i="57"/>
  <c r="AE433" i="57"/>
  <c r="AE432" i="57"/>
  <c r="AD432" i="57"/>
  <c r="AC432" i="57"/>
  <c r="AE431" i="57"/>
  <c r="AD431" i="57"/>
  <c r="AC431" i="57"/>
  <c r="AE430" i="57"/>
  <c r="AD430" i="57"/>
  <c r="AC430" i="57"/>
  <c r="AE429" i="57"/>
  <c r="AD429" i="57"/>
  <c r="AC429" i="57"/>
  <c r="AE428" i="57"/>
  <c r="AD428" i="57"/>
  <c r="AC428" i="57"/>
  <c r="AE427" i="57"/>
  <c r="AD427" i="57"/>
  <c r="AC427" i="57"/>
  <c r="AE426" i="57"/>
  <c r="AD426" i="57"/>
  <c r="AC426" i="57"/>
  <c r="AE425" i="57"/>
  <c r="AD425" i="57"/>
  <c r="AC425" i="57"/>
  <c r="AE424" i="57"/>
  <c r="AD424" i="57"/>
  <c r="AC424" i="57"/>
  <c r="AE423" i="57"/>
  <c r="AD423" i="57"/>
  <c r="AC423" i="57"/>
  <c r="AE422" i="57"/>
  <c r="AD422" i="57"/>
  <c r="AC422" i="57"/>
  <c r="AE421" i="57"/>
  <c r="AD421" i="57"/>
  <c r="AC421" i="57"/>
  <c r="AE420" i="57"/>
  <c r="AE419" i="57"/>
  <c r="AE418" i="57"/>
  <c r="AE417" i="57"/>
  <c r="AE416" i="57"/>
  <c r="AE415" i="57"/>
  <c r="AE414" i="57"/>
  <c r="AE413" i="57"/>
  <c r="AE412" i="57"/>
  <c r="AE411" i="57"/>
  <c r="AE410" i="57"/>
  <c r="AE409" i="57"/>
  <c r="AE408" i="57"/>
  <c r="AE407" i="57"/>
  <c r="AE406" i="57"/>
  <c r="AE405" i="57"/>
  <c r="AE404" i="57"/>
  <c r="AE403" i="57"/>
  <c r="AE402" i="57"/>
  <c r="AE401" i="57"/>
  <c r="AE400" i="57"/>
  <c r="AE399" i="57"/>
  <c r="AE398" i="57"/>
  <c r="AE397" i="57"/>
  <c r="AE396" i="57"/>
  <c r="AE395" i="57"/>
  <c r="AE394" i="57"/>
  <c r="AE393" i="57"/>
  <c r="AE392" i="57"/>
  <c r="AE391" i="57"/>
  <c r="AE390" i="57"/>
  <c r="AE389" i="57"/>
  <c r="AE388" i="57"/>
  <c r="AE387" i="57"/>
  <c r="AE386" i="57"/>
  <c r="AE385" i="57"/>
  <c r="AE384" i="57"/>
  <c r="AE383" i="57"/>
  <c r="AE382" i="57"/>
  <c r="AE381" i="57"/>
  <c r="AE380" i="57"/>
  <c r="AE379" i="57"/>
  <c r="AE378" i="57"/>
  <c r="AE377" i="57"/>
  <c r="AE376" i="57"/>
  <c r="AE375" i="57"/>
  <c r="AE374" i="57"/>
  <c r="AE373" i="57"/>
  <c r="AE372" i="57"/>
  <c r="AE371" i="57"/>
  <c r="AE370" i="57"/>
  <c r="AE369" i="57"/>
  <c r="AE368" i="57"/>
  <c r="AE367" i="57"/>
  <c r="AE366" i="57"/>
  <c r="AE365" i="57"/>
  <c r="AE364" i="57"/>
  <c r="AE363" i="57"/>
  <c r="AE362" i="57"/>
  <c r="AE361" i="57"/>
  <c r="AE360" i="57"/>
  <c r="AE359" i="57"/>
  <c r="AE358" i="57"/>
  <c r="AE357" i="57"/>
  <c r="AE356" i="57"/>
  <c r="AE355" i="57"/>
  <c r="AE354" i="57"/>
  <c r="AE353" i="57"/>
  <c r="AE352" i="57"/>
  <c r="AE351" i="57"/>
  <c r="AE350" i="57"/>
  <c r="AE349" i="57"/>
  <c r="AE348" i="57"/>
  <c r="AE347" i="57"/>
  <c r="AE346" i="57"/>
  <c r="AE345" i="57"/>
  <c r="AE344" i="57"/>
  <c r="AE343" i="57"/>
  <c r="AE342" i="57"/>
  <c r="AE341" i="57"/>
  <c r="AE340" i="57"/>
  <c r="AE339" i="57"/>
  <c r="AE338" i="57"/>
  <c r="AA11" i="61" s="1"/>
  <c r="AE337" i="57"/>
  <c r="AE336" i="57"/>
  <c r="AE335" i="57"/>
  <c r="AE334" i="57"/>
  <c r="AE333" i="57"/>
  <c r="AE332" i="57"/>
  <c r="AE331" i="57"/>
  <c r="AE330" i="57"/>
  <c r="AE329" i="57"/>
  <c r="AE328" i="57"/>
  <c r="AE327" i="57"/>
  <c r="AE326" i="57"/>
  <c r="AE325" i="57"/>
  <c r="AE324" i="57"/>
  <c r="AE323" i="57"/>
  <c r="AE322" i="57"/>
  <c r="AE321" i="57"/>
  <c r="AE320" i="57"/>
  <c r="AA10" i="61" s="1"/>
  <c r="AE319" i="57"/>
  <c r="AE318" i="57"/>
  <c r="AE317" i="57"/>
  <c r="AE316" i="57"/>
  <c r="AE315" i="57"/>
  <c r="AE314" i="57"/>
  <c r="AE313" i="57"/>
  <c r="AE312" i="57"/>
  <c r="AE311" i="57"/>
  <c r="AE310" i="57"/>
  <c r="AE309" i="57"/>
  <c r="AE308" i="57"/>
  <c r="AE307" i="57"/>
  <c r="AE306" i="57"/>
  <c r="AE305" i="57"/>
  <c r="AE304" i="57"/>
  <c r="AE303" i="57"/>
  <c r="AE302" i="57"/>
  <c r="AE301" i="57"/>
  <c r="AE300" i="57"/>
  <c r="AE299" i="57"/>
  <c r="AE298" i="57"/>
  <c r="AE297" i="57"/>
  <c r="AE296" i="57"/>
  <c r="AE295" i="57"/>
  <c r="AE294" i="57"/>
  <c r="AE293" i="57"/>
  <c r="AE292" i="57"/>
  <c r="AE291" i="57"/>
  <c r="AE290" i="57"/>
  <c r="AE289" i="57"/>
  <c r="AE288" i="57"/>
  <c r="AE287" i="57"/>
  <c r="AE286" i="57"/>
  <c r="AE285" i="57"/>
  <c r="AE284" i="57"/>
  <c r="AE283" i="57"/>
  <c r="AE282" i="57"/>
  <c r="AE281" i="57"/>
  <c r="AE280" i="57"/>
  <c r="AE279" i="57"/>
  <c r="AE278" i="57"/>
  <c r="AE277" i="57"/>
  <c r="AE276" i="57"/>
  <c r="AE275" i="57"/>
  <c r="AE274" i="57"/>
  <c r="AE273" i="57"/>
  <c r="AE272" i="57"/>
  <c r="AE271" i="57"/>
  <c r="AE270" i="57"/>
  <c r="AE269" i="57"/>
  <c r="AE268" i="57"/>
  <c r="AE267" i="57"/>
  <c r="AE266" i="57"/>
  <c r="AE265" i="57"/>
  <c r="AE264" i="57"/>
  <c r="AE263" i="57"/>
  <c r="AE262" i="57"/>
  <c r="AE261" i="57"/>
  <c r="AE260" i="57"/>
  <c r="AE259" i="57"/>
  <c r="AE258" i="57"/>
  <c r="AE257" i="57"/>
  <c r="AE256" i="57"/>
  <c r="AE255" i="57"/>
  <c r="AE254" i="57"/>
  <c r="AE253" i="57"/>
  <c r="AE252" i="57"/>
  <c r="AE251" i="57"/>
  <c r="AE250" i="57"/>
  <c r="AE249" i="57"/>
  <c r="AE248" i="57"/>
  <c r="AE247" i="57"/>
  <c r="AE246" i="57"/>
  <c r="AE245" i="57"/>
  <c r="AE244" i="57"/>
  <c r="AE243" i="57"/>
  <c r="AE242" i="57"/>
  <c r="AE241" i="57"/>
  <c r="AE240" i="57"/>
  <c r="AE239" i="57"/>
  <c r="AE238" i="57"/>
  <c r="AE237" i="57"/>
  <c r="AE236" i="57"/>
  <c r="AE235" i="57"/>
  <c r="AD235" i="57"/>
  <c r="AC235" i="57"/>
  <c r="AE234" i="57"/>
  <c r="AD234" i="57"/>
  <c r="AC234" i="57"/>
  <c r="AE233" i="57"/>
  <c r="AD233" i="57"/>
  <c r="AC233" i="57"/>
  <c r="AG232" i="57"/>
  <c r="AF232" i="57"/>
  <c r="AB232" i="57"/>
  <c r="AG231" i="57"/>
  <c r="AF231" i="57"/>
  <c r="AB231" i="57"/>
  <c r="AG230" i="57"/>
  <c r="AF230" i="57"/>
  <c r="AB230" i="57"/>
  <c r="AG229" i="57"/>
  <c r="AF229" i="57"/>
  <c r="AB229" i="57"/>
  <c r="AG228" i="57"/>
  <c r="AF228" i="57"/>
  <c r="AB228" i="57"/>
  <c r="AG227" i="57"/>
  <c r="AF227" i="57"/>
  <c r="AB227" i="57"/>
  <c r="AG226" i="57"/>
  <c r="AF226" i="57"/>
  <c r="AB226" i="57"/>
  <c r="AG225" i="57"/>
  <c r="AF225" i="57"/>
  <c r="AB225" i="57"/>
  <c r="AG224" i="57"/>
  <c r="AF224" i="57"/>
  <c r="AB224" i="57"/>
  <c r="AG223" i="57"/>
  <c r="AF223" i="57"/>
  <c r="AB223" i="57"/>
  <c r="AG222" i="57"/>
  <c r="AF222" i="57"/>
  <c r="AB222" i="57"/>
  <c r="AG221" i="57"/>
  <c r="AF221" i="57"/>
  <c r="AB221" i="57"/>
  <c r="AE220" i="57"/>
  <c r="AD220" i="57"/>
  <c r="AC220" i="57"/>
  <c r="AE219" i="57"/>
  <c r="AD219" i="57"/>
  <c r="AC219" i="57"/>
  <c r="AE218" i="57"/>
  <c r="AD218" i="57"/>
  <c r="AC218" i="57"/>
  <c r="AE217" i="57"/>
  <c r="AE216" i="57"/>
  <c r="AE215" i="57"/>
  <c r="AE214" i="57"/>
  <c r="AE213" i="57"/>
  <c r="AE212" i="57"/>
  <c r="AE211" i="57"/>
  <c r="AE210" i="57"/>
  <c r="AE209" i="57"/>
  <c r="AE208" i="57"/>
  <c r="AE207" i="57"/>
  <c r="AE206" i="57"/>
  <c r="AG205" i="57"/>
  <c r="AF205" i="57"/>
  <c r="AG204" i="57"/>
  <c r="AF204" i="57"/>
  <c r="AG203" i="57"/>
  <c r="AF203" i="57"/>
  <c r="AG202" i="57"/>
  <c r="AF202" i="57"/>
  <c r="AG201" i="57"/>
  <c r="AF201" i="57"/>
  <c r="AG200" i="57"/>
  <c r="AF200" i="57"/>
  <c r="AG199" i="57"/>
  <c r="AF199" i="57"/>
  <c r="AG198" i="57"/>
  <c r="AF198" i="57"/>
  <c r="AG197" i="57"/>
  <c r="AF197" i="57"/>
  <c r="AG196" i="57"/>
  <c r="AF196" i="57"/>
  <c r="AG195" i="57"/>
  <c r="AF195" i="57"/>
  <c r="AG194" i="57"/>
  <c r="AF194" i="57"/>
  <c r="AE193" i="57"/>
  <c r="AE192" i="57"/>
  <c r="AE191" i="57"/>
  <c r="AE190" i="57"/>
  <c r="AE189" i="57"/>
  <c r="AE188" i="57"/>
  <c r="AE187" i="57"/>
  <c r="AE186" i="57"/>
  <c r="AE185" i="57"/>
  <c r="AE184" i="57"/>
  <c r="AE183" i="57"/>
  <c r="AE182" i="57"/>
  <c r="AE181" i="57"/>
  <c r="AE180" i="57"/>
  <c r="AE179" i="57"/>
  <c r="AE178" i="57"/>
  <c r="AE177" i="57"/>
  <c r="AE176" i="57"/>
  <c r="AE175" i="57"/>
  <c r="AE174" i="57"/>
  <c r="AE173" i="57"/>
  <c r="AE172" i="57"/>
  <c r="AE171" i="57"/>
  <c r="AE170" i="57"/>
  <c r="AG169" i="57"/>
  <c r="AF169" i="57"/>
  <c r="AG168" i="57"/>
  <c r="AF168" i="57"/>
  <c r="AG167" i="57"/>
  <c r="AF167" i="57"/>
  <c r="AG166" i="57"/>
  <c r="AF166" i="57"/>
  <c r="AG165" i="57"/>
  <c r="AF165" i="57"/>
  <c r="AG164" i="57"/>
  <c r="AF164" i="57"/>
  <c r="AG163" i="57"/>
  <c r="AF163" i="57"/>
  <c r="AG162" i="57"/>
  <c r="AF162" i="57"/>
  <c r="AG161" i="57"/>
  <c r="AF161" i="57"/>
  <c r="AG160" i="57"/>
  <c r="AF160" i="57"/>
  <c r="AG159" i="57"/>
  <c r="AF159" i="57"/>
  <c r="AG158" i="57"/>
  <c r="AF158" i="57"/>
  <c r="AE157" i="57"/>
  <c r="AE156" i="57"/>
  <c r="AE155" i="57"/>
  <c r="AE154" i="57"/>
  <c r="AE153" i="57"/>
  <c r="AE152" i="57"/>
  <c r="AE151" i="57"/>
  <c r="AE150" i="57"/>
  <c r="AE149" i="57"/>
  <c r="AE148" i="57"/>
  <c r="AE147" i="57"/>
  <c r="AE146" i="57"/>
  <c r="AG145" i="57"/>
  <c r="AE145" i="57"/>
  <c r="AG144" i="57"/>
  <c r="AE144" i="57"/>
  <c r="AG143" i="57"/>
  <c r="AE143" i="57"/>
  <c r="AG142" i="57"/>
  <c r="AE142" i="57"/>
  <c r="AG141" i="57"/>
  <c r="AE141" i="57"/>
  <c r="AG140" i="57"/>
  <c r="AE140" i="57"/>
  <c r="AG139" i="57"/>
  <c r="AE139" i="57"/>
  <c r="AG138" i="57"/>
  <c r="AE138" i="57"/>
  <c r="AG137" i="57"/>
  <c r="AE137" i="57"/>
  <c r="AG136" i="57"/>
  <c r="AE136" i="57"/>
  <c r="AG135" i="57"/>
  <c r="AE135" i="57"/>
  <c r="AG134" i="57"/>
  <c r="AE134" i="57"/>
  <c r="AG133" i="57"/>
  <c r="AF133" i="57"/>
  <c r="AG132" i="57"/>
  <c r="AF132" i="57"/>
  <c r="AG131" i="57"/>
  <c r="AF131" i="57"/>
  <c r="AG130" i="57"/>
  <c r="AF130" i="57"/>
  <c r="AG129" i="57"/>
  <c r="AF129" i="57"/>
  <c r="AG128" i="57"/>
  <c r="AF128" i="57"/>
  <c r="AG127" i="57"/>
  <c r="AF127" i="57"/>
  <c r="AG126" i="57"/>
  <c r="AF126" i="57"/>
  <c r="AG125" i="57"/>
  <c r="AF125" i="57"/>
  <c r="AG124" i="57"/>
  <c r="AF124" i="57"/>
  <c r="AG123" i="57"/>
  <c r="AF123" i="57"/>
  <c r="AG122" i="57"/>
  <c r="AF122" i="57"/>
  <c r="AG121" i="57"/>
  <c r="AE121" i="57"/>
  <c r="AG120" i="57"/>
  <c r="AE120" i="57"/>
  <c r="AG119" i="57"/>
  <c r="AE119" i="57"/>
  <c r="AG118" i="57"/>
  <c r="AE118" i="57"/>
  <c r="AG117" i="57"/>
  <c r="AE117" i="57"/>
  <c r="AG116" i="57"/>
  <c r="AE116" i="57"/>
  <c r="AG115" i="57"/>
  <c r="AE115" i="57"/>
  <c r="AG114" i="57"/>
  <c r="AE114" i="57"/>
  <c r="AG113" i="57"/>
  <c r="AE113" i="57"/>
  <c r="AG112" i="57"/>
  <c r="AE112" i="57"/>
  <c r="AG111" i="57"/>
  <c r="AE111" i="57"/>
  <c r="AG110" i="57"/>
  <c r="AE110" i="57"/>
  <c r="AE109" i="57"/>
  <c r="AE108" i="57"/>
  <c r="AE107" i="57"/>
  <c r="AE106" i="57"/>
  <c r="AE105" i="57"/>
  <c r="AE104" i="57"/>
  <c r="AE103" i="57"/>
  <c r="AE102" i="57"/>
  <c r="AE101" i="57"/>
  <c r="AE100" i="57"/>
  <c r="AE99" i="57"/>
  <c r="AE98" i="57"/>
  <c r="AE97" i="57"/>
  <c r="AE96" i="57"/>
  <c r="AE95" i="57"/>
  <c r="AE94" i="57"/>
  <c r="AE93" i="57"/>
  <c r="AE92" i="57"/>
  <c r="AE91" i="57"/>
  <c r="AE90" i="57"/>
  <c r="AE89" i="57"/>
  <c r="AE88" i="57"/>
  <c r="AE87" i="57"/>
  <c r="AE86" i="57"/>
  <c r="AG85" i="57"/>
  <c r="AF85" i="57"/>
  <c r="AG84" i="57"/>
  <c r="AF84" i="57"/>
  <c r="AG83" i="57"/>
  <c r="AF83" i="57"/>
  <c r="AG82" i="57"/>
  <c r="AF82" i="57"/>
  <c r="AG81" i="57"/>
  <c r="AF81" i="57"/>
  <c r="AG80" i="57"/>
  <c r="AF80" i="57"/>
  <c r="AG79" i="57"/>
  <c r="AF79" i="57"/>
  <c r="AG78" i="57"/>
  <c r="AF78" i="57"/>
  <c r="AG77" i="57"/>
  <c r="AF77" i="57"/>
  <c r="AG76" i="57"/>
  <c r="AF76" i="57"/>
  <c r="AG75" i="57"/>
  <c r="AF75" i="57"/>
  <c r="AG74" i="57"/>
  <c r="AF74" i="57"/>
  <c r="AG73" i="57"/>
  <c r="AF73" i="57"/>
  <c r="AG72" i="57"/>
  <c r="AF72" i="57"/>
  <c r="AG71" i="57"/>
  <c r="AF71" i="57"/>
  <c r="AG70" i="57"/>
  <c r="AF70" i="57"/>
  <c r="AG69" i="57"/>
  <c r="AF69" i="57"/>
  <c r="AG68" i="57"/>
  <c r="AF68" i="57"/>
  <c r="AG67" i="57"/>
  <c r="AF67" i="57"/>
  <c r="AG66" i="57"/>
  <c r="AF66" i="57"/>
  <c r="AG65" i="57"/>
  <c r="AF65" i="57"/>
  <c r="AG64" i="57"/>
  <c r="AF64" i="57"/>
  <c r="AG63" i="57"/>
  <c r="AF63" i="57"/>
  <c r="AG62" i="57"/>
  <c r="AF62" i="57"/>
  <c r="AE61" i="57"/>
  <c r="AE60" i="57"/>
  <c r="AE59" i="57"/>
  <c r="AE58" i="57"/>
  <c r="AE57" i="57"/>
  <c r="AE56" i="57"/>
  <c r="AE55" i="57"/>
  <c r="AE54" i="57"/>
  <c r="AE53" i="57"/>
  <c r="AE52" i="57"/>
  <c r="AE51" i="57"/>
  <c r="AE50" i="57"/>
  <c r="AE49" i="57"/>
  <c r="AE48" i="57"/>
  <c r="AE47" i="57"/>
  <c r="AE46" i="57"/>
  <c r="AE45" i="57"/>
  <c r="AE44" i="57"/>
  <c r="AE43" i="57"/>
  <c r="AE42" i="57"/>
  <c r="AE41" i="57"/>
  <c r="AE40" i="57"/>
  <c r="AE39" i="57"/>
  <c r="AE38" i="57"/>
  <c r="AG37" i="57"/>
  <c r="AG36" i="57"/>
  <c r="AG35" i="57"/>
  <c r="AG34" i="57"/>
  <c r="AG33" i="57"/>
  <c r="AG32" i="57"/>
  <c r="AG31" i="57"/>
  <c r="AG30" i="57"/>
  <c r="AG29" i="57"/>
  <c r="AG28" i="57"/>
  <c r="AG27" i="57"/>
  <c r="AG26" i="57"/>
  <c r="AG25" i="57"/>
  <c r="AE25" i="57"/>
  <c r="AG24" i="57"/>
  <c r="AE24" i="57"/>
  <c r="AG23" i="57"/>
  <c r="AE23" i="57"/>
  <c r="AG22" i="57"/>
  <c r="AE22" i="57"/>
  <c r="AG21" i="57"/>
  <c r="AE21" i="57"/>
  <c r="AG20" i="57"/>
  <c r="AE20" i="57"/>
  <c r="AG19" i="57"/>
  <c r="AE19" i="57"/>
  <c r="AG18" i="57"/>
  <c r="AE18" i="57"/>
  <c r="AG17" i="57"/>
  <c r="AE17" i="57"/>
  <c r="AG16" i="57"/>
  <c r="AE16" i="57"/>
  <c r="AG15" i="57"/>
  <c r="AE15" i="57"/>
  <c r="AG14" i="57"/>
  <c r="AE14" i="57"/>
  <c r="AG13" i="57"/>
  <c r="AG12" i="57"/>
  <c r="AG11" i="57"/>
  <c r="AG10" i="57"/>
  <c r="AG9" i="57"/>
  <c r="AG8" i="57"/>
  <c r="AG7" i="57"/>
  <c r="AG6" i="57"/>
  <c r="AG5" i="57"/>
  <c r="AG4" i="57"/>
  <c r="AG3" i="57"/>
  <c r="AG2" i="57"/>
  <c r="X444" i="57"/>
  <c r="AD444" i="57" s="1"/>
  <c r="W444" i="57"/>
  <c r="AC444" i="57" s="1"/>
  <c r="V444" i="57"/>
  <c r="AB444" i="57" s="1"/>
  <c r="X443" i="57"/>
  <c r="AD443" i="57" s="1"/>
  <c r="W443" i="57"/>
  <c r="AC443" i="57" s="1"/>
  <c r="V443" i="57"/>
  <c r="AB443" i="57" s="1"/>
  <c r="X442" i="57"/>
  <c r="AD442" i="57" s="1"/>
  <c r="W442" i="57"/>
  <c r="AC442" i="57" s="1"/>
  <c r="V442" i="57"/>
  <c r="AB442" i="57" s="1"/>
  <c r="X441" i="57"/>
  <c r="AD441" i="57" s="1"/>
  <c r="W441" i="57"/>
  <c r="AC441" i="57" s="1"/>
  <c r="V441" i="57"/>
  <c r="AB441" i="57" s="1"/>
  <c r="X440" i="57"/>
  <c r="AD440" i="57" s="1"/>
  <c r="W440" i="57"/>
  <c r="AC440" i="57" s="1"/>
  <c r="V440" i="57"/>
  <c r="AB440" i="57" s="1"/>
  <c r="X439" i="57"/>
  <c r="AD439" i="57" s="1"/>
  <c r="W439" i="57"/>
  <c r="AC439" i="57" s="1"/>
  <c r="V439" i="57"/>
  <c r="AB439" i="57" s="1"/>
  <c r="X438" i="57"/>
  <c r="AD438" i="57" s="1"/>
  <c r="W438" i="57"/>
  <c r="AC438" i="57" s="1"/>
  <c r="V438" i="57"/>
  <c r="AB438" i="57" s="1"/>
  <c r="X437" i="57"/>
  <c r="AD437" i="57" s="1"/>
  <c r="W437" i="57"/>
  <c r="AC437" i="57" s="1"/>
  <c r="V437" i="57"/>
  <c r="AB437" i="57" s="1"/>
  <c r="X436" i="57"/>
  <c r="AD436" i="57" s="1"/>
  <c r="W436" i="57"/>
  <c r="AC436" i="57" s="1"/>
  <c r="V436" i="57"/>
  <c r="AB436" i="57" s="1"/>
  <c r="X435" i="57"/>
  <c r="AD435" i="57" s="1"/>
  <c r="W435" i="57"/>
  <c r="AC435" i="57" s="1"/>
  <c r="V435" i="57"/>
  <c r="AB435" i="57" s="1"/>
  <c r="X434" i="57"/>
  <c r="AD434" i="57" s="1"/>
  <c r="W434" i="57"/>
  <c r="AC434" i="57" s="1"/>
  <c r="V434" i="57"/>
  <c r="AB434" i="57" s="1"/>
  <c r="X433" i="57"/>
  <c r="AD433" i="57" s="1"/>
  <c r="AO6" i="57" s="1"/>
  <c r="W433" i="57"/>
  <c r="AC433" i="57" s="1"/>
  <c r="V433" i="57"/>
  <c r="AB433" i="57" s="1"/>
  <c r="V432" i="57"/>
  <c r="AB432" i="57" s="1"/>
  <c r="V431" i="57"/>
  <c r="AB431" i="57" s="1"/>
  <c r="V430" i="57"/>
  <c r="AB430" i="57" s="1"/>
  <c r="V429" i="57"/>
  <c r="AB429" i="57" s="1"/>
  <c r="V428" i="57"/>
  <c r="AB428" i="57" s="1"/>
  <c r="V427" i="57"/>
  <c r="AB427" i="57" s="1"/>
  <c r="V426" i="57"/>
  <c r="AB426" i="57" s="1"/>
  <c r="V425" i="57"/>
  <c r="AB425" i="57" s="1"/>
  <c r="V424" i="57"/>
  <c r="AB424" i="57" s="1"/>
  <c r="V423" i="57"/>
  <c r="AB423" i="57" s="1"/>
  <c r="V422" i="57"/>
  <c r="AB422" i="57" s="1"/>
  <c r="V421" i="57"/>
  <c r="AB421" i="57" s="1"/>
  <c r="X420" i="57"/>
  <c r="AD420" i="57" s="1"/>
  <c r="W420" i="57"/>
  <c r="AC420" i="57" s="1"/>
  <c r="V420" i="57"/>
  <c r="AB420" i="57" s="1"/>
  <c r="X419" i="57"/>
  <c r="AD419" i="57" s="1"/>
  <c r="W419" i="57"/>
  <c r="AC419" i="57" s="1"/>
  <c r="V419" i="57"/>
  <c r="AB419" i="57" s="1"/>
  <c r="X418" i="57"/>
  <c r="AD418" i="57" s="1"/>
  <c r="W418" i="57"/>
  <c r="AC418" i="57" s="1"/>
  <c r="V418" i="57"/>
  <c r="AB418" i="57" s="1"/>
  <c r="X417" i="57"/>
  <c r="AD417" i="57" s="1"/>
  <c r="W417" i="57"/>
  <c r="AC417" i="57" s="1"/>
  <c r="V417" i="57"/>
  <c r="AB417" i="57" s="1"/>
  <c r="X416" i="57"/>
  <c r="AD416" i="57" s="1"/>
  <c r="W416" i="57"/>
  <c r="AC416" i="57" s="1"/>
  <c r="V416" i="57"/>
  <c r="AB416" i="57" s="1"/>
  <c r="X415" i="57"/>
  <c r="AD415" i="57" s="1"/>
  <c r="W415" i="57"/>
  <c r="AC415" i="57" s="1"/>
  <c r="V415" i="57"/>
  <c r="AB415" i="57" s="1"/>
  <c r="X414" i="57"/>
  <c r="AD414" i="57" s="1"/>
  <c r="W414" i="57"/>
  <c r="AC414" i="57" s="1"/>
  <c r="V414" i="57"/>
  <c r="AB414" i="57" s="1"/>
  <c r="X413" i="57"/>
  <c r="AD413" i="57" s="1"/>
  <c r="W413" i="57"/>
  <c r="AC413" i="57" s="1"/>
  <c r="V413" i="57"/>
  <c r="AB413" i="57" s="1"/>
  <c r="X412" i="57"/>
  <c r="AD412" i="57" s="1"/>
  <c r="W412" i="57"/>
  <c r="AC412" i="57" s="1"/>
  <c r="V412" i="57"/>
  <c r="AB412" i="57" s="1"/>
  <c r="X411" i="57"/>
  <c r="AD411" i="57" s="1"/>
  <c r="W411" i="57"/>
  <c r="AC411" i="57" s="1"/>
  <c r="V411" i="57"/>
  <c r="AB411" i="57" s="1"/>
  <c r="X410" i="57"/>
  <c r="AD410" i="57" s="1"/>
  <c r="W410" i="57"/>
  <c r="AC410" i="57" s="1"/>
  <c r="V410" i="57"/>
  <c r="AB410" i="57" s="1"/>
  <c r="X409" i="57"/>
  <c r="AD409" i="57" s="1"/>
  <c r="W409" i="57"/>
  <c r="AC409" i="57" s="1"/>
  <c r="V409" i="57"/>
  <c r="AB409" i="57" s="1"/>
  <c r="X408" i="57"/>
  <c r="AD408" i="57" s="1"/>
  <c r="W408" i="57"/>
  <c r="AC408" i="57" s="1"/>
  <c r="V408" i="57"/>
  <c r="AB408" i="57" s="1"/>
  <c r="X407" i="57"/>
  <c r="AD407" i="57" s="1"/>
  <c r="W407" i="57"/>
  <c r="AC407" i="57" s="1"/>
  <c r="V407" i="57"/>
  <c r="AB407" i="57" s="1"/>
  <c r="X406" i="57"/>
  <c r="AD406" i="57" s="1"/>
  <c r="W406" i="57"/>
  <c r="AC406" i="57" s="1"/>
  <c r="V406" i="57"/>
  <c r="AB406" i="57" s="1"/>
  <c r="X405" i="57"/>
  <c r="AD405" i="57" s="1"/>
  <c r="W405" i="57"/>
  <c r="AC405" i="57" s="1"/>
  <c r="V405" i="57"/>
  <c r="AB405" i="57" s="1"/>
  <c r="X404" i="57"/>
  <c r="AD404" i="57" s="1"/>
  <c r="W404" i="57"/>
  <c r="AC404" i="57" s="1"/>
  <c r="V404" i="57"/>
  <c r="AB404" i="57" s="1"/>
  <c r="X403" i="57"/>
  <c r="AD403" i="57" s="1"/>
  <c r="W403" i="57"/>
  <c r="AC403" i="57" s="1"/>
  <c r="V403" i="57"/>
  <c r="AB403" i="57" s="1"/>
  <c r="X402" i="57"/>
  <c r="AD402" i="57" s="1"/>
  <c r="W402" i="57"/>
  <c r="AC402" i="57" s="1"/>
  <c r="V402" i="57"/>
  <c r="AB402" i="57" s="1"/>
  <c r="X401" i="57"/>
  <c r="AD401" i="57" s="1"/>
  <c r="W401" i="57"/>
  <c r="AC401" i="57" s="1"/>
  <c r="V401" i="57"/>
  <c r="AB401" i="57" s="1"/>
  <c r="X400" i="57"/>
  <c r="AD400" i="57" s="1"/>
  <c r="W400" i="57"/>
  <c r="AC400" i="57" s="1"/>
  <c r="V400" i="57"/>
  <c r="AB400" i="57" s="1"/>
  <c r="X399" i="57"/>
  <c r="AD399" i="57" s="1"/>
  <c r="W399" i="57"/>
  <c r="AC399" i="57" s="1"/>
  <c r="V399" i="57"/>
  <c r="AB399" i="57" s="1"/>
  <c r="X398" i="57"/>
  <c r="AD398" i="57" s="1"/>
  <c r="W398" i="57"/>
  <c r="AC398" i="57" s="1"/>
  <c r="V398" i="57"/>
  <c r="AB398" i="57" s="1"/>
  <c r="X397" i="57"/>
  <c r="AD397" i="57" s="1"/>
  <c r="W397" i="57"/>
  <c r="AC397" i="57" s="1"/>
  <c r="V397" i="57"/>
  <c r="AB397" i="57" s="1"/>
  <c r="X396" i="57"/>
  <c r="AD396" i="57" s="1"/>
  <c r="W396" i="57"/>
  <c r="AC396" i="57" s="1"/>
  <c r="V396" i="57"/>
  <c r="AB396" i="57" s="1"/>
  <c r="X395" i="57"/>
  <c r="AD395" i="57" s="1"/>
  <c r="W395" i="57"/>
  <c r="AC395" i="57" s="1"/>
  <c r="V395" i="57"/>
  <c r="AB395" i="57" s="1"/>
  <c r="X394" i="57"/>
  <c r="AD394" i="57" s="1"/>
  <c r="W394" i="57"/>
  <c r="AC394" i="57" s="1"/>
  <c r="V394" i="57"/>
  <c r="AB394" i="57" s="1"/>
  <c r="X393" i="57"/>
  <c r="AD393" i="57" s="1"/>
  <c r="W393" i="57"/>
  <c r="AC393" i="57" s="1"/>
  <c r="V393" i="57"/>
  <c r="AB393" i="57" s="1"/>
  <c r="X392" i="57"/>
  <c r="AD392" i="57" s="1"/>
  <c r="W392" i="57"/>
  <c r="AC392" i="57" s="1"/>
  <c r="V392" i="57"/>
  <c r="AB392" i="57" s="1"/>
  <c r="X391" i="57"/>
  <c r="AD391" i="57" s="1"/>
  <c r="W391" i="57"/>
  <c r="AC391" i="57" s="1"/>
  <c r="V391" i="57"/>
  <c r="AB391" i="57" s="1"/>
  <c r="X390" i="57"/>
  <c r="AD390" i="57" s="1"/>
  <c r="W390" i="57"/>
  <c r="AC390" i="57" s="1"/>
  <c r="V390" i="57"/>
  <c r="AB390" i="57" s="1"/>
  <c r="X389" i="57"/>
  <c r="AD389" i="57" s="1"/>
  <c r="W389" i="57"/>
  <c r="AC389" i="57" s="1"/>
  <c r="V389" i="57"/>
  <c r="AB389" i="57" s="1"/>
  <c r="X388" i="57"/>
  <c r="AD388" i="57" s="1"/>
  <c r="W388" i="57"/>
  <c r="AC388" i="57" s="1"/>
  <c r="V388" i="57"/>
  <c r="AB388" i="57" s="1"/>
  <c r="X387" i="57"/>
  <c r="AD387" i="57" s="1"/>
  <c r="W387" i="57"/>
  <c r="AC387" i="57" s="1"/>
  <c r="V387" i="57"/>
  <c r="AB387" i="57" s="1"/>
  <c r="X386" i="57"/>
  <c r="AD386" i="57" s="1"/>
  <c r="W386" i="57"/>
  <c r="AC386" i="57" s="1"/>
  <c r="V386" i="57"/>
  <c r="AB386" i="57" s="1"/>
  <c r="X385" i="57"/>
  <c r="AD385" i="57" s="1"/>
  <c r="W385" i="57"/>
  <c r="AC385" i="57" s="1"/>
  <c r="V385" i="57"/>
  <c r="AB385" i="57" s="1"/>
  <c r="X384" i="57"/>
  <c r="AD384" i="57" s="1"/>
  <c r="W384" i="57"/>
  <c r="AC384" i="57" s="1"/>
  <c r="V384" i="57"/>
  <c r="AB384" i="57" s="1"/>
  <c r="X383" i="57"/>
  <c r="AD383" i="57" s="1"/>
  <c r="W383" i="57"/>
  <c r="AC383" i="57" s="1"/>
  <c r="V383" i="57"/>
  <c r="AB383" i="57" s="1"/>
  <c r="X382" i="57"/>
  <c r="AD382" i="57" s="1"/>
  <c r="W382" i="57"/>
  <c r="AC382" i="57" s="1"/>
  <c r="V382" i="57"/>
  <c r="AB382" i="57" s="1"/>
  <c r="X381" i="57"/>
  <c r="AD381" i="57" s="1"/>
  <c r="W381" i="57"/>
  <c r="AC381" i="57" s="1"/>
  <c r="V381" i="57"/>
  <c r="AB381" i="57" s="1"/>
  <c r="X380" i="57"/>
  <c r="AD380" i="57" s="1"/>
  <c r="W380" i="57"/>
  <c r="AC380" i="57" s="1"/>
  <c r="V380" i="57"/>
  <c r="AB380" i="57" s="1"/>
  <c r="X379" i="57"/>
  <c r="AD379" i="57" s="1"/>
  <c r="W379" i="57"/>
  <c r="AC379" i="57" s="1"/>
  <c r="V379" i="57"/>
  <c r="AB379" i="57" s="1"/>
  <c r="X378" i="57"/>
  <c r="AD378" i="57" s="1"/>
  <c r="W378" i="57"/>
  <c r="AC378" i="57" s="1"/>
  <c r="V378" i="57"/>
  <c r="AB378" i="57" s="1"/>
  <c r="X377" i="57"/>
  <c r="AD377" i="57" s="1"/>
  <c r="W377" i="57"/>
  <c r="AC377" i="57" s="1"/>
  <c r="V377" i="57"/>
  <c r="AB377" i="57" s="1"/>
  <c r="X376" i="57"/>
  <c r="AD376" i="57" s="1"/>
  <c r="W376" i="57"/>
  <c r="AC376" i="57" s="1"/>
  <c r="V376" i="57"/>
  <c r="AB376" i="57" s="1"/>
  <c r="X375" i="57"/>
  <c r="AD375" i="57" s="1"/>
  <c r="W375" i="57"/>
  <c r="AC375" i="57" s="1"/>
  <c r="V375" i="57"/>
  <c r="AB375" i="57" s="1"/>
  <c r="X374" i="57"/>
  <c r="AD374" i="57" s="1"/>
  <c r="W374" i="57"/>
  <c r="AC374" i="57" s="1"/>
  <c r="V374" i="57"/>
  <c r="AB374" i="57" s="1"/>
  <c r="X373" i="57"/>
  <c r="AD373" i="57" s="1"/>
  <c r="W373" i="57"/>
  <c r="AC373" i="57" s="1"/>
  <c r="V373" i="57"/>
  <c r="AB373" i="57" s="1"/>
  <c r="X372" i="57"/>
  <c r="AD372" i="57" s="1"/>
  <c r="W372" i="57"/>
  <c r="AC372" i="57" s="1"/>
  <c r="V372" i="57"/>
  <c r="AB372" i="57" s="1"/>
  <c r="X371" i="57"/>
  <c r="AD371" i="57" s="1"/>
  <c r="W371" i="57"/>
  <c r="AC371" i="57" s="1"/>
  <c r="V371" i="57"/>
  <c r="AB371" i="57" s="1"/>
  <c r="X370" i="57"/>
  <c r="AD370" i="57" s="1"/>
  <c r="W370" i="57"/>
  <c r="AC370" i="57" s="1"/>
  <c r="V370" i="57"/>
  <c r="AB370" i="57" s="1"/>
  <c r="X369" i="57"/>
  <c r="AD369" i="57" s="1"/>
  <c r="W369" i="57"/>
  <c r="AC369" i="57" s="1"/>
  <c r="V369" i="57"/>
  <c r="AB369" i="57" s="1"/>
  <c r="X368" i="57"/>
  <c r="AD368" i="57" s="1"/>
  <c r="W368" i="57"/>
  <c r="AC368" i="57" s="1"/>
  <c r="V368" i="57"/>
  <c r="AB368" i="57" s="1"/>
  <c r="X367" i="57"/>
  <c r="AD367" i="57" s="1"/>
  <c r="W367" i="57"/>
  <c r="AC367" i="57" s="1"/>
  <c r="V367" i="57"/>
  <c r="AB367" i="57" s="1"/>
  <c r="X366" i="57"/>
  <c r="AD366" i="57" s="1"/>
  <c r="W366" i="57"/>
  <c r="AC366" i="57" s="1"/>
  <c r="V366" i="57"/>
  <c r="AB366" i="57" s="1"/>
  <c r="X365" i="57"/>
  <c r="AD365" i="57" s="1"/>
  <c r="W365" i="57"/>
  <c r="AC365" i="57" s="1"/>
  <c r="V365" i="57"/>
  <c r="AB365" i="57" s="1"/>
  <c r="X364" i="57"/>
  <c r="AD364" i="57" s="1"/>
  <c r="W364" i="57"/>
  <c r="AC364" i="57" s="1"/>
  <c r="V364" i="57"/>
  <c r="AB364" i="57" s="1"/>
  <c r="X363" i="57"/>
  <c r="AD363" i="57" s="1"/>
  <c r="W363" i="57"/>
  <c r="AC363" i="57" s="1"/>
  <c r="V363" i="57"/>
  <c r="AB363" i="57" s="1"/>
  <c r="X362" i="57"/>
  <c r="AD362" i="57" s="1"/>
  <c r="W362" i="57"/>
  <c r="AC362" i="57" s="1"/>
  <c r="V362" i="57"/>
  <c r="AB362" i="57" s="1"/>
  <c r="X361" i="57"/>
  <c r="AD361" i="57" s="1"/>
  <c r="W361" i="57"/>
  <c r="AC361" i="57" s="1"/>
  <c r="V361" i="57"/>
  <c r="AB361" i="57" s="1"/>
  <c r="X360" i="57"/>
  <c r="AD360" i="57" s="1"/>
  <c r="W360" i="57"/>
  <c r="AC360" i="57" s="1"/>
  <c r="V360" i="57"/>
  <c r="AB360" i="57" s="1"/>
  <c r="X359" i="57"/>
  <c r="AD359" i="57" s="1"/>
  <c r="W359" i="57"/>
  <c r="AC359" i="57" s="1"/>
  <c r="V359" i="57"/>
  <c r="AB359" i="57" s="1"/>
  <c r="X358" i="57"/>
  <c r="AD358" i="57" s="1"/>
  <c r="W358" i="57"/>
  <c r="AC358" i="57" s="1"/>
  <c r="V358" i="57"/>
  <c r="AB358" i="57" s="1"/>
  <c r="X357" i="57"/>
  <c r="AD357" i="57" s="1"/>
  <c r="W357" i="57"/>
  <c r="AC357" i="57" s="1"/>
  <c r="V357" i="57"/>
  <c r="AB357" i="57" s="1"/>
  <c r="X356" i="57"/>
  <c r="AD356" i="57" s="1"/>
  <c r="W356" i="57"/>
  <c r="AC356" i="57" s="1"/>
  <c r="V356" i="57"/>
  <c r="AB356" i="57" s="1"/>
  <c r="X355" i="57"/>
  <c r="AD355" i="57" s="1"/>
  <c r="W355" i="57"/>
  <c r="AC355" i="57" s="1"/>
  <c r="V355" i="57"/>
  <c r="AB355" i="57" s="1"/>
  <c r="X354" i="57"/>
  <c r="AD354" i="57" s="1"/>
  <c r="W354" i="57"/>
  <c r="AC354" i="57" s="1"/>
  <c r="V354" i="57"/>
  <c r="AB354" i="57" s="1"/>
  <c r="X353" i="57"/>
  <c r="AD353" i="57" s="1"/>
  <c r="W353" i="57"/>
  <c r="AC353" i="57" s="1"/>
  <c r="V353" i="57"/>
  <c r="AB353" i="57" s="1"/>
  <c r="X352" i="57"/>
  <c r="AD352" i="57" s="1"/>
  <c r="W352" i="57"/>
  <c r="AC352" i="57" s="1"/>
  <c r="V352" i="57"/>
  <c r="AB352" i="57" s="1"/>
  <c r="X351" i="57"/>
  <c r="AD351" i="57" s="1"/>
  <c r="W351" i="57"/>
  <c r="AC351" i="57" s="1"/>
  <c r="V351" i="57"/>
  <c r="AB351" i="57" s="1"/>
  <c r="X350" i="57"/>
  <c r="AD350" i="57" s="1"/>
  <c r="W350" i="57"/>
  <c r="AC350" i="57" s="1"/>
  <c r="V350" i="57"/>
  <c r="AB350" i="57" s="1"/>
  <c r="X349" i="57"/>
  <c r="AD349" i="57" s="1"/>
  <c r="W349" i="57"/>
  <c r="AC349" i="57" s="1"/>
  <c r="V349" i="57"/>
  <c r="AB349" i="57" s="1"/>
  <c r="X348" i="57"/>
  <c r="AD348" i="57" s="1"/>
  <c r="W348" i="57"/>
  <c r="AC348" i="57" s="1"/>
  <c r="V348" i="57"/>
  <c r="AB348" i="57" s="1"/>
  <c r="X347" i="57"/>
  <c r="AD347" i="57" s="1"/>
  <c r="W347" i="57"/>
  <c r="AC347" i="57" s="1"/>
  <c r="V347" i="57"/>
  <c r="AB347" i="57" s="1"/>
  <c r="X346" i="57"/>
  <c r="AD346" i="57" s="1"/>
  <c r="W346" i="57"/>
  <c r="AC346" i="57" s="1"/>
  <c r="V346" i="57"/>
  <c r="AB346" i="57" s="1"/>
  <c r="X345" i="57"/>
  <c r="AD345" i="57" s="1"/>
  <c r="W345" i="57"/>
  <c r="AC345" i="57" s="1"/>
  <c r="V345" i="57"/>
  <c r="AB345" i="57" s="1"/>
  <c r="X344" i="57"/>
  <c r="AD344" i="57" s="1"/>
  <c r="W344" i="57"/>
  <c r="AC344" i="57" s="1"/>
  <c r="V344" i="57"/>
  <c r="AB344" i="57" s="1"/>
  <c r="X343" i="57"/>
  <c r="AD343" i="57" s="1"/>
  <c r="W343" i="57"/>
  <c r="AC343" i="57" s="1"/>
  <c r="V343" i="57"/>
  <c r="AB343" i="57" s="1"/>
  <c r="X342" i="57"/>
  <c r="AD342" i="57" s="1"/>
  <c r="W342" i="57"/>
  <c r="AC342" i="57" s="1"/>
  <c r="V342" i="57"/>
  <c r="AB342" i="57" s="1"/>
  <c r="X341" i="57"/>
  <c r="AD341" i="57" s="1"/>
  <c r="W341" i="57"/>
  <c r="AC341" i="57" s="1"/>
  <c r="V341" i="57"/>
  <c r="AB341" i="57" s="1"/>
  <c r="X340" i="57"/>
  <c r="AD340" i="57" s="1"/>
  <c r="W340" i="57"/>
  <c r="AC340" i="57" s="1"/>
  <c r="V340" i="57"/>
  <c r="AB340" i="57" s="1"/>
  <c r="X339" i="57"/>
  <c r="AD339" i="57" s="1"/>
  <c r="W339" i="57"/>
  <c r="AC339" i="57" s="1"/>
  <c r="V339" i="57"/>
  <c r="AB339" i="57" s="1"/>
  <c r="X338" i="57"/>
  <c r="AD338" i="57" s="1"/>
  <c r="W338" i="57"/>
  <c r="AC338" i="57" s="1"/>
  <c r="V338" i="57"/>
  <c r="AB338" i="57" s="1"/>
  <c r="X337" i="57"/>
  <c r="AD337" i="57" s="1"/>
  <c r="W337" i="57"/>
  <c r="AC337" i="57" s="1"/>
  <c r="V337" i="57"/>
  <c r="AB337" i="57" s="1"/>
  <c r="X336" i="57"/>
  <c r="AD336" i="57" s="1"/>
  <c r="W336" i="57"/>
  <c r="AC336" i="57" s="1"/>
  <c r="V336" i="57"/>
  <c r="AB336" i="57" s="1"/>
  <c r="X335" i="57"/>
  <c r="AD335" i="57" s="1"/>
  <c r="W335" i="57"/>
  <c r="AC335" i="57" s="1"/>
  <c r="V335" i="57"/>
  <c r="AB335" i="57" s="1"/>
  <c r="X334" i="57"/>
  <c r="AD334" i="57" s="1"/>
  <c r="W334" i="57"/>
  <c r="AC334" i="57" s="1"/>
  <c r="V334" i="57"/>
  <c r="AB334" i="57" s="1"/>
  <c r="X333" i="57"/>
  <c r="AD333" i="57" s="1"/>
  <c r="W333" i="57"/>
  <c r="AC333" i="57" s="1"/>
  <c r="V333" i="57"/>
  <c r="AB333" i="57" s="1"/>
  <c r="X332" i="57"/>
  <c r="AD332" i="57" s="1"/>
  <c r="W332" i="57"/>
  <c r="AC332" i="57" s="1"/>
  <c r="V332" i="57"/>
  <c r="AB332" i="57" s="1"/>
  <c r="X331" i="57"/>
  <c r="AD331" i="57" s="1"/>
  <c r="W331" i="57"/>
  <c r="AC331" i="57" s="1"/>
  <c r="V331" i="57"/>
  <c r="AB331" i="57" s="1"/>
  <c r="X330" i="57"/>
  <c r="AD330" i="57" s="1"/>
  <c r="W330" i="57"/>
  <c r="AC330" i="57" s="1"/>
  <c r="V330" i="57"/>
  <c r="AB330" i="57" s="1"/>
  <c r="X329" i="57"/>
  <c r="AD329" i="57" s="1"/>
  <c r="W329" i="57"/>
  <c r="AC329" i="57" s="1"/>
  <c r="V329" i="57"/>
  <c r="AB329" i="57" s="1"/>
  <c r="X328" i="57"/>
  <c r="AD328" i="57" s="1"/>
  <c r="W328" i="57"/>
  <c r="AC328" i="57" s="1"/>
  <c r="V328" i="57"/>
  <c r="AB328" i="57" s="1"/>
  <c r="X327" i="57"/>
  <c r="AD327" i="57" s="1"/>
  <c r="W327" i="57"/>
  <c r="AC327" i="57" s="1"/>
  <c r="V327" i="57"/>
  <c r="AB327" i="57" s="1"/>
  <c r="X326" i="57"/>
  <c r="AD326" i="57" s="1"/>
  <c r="W326" i="57"/>
  <c r="AC326" i="57" s="1"/>
  <c r="V326" i="57"/>
  <c r="AB326" i="57" s="1"/>
  <c r="X325" i="57"/>
  <c r="AD325" i="57" s="1"/>
  <c r="W325" i="57"/>
  <c r="AC325" i="57" s="1"/>
  <c r="V325" i="57"/>
  <c r="AB325" i="57" s="1"/>
  <c r="X324" i="57"/>
  <c r="AD324" i="57" s="1"/>
  <c r="W324" i="57"/>
  <c r="AC324" i="57" s="1"/>
  <c r="V324" i="57"/>
  <c r="AB324" i="57" s="1"/>
  <c r="X323" i="57"/>
  <c r="AD323" i="57" s="1"/>
  <c r="W323" i="57"/>
  <c r="AC323" i="57" s="1"/>
  <c r="V323" i="57"/>
  <c r="AB323" i="57" s="1"/>
  <c r="X322" i="57"/>
  <c r="AD322" i="57" s="1"/>
  <c r="W322" i="57"/>
  <c r="AC322" i="57" s="1"/>
  <c r="V322" i="57"/>
  <c r="AB322" i="57" s="1"/>
  <c r="X321" i="57"/>
  <c r="AD321" i="57" s="1"/>
  <c r="W321" i="57"/>
  <c r="AC321" i="57" s="1"/>
  <c r="V321" i="57"/>
  <c r="AB321" i="57" s="1"/>
  <c r="X320" i="57"/>
  <c r="AD320" i="57" s="1"/>
  <c r="W320" i="57"/>
  <c r="AC320" i="57" s="1"/>
  <c r="V320" i="57"/>
  <c r="AB320" i="57" s="1"/>
  <c r="X319" i="57"/>
  <c r="AD319" i="57" s="1"/>
  <c r="W319" i="57"/>
  <c r="AC319" i="57" s="1"/>
  <c r="V319" i="57"/>
  <c r="AB319" i="57" s="1"/>
  <c r="X318" i="57"/>
  <c r="AD318" i="57" s="1"/>
  <c r="W318" i="57"/>
  <c r="AC318" i="57" s="1"/>
  <c r="V318" i="57"/>
  <c r="AB318" i="57" s="1"/>
  <c r="X317" i="57"/>
  <c r="AD317" i="57" s="1"/>
  <c r="W317" i="57"/>
  <c r="AC317" i="57" s="1"/>
  <c r="V317" i="57"/>
  <c r="AB317" i="57" s="1"/>
  <c r="X316" i="57"/>
  <c r="AD316" i="57" s="1"/>
  <c r="W316" i="57"/>
  <c r="AC316" i="57" s="1"/>
  <c r="V316" i="57"/>
  <c r="AB316" i="57" s="1"/>
  <c r="X315" i="57"/>
  <c r="AD315" i="57" s="1"/>
  <c r="W315" i="57"/>
  <c r="AC315" i="57" s="1"/>
  <c r="V315" i="57"/>
  <c r="AB315" i="57" s="1"/>
  <c r="X314" i="57"/>
  <c r="AD314" i="57" s="1"/>
  <c r="W314" i="57"/>
  <c r="AC314" i="57" s="1"/>
  <c r="V314" i="57"/>
  <c r="AB314" i="57" s="1"/>
  <c r="X313" i="57"/>
  <c r="AD313" i="57" s="1"/>
  <c r="W313" i="57"/>
  <c r="AC313" i="57" s="1"/>
  <c r="V313" i="57"/>
  <c r="AB313" i="57" s="1"/>
  <c r="X312" i="57"/>
  <c r="AD312" i="57" s="1"/>
  <c r="W312" i="57"/>
  <c r="AC312" i="57" s="1"/>
  <c r="V312" i="57"/>
  <c r="AB312" i="57" s="1"/>
  <c r="X311" i="57"/>
  <c r="AD311" i="57" s="1"/>
  <c r="W311" i="57"/>
  <c r="AC311" i="57" s="1"/>
  <c r="V311" i="57"/>
  <c r="AB311" i="57" s="1"/>
  <c r="X310" i="57"/>
  <c r="AD310" i="57" s="1"/>
  <c r="W310" i="57"/>
  <c r="AC310" i="57" s="1"/>
  <c r="V310" i="57"/>
  <c r="AB310" i="57" s="1"/>
  <c r="X309" i="57"/>
  <c r="AD309" i="57" s="1"/>
  <c r="W309" i="57"/>
  <c r="AC309" i="57" s="1"/>
  <c r="V309" i="57"/>
  <c r="AB309" i="57" s="1"/>
  <c r="X308" i="57"/>
  <c r="AD308" i="57" s="1"/>
  <c r="W308" i="57"/>
  <c r="AC308" i="57" s="1"/>
  <c r="V308" i="57"/>
  <c r="AB308" i="57" s="1"/>
  <c r="X307" i="57"/>
  <c r="AD307" i="57" s="1"/>
  <c r="W307" i="57"/>
  <c r="AC307" i="57" s="1"/>
  <c r="V307" i="57"/>
  <c r="AB307" i="57" s="1"/>
  <c r="X306" i="57"/>
  <c r="AD306" i="57" s="1"/>
  <c r="W306" i="57"/>
  <c r="AC306" i="57" s="1"/>
  <c r="V306" i="57"/>
  <c r="AB306" i="57" s="1"/>
  <c r="X305" i="57"/>
  <c r="AD305" i="57" s="1"/>
  <c r="W305" i="57"/>
  <c r="AC305" i="57" s="1"/>
  <c r="V305" i="57"/>
  <c r="AB305" i="57" s="1"/>
  <c r="X304" i="57"/>
  <c r="AD304" i="57" s="1"/>
  <c r="W304" i="57"/>
  <c r="AC304" i="57" s="1"/>
  <c r="V304" i="57"/>
  <c r="AB304" i="57" s="1"/>
  <c r="X303" i="57"/>
  <c r="AD303" i="57" s="1"/>
  <c r="W303" i="57"/>
  <c r="AC303" i="57" s="1"/>
  <c r="V303" i="57"/>
  <c r="AB303" i="57" s="1"/>
  <c r="X302" i="57"/>
  <c r="AD302" i="57" s="1"/>
  <c r="W302" i="57"/>
  <c r="AC302" i="57" s="1"/>
  <c r="V302" i="57"/>
  <c r="AB302" i="57" s="1"/>
  <c r="X301" i="57"/>
  <c r="AD301" i="57" s="1"/>
  <c r="W301" i="57"/>
  <c r="AC301" i="57" s="1"/>
  <c r="V301" i="57"/>
  <c r="AB301" i="57" s="1"/>
  <c r="X300" i="57"/>
  <c r="AD300" i="57" s="1"/>
  <c r="W300" i="57"/>
  <c r="AC300" i="57" s="1"/>
  <c r="V300" i="57"/>
  <c r="AB300" i="57" s="1"/>
  <c r="X299" i="57"/>
  <c r="AD299" i="57" s="1"/>
  <c r="W299" i="57"/>
  <c r="AC299" i="57" s="1"/>
  <c r="V299" i="57"/>
  <c r="AB299" i="57" s="1"/>
  <c r="X298" i="57"/>
  <c r="AD298" i="57" s="1"/>
  <c r="W298" i="57"/>
  <c r="AC298" i="57" s="1"/>
  <c r="V298" i="57"/>
  <c r="AB298" i="57" s="1"/>
  <c r="X297" i="57"/>
  <c r="AD297" i="57" s="1"/>
  <c r="W297" i="57"/>
  <c r="AC297" i="57" s="1"/>
  <c r="V297" i="57"/>
  <c r="AB297" i="57" s="1"/>
  <c r="X296" i="57"/>
  <c r="AD296" i="57" s="1"/>
  <c r="W296" i="57"/>
  <c r="AC296" i="57" s="1"/>
  <c r="V296" i="57"/>
  <c r="AB296" i="57" s="1"/>
  <c r="X295" i="57"/>
  <c r="AD295" i="57" s="1"/>
  <c r="W295" i="57"/>
  <c r="AC295" i="57" s="1"/>
  <c r="V295" i="57"/>
  <c r="AB295" i="57" s="1"/>
  <c r="X294" i="57"/>
  <c r="AD294" i="57" s="1"/>
  <c r="W294" i="57"/>
  <c r="AC294" i="57" s="1"/>
  <c r="V294" i="57"/>
  <c r="AB294" i="57" s="1"/>
  <c r="X293" i="57"/>
  <c r="AD293" i="57" s="1"/>
  <c r="W293" i="57"/>
  <c r="AC293" i="57" s="1"/>
  <c r="V293" i="57"/>
  <c r="AB293" i="57" s="1"/>
  <c r="X292" i="57"/>
  <c r="AD292" i="57" s="1"/>
  <c r="W292" i="57"/>
  <c r="AC292" i="57" s="1"/>
  <c r="V292" i="57"/>
  <c r="AB292" i="57" s="1"/>
  <c r="X291" i="57"/>
  <c r="AD291" i="57" s="1"/>
  <c r="W291" i="57"/>
  <c r="AC291" i="57" s="1"/>
  <c r="V291" i="57"/>
  <c r="AB291" i="57" s="1"/>
  <c r="X290" i="57"/>
  <c r="AD290" i="57" s="1"/>
  <c r="W290" i="57"/>
  <c r="AC290" i="57" s="1"/>
  <c r="V290" i="57"/>
  <c r="AB290" i="57" s="1"/>
  <c r="X289" i="57"/>
  <c r="AD289" i="57" s="1"/>
  <c r="W289" i="57"/>
  <c r="AC289" i="57" s="1"/>
  <c r="V289" i="57"/>
  <c r="AB289" i="57" s="1"/>
  <c r="X288" i="57"/>
  <c r="AD288" i="57" s="1"/>
  <c r="W288" i="57"/>
  <c r="AC288" i="57" s="1"/>
  <c r="V288" i="57"/>
  <c r="AB288" i="57" s="1"/>
  <c r="X287" i="57"/>
  <c r="AD287" i="57" s="1"/>
  <c r="W287" i="57"/>
  <c r="AC287" i="57" s="1"/>
  <c r="V287" i="57"/>
  <c r="AB287" i="57" s="1"/>
  <c r="X286" i="57"/>
  <c r="AD286" i="57" s="1"/>
  <c r="W286" i="57"/>
  <c r="AC286" i="57" s="1"/>
  <c r="V286" i="57"/>
  <c r="AB286" i="57" s="1"/>
  <c r="X285" i="57"/>
  <c r="AD285" i="57" s="1"/>
  <c r="W285" i="57"/>
  <c r="AC285" i="57" s="1"/>
  <c r="V285" i="57"/>
  <c r="AB285" i="57" s="1"/>
  <c r="X284" i="57"/>
  <c r="AD284" i="57" s="1"/>
  <c r="W284" i="57"/>
  <c r="AC284" i="57" s="1"/>
  <c r="V284" i="57"/>
  <c r="AB284" i="57" s="1"/>
  <c r="X283" i="57"/>
  <c r="AD283" i="57" s="1"/>
  <c r="W283" i="57"/>
  <c r="AC283" i="57" s="1"/>
  <c r="V283" i="57"/>
  <c r="AB283" i="57" s="1"/>
  <c r="X282" i="57"/>
  <c r="AD282" i="57" s="1"/>
  <c r="W282" i="57"/>
  <c r="AC282" i="57" s="1"/>
  <c r="V282" i="57"/>
  <c r="AB282" i="57" s="1"/>
  <c r="X281" i="57"/>
  <c r="AD281" i="57" s="1"/>
  <c r="W281" i="57"/>
  <c r="AC281" i="57" s="1"/>
  <c r="V281" i="57"/>
  <c r="AB281" i="57" s="1"/>
  <c r="X280" i="57"/>
  <c r="AD280" i="57" s="1"/>
  <c r="W280" i="57"/>
  <c r="AC280" i="57" s="1"/>
  <c r="V280" i="57"/>
  <c r="AB280" i="57" s="1"/>
  <c r="X279" i="57"/>
  <c r="AD279" i="57" s="1"/>
  <c r="W279" i="57"/>
  <c r="AC279" i="57" s="1"/>
  <c r="V279" i="57"/>
  <c r="AB279" i="57" s="1"/>
  <c r="X278" i="57"/>
  <c r="AD278" i="57" s="1"/>
  <c r="W278" i="57"/>
  <c r="AC278" i="57" s="1"/>
  <c r="V278" i="57"/>
  <c r="AB278" i="57" s="1"/>
  <c r="X277" i="57"/>
  <c r="AD277" i="57" s="1"/>
  <c r="W277" i="57"/>
  <c r="AC277" i="57" s="1"/>
  <c r="V277" i="57"/>
  <c r="AB277" i="57" s="1"/>
  <c r="X276" i="57"/>
  <c r="AD276" i="57" s="1"/>
  <c r="W276" i="57"/>
  <c r="AC276" i="57" s="1"/>
  <c r="V276" i="57"/>
  <c r="AB276" i="57" s="1"/>
  <c r="X275" i="57"/>
  <c r="AD275" i="57" s="1"/>
  <c r="W275" i="57"/>
  <c r="AC275" i="57" s="1"/>
  <c r="V275" i="57"/>
  <c r="AB275" i="57" s="1"/>
  <c r="X274" i="57"/>
  <c r="AD274" i="57" s="1"/>
  <c r="W274" i="57"/>
  <c r="AC274" i="57" s="1"/>
  <c r="V274" i="57"/>
  <c r="AB274" i="57" s="1"/>
  <c r="X273" i="57"/>
  <c r="AD273" i="57" s="1"/>
  <c r="W273" i="57"/>
  <c r="AC273" i="57" s="1"/>
  <c r="V273" i="57"/>
  <c r="AB273" i="57" s="1"/>
  <c r="X272" i="57"/>
  <c r="AD272" i="57" s="1"/>
  <c r="W272" i="57"/>
  <c r="AC272" i="57" s="1"/>
  <c r="V272" i="57"/>
  <c r="AB272" i="57" s="1"/>
  <c r="X271" i="57"/>
  <c r="AD271" i="57" s="1"/>
  <c r="W271" i="57"/>
  <c r="AC271" i="57" s="1"/>
  <c r="V271" i="57"/>
  <c r="AB271" i="57" s="1"/>
  <c r="X270" i="57"/>
  <c r="AD270" i="57" s="1"/>
  <c r="W270" i="57"/>
  <c r="AC270" i="57" s="1"/>
  <c r="V270" i="57"/>
  <c r="AB270" i="57" s="1"/>
  <c r="X269" i="57"/>
  <c r="AD269" i="57" s="1"/>
  <c r="W269" i="57"/>
  <c r="AC269" i="57" s="1"/>
  <c r="V269" i="57"/>
  <c r="AB269" i="57" s="1"/>
  <c r="X268" i="57"/>
  <c r="AD268" i="57" s="1"/>
  <c r="W268" i="57"/>
  <c r="AC268" i="57" s="1"/>
  <c r="V268" i="57"/>
  <c r="AB268" i="57" s="1"/>
  <c r="X267" i="57"/>
  <c r="AD267" i="57" s="1"/>
  <c r="W267" i="57"/>
  <c r="AC267" i="57" s="1"/>
  <c r="V267" i="57"/>
  <c r="AB267" i="57" s="1"/>
  <c r="X266" i="57"/>
  <c r="AD266" i="57" s="1"/>
  <c r="W266" i="57"/>
  <c r="AC266" i="57" s="1"/>
  <c r="V266" i="57"/>
  <c r="AB266" i="57" s="1"/>
  <c r="X265" i="57"/>
  <c r="AD265" i="57" s="1"/>
  <c r="W265" i="57"/>
  <c r="AC265" i="57" s="1"/>
  <c r="V265" i="57"/>
  <c r="AB265" i="57" s="1"/>
  <c r="X264" i="57"/>
  <c r="AD264" i="57" s="1"/>
  <c r="W264" i="57"/>
  <c r="AC264" i="57" s="1"/>
  <c r="V264" i="57"/>
  <c r="AB264" i="57" s="1"/>
  <c r="X263" i="57"/>
  <c r="AD263" i="57" s="1"/>
  <c r="W263" i="57"/>
  <c r="AC263" i="57" s="1"/>
  <c r="V263" i="57"/>
  <c r="AB263" i="57" s="1"/>
  <c r="X262" i="57"/>
  <c r="AD262" i="57" s="1"/>
  <c r="W262" i="57"/>
  <c r="AC262" i="57" s="1"/>
  <c r="V262" i="57"/>
  <c r="AB262" i="57" s="1"/>
  <c r="X261" i="57"/>
  <c r="AD261" i="57" s="1"/>
  <c r="W261" i="57"/>
  <c r="AC261" i="57" s="1"/>
  <c r="V261" i="57"/>
  <c r="AB261" i="57" s="1"/>
  <c r="X260" i="57"/>
  <c r="AD260" i="57" s="1"/>
  <c r="W260" i="57"/>
  <c r="AC260" i="57" s="1"/>
  <c r="V260" i="57"/>
  <c r="AB260" i="57" s="1"/>
  <c r="X259" i="57"/>
  <c r="AD259" i="57" s="1"/>
  <c r="W259" i="57"/>
  <c r="AC259" i="57" s="1"/>
  <c r="V259" i="57"/>
  <c r="AB259" i="57" s="1"/>
  <c r="X258" i="57"/>
  <c r="AD258" i="57" s="1"/>
  <c r="W258" i="57"/>
  <c r="AC258" i="57" s="1"/>
  <c r="V258" i="57"/>
  <c r="AB258" i="57" s="1"/>
  <c r="X257" i="57"/>
  <c r="AD257" i="57" s="1"/>
  <c r="W257" i="57"/>
  <c r="AC257" i="57" s="1"/>
  <c r="V257" i="57"/>
  <c r="AB257" i="57" s="1"/>
  <c r="X256" i="57"/>
  <c r="AD256" i="57" s="1"/>
  <c r="W256" i="57"/>
  <c r="AC256" i="57" s="1"/>
  <c r="V256" i="57"/>
  <c r="AB256" i="57" s="1"/>
  <c r="X255" i="57"/>
  <c r="AD255" i="57" s="1"/>
  <c r="W255" i="57"/>
  <c r="AC255" i="57" s="1"/>
  <c r="V255" i="57"/>
  <c r="AB255" i="57" s="1"/>
  <c r="X254" i="57"/>
  <c r="AD254" i="57" s="1"/>
  <c r="W254" i="57"/>
  <c r="AC254" i="57" s="1"/>
  <c r="V254" i="57"/>
  <c r="AB254" i="57" s="1"/>
  <c r="X253" i="57"/>
  <c r="AD253" i="57" s="1"/>
  <c r="W253" i="57"/>
  <c r="AC253" i="57" s="1"/>
  <c r="V253" i="57"/>
  <c r="AB253" i="57" s="1"/>
  <c r="X252" i="57"/>
  <c r="AD252" i="57" s="1"/>
  <c r="W252" i="57"/>
  <c r="AC252" i="57" s="1"/>
  <c r="V252" i="57"/>
  <c r="AB252" i="57" s="1"/>
  <c r="X251" i="57"/>
  <c r="AD251" i="57" s="1"/>
  <c r="W251" i="57"/>
  <c r="AC251" i="57" s="1"/>
  <c r="V251" i="57"/>
  <c r="AB251" i="57" s="1"/>
  <c r="X250" i="57"/>
  <c r="AD250" i="57" s="1"/>
  <c r="W250" i="57"/>
  <c r="AC250" i="57" s="1"/>
  <c r="V250" i="57"/>
  <c r="AB250" i="57" s="1"/>
  <c r="X249" i="57"/>
  <c r="AD249" i="57" s="1"/>
  <c r="W249" i="57"/>
  <c r="AC249" i="57" s="1"/>
  <c r="V249" i="57"/>
  <c r="AB249" i="57" s="1"/>
  <c r="X248" i="57"/>
  <c r="AD248" i="57" s="1"/>
  <c r="W248" i="57"/>
  <c r="AC248" i="57" s="1"/>
  <c r="V248" i="57"/>
  <c r="AB248" i="57" s="1"/>
  <c r="X247" i="57"/>
  <c r="AD247" i="57" s="1"/>
  <c r="W247" i="57"/>
  <c r="AC247" i="57" s="1"/>
  <c r="V247" i="57"/>
  <c r="AB247" i="57" s="1"/>
  <c r="X246" i="57"/>
  <c r="AD246" i="57" s="1"/>
  <c r="W246" i="57"/>
  <c r="AC246" i="57" s="1"/>
  <c r="V246" i="57"/>
  <c r="AB246" i="57" s="1"/>
  <c r="X245" i="57"/>
  <c r="AD245" i="57" s="1"/>
  <c r="W245" i="57"/>
  <c r="AC245" i="57" s="1"/>
  <c r="V245" i="57"/>
  <c r="AB245" i="57" s="1"/>
  <c r="X244" i="57"/>
  <c r="AD244" i="57" s="1"/>
  <c r="W244" i="57"/>
  <c r="AC244" i="57" s="1"/>
  <c r="V244" i="57"/>
  <c r="AB244" i="57" s="1"/>
  <c r="X243" i="57"/>
  <c r="AD243" i="57" s="1"/>
  <c r="W243" i="57"/>
  <c r="AC243" i="57" s="1"/>
  <c r="V243" i="57"/>
  <c r="AB243" i="57" s="1"/>
  <c r="X242" i="57"/>
  <c r="AD242" i="57" s="1"/>
  <c r="W242" i="57"/>
  <c r="AC242" i="57" s="1"/>
  <c r="V242" i="57"/>
  <c r="AB242" i="57" s="1"/>
  <c r="X241" i="57"/>
  <c r="AD241" i="57" s="1"/>
  <c r="W241" i="57"/>
  <c r="AC241" i="57" s="1"/>
  <c r="V241" i="57"/>
  <c r="AB241" i="57" s="1"/>
  <c r="X240" i="57"/>
  <c r="AD240" i="57" s="1"/>
  <c r="W240" i="57"/>
  <c r="AC240" i="57" s="1"/>
  <c r="V240" i="57"/>
  <c r="AB240" i="57" s="1"/>
  <c r="X239" i="57"/>
  <c r="AD239" i="57" s="1"/>
  <c r="W239" i="57"/>
  <c r="AC239" i="57" s="1"/>
  <c r="V239" i="57"/>
  <c r="AB239" i="57" s="1"/>
  <c r="X238" i="57"/>
  <c r="AD238" i="57" s="1"/>
  <c r="W238" i="57"/>
  <c r="AC238" i="57" s="1"/>
  <c r="V238" i="57"/>
  <c r="AB238" i="57" s="1"/>
  <c r="X237" i="57"/>
  <c r="AD237" i="57" s="1"/>
  <c r="W237" i="57"/>
  <c r="AC237" i="57" s="1"/>
  <c r="V237" i="57"/>
  <c r="AB237" i="57" s="1"/>
  <c r="X236" i="57"/>
  <c r="AD236" i="57" s="1"/>
  <c r="W236" i="57"/>
  <c r="AC236" i="57" s="1"/>
  <c r="V236" i="57"/>
  <c r="AB236" i="57" s="1"/>
  <c r="V235" i="57"/>
  <c r="AB235" i="57" s="1"/>
  <c r="V234" i="57"/>
  <c r="AB234" i="57" s="1"/>
  <c r="V233" i="57"/>
  <c r="AB233" i="57" s="1"/>
  <c r="X232" i="57"/>
  <c r="AD232" i="57" s="1"/>
  <c r="W232" i="57"/>
  <c r="AC232" i="57" s="1"/>
  <c r="X231" i="57"/>
  <c r="AD231" i="57" s="1"/>
  <c r="W231" i="57"/>
  <c r="AC231" i="57" s="1"/>
  <c r="X230" i="57"/>
  <c r="AD230" i="57" s="1"/>
  <c r="W230" i="57"/>
  <c r="AC230" i="57" s="1"/>
  <c r="X229" i="57"/>
  <c r="AD229" i="57" s="1"/>
  <c r="W229" i="57"/>
  <c r="AC229" i="57" s="1"/>
  <c r="X228" i="57"/>
  <c r="AD228" i="57" s="1"/>
  <c r="W228" i="57"/>
  <c r="AC228" i="57" s="1"/>
  <c r="X227" i="57"/>
  <c r="AD227" i="57" s="1"/>
  <c r="W227" i="57"/>
  <c r="AC227" i="57" s="1"/>
  <c r="X226" i="57"/>
  <c r="AD226" i="57" s="1"/>
  <c r="W226" i="57"/>
  <c r="AC226" i="57" s="1"/>
  <c r="X225" i="57"/>
  <c r="AD225" i="57" s="1"/>
  <c r="W225" i="57"/>
  <c r="AC225" i="57" s="1"/>
  <c r="X224" i="57"/>
  <c r="AD224" i="57" s="1"/>
  <c r="W224" i="57"/>
  <c r="AC224" i="57" s="1"/>
  <c r="X223" i="57"/>
  <c r="AD223" i="57" s="1"/>
  <c r="W223" i="57"/>
  <c r="AC223" i="57" s="1"/>
  <c r="X222" i="57"/>
  <c r="AD222" i="57" s="1"/>
  <c r="W222" i="57"/>
  <c r="AC222" i="57" s="1"/>
  <c r="X221" i="57"/>
  <c r="AD221" i="57" s="1"/>
  <c r="W221" i="57"/>
  <c r="AC221" i="57" s="1"/>
  <c r="V220" i="57"/>
  <c r="AB220" i="57" s="1"/>
  <c r="V219" i="57"/>
  <c r="AB219" i="57" s="1"/>
  <c r="V218" i="57"/>
  <c r="AB218" i="57" s="1"/>
  <c r="X217" i="57"/>
  <c r="AD217" i="57" s="1"/>
  <c r="W217" i="57"/>
  <c r="AC217" i="57" s="1"/>
  <c r="V217" i="57"/>
  <c r="AB217" i="57" s="1"/>
  <c r="X216" i="57"/>
  <c r="AD216" i="57" s="1"/>
  <c r="W216" i="57"/>
  <c r="AC216" i="57" s="1"/>
  <c r="V216" i="57"/>
  <c r="AB216" i="57" s="1"/>
  <c r="X215" i="57"/>
  <c r="AD215" i="57" s="1"/>
  <c r="W215" i="57"/>
  <c r="AC215" i="57" s="1"/>
  <c r="V215" i="57"/>
  <c r="AB215" i="57" s="1"/>
  <c r="X214" i="57"/>
  <c r="AD214" i="57" s="1"/>
  <c r="W214" i="57"/>
  <c r="AC214" i="57" s="1"/>
  <c r="V214" i="57"/>
  <c r="AB214" i="57" s="1"/>
  <c r="X213" i="57"/>
  <c r="AD213" i="57" s="1"/>
  <c r="W213" i="57"/>
  <c r="AC213" i="57" s="1"/>
  <c r="V213" i="57"/>
  <c r="AB213" i="57" s="1"/>
  <c r="X212" i="57"/>
  <c r="AD212" i="57" s="1"/>
  <c r="W212" i="57"/>
  <c r="AC212" i="57" s="1"/>
  <c r="V212" i="57"/>
  <c r="AB212" i="57" s="1"/>
  <c r="X211" i="57"/>
  <c r="AD211" i="57" s="1"/>
  <c r="W211" i="57"/>
  <c r="AC211" i="57" s="1"/>
  <c r="V211" i="57"/>
  <c r="AB211" i="57" s="1"/>
  <c r="X210" i="57"/>
  <c r="AD210" i="57" s="1"/>
  <c r="W210" i="57"/>
  <c r="AC210" i="57" s="1"/>
  <c r="V210" i="57"/>
  <c r="AB210" i="57" s="1"/>
  <c r="X209" i="57"/>
  <c r="AD209" i="57" s="1"/>
  <c r="W209" i="57"/>
  <c r="AC209" i="57" s="1"/>
  <c r="V209" i="57"/>
  <c r="AB209" i="57" s="1"/>
  <c r="X208" i="57"/>
  <c r="AD208" i="57" s="1"/>
  <c r="W208" i="57"/>
  <c r="AC208" i="57" s="1"/>
  <c r="V208" i="57"/>
  <c r="AB208" i="57" s="1"/>
  <c r="X207" i="57"/>
  <c r="AD207" i="57" s="1"/>
  <c r="W207" i="57"/>
  <c r="AC207" i="57" s="1"/>
  <c r="V207" i="57"/>
  <c r="AB207" i="57" s="1"/>
  <c r="X206" i="57"/>
  <c r="AD206" i="57" s="1"/>
  <c r="W206" i="57"/>
  <c r="AC206" i="57" s="1"/>
  <c r="V206" i="57"/>
  <c r="AB206" i="57" s="1"/>
  <c r="X205" i="57"/>
  <c r="AD205" i="57" s="1"/>
  <c r="W205" i="57"/>
  <c r="AC205" i="57" s="1"/>
  <c r="V205" i="57"/>
  <c r="AB205" i="57" s="1"/>
  <c r="X204" i="57"/>
  <c r="AD204" i="57" s="1"/>
  <c r="W204" i="57"/>
  <c r="AC204" i="57" s="1"/>
  <c r="V204" i="57"/>
  <c r="AB204" i="57" s="1"/>
  <c r="X203" i="57"/>
  <c r="AD203" i="57" s="1"/>
  <c r="W203" i="57"/>
  <c r="AC203" i="57" s="1"/>
  <c r="V203" i="57"/>
  <c r="AB203" i="57" s="1"/>
  <c r="X202" i="57"/>
  <c r="AD202" i="57" s="1"/>
  <c r="W202" i="57"/>
  <c r="AC202" i="57" s="1"/>
  <c r="V202" i="57"/>
  <c r="AB202" i="57" s="1"/>
  <c r="X201" i="57"/>
  <c r="AD201" i="57" s="1"/>
  <c r="W201" i="57"/>
  <c r="AC201" i="57" s="1"/>
  <c r="V201" i="57"/>
  <c r="AB201" i="57" s="1"/>
  <c r="X200" i="57"/>
  <c r="AD200" i="57" s="1"/>
  <c r="W200" i="57"/>
  <c r="AC200" i="57" s="1"/>
  <c r="V200" i="57"/>
  <c r="AB200" i="57" s="1"/>
  <c r="X199" i="57"/>
  <c r="AD199" i="57" s="1"/>
  <c r="W199" i="57"/>
  <c r="AC199" i="57" s="1"/>
  <c r="V199" i="57"/>
  <c r="AB199" i="57" s="1"/>
  <c r="X198" i="57"/>
  <c r="AD198" i="57" s="1"/>
  <c r="W198" i="57"/>
  <c r="AC198" i="57" s="1"/>
  <c r="V198" i="57"/>
  <c r="AB198" i="57" s="1"/>
  <c r="X197" i="57"/>
  <c r="AD197" i="57" s="1"/>
  <c r="W197" i="57"/>
  <c r="AC197" i="57" s="1"/>
  <c r="V197" i="57"/>
  <c r="AB197" i="57" s="1"/>
  <c r="X196" i="57"/>
  <c r="AD196" i="57" s="1"/>
  <c r="W196" i="57"/>
  <c r="AC196" i="57" s="1"/>
  <c r="V196" i="57"/>
  <c r="AB196" i="57" s="1"/>
  <c r="X195" i="57"/>
  <c r="AD195" i="57" s="1"/>
  <c r="W195" i="57"/>
  <c r="AC195" i="57" s="1"/>
  <c r="V195" i="57"/>
  <c r="AB195" i="57" s="1"/>
  <c r="X194" i="57"/>
  <c r="AD194" i="57" s="1"/>
  <c r="W194" i="57"/>
  <c r="AC194" i="57" s="1"/>
  <c r="V194" i="57"/>
  <c r="AB194" i="57" s="1"/>
  <c r="X193" i="57"/>
  <c r="AD193" i="57" s="1"/>
  <c r="W193" i="57"/>
  <c r="AC193" i="57" s="1"/>
  <c r="V193" i="57"/>
  <c r="AB193" i="57" s="1"/>
  <c r="X192" i="57"/>
  <c r="AD192" i="57" s="1"/>
  <c r="W192" i="57"/>
  <c r="AC192" i="57" s="1"/>
  <c r="V192" i="57"/>
  <c r="AB192" i="57" s="1"/>
  <c r="X191" i="57"/>
  <c r="AD191" i="57" s="1"/>
  <c r="W191" i="57"/>
  <c r="AC191" i="57" s="1"/>
  <c r="V191" i="57"/>
  <c r="AB191" i="57" s="1"/>
  <c r="X190" i="57"/>
  <c r="AD190" i="57" s="1"/>
  <c r="W190" i="57"/>
  <c r="AC190" i="57" s="1"/>
  <c r="V190" i="57"/>
  <c r="AB190" i="57" s="1"/>
  <c r="X189" i="57"/>
  <c r="AD189" i="57" s="1"/>
  <c r="W189" i="57"/>
  <c r="AC189" i="57" s="1"/>
  <c r="V189" i="57"/>
  <c r="AB189" i="57" s="1"/>
  <c r="X188" i="57"/>
  <c r="AD188" i="57" s="1"/>
  <c r="W188" i="57"/>
  <c r="AC188" i="57" s="1"/>
  <c r="V188" i="57"/>
  <c r="AB188" i="57" s="1"/>
  <c r="X187" i="57"/>
  <c r="AD187" i="57" s="1"/>
  <c r="W187" i="57"/>
  <c r="AC187" i="57" s="1"/>
  <c r="V187" i="57"/>
  <c r="AB187" i="57" s="1"/>
  <c r="X186" i="57"/>
  <c r="AD186" i="57" s="1"/>
  <c r="W186" i="57"/>
  <c r="AC186" i="57" s="1"/>
  <c r="V186" i="57"/>
  <c r="AB186" i="57" s="1"/>
  <c r="X185" i="57"/>
  <c r="AD185" i="57" s="1"/>
  <c r="W185" i="57"/>
  <c r="AC185" i="57" s="1"/>
  <c r="V185" i="57"/>
  <c r="AB185" i="57" s="1"/>
  <c r="X184" i="57"/>
  <c r="AD184" i="57" s="1"/>
  <c r="W184" i="57"/>
  <c r="AC184" i="57" s="1"/>
  <c r="V184" i="57"/>
  <c r="AB184" i="57" s="1"/>
  <c r="X183" i="57"/>
  <c r="AD183" i="57" s="1"/>
  <c r="W183" i="57"/>
  <c r="AC183" i="57" s="1"/>
  <c r="V183" i="57"/>
  <c r="AB183" i="57" s="1"/>
  <c r="X182" i="57"/>
  <c r="AD182" i="57" s="1"/>
  <c r="W182" i="57"/>
  <c r="AC182" i="57" s="1"/>
  <c r="V182" i="57"/>
  <c r="AB182" i="57" s="1"/>
  <c r="X181" i="57"/>
  <c r="AD181" i="57" s="1"/>
  <c r="W181" i="57"/>
  <c r="AC181" i="57" s="1"/>
  <c r="V181" i="57"/>
  <c r="AB181" i="57" s="1"/>
  <c r="X180" i="57"/>
  <c r="AD180" i="57" s="1"/>
  <c r="W180" i="57"/>
  <c r="AC180" i="57" s="1"/>
  <c r="V180" i="57"/>
  <c r="AB180" i="57" s="1"/>
  <c r="X179" i="57"/>
  <c r="AD179" i="57" s="1"/>
  <c r="W179" i="57"/>
  <c r="AC179" i="57" s="1"/>
  <c r="V179" i="57"/>
  <c r="AB179" i="57" s="1"/>
  <c r="X178" i="57"/>
  <c r="AD178" i="57" s="1"/>
  <c r="W178" i="57"/>
  <c r="AC178" i="57" s="1"/>
  <c r="V178" i="57"/>
  <c r="AB178" i="57" s="1"/>
  <c r="X177" i="57"/>
  <c r="AD177" i="57" s="1"/>
  <c r="W177" i="57"/>
  <c r="AC177" i="57" s="1"/>
  <c r="V177" i="57"/>
  <c r="AB177" i="57" s="1"/>
  <c r="X176" i="57"/>
  <c r="AD176" i="57" s="1"/>
  <c r="W176" i="57"/>
  <c r="AC176" i="57" s="1"/>
  <c r="V176" i="57"/>
  <c r="AB176" i="57" s="1"/>
  <c r="X175" i="57"/>
  <c r="AD175" i="57" s="1"/>
  <c r="W175" i="57"/>
  <c r="AC175" i="57" s="1"/>
  <c r="V175" i="57"/>
  <c r="AB175" i="57" s="1"/>
  <c r="X174" i="57"/>
  <c r="AD174" i="57" s="1"/>
  <c r="W174" i="57"/>
  <c r="AC174" i="57" s="1"/>
  <c r="V174" i="57"/>
  <c r="AB174" i="57" s="1"/>
  <c r="X173" i="57"/>
  <c r="AD173" i="57" s="1"/>
  <c r="W173" i="57"/>
  <c r="AC173" i="57" s="1"/>
  <c r="V173" i="57"/>
  <c r="AB173" i="57" s="1"/>
  <c r="X172" i="57"/>
  <c r="AD172" i="57" s="1"/>
  <c r="W172" i="57"/>
  <c r="AC172" i="57" s="1"/>
  <c r="V172" i="57"/>
  <c r="AB172" i="57" s="1"/>
  <c r="X171" i="57"/>
  <c r="AD171" i="57" s="1"/>
  <c r="W171" i="57"/>
  <c r="AC171" i="57" s="1"/>
  <c r="V171" i="57"/>
  <c r="AB171" i="57" s="1"/>
  <c r="X170" i="57"/>
  <c r="AD170" i="57" s="1"/>
  <c r="W170" i="57"/>
  <c r="AC170" i="57" s="1"/>
  <c r="V170" i="57"/>
  <c r="AB170" i="57" s="1"/>
  <c r="X169" i="57"/>
  <c r="AD169" i="57" s="1"/>
  <c r="W169" i="57"/>
  <c r="AC169" i="57" s="1"/>
  <c r="V169" i="57"/>
  <c r="AB169" i="57" s="1"/>
  <c r="X168" i="57"/>
  <c r="AD168" i="57" s="1"/>
  <c r="W168" i="57"/>
  <c r="AC168" i="57" s="1"/>
  <c r="V168" i="57"/>
  <c r="AB168" i="57" s="1"/>
  <c r="X167" i="57"/>
  <c r="AD167" i="57" s="1"/>
  <c r="W167" i="57"/>
  <c r="AC167" i="57" s="1"/>
  <c r="V167" i="57"/>
  <c r="AB167" i="57" s="1"/>
  <c r="X166" i="57"/>
  <c r="AD166" i="57" s="1"/>
  <c r="W166" i="57"/>
  <c r="AC166" i="57" s="1"/>
  <c r="V166" i="57"/>
  <c r="AB166" i="57" s="1"/>
  <c r="X165" i="57"/>
  <c r="AD165" i="57" s="1"/>
  <c r="W165" i="57"/>
  <c r="AC165" i="57" s="1"/>
  <c r="V165" i="57"/>
  <c r="AB165" i="57" s="1"/>
  <c r="X164" i="57"/>
  <c r="AD164" i="57" s="1"/>
  <c r="W164" i="57"/>
  <c r="AC164" i="57" s="1"/>
  <c r="V164" i="57"/>
  <c r="AB164" i="57" s="1"/>
  <c r="X163" i="57"/>
  <c r="AD163" i="57" s="1"/>
  <c r="W163" i="57"/>
  <c r="AC163" i="57" s="1"/>
  <c r="V163" i="57"/>
  <c r="AB163" i="57" s="1"/>
  <c r="X162" i="57"/>
  <c r="AD162" i="57" s="1"/>
  <c r="W162" i="57"/>
  <c r="AC162" i="57" s="1"/>
  <c r="V162" i="57"/>
  <c r="AB162" i="57" s="1"/>
  <c r="X161" i="57"/>
  <c r="AD161" i="57" s="1"/>
  <c r="W161" i="57"/>
  <c r="AC161" i="57" s="1"/>
  <c r="V161" i="57"/>
  <c r="AB161" i="57" s="1"/>
  <c r="X160" i="57"/>
  <c r="AD160" i="57" s="1"/>
  <c r="W160" i="57"/>
  <c r="AC160" i="57" s="1"/>
  <c r="V160" i="57"/>
  <c r="AB160" i="57" s="1"/>
  <c r="X159" i="57"/>
  <c r="AD159" i="57" s="1"/>
  <c r="W159" i="57"/>
  <c r="AC159" i="57" s="1"/>
  <c r="V159" i="57"/>
  <c r="AB159" i="57" s="1"/>
  <c r="X158" i="57"/>
  <c r="AD158" i="57" s="1"/>
  <c r="W158" i="57"/>
  <c r="AC158" i="57" s="1"/>
  <c r="V158" i="57"/>
  <c r="AB158" i="57" s="1"/>
  <c r="X157" i="57"/>
  <c r="AD157" i="57" s="1"/>
  <c r="W157" i="57"/>
  <c r="AC157" i="57" s="1"/>
  <c r="V157" i="57"/>
  <c r="AB157" i="57" s="1"/>
  <c r="X156" i="57"/>
  <c r="AD156" i="57" s="1"/>
  <c r="W156" i="57"/>
  <c r="AC156" i="57" s="1"/>
  <c r="V156" i="57"/>
  <c r="AB156" i="57" s="1"/>
  <c r="X155" i="57"/>
  <c r="AD155" i="57" s="1"/>
  <c r="W155" i="57"/>
  <c r="AC155" i="57" s="1"/>
  <c r="V155" i="57"/>
  <c r="AB155" i="57" s="1"/>
  <c r="X154" i="57"/>
  <c r="AD154" i="57" s="1"/>
  <c r="W154" i="57"/>
  <c r="AC154" i="57" s="1"/>
  <c r="V154" i="57"/>
  <c r="AB154" i="57" s="1"/>
  <c r="X153" i="57"/>
  <c r="AD153" i="57" s="1"/>
  <c r="W153" i="57"/>
  <c r="AC153" i="57" s="1"/>
  <c r="V153" i="57"/>
  <c r="AB153" i="57" s="1"/>
  <c r="X152" i="57"/>
  <c r="AD152" i="57" s="1"/>
  <c r="W152" i="57"/>
  <c r="AC152" i="57" s="1"/>
  <c r="V152" i="57"/>
  <c r="AB152" i="57" s="1"/>
  <c r="X151" i="57"/>
  <c r="AD151" i="57" s="1"/>
  <c r="W151" i="57"/>
  <c r="AC151" i="57" s="1"/>
  <c r="V151" i="57"/>
  <c r="AB151" i="57" s="1"/>
  <c r="X150" i="57"/>
  <c r="AD150" i="57" s="1"/>
  <c r="W150" i="57"/>
  <c r="AC150" i="57" s="1"/>
  <c r="V150" i="57"/>
  <c r="AB150" i="57" s="1"/>
  <c r="X149" i="57"/>
  <c r="AD149" i="57" s="1"/>
  <c r="W149" i="57"/>
  <c r="AC149" i="57" s="1"/>
  <c r="V149" i="57"/>
  <c r="AB149" i="57" s="1"/>
  <c r="X148" i="57"/>
  <c r="AD148" i="57" s="1"/>
  <c r="W148" i="57"/>
  <c r="AC148" i="57" s="1"/>
  <c r="V148" i="57"/>
  <c r="AB148" i="57" s="1"/>
  <c r="X147" i="57"/>
  <c r="AD147" i="57" s="1"/>
  <c r="W147" i="57"/>
  <c r="AC147" i="57" s="1"/>
  <c r="V147" i="57"/>
  <c r="AB147" i="57" s="1"/>
  <c r="X146" i="57"/>
  <c r="AD146" i="57" s="1"/>
  <c r="W146" i="57"/>
  <c r="AC146" i="57" s="1"/>
  <c r="V146" i="57"/>
  <c r="AB146" i="57" s="1"/>
  <c r="X145" i="57"/>
  <c r="AD145" i="57" s="1"/>
  <c r="W145" i="57"/>
  <c r="AC145" i="57" s="1"/>
  <c r="V145" i="57"/>
  <c r="AB145" i="57" s="1"/>
  <c r="X144" i="57"/>
  <c r="AD144" i="57" s="1"/>
  <c r="W144" i="57"/>
  <c r="AC144" i="57" s="1"/>
  <c r="V144" i="57"/>
  <c r="AB144" i="57" s="1"/>
  <c r="X143" i="57"/>
  <c r="AD143" i="57" s="1"/>
  <c r="W143" i="57"/>
  <c r="AC143" i="57" s="1"/>
  <c r="V143" i="57"/>
  <c r="AB143" i="57" s="1"/>
  <c r="X142" i="57"/>
  <c r="AD142" i="57" s="1"/>
  <c r="W142" i="57"/>
  <c r="AC142" i="57" s="1"/>
  <c r="V142" i="57"/>
  <c r="AB142" i="57" s="1"/>
  <c r="X141" i="57"/>
  <c r="AD141" i="57" s="1"/>
  <c r="W141" i="57"/>
  <c r="AC141" i="57" s="1"/>
  <c r="V141" i="57"/>
  <c r="AB141" i="57" s="1"/>
  <c r="X140" i="57"/>
  <c r="AD140" i="57" s="1"/>
  <c r="W140" i="57"/>
  <c r="AC140" i="57" s="1"/>
  <c r="V140" i="57"/>
  <c r="AB140" i="57" s="1"/>
  <c r="X139" i="57"/>
  <c r="AD139" i="57" s="1"/>
  <c r="W139" i="57"/>
  <c r="AC139" i="57" s="1"/>
  <c r="V139" i="57"/>
  <c r="AB139" i="57" s="1"/>
  <c r="X138" i="57"/>
  <c r="AD138" i="57" s="1"/>
  <c r="W138" i="57"/>
  <c r="AC138" i="57" s="1"/>
  <c r="V138" i="57"/>
  <c r="AB138" i="57" s="1"/>
  <c r="X137" i="57"/>
  <c r="AD137" i="57" s="1"/>
  <c r="W137" i="57"/>
  <c r="AC137" i="57" s="1"/>
  <c r="V137" i="57"/>
  <c r="AB137" i="57" s="1"/>
  <c r="X136" i="57"/>
  <c r="AD136" i="57" s="1"/>
  <c r="W136" i="57"/>
  <c r="AC136" i="57" s="1"/>
  <c r="V136" i="57"/>
  <c r="AB136" i="57" s="1"/>
  <c r="X135" i="57"/>
  <c r="AD135" i="57" s="1"/>
  <c r="W135" i="57"/>
  <c r="AC135" i="57" s="1"/>
  <c r="V135" i="57"/>
  <c r="AB135" i="57" s="1"/>
  <c r="X134" i="57"/>
  <c r="AD134" i="57" s="1"/>
  <c r="W134" i="57"/>
  <c r="AC134" i="57" s="1"/>
  <c r="V134" i="57"/>
  <c r="AB134" i="57" s="1"/>
  <c r="X133" i="57"/>
  <c r="AD133" i="57" s="1"/>
  <c r="W133" i="57"/>
  <c r="AC133" i="57" s="1"/>
  <c r="V133" i="57"/>
  <c r="AB133" i="57" s="1"/>
  <c r="X132" i="57"/>
  <c r="AD132" i="57" s="1"/>
  <c r="W132" i="57"/>
  <c r="AC132" i="57" s="1"/>
  <c r="V132" i="57"/>
  <c r="AB132" i="57" s="1"/>
  <c r="X131" i="57"/>
  <c r="AD131" i="57" s="1"/>
  <c r="W131" i="57"/>
  <c r="AC131" i="57" s="1"/>
  <c r="V131" i="57"/>
  <c r="AB131" i="57" s="1"/>
  <c r="X130" i="57"/>
  <c r="AD130" i="57" s="1"/>
  <c r="W130" i="57"/>
  <c r="AC130" i="57" s="1"/>
  <c r="V130" i="57"/>
  <c r="AB130" i="57" s="1"/>
  <c r="X129" i="57"/>
  <c r="AD129" i="57" s="1"/>
  <c r="W129" i="57"/>
  <c r="AC129" i="57" s="1"/>
  <c r="V129" i="57"/>
  <c r="AB129" i="57" s="1"/>
  <c r="X128" i="57"/>
  <c r="AD128" i="57" s="1"/>
  <c r="W128" i="57"/>
  <c r="AC128" i="57" s="1"/>
  <c r="V128" i="57"/>
  <c r="AB128" i="57" s="1"/>
  <c r="X127" i="57"/>
  <c r="AD127" i="57" s="1"/>
  <c r="W127" i="57"/>
  <c r="AC127" i="57" s="1"/>
  <c r="V127" i="57"/>
  <c r="AB127" i="57" s="1"/>
  <c r="X126" i="57"/>
  <c r="AD126" i="57" s="1"/>
  <c r="W126" i="57"/>
  <c r="AC126" i="57" s="1"/>
  <c r="V126" i="57"/>
  <c r="AB126" i="57" s="1"/>
  <c r="X125" i="57"/>
  <c r="AD125" i="57" s="1"/>
  <c r="W125" i="57"/>
  <c r="AC125" i="57" s="1"/>
  <c r="V125" i="57"/>
  <c r="AB125" i="57" s="1"/>
  <c r="X124" i="57"/>
  <c r="AD124" i="57" s="1"/>
  <c r="W124" i="57"/>
  <c r="AC124" i="57" s="1"/>
  <c r="V124" i="57"/>
  <c r="AB124" i="57" s="1"/>
  <c r="X123" i="57"/>
  <c r="AD123" i="57" s="1"/>
  <c r="W123" i="57"/>
  <c r="AC123" i="57" s="1"/>
  <c r="V123" i="57"/>
  <c r="AB123" i="57" s="1"/>
  <c r="X122" i="57"/>
  <c r="AD122" i="57" s="1"/>
  <c r="W122" i="57"/>
  <c r="AC122" i="57" s="1"/>
  <c r="V122" i="57"/>
  <c r="AB122" i="57" s="1"/>
  <c r="X121" i="57"/>
  <c r="AD121" i="57" s="1"/>
  <c r="W121" i="57"/>
  <c r="AC121" i="57" s="1"/>
  <c r="V121" i="57"/>
  <c r="AB121" i="57" s="1"/>
  <c r="X120" i="57"/>
  <c r="AD120" i="57" s="1"/>
  <c r="W120" i="57"/>
  <c r="AC120" i="57" s="1"/>
  <c r="V120" i="57"/>
  <c r="AB120" i="57" s="1"/>
  <c r="X119" i="57"/>
  <c r="AD119" i="57" s="1"/>
  <c r="W119" i="57"/>
  <c r="AC119" i="57" s="1"/>
  <c r="V119" i="57"/>
  <c r="AB119" i="57" s="1"/>
  <c r="X118" i="57"/>
  <c r="AD118" i="57" s="1"/>
  <c r="W118" i="57"/>
  <c r="AC118" i="57" s="1"/>
  <c r="V118" i="57"/>
  <c r="AB118" i="57" s="1"/>
  <c r="X117" i="57"/>
  <c r="AD117" i="57" s="1"/>
  <c r="W117" i="57"/>
  <c r="AC117" i="57" s="1"/>
  <c r="V117" i="57"/>
  <c r="AB117" i="57" s="1"/>
  <c r="X116" i="57"/>
  <c r="AD116" i="57" s="1"/>
  <c r="W116" i="57"/>
  <c r="AC116" i="57" s="1"/>
  <c r="V116" i="57"/>
  <c r="AB116" i="57" s="1"/>
  <c r="X115" i="57"/>
  <c r="AD115" i="57" s="1"/>
  <c r="W115" i="57"/>
  <c r="AC115" i="57" s="1"/>
  <c r="V115" i="57"/>
  <c r="AB115" i="57" s="1"/>
  <c r="X114" i="57"/>
  <c r="AD114" i="57" s="1"/>
  <c r="W114" i="57"/>
  <c r="AC114" i="57" s="1"/>
  <c r="V114" i="57"/>
  <c r="AB114" i="57" s="1"/>
  <c r="X113" i="57"/>
  <c r="AD113" i="57" s="1"/>
  <c r="W113" i="57"/>
  <c r="AC113" i="57" s="1"/>
  <c r="V113" i="57"/>
  <c r="AB113" i="57" s="1"/>
  <c r="X112" i="57"/>
  <c r="AD112" i="57" s="1"/>
  <c r="W112" i="57"/>
  <c r="AC112" i="57" s="1"/>
  <c r="V112" i="57"/>
  <c r="AB112" i="57" s="1"/>
  <c r="X111" i="57"/>
  <c r="AD111" i="57" s="1"/>
  <c r="W111" i="57"/>
  <c r="AC111" i="57" s="1"/>
  <c r="V111" i="57"/>
  <c r="AB111" i="57" s="1"/>
  <c r="X110" i="57"/>
  <c r="AD110" i="57" s="1"/>
  <c r="W110" i="57"/>
  <c r="AC110" i="57" s="1"/>
  <c r="V110" i="57"/>
  <c r="AB110" i="57" s="1"/>
  <c r="X109" i="57"/>
  <c r="AD109" i="57" s="1"/>
  <c r="W109" i="57"/>
  <c r="AC109" i="57" s="1"/>
  <c r="V109" i="57"/>
  <c r="AB109" i="57" s="1"/>
  <c r="X108" i="57"/>
  <c r="AD108" i="57" s="1"/>
  <c r="W108" i="57"/>
  <c r="AC108" i="57" s="1"/>
  <c r="V108" i="57"/>
  <c r="AB108" i="57" s="1"/>
  <c r="X107" i="57"/>
  <c r="AD107" i="57" s="1"/>
  <c r="W107" i="57"/>
  <c r="AC107" i="57" s="1"/>
  <c r="V107" i="57"/>
  <c r="AB107" i="57" s="1"/>
  <c r="X106" i="57"/>
  <c r="AD106" i="57" s="1"/>
  <c r="W106" i="57"/>
  <c r="AC106" i="57" s="1"/>
  <c r="V106" i="57"/>
  <c r="AB106" i="57" s="1"/>
  <c r="X105" i="57"/>
  <c r="AD105" i="57" s="1"/>
  <c r="W105" i="57"/>
  <c r="AC105" i="57" s="1"/>
  <c r="V105" i="57"/>
  <c r="AB105" i="57" s="1"/>
  <c r="X104" i="57"/>
  <c r="AD104" i="57" s="1"/>
  <c r="W104" i="57"/>
  <c r="AC104" i="57" s="1"/>
  <c r="V104" i="57"/>
  <c r="AB104" i="57" s="1"/>
  <c r="X103" i="57"/>
  <c r="AD103" i="57" s="1"/>
  <c r="W103" i="57"/>
  <c r="AC103" i="57" s="1"/>
  <c r="V103" i="57"/>
  <c r="AB103" i="57" s="1"/>
  <c r="X102" i="57"/>
  <c r="AD102" i="57" s="1"/>
  <c r="W102" i="57"/>
  <c r="AC102" i="57" s="1"/>
  <c r="V102" i="57"/>
  <c r="AB102" i="57" s="1"/>
  <c r="X101" i="57"/>
  <c r="AD101" i="57" s="1"/>
  <c r="W101" i="57"/>
  <c r="AC101" i="57" s="1"/>
  <c r="V101" i="57"/>
  <c r="AB101" i="57" s="1"/>
  <c r="X100" i="57"/>
  <c r="AD100" i="57" s="1"/>
  <c r="W100" i="57"/>
  <c r="AC100" i="57" s="1"/>
  <c r="V100" i="57"/>
  <c r="AB100" i="57" s="1"/>
  <c r="X99" i="57"/>
  <c r="AD99" i="57" s="1"/>
  <c r="W99" i="57"/>
  <c r="AC99" i="57" s="1"/>
  <c r="V99" i="57"/>
  <c r="AB99" i="57" s="1"/>
  <c r="X98" i="57"/>
  <c r="AD98" i="57" s="1"/>
  <c r="W98" i="57"/>
  <c r="AC98" i="57" s="1"/>
  <c r="V98" i="57"/>
  <c r="AB98" i="57" s="1"/>
  <c r="X97" i="57"/>
  <c r="AD97" i="57" s="1"/>
  <c r="W97" i="57"/>
  <c r="AC97" i="57" s="1"/>
  <c r="V97" i="57"/>
  <c r="AB97" i="57" s="1"/>
  <c r="X96" i="57"/>
  <c r="AD96" i="57" s="1"/>
  <c r="W96" i="57"/>
  <c r="AC96" i="57" s="1"/>
  <c r="V96" i="57"/>
  <c r="AB96" i="57" s="1"/>
  <c r="X95" i="57"/>
  <c r="AD95" i="57" s="1"/>
  <c r="W95" i="57"/>
  <c r="AC95" i="57" s="1"/>
  <c r="V95" i="57"/>
  <c r="AB95" i="57" s="1"/>
  <c r="X94" i="57"/>
  <c r="AD94" i="57" s="1"/>
  <c r="W94" i="57"/>
  <c r="AC94" i="57" s="1"/>
  <c r="V94" i="57"/>
  <c r="AB94" i="57" s="1"/>
  <c r="X93" i="57"/>
  <c r="AD93" i="57" s="1"/>
  <c r="W93" i="57"/>
  <c r="AC93" i="57" s="1"/>
  <c r="V93" i="57"/>
  <c r="AB93" i="57" s="1"/>
  <c r="X92" i="57"/>
  <c r="AD92" i="57" s="1"/>
  <c r="W92" i="57"/>
  <c r="AC92" i="57" s="1"/>
  <c r="V92" i="57"/>
  <c r="AB92" i="57" s="1"/>
  <c r="X91" i="57"/>
  <c r="AD91" i="57" s="1"/>
  <c r="W91" i="57"/>
  <c r="AC91" i="57" s="1"/>
  <c r="V91" i="57"/>
  <c r="AB91" i="57" s="1"/>
  <c r="X90" i="57"/>
  <c r="AD90" i="57" s="1"/>
  <c r="W90" i="57"/>
  <c r="AC90" i="57" s="1"/>
  <c r="V90" i="57"/>
  <c r="AB90" i="57" s="1"/>
  <c r="X89" i="57"/>
  <c r="AD89" i="57" s="1"/>
  <c r="W89" i="57"/>
  <c r="AC89" i="57" s="1"/>
  <c r="V89" i="57"/>
  <c r="AB89" i="57" s="1"/>
  <c r="X88" i="57"/>
  <c r="AD88" i="57" s="1"/>
  <c r="W88" i="57"/>
  <c r="AC88" i="57" s="1"/>
  <c r="V88" i="57"/>
  <c r="AB88" i="57" s="1"/>
  <c r="X87" i="57"/>
  <c r="AD87" i="57" s="1"/>
  <c r="W87" i="57"/>
  <c r="AC87" i="57" s="1"/>
  <c r="V87" i="57"/>
  <c r="AB87" i="57" s="1"/>
  <c r="X86" i="57"/>
  <c r="AD86" i="57" s="1"/>
  <c r="W86" i="57"/>
  <c r="AC86" i="57" s="1"/>
  <c r="V86" i="57"/>
  <c r="AB86" i="57" s="1"/>
  <c r="X85" i="57"/>
  <c r="AD85" i="57" s="1"/>
  <c r="W85" i="57"/>
  <c r="AC85" i="57" s="1"/>
  <c r="V85" i="57"/>
  <c r="AB85" i="57" s="1"/>
  <c r="X84" i="57"/>
  <c r="AD84" i="57" s="1"/>
  <c r="W84" i="57"/>
  <c r="AC84" i="57" s="1"/>
  <c r="V84" i="57"/>
  <c r="AB84" i="57" s="1"/>
  <c r="X83" i="57"/>
  <c r="AD83" i="57" s="1"/>
  <c r="W83" i="57"/>
  <c r="AC83" i="57" s="1"/>
  <c r="V83" i="57"/>
  <c r="AB83" i="57" s="1"/>
  <c r="X82" i="57"/>
  <c r="AD82" i="57" s="1"/>
  <c r="W82" i="57"/>
  <c r="AC82" i="57" s="1"/>
  <c r="V82" i="57"/>
  <c r="AB82" i="57" s="1"/>
  <c r="X81" i="57"/>
  <c r="AD81" i="57" s="1"/>
  <c r="W81" i="57"/>
  <c r="AC81" i="57" s="1"/>
  <c r="V81" i="57"/>
  <c r="AB81" i="57" s="1"/>
  <c r="X80" i="57"/>
  <c r="AD80" i="57" s="1"/>
  <c r="W80" i="57"/>
  <c r="AC80" i="57" s="1"/>
  <c r="V80" i="57"/>
  <c r="AB80" i="57" s="1"/>
  <c r="X79" i="57"/>
  <c r="AD79" i="57" s="1"/>
  <c r="W79" i="57"/>
  <c r="AC79" i="57" s="1"/>
  <c r="V79" i="57"/>
  <c r="AB79" i="57" s="1"/>
  <c r="X78" i="57"/>
  <c r="AD78" i="57" s="1"/>
  <c r="W78" i="57"/>
  <c r="AC78" i="57" s="1"/>
  <c r="V78" i="57"/>
  <c r="AB78" i="57" s="1"/>
  <c r="X77" i="57"/>
  <c r="AD77" i="57" s="1"/>
  <c r="W77" i="57"/>
  <c r="AC77" i="57" s="1"/>
  <c r="V77" i="57"/>
  <c r="AB77" i="57" s="1"/>
  <c r="X76" i="57"/>
  <c r="AD76" i="57" s="1"/>
  <c r="W76" i="57"/>
  <c r="AC76" i="57" s="1"/>
  <c r="V76" i="57"/>
  <c r="AB76" i="57" s="1"/>
  <c r="X75" i="57"/>
  <c r="AD75" i="57" s="1"/>
  <c r="W75" i="57"/>
  <c r="AC75" i="57" s="1"/>
  <c r="V75" i="57"/>
  <c r="AB75" i="57" s="1"/>
  <c r="X74" i="57"/>
  <c r="AD74" i="57" s="1"/>
  <c r="W74" i="57"/>
  <c r="AC74" i="57" s="1"/>
  <c r="V74" i="57"/>
  <c r="AB74" i="57" s="1"/>
  <c r="X73" i="57"/>
  <c r="AD73" i="57" s="1"/>
  <c r="W73" i="57"/>
  <c r="AC73" i="57" s="1"/>
  <c r="V73" i="57"/>
  <c r="AB73" i="57" s="1"/>
  <c r="X72" i="57"/>
  <c r="AD72" i="57" s="1"/>
  <c r="W72" i="57"/>
  <c r="AC72" i="57" s="1"/>
  <c r="V72" i="57"/>
  <c r="AB72" i="57" s="1"/>
  <c r="X71" i="57"/>
  <c r="AD71" i="57" s="1"/>
  <c r="W71" i="57"/>
  <c r="AC71" i="57" s="1"/>
  <c r="V71" i="57"/>
  <c r="AB71" i="57" s="1"/>
  <c r="X70" i="57"/>
  <c r="AD70" i="57" s="1"/>
  <c r="W70" i="57"/>
  <c r="AC70" i="57" s="1"/>
  <c r="V70" i="57"/>
  <c r="AB70" i="57" s="1"/>
  <c r="X69" i="57"/>
  <c r="AD69" i="57" s="1"/>
  <c r="W69" i="57"/>
  <c r="AC69" i="57" s="1"/>
  <c r="V69" i="57"/>
  <c r="AB69" i="57" s="1"/>
  <c r="X68" i="57"/>
  <c r="AD68" i="57" s="1"/>
  <c r="W68" i="57"/>
  <c r="AC68" i="57" s="1"/>
  <c r="V68" i="57"/>
  <c r="AB68" i="57" s="1"/>
  <c r="X67" i="57"/>
  <c r="AD67" i="57" s="1"/>
  <c r="W67" i="57"/>
  <c r="AC67" i="57" s="1"/>
  <c r="V67" i="57"/>
  <c r="AB67" i="57" s="1"/>
  <c r="X66" i="57"/>
  <c r="AD66" i="57" s="1"/>
  <c r="W66" i="57"/>
  <c r="AC66" i="57" s="1"/>
  <c r="V66" i="57"/>
  <c r="AB66" i="57" s="1"/>
  <c r="X65" i="57"/>
  <c r="AD65" i="57" s="1"/>
  <c r="W65" i="57"/>
  <c r="AC65" i="57" s="1"/>
  <c r="V65" i="57"/>
  <c r="AB65" i="57" s="1"/>
  <c r="X64" i="57"/>
  <c r="AD64" i="57" s="1"/>
  <c r="W64" i="57"/>
  <c r="AC64" i="57" s="1"/>
  <c r="V64" i="57"/>
  <c r="AB64" i="57" s="1"/>
  <c r="X63" i="57"/>
  <c r="AD63" i="57" s="1"/>
  <c r="W63" i="57"/>
  <c r="AC63" i="57" s="1"/>
  <c r="V63" i="57"/>
  <c r="AB63" i="57" s="1"/>
  <c r="X62" i="57"/>
  <c r="AD62" i="57" s="1"/>
  <c r="W62" i="57"/>
  <c r="AC62" i="57" s="1"/>
  <c r="V62" i="57"/>
  <c r="AB62" i="57" s="1"/>
  <c r="X61" i="57"/>
  <c r="AD61" i="57" s="1"/>
  <c r="W61" i="57"/>
  <c r="AC61" i="57" s="1"/>
  <c r="V61" i="57"/>
  <c r="AB61" i="57" s="1"/>
  <c r="X60" i="57"/>
  <c r="AD60" i="57" s="1"/>
  <c r="W60" i="57"/>
  <c r="AC60" i="57" s="1"/>
  <c r="V60" i="57"/>
  <c r="AB60" i="57" s="1"/>
  <c r="X59" i="57"/>
  <c r="AD59" i="57" s="1"/>
  <c r="W59" i="57"/>
  <c r="AC59" i="57" s="1"/>
  <c r="V59" i="57"/>
  <c r="AB59" i="57" s="1"/>
  <c r="X58" i="57"/>
  <c r="AD58" i="57" s="1"/>
  <c r="W58" i="57"/>
  <c r="AC58" i="57" s="1"/>
  <c r="V58" i="57"/>
  <c r="AB58" i="57" s="1"/>
  <c r="X57" i="57"/>
  <c r="AD57" i="57" s="1"/>
  <c r="W57" i="57"/>
  <c r="AC57" i="57" s="1"/>
  <c r="V57" i="57"/>
  <c r="AB57" i="57" s="1"/>
  <c r="X56" i="57"/>
  <c r="AD56" i="57" s="1"/>
  <c r="W56" i="57"/>
  <c r="AC56" i="57" s="1"/>
  <c r="V56" i="57"/>
  <c r="AB56" i="57" s="1"/>
  <c r="X55" i="57"/>
  <c r="AD55" i="57" s="1"/>
  <c r="W55" i="57"/>
  <c r="AC55" i="57" s="1"/>
  <c r="V55" i="57"/>
  <c r="AB55" i="57" s="1"/>
  <c r="X54" i="57"/>
  <c r="AD54" i="57" s="1"/>
  <c r="W54" i="57"/>
  <c r="AC54" i="57" s="1"/>
  <c r="V54" i="57"/>
  <c r="AB54" i="57" s="1"/>
  <c r="X53" i="57"/>
  <c r="AD53" i="57" s="1"/>
  <c r="W53" i="57"/>
  <c r="AC53" i="57" s="1"/>
  <c r="V53" i="57"/>
  <c r="AB53" i="57" s="1"/>
  <c r="X52" i="57"/>
  <c r="AD52" i="57" s="1"/>
  <c r="W52" i="57"/>
  <c r="AC52" i="57" s="1"/>
  <c r="V52" i="57"/>
  <c r="AB52" i="57" s="1"/>
  <c r="X51" i="57"/>
  <c r="AD51" i="57" s="1"/>
  <c r="W51" i="57"/>
  <c r="AC51" i="57" s="1"/>
  <c r="V51" i="57"/>
  <c r="AB51" i="57" s="1"/>
  <c r="X50" i="57"/>
  <c r="AD50" i="57" s="1"/>
  <c r="W50" i="57"/>
  <c r="AC50" i="57" s="1"/>
  <c r="V50" i="57"/>
  <c r="AB50" i="57" s="1"/>
  <c r="X49" i="57"/>
  <c r="AD49" i="57" s="1"/>
  <c r="W49" i="57"/>
  <c r="AC49" i="57" s="1"/>
  <c r="V49" i="57"/>
  <c r="AB49" i="57" s="1"/>
  <c r="X48" i="57"/>
  <c r="AD48" i="57" s="1"/>
  <c r="W48" i="57"/>
  <c r="AC48" i="57" s="1"/>
  <c r="V48" i="57"/>
  <c r="AB48" i="57" s="1"/>
  <c r="X47" i="57"/>
  <c r="AD47" i="57" s="1"/>
  <c r="W47" i="57"/>
  <c r="AC47" i="57" s="1"/>
  <c r="V47" i="57"/>
  <c r="AB47" i="57" s="1"/>
  <c r="X46" i="57"/>
  <c r="AD46" i="57" s="1"/>
  <c r="W46" i="57"/>
  <c r="AC46" i="57" s="1"/>
  <c r="V46" i="57"/>
  <c r="AB46" i="57" s="1"/>
  <c r="X45" i="57"/>
  <c r="AD45" i="57" s="1"/>
  <c r="W45" i="57"/>
  <c r="AC45" i="57" s="1"/>
  <c r="V45" i="57"/>
  <c r="AB45" i="57" s="1"/>
  <c r="X44" i="57"/>
  <c r="AD44" i="57" s="1"/>
  <c r="W44" i="57"/>
  <c r="AC44" i="57" s="1"/>
  <c r="V44" i="57"/>
  <c r="AB44" i="57" s="1"/>
  <c r="X43" i="57"/>
  <c r="AD43" i="57" s="1"/>
  <c r="W43" i="57"/>
  <c r="AC43" i="57" s="1"/>
  <c r="V43" i="57"/>
  <c r="AB43" i="57" s="1"/>
  <c r="X42" i="57"/>
  <c r="AD42" i="57" s="1"/>
  <c r="W42" i="57"/>
  <c r="AC42" i="57" s="1"/>
  <c r="V42" i="57"/>
  <c r="AB42" i="57" s="1"/>
  <c r="X41" i="57"/>
  <c r="AD41" i="57" s="1"/>
  <c r="W41" i="57"/>
  <c r="AC41" i="57" s="1"/>
  <c r="V41" i="57"/>
  <c r="AB41" i="57" s="1"/>
  <c r="X40" i="57"/>
  <c r="AD40" i="57" s="1"/>
  <c r="W40" i="57"/>
  <c r="AC40" i="57" s="1"/>
  <c r="V40" i="57"/>
  <c r="AB40" i="57" s="1"/>
  <c r="X39" i="57"/>
  <c r="AD39" i="57" s="1"/>
  <c r="W39" i="57"/>
  <c r="AC39" i="57" s="1"/>
  <c r="V39" i="57"/>
  <c r="AB39" i="57" s="1"/>
  <c r="X38" i="57"/>
  <c r="AD38" i="57" s="1"/>
  <c r="W38" i="57"/>
  <c r="AC38" i="57" s="1"/>
  <c r="V38" i="57"/>
  <c r="AB38" i="57" s="1"/>
  <c r="X37" i="57"/>
  <c r="AD37" i="57" s="1"/>
  <c r="W37" i="57"/>
  <c r="AC37" i="57" s="1"/>
  <c r="V37" i="57"/>
  <c r="AB37" i="57" s="1"/>
  <c r="X36" i="57"/>
  <c r="AD36" i="57" s="1"/>
  <c r="W36" i="57"/>
  <c r="AC36" i="57" s="1"/>
  <c r="V36" i="57"/>
  <c r="AB36" i="57" s="1"/>
  <c r="X35" i="57"/>
  <c r="AD35" i="57" s="1"/>
  <c r="W35" i="57"/>
  <c r="AC35" i="57" s="1"/>
  <c r="V35" i="57"/>
  <c r="AB35" i="57" s="1"/>
  <c r="X34" i="57"/>
  <c r="AD34" i="57" s="1"/>
  <c r="W34" i="57"/>
  <c r="AC34" i="57" s="1"/>
  <c r="V34" i="57"/>
  <c r="AB34" i="57" s="1"/>
  <c r="X33" i="57"/>
  <c r="AD33" i="57" s="1"/>
  <c r="W33" i="57"/>
  <c r="AC33" i="57" s="1"/>
  <c r="V33" i="57"/>
  <c r="AB33" i="57" s="1"/>
  <c r="X32" i="57"/>
  <c r="AD32" i="57" s="1"/>
  <c r="W32" i="57"/>
  <c r="AC32" i="57" s="1"/>
  <c r="V32" i="57"/>
  <c r="AB32" i="57" s="1"/>
  <c r="X31" i="57"/>
  <c r="AD31" i="57" s="1"/>
  <c r="W31" i="57"/>
  <c r="AC31" i="57" s="1"/>
  <c r="V31" i="57"/>
  <c r="AB31" i="57" s="1"/>
  <c r="X30" i="57"/>
  <c r="AD30" i="57" s="1"/>
  <c r="W30" i="57"/>
  <c r="AC30" i="57" s="1"/>
  <c r="V30" i="57"/>
  <c r="AB30" i="57" s="1"/>
  <c r="X29" i="57"/>
  <c r="AD29" i="57" s="1"/>
  <c r="W29" i="57"/>
  <c r="AC29" i="57" s="1"/>
  <c r="V29" i="57"/>
  <c r="AB29" i="57" s="1"/>
  <c r="X28" i="57"/>
  <c r="AD28" i="57" s="1"/>
  <c r="W28" i="57"/>
  <c r="AC28" i="57" s="1"/>
  <c r="V28" i="57"/>
  <c r="AB28" i="57" s="1"/>
  <c r="X27" i="57"/>
  <c r="AD27" i="57" s="1"/>
  <c r="W27" i="57"/>
  <c r="AC27" i="57" s="1"/>
  <c r="V27" i="57"/>
  <c r="AB27" i="57" s="1"/>
  <c r="X26" i="57"/>
  <c r="AD26" i="57" s="1"/>
  <c r="W26" i="57"/>
  <c r="AC26" i="57" s="1"/>
  <c r="V26" i="57"/>
  <c r="AB26" i="57" s="1"/>
  <c r="X25" i="57"/>
  <c r="AD25" i="57" s="1"/>
  <c r="W25" i="57"/>
  <c r="AC25" i="57" s="1"/>
  <c r="V25" i="57"/>
  <c r="AB25" i="57" s="1"/>
  <c r="X24" i="57"/>
  <c r="AD24" i="57" s="1"/>
  <c r="W24" i="57"/>
  <c r="AC24" i="57" s="1"/>
  <c r="V24" i="57"/>
  <c r="AB24" i="57" s="1"/>
  <c r="X23" i="57"/>
  <c r="AD23" i="57" s="1"/>
  <c r="W23" i="57"/>
  <c r="AC23" i="57" s="1"/>
  <c r="V23" i="57"/>
  <c r="AB23" i="57" s="1"/>
  <c r="X22" i="57"/>
  <c r="AD22" i="57" s="1"/>
  <c r="W22" i="57"/>
  <c r="AC22" i="57" s="1"/>
  <c r="V22" i="57"/>
  <c r="AB22" i="57" s="1"/>
  <c r="X21" i="57"/>
  <c r="AD21" i="57" s="1"/>
  <c r="W21" i="57"/>
  <c r="AC21" i="57" s="1"/>
  <c r="V21" i="57"/>
  <c r="AB21" i="57" s="1"/>
  <c r="X20" i="57"/>
  <c r="AD20" i="57" s="1"/>
  <c r="W20" i="57"/>
  <c r="AC20" i="57" s="1"/>
  <c r="V20" i="57"/>
  <c r="AB20" i="57" s="1"/>
  <c r="X19" i="57"/>
  <c r="AD19" i="57" s="1"/>
  <c r="W19" i="57"/>
  <c r="AC19" i="57" s="1"/>
  <c r="V19" i="57"/>
  <c r="AB19" i="57" s="1"/>
  <c r="X18" i="57"/>
  <c r="AD18" i="57" s="1"/>
  <c r="W18" i="57"/>
  <c r="AC18" i="57" s="1"/>
  <c r="V18" i="57"/>
  <c r="AB18" i="57" s="1"/>
  <c r="X17" i="57"/>
  <c r="AD17" i="57" s="1"/>
  <c r="W17" i="57"/>
  <c r="AC17" i="57" s="1"/>
  <c r="V17" i="57"/>
  <c r="AB17" i="57" s="1"/>
  <c r="X16" i="57"/>
  <c r="AD16" i="57" s="1"/>
  <c r="W16" i="57"/>
  <c r="AC16" i="57" s="1"/>
  <c r="V16" i="57"/>
  <c r="AB16" i="57" s="1"/>
  <c r="X15" i="57"/>
  <c r="AD15" i="57" s="1"/>
  <c r="W15" i="57"/>
  <c r="AC15" i="57" s="1"/>
  <c r="V15" i="57"/>
  <c r="AB15" i="57" s="1"/>
  <c r="X14" i="57"/>
  <c r="AD14" i="57" s="1"/>
  <c r="W14" i="57"/>
  <c r="AC14" i="57" s="1"/>
  <c r="V14" i="57"/>
  <c r="AB14" i="57" s="1"/>
  <c r="X13" i="57"/>
  <c r="AD13" i="57" s="1"/>
  <c r="W13" i="57"/>
  <c r="AC13" i="57" s="1"/>
  <c r="V13" i="57"/>
  <c r="AB13" i="57" s="1"/>
  <c r="X12" i="57"/>
  <c r="AD12" i="57" s="1"/>
  <c r="W12" i="57"/>
  <c r="AC12" i="57" s="1"/>
  <c r="V12" i="57"/>
  <c r="AB12" i="57" s="1"/>
  <c r="X11" i="57"/>
  <c r="AD11" i="57" s="1"/>
  <c r="W11" i="57"/>
  <c r="AC11" i="57" s="1"/>
  <c r="V11" i="57"/>
  <c r="AB11" i="57" s="1"/>
  <c r="X10" i="57"/>
  <c r="AD10" i="57" s="1"/>
  <c r="W10" i="57"/>
  <c r="AC10" i="57" s="1"/>
  <c r="V10" i="57"/>
  <c r="AB10" i="57" s="1"/>
  <c r="X9" i="57"/>
  <c r="AD9" i="57" s="1"/>
  <c r="W9" i="57"/>
  <c r="AC9" i="57" s="1"/>
  <c r="V9" i="57"/>
  <c r="AB9" i="57" s="1"/>
  <c r="X8" i="57"/>
  <c r="AD8" i="57" s="1"/>
  <c r="W8" i="57"/>
  <c r="AC8" i="57" s="1"/>
  <c r="V8" i="57"/>
  <c r="AB8" i="57" s="1"/>
  <c r="X7" i="57"/>
  <c r="AD7" i="57" s="1"/>
  <c r="W7" i="57"/>
  <c r="AC7" i="57" s="1"/>
  <c r="V7" i="57"/>
  <c r="AB7" i="57" s="1"/>
  <c r="X6" i="57"/>
  <c r="AD6" i="57" s="1"/>
  <c r="W6" i="57"/>
  <c r="AC6" i="57" s="1"/>
  <c r="V6" i="57"/>
  <c r="AB6" i="57" s="1"/>
  <c r="X5" i="57"/>
  <c r="AD5" i="57" s="1"/>
  <c r="W5" i="57"/>
  <c r="AC5" i="57" s="1"/>
  <c r="V5" i="57"/>
  <c r="AB5" i="57" s="1"/>
  <c r="X4" i="57"/>
  <c r="AD4" i="57" s="1"/>
  <c r="W4" i="57"/>
  <c r="AC4" i="57" s="1"/>
  <c r="V4" i="57"/>
  <c r="AB4" i="57" s="1"/>
  <c r="X3" i="57"/>
  <c r="AD3" i="57" s="1"/>
  <c r="W3" i="57"/>
  <c r="AC3" i="57" s="1"/>
  <c r="V3" i="57"/>
  <c r="AB3" i="57" s="1"/>
  <c r="X2" i="57"/>
  <c r="AD2" i="57" s="1"/>
  <c r="W2" i="57"/>
  <c r="AC2" i="57" s="1"/>
  <c r="V2" i="57"/>
  <c r="AB2" i="57" s="1"/>
  <c r="AD51" i="47"/>
  <c r="AB51" i="47"/>
  <c r="AA51" i="47"/>
  <c r="Z51" i="47"/>
  <c r="X51" i="47"/>
  <c r="W51" i="47"/>
  <c r="V51" i="47"/>
  <c r="U51" i="47"/>
  <c r="AD50" i="47"/>
  <c r="AB50" i="47"/>
  <c r="AA50" i="47"/>
  <c r="Z50" i="47"/>
  <c r="X50" i="47"/>
  <c r="W50" i="47"/>
  <c r="V50" i="47"/>
  <c r="U50" i="47"/>
  <c r="AD49" i="47"/>
  <c r="AB49" i="47"/>
  <c r="AA49" i="47"/>
  <c r="Z49" i="47"/>
  <c r="X49" i="47"/>
  <c r="W49" i="47"/>
  <c r="V49" i="47"/>
  <c r="U49" i="47"/>
  <c r="AD48" i="47"/>
  <c r="AB48" i="47"/>
  <c r="AA48" i="47"/>
  <c r="Z48" i="47"/>
  <c r="X48" i="47"/>
  <c r="W48" i="47"/>
  <c r="V48" i="47"/>
  <c r="U48" i="47"/>
  <c r="AD47" i="47"/>
  <c r="AB47" i="47"/>
  <c r="AA47" i="47"/>
  <c r="Z47" i="47"/>
  <c r="X47" i="47"/>
  <c r="W47" i="47"/>
  <c r="V47" i="47"/>
  <c r="U47" i="47"/>
  <c r="AD46" i="47"/>
  <c r="AB46" i="47"/>
  <c r="AA46" i="47"/>
  <c r="Z46" i="47"/>
  <c r="X46" i="47"/>
  <c r="W46" i="47"/>
  <c r="V46" i="47"/>
  <c r="U46" i="47"/>
  <c r="AD45" i="47"/>
  <c r="AB45" i="47"/>
  <c r="AA45" i="47"/>
  <c r="Z45" i="47"/>
  <c r="X45" i="47"/>
  <c r="W45" i="47"/>
  <c r="V45" i="47"/>
  <c r="U45" i="47"/>
  <c r="AD44" i="47"/>
  <c r="AB44" i="47"/>
  <c r="AA44" i="47"/>
  <c r="Z44" i="47"/>
  <c r="X44" i="47"/>
  <c r="W44" i="47"/>
  <c r="V44" i="47"/>
  <c r="U44" i="47"/>
  <c r="AD43" i="47"/>
  <c r="AB43" i="47"/>
  <c r="AA43" i="47"/>
  <c r="Z43" i="47"/>
  <c r="X43" i="47"/>
  <c r="W43" i="47"/>
  <c r="V43" i="47"/>
  <c r="U43" i="47"/>
  <c r="AD42" i="47"/>
  <c r="AB42" i="47"/>
  <c r="AA42" i="47"/>
  <c r="Z42" i="47"/>
  <c r="X42" i="47"/>
  <c r="W42" i="47"/>
  <c r="V42" i="47"/>
  <c r="U42" i="47"/>
  <c r="AD41" i="47"/>
  <c r="AB41" i="47"/>
  <c r="AA41" i="47"/>
  <c r="Z41" i="47"/>
  <c r="X41" i="47"/>
  <c r="W41" i="47"/>
  <c r="V41" i="47"/>
  <c r="U41" i="47"/>
  <c r="AD40" i="47"/>
  <c r="AB40" i="47"/>
  <c r="AA40" i="47"/>
  <c r="Z40" i="47"/>
  <c r="X40" i="47"/>
  <c r="W40" i="47"/>
  <c r="V40" i="47"/>
  <c r="U40" i="47"/>
  <c r="AD39" i="47"/>
  <c r="AB39" i="47"/>
  <c r="AA39" i="47"/>
  <c r="Z39" i="47"/>
  <c r="X39" i="47"/>
  <c r="W39" i="47"/>
  <c r="V39" i="47"/>
  <c r="U39" i="47"/>
  <c r="AD38" i="47"/>
  <c r="AB38" i="47"/>
  <c r="AA38" i="47"/>
  <c r="Z38" i="47"/>
  <c r="X38" i="47"/>
  <c r="W38" i="47"/>
  <c r="V38" i="47"/>
  <c r="U38" i="47"/>
  <c r="AD37" i="47"/>
  <c r="AB37" i="47"/>
  <c r="AA37" i="47"/>
  <c r="Z37" i="47"/>
  <c r="X37" i="47"/>
  <c r="W37" i="47"/>
  <c r="V37" i="47"/>
  <c r="U37" i="47"/>
  <c r="AD36" i="47"/>
  <c r="AB36" i="47"/>
  <c r="AA36" i="47"/>
  <c r="Z36" i="47"/>
  <c r="X36" i="47"/>
  <c r="W36" i="47"/>
  <c r="V36" i="47"/>
  <c r="U36" i="47"/>
  <c r="AD35" i="47"/>
  <c r="AB35" i="47"/>
  <c r="AA35" i="47"/>
  <c r="Z35" i="47"/>
  <c r="X35" i="47"/>
  <c r="W35" i="47"/>
  <c r="V35" i="47"/>
  <c r="U35" i="47"/>
  <c r="AD34" i="47"/>
  <c r="AB34" i="47"/>
  <c r="AA34" i="47"/>
  <c r="Z34" i="47"/>
  <c r="X34" i="47"/>
  <c r="W34" i="47"/>
  <c r="V34" i="47"/>
  <c r="U34" i="47"/>
  <c r="AD33" i="47"/>
  <c r="AB33" i="47"/>
  <c r="AA33" i="47"/>
  <c r="Z33" i="47"/>
  <c r="X33" i="47"/>
  <c r="W33" i="47"/>
  <c r="V33" i="47"/>
  <c r="U33" i="47"/>
  <c r="AD32" i="47"/>
  <c r="AB32" i="47"/>
  <c r="AA32" i="47"/>
  <c r="Z32" i="47"/>
  <c r="X32" i="47"/>
  <c r="W32" i="47"/>
  <c r="V32" i="47"/>
  <c r="U32" i="47"/>
  <c r="AD31" i="47"/>
  <c r="AB31" i="47"/>
  <c r="AA31" i="47"/>
  <c r="Z31" i="47"/>
  <c r="X31" i="47"/>
  <c r="W31" i="47"/>
  <c r="V31" i="47"/>
  <c r="U31" i="47"/>
  <c r="AD30" i="47"/>
  <c r="AB30" i="47"/>
  <c r="AA30" i="47"/>
  <c r="Z30" i="47"/>
  <c r="X30" i="47"/>
  <c r="W30" i="47"/>
  <c r="V30" i="47"/>
  <c r="U30" i="47"/>
  <c r="AD29" i="47"/>
  <c r="AB29" i="47"/>
  <c r="AA29" i="47"/>
  <c r="Z29" i="47"/>
  <c r="X29" i="47"/>
  <c r="W29" i="47"/>
  <c r="V29" i="47"/>
  <c r="U29" i="47"/>
  <c r="AD28" i="47"/>
  <c r="AB28" i="47"/>
  <c r="AA28" i="47"/>
  <c r="Z28" i="47"/>
  <c r="X28" i="47"/>
  <c r="W28" i="47"/>
  <c r="V28" i="47"/>
  <c r="U28" i="47"/>
  <c r="AD27" i="47"/>
  <c r="AB27" i="47"/>
  <c r="AA27" i="47"/>
  <c r="Z27" i="47"/>
  <c r="X27" i="47"/>
  <c r="W27" i="47"/>
  <c r="V27" i="47"/>
  <c r="U27" i="47"/>
  <c r="AD26" i="47"/>
  <c r="AB26" i="47"/>
  <c r="AA26" i="47"/>
  <c r="Z26" i="47"/>
  <c r="X26" i="47"/>
  <c r="W26" i="47"/>
  <c r="V26" i="47"/>
  <c r="U26" i="47"/>
  <c r="AD25" i="47"/>
  <c r="AC25" i="47"/>
  <c r="AB25" i="47"/>
  <c r="AA25" i="47"/>
  <c r="Z25" i="47"/>
  <c r="Y25" i="47"/>
  <c r="X25" i="47"/>
  <c r="W25" i="47"/>
  <c r="V25" i="47"/>
  <c r="U25" i="47"/>
  <c r="AD24" i="47"/>
  <c r="AB24" i="47"/>
  <c r="AA24" i="47"/>
  <c r="Z24" i="47"/>
  <c r="X24" i="47"/>
  <c r="W24" i="47"/>
  <c r="V24" i="47"/>
  <c r="U24" i="47"/>
  <c r="AD23" i="47"/>
  <c r="AB23" i="47"/>
  <c r="AA23" i="47"/>
  <c r="Z23" i="47"/>
  <c r="X23" i="47"/>
  <c r="W23" i="47"/>
  <c r="V23" i="47"/>
  <c r="U23" i="47"/>
  <c r="AD22" i="47"/>
  <c r="AB22" i="47"/>
  <c r="AA22" i="47"/>
  <c r="Z22" i="47"/>
  <c r="X22" i="47"/>
  <c r="W22" i="47"/>
  <c r="V22" i="47"/>
  <c r="U22" i="47"/>
  <c r="AD21" i="47"/>
  <c r="AB21" i="47"/>
  <c r="AA21" i="47"/>
  <c r="Z21" i="47"/>
  <c r="X21" i="47"/>
  <c r="W21" i="47"/>
  <c r="V21" i="47"/>
  <c r="U21" i="47"/>
  <c r="AD20" i="47"/>
  <c r="AC20" i="47"/>
  <c r="AB20" i="47"/>
  <c r="AA20" i="47"/>
  <c r="Z20" i="47"/>
  <c r="Y20" i="47"/>
  <c r="X20" i="47"/>
  <c r="W20" i="47"/>
  <c r="V20" i="47"/>
  <c r="U20" i="47"/>
  <c r="AD19" i="47"/>
  <c r="AC19" i="47"/>
  <c r="AB19" i="47"/>
  <c r="AA19" i="47"/>
  <c r="Z19" i="47"/>
  <c r="Y19" i="47"/>
  <c r="X19" i="47"/>
  <c r="W19" i="47"/>
  <c r="V19" i="47"/>
  <c r="U19" i="47"/>
  <c r="AD18" i="47"/>
  <c r="AC18" i="47"/>
  <c r="AB18" i="47"/>
  <c r="AA18" i="47"/>
  <c r="Z18" i="47"/>
  <c r="Y18" i="47"/>
  <c r="X18" i="47"/>
  <c r="W18" i="47"/>
  <c r="V18" i="47"/>
  <c r="U18" i="47"/>
  <c r="AD17" i="47"/>
  <c r="AC17" i="47"/>
  <c r="AB17" i="47"/>
  <c r="AA17" i="47"/>
  <c r="Z17" i="47"/>
  <c r="Y17" i="47"/>
  <c r="X17" i="47"/>
  <c r="W17" i="47"/>
  <c r="V17" i="47"/>
  <c r="U17" i="47"/>
  <c r="AD16" i="47"/>
  <c r="AC16" i="47"/>
  <c r="AB16" i="47"/>
  <c r="AA16" i="47"/>
  <c r="Z16" i="47"/>
  <c r="Y16" i="47"/>
  <c r="X16" i="47"/>
  <c r="W16" i="47"/>
  <c r="V16" i="47"/>
  <c r="U16" i="47"/>
  <c r="AD15" i="47"/>
  <c r="AC15" i="47"/>
  <c r="AB15" i="47"/>
  <c r="AA15" i="47"/>
  <c r="Z15" i="47"/>
  <c r="Y15" i="47"/>
  <c r="X15" i="47"/>
  <c r="W15" i="47"/>
  <c r="V15" i="47"/>
  <c r="U15" i="47"/>
  <c r="AD14" i="47"/>
  <c r="AC14" i="47"/>
  <c r="AB14" i="47"/>
  <c r="AA14" i="47"/>
  <c r="Z14" i="47"/>
  <c r="Y14" i="47"/>
  <c r="X14" i="47"/>
  <c r="W14" i="47"/>
  <c r="V14" i="47"/>
  <c r="U14" i="47"/>
  <c r="AD13" i="47"/>
  <c r="AC13" i="47"/>
  <c r="AB13" i="47"/>
  <c r="AA13" i="47"/>
  <c r="Z13" i="47"/>
  <c r="Y13" i="47"/>
  <c r="X13" i="47"/>
  <c r="W13" i="47"/>
  <c r="V13" i="47"/>
  <c r="U13" i="47"/>
  <c r="AD12" i="47"/>
  <c r="AC12" i="47"/>
  <c r="AB12" i="47"/>
  <c r="AA12" i="47"/>
  <c r="Z12" i="47"/>
  <c r="Y12" i="47"/>
  <c r="X12" i="47"/>
  <c r="W12" i="47"/>
  <c r="V12" i="47"/>
  <c r="U12" i="47"/>
  <c r="AD11" i="47"/>
  <c r="AC11" i="47"/>
  <c r="AB11" i="47"/>
  <c r="AA11" i="47"/>
  <c r="Z11" i="47"/>
  <c r="Y11" i="47"/>
  <c r="X11" i="47"/>
  <c r="W11" i="47"/>
  <c r="V11" i="47"/>
  <c r="U11" i="47"/>
  <c r="AD10" i="47"/>
  <c r="AC10" i="47"/>
  <c r="AB10" i="47"/>
  <c r="AA10" i="47"/>
  <c r="Z10" i="47"/>
  <c r="Y10" i="47"/>
  <c r="X10" i="47"/>
  <c r="W10" i="47"/>
  <c r="V10" i="47"/>
  <c r="U10" i="47"/>
  <c r="AD9" i="47"/>
  <c r="AC9" i="47"/>
  <c r="AB9" i="47"/>
  <c r="AA9" i="47"/>
  <c r="Z9" i="47"/>
  <c r="Y9" i="47"/>
  <c r="X9" i="47"/>
  <c r="W9" i="47"/>
  <c r="V9" i="47"/>
  <c r="U9" i="47"/>
  <c r="AD8" i="47"/>
  <c r="AC8" i="47"/>
  <c r="AB8" i="47"/>
  <c r="AA8" i="47"/>
  <c r="Z8" i="47"/>
  <c r="Y8" i="47"/>
  <c r="X8" i="47"/>
  <c r="W8" i="47"/>
  <c r="V8" i="47"/>
  <c r="U8" i="47"/>
  <c r="AD7" i="47"/>
  <c r="AC7" i="47"/>
  <c r="AB7" i="47"/>
  <c r="AA7" i="47"/>
  <c r="Z7" i="47"/>
  <c r="Y7" i="47"/>
  <c r="X7" i="47"/>
  <c r="W7" i="47"/>
  <c r="V7" i="47"/>
  <c r="U7" i="47"/>
  <c r="AD6" i="47"/>
  <c r="AC6" i="47"/>
  <c r="AB6" i="47"/>
  <c r="AA6" i="47"/>
  <c r="Z6" i="47"/>
  <c r="Y6" i="47"/>
  <c r="X6" i="47"/>
  <c r="W6" i="47"/>
  <c r="V6" i="47"/>
  <c r="U6" i="47"/>
  <c r="AD5" i="47"/>
  <c r="AC5" i="47"/>
  <c r="AB5" i="47"/>
  <c r="AA5" i="47"/>
  <c r="Z5" i="47"/>
  <c r="Y5" i="47"/>
  <c r="X5" i="47"/>
  <c r="W5" i="47"/>
  <c r="V5" i="47"/>
  <c r="U5" i="47"/>
  <c r="AP51" i="55"/>
  <c r="AC51" i="55"/>
  <c r="AC51" i="47" s="1"/>
  <c r="Y51" i="55"/>
  <c r="Y51" i="47" s="1"/>
  <c r="AP50" i="55"/>
  <c r="AC50" i="55"/>
  <c r="AC50" i="47" s="1"/>
  <c r="Y50" i="55"/>
  <c r="Y50" i="47" s="1"/>
  <c r="AP49" i="55"/>
  <c r="AC49" i="55"/>
  <c r="AC49" i="47" s="1"/>
  <c r="Y49" i="55"/>
  <c r="Y49" i="47" s="1"/>
  <c r="AP48" i="55"/>
  <c r="AC48" i="55"/>
  <c r="AC48" i="47" s="1"/>
  <c r="Y48" i="55"/>
  <c r="Y48" i="47" s="1"/>
  <c r="AP47" i="55"/>
  <c r="AC47" i="55"/>
  <c r="AC47" i="47" s="1"/>
  <c r="Y47" i="55"/>
  <c r="Y47" i="47" s="1"/>
  <c r="AP46" i="55"/>
  <c r="AC46" i="55"/>
  <c r="AC46" i="47" s="1"/>
  <c r="Y46" i="55"/>
  <c r="Y46" i="47" s="1"/>
  <c r="AP45" i="55"/>
  <c r="AC45" i="55"/>
  <c r="AC45" i="47" s="1"/>
  <c r="Y45" i="55"/>
  <c r="Y45" i="47" s="1"/>
  <c r="AP44" i="55"/>
  <c r="AC44" i="55"/>
  <c r="AC44" i="47" s="1"/>
  <c r="Y44" i="55"/>
  <c r="Y44" i="47" s="1"/>
  <c r="AP43" i="55"/>
  <c r="AC43" i="55"/>
  <c r="AC43" i="47" s="1"/>
  <c r="Y43" i="55"/>
  <c r="Y43" i="47" s="1"/>
  <c r="AP42" i="55"/>
  <c r="AC42" i="55"/>
  <c r="AC42" i="47" s="1"/>
  <c r="Y42" i="55"/>
  <c r="Y42" i="47" s="1"/>
  <c r="AP41" i="55"/>
  <c r="AC41" i="55"/>
  <c r="AC41" i="47" s="1"/>
  <c r="Y41" i="55"/>
  <c r="Y41" i="47" s="1"/>
  <c r="AP40" i="55"/>
  <c r="AC40" i="55"/>
  <c r="AC40" i="47" s="1"/>
  <c r="Y40" i="55"/>
  <c r="Y40" i="47" s="1"/>
  <c r="AP39" i="55"/>
  <c r="AC39" i="55"/>
  <c r="AC39" i="47" s="1"/>
  <c r="Y39" i="55"/>
  <c r="Y39" i="47" s="1"/>
  <c r="AP38" i="55"/>
  <c r="AC38" i="55"/>
  <c r="AC38" i="47" s="1"/>
  <c r="Y38" i="55"/>
  <c r="Y38" i="47" s="1"/>
  <c r="AP37" i="55"/>
  <c r="AC37" i="55"/>
  <c r="AC37" i="47" s="1"/>
  <c r="Y37" i="55"/>
  <c r="Y37" i="47" s="1"/>
  <c r="AP36" i="55"/>
  <c r="AC36" i="55"/>
  <c r="AC36" i="47" s="1"/>
  <c r="Y36" i="55"/>
  <c r="Y36" i="47" s="1"/>
  <c r="AP35" i="55"/>
  <c r="AC35" i="55"/>
  <c r="AC35" i="47" s="1"/>
  <c r="Y35" i="55"/>
  <c r="Y35" i="47" s="1"/>
  <c r="AP34" i="55"/>
  <c r="AC34" i="55"/>
  <c r="AC34" i="47" s="1"/>
  <c r="Y34" i="55"/>
  <c r="Y34" i="47" s="1"/>
  <c r="AP33" i="55"/>
  <c r="AC33" i="55"/>
  <c r="AC33" i="47" s="1"/>
  <c r="Y33" i="55"/>
  <c r="Y33" i="47" s="1"/>
  <c r="AP32" i="55"/>
  <c r="AC32" i="55"/>
  <c r="AC32" i="47" s="1"/>
  <c r="Y32" i="55"/>
  <c r="Y32" i="47" s="1"/>
  <c r="AP31" i="55"/>
  <c r="AC31" i="55"/>
  <c r="AC31" i="47" s="1"/>
  <c r="Y31" i="55"/>
  <c r="Y31" i="47" s="1"/>
  <c r="AP30" i="55"/>
  <c r="AC30" i="55"/>
  <c r="AC30" i="47" s="1"/>
  <c r="Y30" i="55"/>
  <c r="Y30" i="47" s="1"/>
  <c r="AP29" i="55"/>
  <c r="AC29" i="55"/>
  <c r="AC29" i="47" s="1"/>
  <c r="Y29" i="55"/>
  <c r="Y29" i="47" s="1"/>
  <c r="AP28" i="55"/>
  <c r="AC28" i="55"/>
  <c r="AC28" i="47" s="1"/>
  <c r="Y28" i="55"/>
  <c r="Y28" i="47" s="1"/>
  <c r="AP27" i="55"/>
  <c r="AC27" i="55"/>
  <c r="AC27" i="47" s="1"/>
  <c r="Y27" i="55"/>
  <c r="Y27" i="47" s="1"/>
  <c r="AP26" i="55"/>
  <c r="AC26" i="55"/>
  <c r="AC26" i="47" s="1"/>
  <c r="Y26" i="55"/>
  <c r="Y26" i="47" s="1"/>
  <c r="AP24" i="55"/>
  <c r="AC24" i="55"/>
  <c r="AC24" i="47" s="1"/>
  <c r="Y24" i="55"/>
  <c r="Y24" i="47" s="1"/>
  <c r="AP23" i="55"/>
  <c r="AC23" i="55"/>
  <c r="AC23" i="47" s="1"/>
  <c r="Y23" i="55"/>
  <c r="Y23" i="47" s="1"/>
  <c r="AP22" i="55"/>
  <c r="AC22" i="55"/>
  <c r="AC22" i="47" s="1"/>
  <c r="Y22" i="55"/>
  <c r="Y22" i="47" s="1"/>
  <c r="AP21" i="55"/>
  <c r="AC21" i="55"/>
  <c r="AC21" i="47" s="1"/>
  <c r="Y21" i="55"/>
  <c r="Y21" i="47" s="1"/>
  <c r="X47" i="54"/>
  <c r="V47" i="54"/>
  <c r="T47" i="54"/>
  <c r="P47" i="54"/>
  <c r="O47" i="54"/>
  <c r="N47" i="54"/>
  <c r="M47" i="54"/>
  <c r="V46" i="54"/>
  <c r="U46" i="54"/>
  <c r="T46" i="54"/>
  <c r="P46" i="54"/>
  <c r="O46" i="54"/>
  <c r="N46" i="54"/>
  <c r="M46" i="54"/>
  <c r="X45" i="54"/>
  <c r="V45" i="54"/>
  <c r="U45" i="54"/>
  <c r="T45" i="54"/>
  <c r="P45" i="54"/>
  <c r="O45" i="54"/>
  <c r="N45" i="54"/>
  <c r="M45" i="54"/>
  <c r="X47" i="53"/>
  <c r="V47" i="53"/>
  <c r="T47" i="53"/>
  <c r="P47" i="53"/>
  <c r="O47" i="53"/>
  <c r="N47" i="53"/>
  <c r="M47" i="53"/>
  <c r="V46" i="53"/>
  <c r="U46" i="53"/>
  <c r="T46" i="53"/>
  <c r="P46" i="53"/>
  <c r="O46" i="53"/>
  <c r="N46" i="53"/>
  <c r="M46" i="53"/>
  <c r="X45" i="53"/>
  <c r="V45" i="53"/>
  <c r="V49" i="53" s="1"/>
  <c r="U45" i="53"/>
  <c r="T45" i="53"/>
  <c r="P45" i="53"/>
  <c r="O45" i="53"/>
  <c r="N45" i="53"/>
  <c r="N49" i="53" s="1"/>
  <c r="M45" i="53"/>
  <c r="Y42" i="52"/>
  <c r="Y41" i="52"/>
  <c r="Y40" i="52"/>
  <c r="Y39" i="52"/>
  <c r="Y38" i="52"/>
  <c r="Y37" i="52"/>
  <c r="Y36" i="52"/>
  <c r="Y35" i="52"/>
  <c r="Y34" i="52"/>
  <c r="Y33" i="52"/>
  <c r="Y32" i="52"/>
  <c r="Y31" i="52"/>
  <c r="Y30" i="52"/>
  <c r="Y29" i="52"/>
  <c r="Y28" i="52"/>
  <c r="Y27" i="52"/>
  <c r="Y26" i="52"/>
  <c r="Y25" i="52"/>
  <c r="Y24" i="52"/>
  <c r="Y23" i="52"/>
  <c r="Y22" i="52"/>
  <c r="Y21" i="52"/>
  <c r="Y20" i="52"/>
  <c r="Y19" i="52"/>
  <c r="Y18" i="52"/>
  <c r="Y17" i="52"/>
  <c r="Y16" i="52"/>
  <c r="Y15" i="52"/>
  <c r="Y14" i="52"/>
  <c r="Y13" i="52"/>
  <c r="Y12" i="52"/>
  <c r="Y11" i="52"/>
  <c r="Y10" i="52"/>
  <c r="Y9" i="52"/>
  <c r="Y8" i="52"/>
  <c r="Y7" i="52"/>
  <c r="Y6" i="52"/>
  <c r="Y5" i="52"/>
  <c r="X47" i="52"/>
  <c r="V47" i="52"/>
  <c r="T47" i="52"/>
  <c r="P47" i="52"/>
  <c r="O47" i="52"/>
  <c r="N47" i="52"/>
  <c r="M47" i="52"/>
  <c r="V46" i="52"/>
  <c r="U46" i="52"/>
  <c r="T46" i="52"/>
  <c r="P46" i="52"/>
  <c r="O46" i="52"/>
  <c r="N46" i="52"/>
  <c r="M46" i="52"/>
  <c r="X45" i="52"/>
  <c r="V45" i="52"/>
  <c r="V49" i="52" s="1"/>
  <c r="U45" i="52"/>
  <c r="T45" i="52"/>
  <c r="T49" i="52" s="1"/>
  <c r="P45" i="52"/>
  <c r="P49" i="52" s="1"/>
  <c r="O45" i="52"/>
  <c r="N45" i="52"/>
  <c r="N49" i="52" s="1"/>
  <c r="M45" i="52"/>
  <c r="X47" i="51"/>
  <c r="X45" i="51"/>
  <c r="V47" i="51"/>
  <c r="V46" i="51"/>
  <c r="V45" i="51"/>
  <c r="U46" i="51"/>
  <c r="U45" i="51"/>
  <c r="T47" i="51"/>
  <c r="T46" i="51"/>
  <c r="T45" i="51"/>
  <c r="R48" i="51"/>
  <c r="P47" i="51"/>
  <c r="P46" i="51"/>
  <c r="P45" i="51"/>
  <c r="O47" i="51"/>
  <c r="O46" i="51"/>
  <c r="O45" i="51"/>
  <c r="N47" i="51"/>
  <c r="N46" i="51"/>
  <c r="N45" i="51"/>
  <c r="M47" i="51"/>
  <c r="M46" i="51"/>
  <c r="M45" i="51"/>
  <c r="Z42" i="51"/>
  <c r="Z41" i="51"/>
  <c r="Z40" i="51"/>
  <c r="Z39" i="51"/>
  <c r="Z38" i="51"/>
  <c r="Z37" i="51"/>
  <c r="Z36" i="51"/>
  <c r="Z35" i="51"/>
  <c r="Z34" i="51"/>
  <c r="Z33" i="51"/>
  <c r="Z32" i="51"/>
  <c r="Z31" i="51"/>
  <c r="Z30" i="51"/>
  <c r="Z29" i="51"/>
  <c r="Z28" i="51"/>
  <c r="Z27" i="51"/>
  <c r="Z26" i="51"/>
  <c r="Z25" i="51"/>
  <c r="Z24" i="51"/>
  <c r="Z23" i="51"/>
  <c r="Z22" i="51"/>
  <c r="Z21" i="51"/>
  <c r="Z20" i="51"/>
  <c r="Z19" i="51"/>
  <c r="Z18" i="51"/>
  <c r="Z17" i="51"/>
  <c r="Z15" i="51"/>
  <c r="Z14" i="51"/>
  <c r="Z13" i="51"/>
  <c r="Z12" i="51"/>
  <c r="V42" i="51"/>
  <c r="V41" i="51"/>
  <c r="V40" i="51"/>
  <c r="V39" i="51"/>
  <c r="V38" i="51"/>
  <c r="V37" i="51"/>
  <c r="V36" i="51"/>
  <c r="V35" i="51"/>
  <c r="V34" i="51"/>
  <c r="V33" i="51"/>
  <c r="V32" i="51"/>
  <c r="V31" i="51"/>
  <c r="V30" i="51"/>
  <c r="V29" i="51"/>
  <c r="V28" i="51"/>
  <c r="V27" i="51"/>
  <c r="V26" i="51"/>
  <c r="V25" i="51"/>
  <c r="V24" i="51"/>
  <c r="V23" i="51"/>
  <c r="V22" i="51"/>
  <c r="V21" i="51"/>
  <c r="V20" i="51"/>
  <c r="V19" i="51"/>
  <c r="V18" i="51"/>
  <c r="V17" i="51"/>
  <c r="V15" i="51"/>
  <c r="V14" i="51"/>
  <c r="V13" i="51"/>
  <c r="V12" i="51"/>
  <c r="U42" i="51"/>
  <c r="U41" i="51"/>
  <c r="U40" i="51"/>
  <c r="U39" i="51"/>
  <c r="U38" i="51"/>
  <c r="U37" i="51"/>
  <c r="U36" i="51"/>
  <c r="U35" i="51"/>
  <c r="U34" i="51"/>
  <c r="U33" i="51"/>
  <c r="U32" i="51"/>
  <c r="U31" i="51"/>
  <c r="U30" i="51"/>
  <c r="U29" i="51"/>
  <c r="U28" i="51"/>
  <c r="U27" i="51"/>
  <c r="U26" i="51"/>
  <c r="U25" i="51"/>
  <c r="U24" i="51"/>
  <c r="U23" i="51"/>
  <c r="U22" i="51"/>
  <c r="U21" i="51"/>
  <c r="U20" i="51"/>
  <c r="U19" i="51"/>
  <c r="U18" i="51"/>
  <c r="U17" i="51"/>
  <c r="U15" i="51"/>
  <c r="U14" i="51"/>
  <c r="U13" i="51"/>
  <c r="U12" i="51"/>
  <c r="T42" i="51"/>
  <c r="T41" i="51"/>
  <c r="T40" i="51"/>
  <c r="T39" i="51"/>
  <c r="T38" i="51"/>
  <c r="T37" i="51"/>
  <c r="T36" i="51"/>
  <c r="T35" i="51"/>
  <c r="T34" i="51"/>
  <c r="T33" i="51"/>
  <c r="T32" i="51"/>
  <c r="T31" i="51"/>
  <c r="T30" i="51"/>
  <c r="T29" i="51"/>
  <c r="T28" i="51"/>
  <c r="T27" i="51"/>
  <c r="T26" i="51"/>
  <c r="T25" i="51"/>
  <c r="T24" i="51"/>
  <c r="T23" i="51"/>
  <c r="T22" i="51"/>
  <c r="T21" i="51"/>
  <c r="T20" i="51"/>
  <c r="T19" i="51"/>
  <c r="T18" i="51"/>
  <c r="T17" i="51"/>
  <c r="T15" i="51"/>
  <c r="T14" i="51"/>
  <c r="T13" i="51"/>
  <c r="T12" i="51"/>
  <c r="R42" i="51"/>
  <c r="R41" i="51"/>
  <c r="R40" i="51"/>
  <c r="R39" i="51"/>
  <c r="R38" i="51"/>
  <c r="R37" i="51"/>
  <c r="R36" i="51"/>
  <c r="R35" i="51"/>
  <c r="R34" i="51"/>
  <c r="R33" i="51"/>
  <c r="R32" i="51"/>
  <c r="R31" i="51"/>
  <c r="R30" i="51"/>
  <c r="R29" i="51"/>
  <c r="R28" i="51"/>
  <c r="R27" i="51"/>
  <c r="R26" i="51"/>
  <c r="R25" i="51"/>
  <c r="R24" i="51"/>
  <c r="R23" i="51"/>
  <c r="R22" i="51"/>
  <c r="R21" i="51"/>
  <c r="R20" i="51"/>
  <c r="R19" i="51"/>
  <c r="R18" i="51"/>
  <c r="R17" i="51"/>
  <c r="R15" i="51"/>
  <c r="R14" i="51"/>
  <c r="R13" i="51"/>
  <c r="R12" i="51"/>
  <c r="P42" i="51"/>
  <c r="P41" i="51"/>
  <c r="P40" i="51"/>
  <c r="P39" i="51"/>
  <c r="P38" i="51"/>
  <c r="P37" i="51"/>
  <c r="P36" i="51"/>
  <c r="P35" i="51"/>
  <c r="P34" i="51"/>
  <c r="P33" i="51"/>
  <c r="P32" i="51"/>
  <c r="P31" i="51"/>
  <c r="P30" i="51"/>
  <c r="P29" i="51"/>
  <c r="P28" i="51"/>
  <c r="P27" i="51"/>
  <c r="P26" i="51"/>
  <c r="P25" i="51"/>
  <c r="P24" i="51"/>
  <c r="P23" i="51"/>
  <c r="P22" i="51"/>
  <c r="P21" i="51"/>
  <c r="P20" i="51"/>
  <c r="P19" i="51"/>
  <c r="P18" i="51"/>
  <c r="P17" i="51"/>
  <c r="P15" i="51"/>
  <c r="P14" i="51"/>
  <c r="P13" i="51"/>
  <c r="P12" i="51"/>
  <c r="O42" i="51"/>
  <c r="O41" i="51"/>
  <c r="O40" i="51"/>
  <c r="O39" i="51"/>
  <c r="O38" i="51"/>
  <c r="O37" i="51"/>
  <c r="O36" i="51"/>
  <c r="O35" i="51"/>
  <c r="O34" i="51"/>
  <c r="O33" i="51"/>
  <c r="O32" i="51"/>
  <c r="O31" i="51"/>
  <c r="O30" i="51"/>
  <c r="O29" i="51"/>
  <c r="O28" i="51"/>
  <c r="O27" i="51"/>
  <c r="O26" i="51"/>
  <c r="O25" i="51"/>
  <c r="O24" i="51"/>
  <c r="O23" i="51"/>
  <c r="O22" i="51"/>
  <c r="O21" i="51"/>
  <c r="O20" i="51"/>
  <c r="O19" i="51"/>
  <c r="O18" i="51"/>
  <c r="O17" i="51"/>
  <c r="O15" i="51"/>
  <c r="O14" i="51"/>
  <c r="O13" i="51"/>
  <c r="O12" i="51"/>
  <c r="N42" i="51"/>
  <c r="N41" i="51"/>
  <c r="N40" i="51"/>
  <c r="N39" i="51"/>
  <c r="N38" i="51"/>
  <c r="N37" i="51"/>
  <c r="N36" i="51"/>
  <c r="N35" i="51"/>
  <c r="N34" i="51"/>
  <c r="N33" i="51"/>
  <c r="N32" i="51"/>
  <c r="N31" i="51"/>
  <c r="N30" i="51"/>
  <c r="N29" i="51"/>
  <c r="N28" i="51"/>
  <c r="N27" i="51"/>
  <c r="N26" i="51"/>
  <c r="N25" i="51"/>
  <c r="N24" i="51"/>
  <c r="N23" i="51"/>
  <c r="N22" i="51"/>
  <c r="N21" i="51"/>
  <c r="N20" i="51"/>
  <c r="N19" i="51"/>
  <c r="N18" i="51"/>
  <c r="N17" i="51"/>
  <c r="N15" i="51"/>
  <c r="N14" i="51"/>
  <c r="N13" i="51"/>
  <c r="N12" i="51"/>
  <c r="M42" i="51"/>
  <c r="M41" i="51"/>
  <c r="M40" i="51"/>
  <c r="M39" i="51"/>
  <c r="M38" i="51"/>
  <c r="M37" i="51"/>
  <c r="M36" i="51"/>
  <c r="M35" i="51"/>
  <c r="M34" i="51"/>
  <c r="M33" i="51"/>
  <c r="M32" i="51"/>
  <c r="M31" i="51"/>
  <c r="M30" i="51"/>
  <c r="M29" i="51"/>
  <c r="M28" i="51"/>
  <c r="M27" i="51"/>
  <c r="M26" i="51"/>
  <c r="M25" i="51"/>
  <c r="M24" i="51"/>
  <c r="M23" i="51"/>
  <c r="M22" i="51"/>
  <c r="M21" i="51"/>
  <c r="M20" i="51"/>
  <c r="M19" i="51"/>
  <c r="M18" i="51"/>
  <c r="M17" i="51"/>
  <c r="M15" i="51"/>
  <c r="M14" i="51"/>
  <c r="M13" i="51"/>
  <c r="M12" i="51"/>
  <c r="L42" i="51"/>
  <c r="L41" i="51"/>
  <c r="L40" i="51"/>
  <c r="L39" i="51"/>
  <c r="L38" i="51"/>
  <c r="L37" i="51"/>
  <c r="L36" i="51"/>
  <c r="L35" i="51"/>
  <c r="L34" i="51"/>
  <c r="L33" i="51"/>
  <c r="L32" i="51"/>
  <c r="L31" i="51"/>
  <c r="L30" i="51"/>
  <c r="L29" i="51"/>
  <c r="L28" i="51"/>
  <c r="L27" i="51"/>
  <c r="L26" i="51"/>
  <c r="L25" i="51"/>
  <c r="L24" i="51"/>
  <c r="L23" i="51"/>
  <c r="L22" i="51"/>
  <c r="L21" i="51"/>
  <c r="L20" i="51"/>
  <c r="L19" i="51"/>
  <c r="L18" i="51"/>
  <c r="L17" i="51"/>
  <c r="L15" i="51"/>
  <c r="L14" i="51"/>
  <c r="L13" i="51"/>
  <c r="L12" i="51"/>
  <c r="AK56" i="50"/>
  <c r="AF56" i="50"/>
  <c r="AP54" i="50" s="1"/>
  <c r="AE56" i="50"/>
  <c r="AO54" i="50" s="1"/>
  <c r="AC56" i="50"/>
  <c r="Y56" i="50"/>
  <c r="X56" i="50"/>
  <c r="W56" i="50"/>
  <c r="S56" i="50"/>
  <c r="R56" i="50"/>
  <c r="Q56" i="50"/>
  <c r="P56" i="50"/>
  <c r="O56" i="50"/>
  <c r="M56" i="50"/>
  <c r="L56" i="50"/>
  <c r="AK55" i="50"/>
  <c r="AF55" i="50"/>
  <c r="AC55" i="50"/>
  <c r="AA55" i="50"/>
  <c r="Z55" i="50"/>
  <c r="Y55" i="50"/>
  <c r="X55" i="50"/>
  <c r="W55" i="50"/>
  <c r="V55" i="50"/>
  <c r="U55" i="50"/>
  <c r="S55" i="50"/>
  <c r="R55" i="50"/>
  <c r="Q55" i="50"/>
  <c r="P55" i="50"/>
  <c r="O55" i="50"/>
  <c r="M55" i="50"/>
  <c r="L55" i="50"/>
  <c r="AL57" i="49"/>
  <c r="AG57" i="49"/>
  <c r="AD57" i="49"/>
  <c r="AB57" i="49"/>
  <c r="T57" i="49"/>
  <c r="AK56" i="49"/>
  <c r="AF56" i="49"/>
  <c r="AE56" i="49"/>
  <c r="AC56" i="49"/>
  <c r="Y56" i="49"/>
  <c r="X56" i="49"/>
  <c r="W56" i="49"/>
  <c r="S56" i="49"/>
  <c r="R56" i="49"/>
  <c r="Q56" i="49"/>
  <c r="P56" i="49"/>
  <c r="O56" i="49"/>
  <c r="M56" i="49"/>
  <c r="L56" i="49"/>
  <c r="AK55" i="49"/>
  <c r="AF55" i="49"/>
  <c r="AP54" i="49" s="1"/>
  <c r="AC55" i="49"/>
  <c r="AA55" i="49"/>
  <c r="Z55" i="49"/>
  <c r="Y55" i="49"/>
  <c r="X55" i="49"/>
  <c r="W55" i="49"/>
  <c r="V55" i="49"/>
  <c r="U55" i="49"/>
  <c r="S55" i="49"/>
  <c r="R55" i="49"/>
  <c r="Q55" i="49"/>
  <c r="P55" i="49"/>
  <c r="O55" i="49"/>
  <c r="M55" i="49"/>
  <c r="L55" i="49"/>
  <c r="AL57" i="48"/>
  <c r="AG57" i="48"/>
  <c r="AD57" i="48"/>
  <c r="AB57" i="48"/>
  <c r="T57" i="48"/>
  <c r="AG51" i="48"/>
  <c r="AA51" i="48"/>
  <c r="Z51" i="48"/>
  <c r="AG50" i="48"/>
  <c r="AA50" i="48"/>
  <c r="Z50" i="48"/>
  <c r="AG49" i="48"/>
  <c r="AA49" i="48"/>
  <c r="Z49" i="48"/>
  <c r="AG48" i="48"/>
  <c r="AA48" i="48"/>
  <c r="Z48" i="48"/>
  <c r="AG47" i="48"/>
  <c r="AA47" i="48"/>
  <c r="Z47" i="48"/>
  <c r="AG46" i="48"/>
  <c r="AA46" i="48"/>
  <c r="Z46" i="48"/>
  <c r="AG45" i="48"/>
  <c r="AA45" i="48"/>
  <c r="Z45" i="48"/>
  <c r="AG44" i="48"/>
  <c r="AA44" i="48"/>
  <c r="Z44" i="48"/>
  <c r="AG43" i="48"/>
  <c r="AA43" i="48"/>
  <c r="Z43" i="48"/>
  <c r="AG42" i="48"/>
  <c r="AA42" i="48"/>
  <c r="Z42" i="48"/>
  <c r="AG41" i="48"/>
  <c r="AA41" i="48"/>
  <c r="Z41" i="48"/>
  <c r="AG40" i="48"/>
  <c r="AA40" i="48"/>
  <c r="Z40" i="48"/>
  <c r="AG39" i="48"/>
  <c r="AA39" i="48"/>
  <c r="Z39" i="48"/>
  <c r="AG38" i="48"/>
  <c r="AA38" i="48"/>
  <c r="Z38" i="48"/>
  <c r="AG37" i="48"/>
  <c r="AA37" i="48"/>
  <c r="Z37" i="48"/>
  <c r="AG36" i="48"/>
  <c r="AA36" i="48"/>
  <c r="Z36" i="48"/>
  <c r="AG35" i="48"/>
  <c r="AA35" i="48"/>
  <c r="Z35" i="48"/>
  <c r="AG34" i="48"/>
  <c r="AA34" i="48"/>
  <c r="Z34" i="48"/>
  <c r="AG33" i="48"/>
  <c r="AA33" i="48"/>
  <c r="Z33" i="48"/>
  <c r="AG32" i="48"/>
  <c r="AA32" i="48"/>
  <c r="Z32" i="48"/>
  <c r="AG31" i="48"/>
  <c r="AA31" i="48"/>
  <c r="Z31" i="48"/>
  <c r="AG30" i="48"/>
  <c r="AA30" i="48"/>
  <c r="Z30" i="48"/>
  <c r="AG29" i="48"/>
  <c r="AA29" i="48"/>
  <c r="Z29" i="48"/>
  <c r="AG28" i="48"/>
  <c r="AA28" i="48"/>
  <c r="Z28" i="48"/>
  <c r="AG27" i="48"/>
  <c r="AA27" i="48"/>
  <c r="Z27" i="48"/>
  <c r="AG26" i="48"/>
  <c r="AA26" i="48"/>
  <c r="Z26" i="48"/>
  <c r="AG25" i="48"/>
  <c r="AA25" i="48"/>
  <c r="Z25" i="48"/>
  <c r="AG24" i="48"/>
  <c r="AA24" i="48"/>
  <c r="Z24" i="48"/>
  <c r="AG23" i="48"/>
  <c r="AA23" i="48"/>
  <c r="Z23" i="48"/>
  <c r="AG22" i="48"/>
  <c r="AA22" i="48"/>
  <c r="Z22" i="48"/>
  <c r="AG21" i="48"/>
  <c r="AA21" i="48"/>
  <c r="Z21" i="48"/>
  <c r="AG20" i="48"/>
  <c r="AA20" i="48"/>
  <c r="Z20" i="48"/>
  <c r="AG19" i="48"/>
  <c r="AA19" i="48"/>
  <c r="Z19" i="48"/>
  <c r="AG18" i="48"/>
  <c r="AA18" i="48"/>
  <c r="Z18" i="48"/>
  <c r="AG17" i="48"/>
  <c r="AA17" i="48"/>
  <c r="Z17" i="48"/>
  <c r="AG16" i="48"/>
  <c r="AA16" i="48"/>
  <c r="Z16" i="48"/>
  <c r="AG15" i="48"/>
  <c r="AA15" i="48"/>
  <c r="Z15" i="48"/>
  <c r="AG14" i="48"/>
  <c r="AA14" i="48"/>
  <c r="Z14" i="48"/>
  <c r="AG13" i="48"/>
  <c r="AA13" i="48"/>
  <c r="Z13" i="48"/>
  <c r="AG12" i="48"/>
  <c r="AA12" i="48"/>
  <c r="Z12" i="48"/>
  <c r="AG11" i="48"/>
  <c r="AA11" i="48"/>
  <c r="Z11" i="48"/>
  <c r="AG10" i="48"/>
  <c r="AA10" i="48"/>
  <c r="Z10" i="48"/>
  <c r="AG9" i="48"/>
  <c r="AA9" i="48"/>
  <c r="Z9" i="48"/>
  <c r="AG8" i="48"/>
  <c r="AA8" i="48"/>
  <c r="Z8" i="48"/>
  <c r="AG7" i="48"/>
  <c r="AA7" i="48"/>
  <c r="Z7" i="48"/>
  <c r="AG6" i="48"/>
  <c r="AA6" i="48"/>
  <c r="Z6" i="48"/>
  <c r="AG5" i="48"/>
  <c r="AA5" i="48"/>
  <c r="Z5" i="48"/>
  <c r="AK56" i="48"/>
  <c r="AF56" i="48"/>
  <c r="AE56" i="48"/>
  <c r="AC56" i="48"/>
  <c r="Y56" i="48"/>
  <c r="X56" i="48"/>
  <c r="W56" i="48"/>
  <c r="S56" i="48"/>
  <c r="R56" i="48"/>
  <c r="Q56" i="48"/>
  <c r="P56" i="48"/>
  <c r="O56" i="48"/>
  <c r="M56" i="48"/>
  <c r="L56" i="48"/>
  <c r="AK55" i="48"/>
  <c r="AF55" i="48"/>
  <c r="AC55" i="48"/>
  <c r="AA55" i="48"/>
  <c r="Z55" i="48"/>
  <c r="Y55" i="48"/>
  <c r="X55" i="48"/>
  <c r="W55" i="48"/>
  <c r="V55" i="48"/>
  <c r="U55" i="48"/>
  <c r="S55" i="48"/>
  <c r="R55" i="48"/>
  <c r="Q55" i="48"/>
  <c r="P55" i="48"/>
  <c r="O55" i="48"/>
  <c r="M55" i="48"/>
  <c r="L55" i="48"/>
  <c r="AP51" i="48"/>
  <c r="AP50" i="48"/>
  <c r="AP49" i="48"/>
  <c r="AP48" i="48"/>
  <c r="AP47" i="48"/>
  <c r="AP46" i="48"/>
  <c r="AP45" i="48"/>
  <c r="AP44" i="48"/>
  <c r="AP43" i="48"/>
  <c r="AP42" i="48"/>
  <c r="AP41" i="48"/>
  <c r="AP40" i="48"/>
  <c r="AP39" i="48"/>
  <c r="AP38" i="48"/>
  <c r="AP37" i="48"/>
  <c r="AP36" i="48"/>
  <c r="AP35" i="48"/>
  <c r="AP34" i="48"/>
  <c r="AP33" i="48"/>
  <c r="AP32" i="48"/>
  <c r="AP31" i="48"/>
  <c r="AP30" i="48"/>
  <c r="AP29" i="48"/>
  <c r="AP28" i="48"/>
  <c r="AP27" i="48"/>
  <c r="AP26" i="48"/>
  <c r="AP24" i="48"/>
  <c r="AP23" i="48"/>
  <c r="AP22" i="48"/>
  <c r="AP21" i="48"/>
  <c r="AA56" i="47"/>
  <c r="AA54" i="63" s="1"/>
  <c r="AA58" i="63" s="1"/>
  <c r="Z56" i="47"/>
  <c r="Z54" i="63" s="1"/>
  <c r="Z58" i="63" s="1"/>
  <c r="AK58" i="47"/>
  <c r="AK57" i="47"/>
  <c r="AK56" i="47"/>
  <c r="AK54" i="63" s="1"/>
  <c r="AK58" i="63" s="1"/>
  <c r="AF58" i="47"/>
  <c r="AF57" i="47"/>
  <c r="AF56" i="47"/>
  <c r="AF54" i="63" s="1"/>
  <c r="AE58" i="47"/>
  <c r="AE56" i="47"/>
  <c r="AC58" i="47"/>
  <c r="AC57" i="47"/>
  <c r="AC56" i="47"/>
  <c r="AC54" i="63" s="1"/>
  <c r="AC58" i="63" s="1"/>
  <c r="AA57" i="47"/>
  <c r="Z57" i="47"/>
  <c r="Y58" i="47"/>
  <c r="Y57" i="47"/>
  <c r="X58" i="47"/>
  <c r="X57" i="47"/>
  <c r="X56" i="47"/>
  <c r="X54" i="63" s="1"/>
  <c r="X58" i="63" s="1"/>
  <c r="W58" i="47"/>
  <c r="W57" i="47"/>
  <c r="V57" i="47"/>
  <c r="U57" i="47"/>
  <c r="U56" i="47"/>
  <c r="U54" i="63" s="1"/>
  <c r="U58" i="63" s="1"/>
  <c r="S58" i="47"/>
  <c r="S57" i="47"/>
  <c r="S56" i="47"/>
  <c r="S54" i="63" s="1"/>
  <c r="R58" i="47"/>
  <c r="R57" i="47"/>
  <c r="R56" i="47"/>
  <c r="R54" i="63" s="1"/>
  <c r="R58" i="63" s="1"/>
  <c r="Q58" i="47"/>
  <c r="Q57" i="47"/>
  <c r="Q56" i="47"/>
  <c r="Q54" i="63" s="1"/>
  <c r="Q58" i="63" s="1"/>
  <c r="P58" i="47"/>
  <c r="P57" i="47"/>
  <c r="P56" i="47"/>
  <c r="P54" i="63" s="1"/>
  <c r="P58" i="63" s="1"/>
  <c r="O58" i="47"/>
  <c r="O57" i="47"/>
  <c r="O56" i="47"/>
  <c r="O54" i="63" s="1"/>
  <c r="O58" i="63" s="1"/>
  <c r="M58" i="47"/>
  <c r="M57" i="47"/>
  <c r="M56" i="47"/>
  <c r="M54" i="63" s="1"/>
  <c r="M58" i="63" s="1"/>
  <c r="L58" i="47"/>
  <c r="L57" i="47"/>
  <c r="L56" i="47"/>
  <c r="L54" i="63" s="1"/>
  <c r="L58" i="63" s="1"/>
  <c r="AK16" i="47"/>
  <c r="AK15" i="47"/>
  <c r="AK10" i="47"/>
  <c r="AK9" i="47"/>
  <c r="AK6" i="47"/>
  <c r="AK5" i="47"/>
  <c r="AI51" i="47"/>
  <c r="AI50" i="47"/>
  <c r="AI49" i="47"/>
  <c r="AI48" i="47"/>
  <c r="AI47" i="47"/>
  <c r="AI46" i="47"/>
  <c r="AI45" i="47"/>
  <c r="AI44" i="47"/>
  <c r="AI43" i="47"/>
  <c r="AI42" i="47"/>
  <c r="AI41" i="47"/>
  <c r="AI40" i="47"/>
  <c r="AI39" i="47"/>
  <c r="AI38" i="47"/>
  <c r="AI37" i="47"/>
  <c r="AI36" i="47"/>
  <c r="AI35" i="47"/>
  <c r="AI34" i="47"/>
  <c r="AI33" i="47"/>
  <c r="AI32" i="47"/>
  <c r="AI31" i="47"/>
  <c r="AI30" i="47"/>
  <c r="AI29" i="47"/>
  <c r="AI28" i="47"/>
  <c r="AI27" i="47"/>
  <c r="AI26" i="47"/>
  <c r="AI24" i="47"/>
  <c r="AI23" i="47"/>
  <c r="AI22" i="47"/>
  <c r="AI21" i="47"/>
  <c r="AH51" i="47"/>
  <c r="AH50" i="47"/>
  <c r="AH49" i="47"/>
  <c r="AH48" i="47"/>
  <c r="AH47" i="47"/>
  <c r="AH46" i="47"/>
  <c r="AH45" i="47"/>
  <c r="AH44" i="47"/>
  <c r="AH43" i="47"/>
  <c r="AH42" i="47"/>
  <c r="AH41" i="47"/>
  <c r="AH40" i="47"/>
  <c r="AH39" i="47"/>
  <c r="AH38" i="47"/>
  <c r="AH37" i="47"/>
  <c r="AH36" i="47"/>
  <c r="AH35" i="47"/>
  <c r="AH34" i="47"/>
  <c r="AH33" i="47"/>
  <c r="AH32" i="47"/>
  <c r="AH31" i="47"/>
  <c r="AH30" i="47"/>
  <c r="AH29" i="47"/>
  <c r="AH28" i="47"/>
  <c r="AH27" i="47"/>
  <c r="AH26" i="47"/>
  <c r="AH24" i="47"/>
  <c r="AH23" i="47"/>
  <c r="AH22" i="47"/>
  <c r="AH21" i="47"/>
  <c r="S51" i="47"/>
  <c r="S50" i="47"/>
  <c r="S49" i="47"/>
  <c r="S48" i="47"/>
  <c r="S47" i="47"/>
  <c r="S46" i="47"/>
  <c r="S45" i="47"/>
  <c r="S44" i="47"/>
  <c r="S43" i="47"/>
  <c r="S42" i="47"/>
  <c r="S41" i="47"/>
  <c r="S40" i="47"/>
  <c r="S39" i="47"/>
  <c r="S38" i="47"/>
  <c r="S37" i="47"/>
  <c r="S36" i="47"/>
  <c r="S35" i="47"/>
  <c r="S34" i="47"/>
  <c r="S33" i="47"/>
  <c r="S32" i="47"/>
  <c r="S31" i="47"/>
  <c r="S30" i="47"/>
  <c r="S29" i="47"/>
  <c r="S28" i="47"/>
  <c r="S27" i="47"/>
  <c r="S26" i="47"/>
  <c r="S24" i="47"/>
  <c r="S23" i="47"/>
  <c r="S22" i="47"/>
  <c r="S21" i="47"/>
  <c r="R51" i="47"/>
  <c r="R50" i="47"/>
  <c r="R49" i="47"/>
  <c r="R48" i="47"/>
  <c r="R47" i="47"/>
  <c r="R46" i="47"/>
  <c r="R45" i="47"/>
  <c r="R44" i="47"/>
  <c r="R43" i="47"/>
  <c r="R42" i="47"/>
  <c r="R41" i="47"/>
  <c r="R40" i="47"/>
  <c r="R39" i="47"/>
  <c r="R38" i="47"/>
  <c r="R37" i="47"/>
  <c r="R36" i="47"/>
  <c r="R35" i="47"/>
  <c r="R34" i="47"/>
  <c r="R33" i="47"/>
  <c r="R32" i="47"/>
  <c r="R31" i="47"/>
  <c r="R30" i="47"/>
  <c r="Q51" i="47"/>
  <c r="Q50" i="47"/>
  <c r="Q49" i="47"/>
  <c r="Q48" i="47"/>
  <c r="Q47" i="47"/>
  <c r="Q46" i="47"/>
  <c r="Q45" i="47"/>
  <c r="Q44" i="47"/>
  <c r="Q43" i="47"/>
  <c r="Q42" i="47"/>
  <c r="Q41" i="47"/>
  <c r="Q40" i="47"/>
  <c r="Q39" i="47"/>
  <c r="Q38" i="47"/>
  <c r="Q37" i="47"/>
  <c r="Q36" i="47"/>
  <c r="Q35" i="47"/>
  <c r="Q34" i="47"/>
  <c r="Q33" i="47"/>
  <c r="Q32" i="47"/>
  <c r="Q31" i="47"/>
  <c r="Q30" i="47"/>
  <c r="Q25" i="47"/>
  <c r="Q20" i="47"/>
  <c r="Q19" i="47"/>
  <c r="Q18" i="47"/>
  <c r="Q17" i="47"/>
  <c r="Q12" i="47"/>
  <c r="Q11" i="47"/>
  <c r="Q7" i="47"/>
  <c r="P51" i="47"/>
  <c r="P50" i="47"/>
  <c r="P49" i="47"/>
  <c r="P48" i="47"/>
  <c r="P47" i="47"/>
  <c r="P46" i="47"/>
  <c r="P45" i="47"/>
  <c r="P44" i="47"/>
  <c r="P43" i="47"/>
  <c r="P42" i="47"/>
  <c r="P41" i="47"/>
  <c r="P40" i="47"/>
  <c r="P39" i="47"/>
  <c r="P38" i="47"/>
  <c r="P37" i="47"/>
  <c r="P36" i="47"/>
  <c r="P35" i="47"/>
  <c r="P34" i="47"/>
  <c r="P33" i="47"/>
  <c r="P32" i="47"/>
  <c r="P31" i="47"/>
  <c r="P30" i="47"/>
  <c r="O51" i="47"/>
  <c r="O50" i="47"/>
  <c r="O49" i="47"/>
  <c r="O48" i="47"/>
  <c r="O47" i="47"/>
  <c r="O46" i="47"/>
  <c r="O45" i="47"/>
  <c r="O44" i="47"/>
  <c r="O43" i="47"/>
  <c r="O42" i="47"/>
  <c r="O41" i="47"/>
  <c r="O40" i="47"/>
  <c r="O39" i="47"/>
  <c r="O38" i="47"/>
  <c r="O37" i="47"/>
  <c r="O36" i="47"/>
  <c r="O35" i="47"/>
  <c r="O34" i="47"/>
  <c r="O33" i="47"/>
  <c r="O32" i="47"/>
  <c r="O31" i="47"/>
  <c r="O30" i="47"/>
  <c r="O29" i="47"/>
  <c r="O28" i="47"/>
  <c r="O27" i="47"/>
  <c r="O26" i="47"/>
  <c r="O24" i="47"/>
  <c r="O23" i="47"/>
  <c r="O22" i="47"/>
  <c r="O21" i="47"/>
  <c r="N16" i="47"/>
  <c r="N15" i="47"/>
  <c r="N9" i="47"/>
  <c r="AP51" i="47"/>
  <c r="AP50" i="47"/>
  <c r="AP49" i="47"/>
  <c r="AP48" i="47"/>
  <c r="AP47" i="47"/>
  <c r="AP46" i="47"/>
  <c r="AP45" i="47"/>
  <c r="AP44" i="47"/>
  <c r="AP43" i="47"/>
  <c r="AP42" i="47"/>
  <c r="AP41" i="47"/>
  <c r="AP40" i="47"/>
  <c r="AP39" i="47"/>
  <c r="AP38" i="47"/>
  <c r="AP37" i="47"/>
  <c r="AP36" i="47"/>
  <c r="AP35" i="47"/>
  <c r="AP34" i="47"/>
  <c r="AP33" i="47"/>
  <c r="AP32" i="47"/>
  <c r="AP31" i="47"/>
  <c r="AP30" i="47"/>
  <c r="AP29" i="47"/>
  <c r="AP28" i="47"/>
  <c r="AP27" i="47"/>
  <c r="AP26" i="47"/>
  <c r="AP24" i="47"/>
  <c r="AP23" i="47"/>
  <c r="AP22" i="47"/>
  <c r="AP21" i="47"/>
  <c r="L51" i="47"/>
  <c r="L50" i="47"/>
  <c r="L49" i="47"/>
  <c r="L48" i="47"/>
  <c r="L47" i="47"/>
  <c r="L46" i="47"/>
  <c r="L45" i="47"/>
  <c r="L44" i="47"/>
  <c r="L43" i="47"/>
  <c r="L42" i="47"/>
  <c r="L41" i="47"/>
  <c r="L40" i="47"/>
  <c r="L39" i="47"/>
  <c r="L38" i="47"/>
  <c r="L37" i="47"/>
  <c r="L36" i="47"/>
  <c r="L35" i="47"/>
  <c r="L34" i="47"/>
  <c r="L33" i="47"/>
  <c r="L32" i="47"/>
  <c r="L31" i="47"/>
  <c r="L30" i="47"/>
  <c r="L25" i="47"/>
  <c r="L20" i="47"/>
  <c r="L19" i="47"/>
  <c r="L18" i="47"/>
  <c r="L17" i="47"/>
  <c r="L12" i="47"/>
  <c r="L11" i="47"/>
  <c r="L7" i="47"/>
  <c r="P11" i="5"/>
  <c r="R11" i="5" s="1"/>
  <c r="P10" i="5"/>
  <c r="R10" i="5" s="1"/>
  <c r="P9" i="5"/>
  <c r="F44" i="5"/>
  <c r="Z47" i="64" s="1"/>
  <c r="E44" i="5"/>
  <c r="Z46" i="64" s="1"/>
  <c r="D44" i="5"/>
  <c r="Z45" i="64" s="1"/>
  <c r="Z49" i="64" s="1"/>
  <c r="F26" i="5"/>
  <c r="AJ56" i="63" s="1"/>
  <c r="E26" i="5"/>
  <c r="AJ57" i="47" s="1"/>
  <c r="D26" i="5"/>
  <c r="AJ56" i="47" s="1"/>
  <c r="AJ54" i="63" s="1"/>
  <c r="AJ58" i="63" s="1"/>
  <c r="F25" i="5"/>
  <c r="AI56" i="63" s="1"/>
  <c r="E25" i="5"/>
  <c r="AI55" i="63" s="1"/>
  <c r="D25" i="5"/>
  <c r="AI56" i="47" s="1"/>
  <c r="AI54" i="63" s="1"/>
  <c r="AI58" i="63" s="1"/>
  <c r="F24" i="5"/>
  <c r="AH56" i="63" s="1"/>
  <c r="E24" i="5"/>
  <c r="AH55" i="63" s="1"/>
  <c r="D24" i="5"/>
  <c r="AH56" i="47" s="1"/>
  <c r="AH54" i="63" s="1"/>
  <c r="D13" i="5"/>
  <c r="W56" i="47" s="1"/>
  <c r="W54" i="63" s="1"/>
  <c r="W58" i="63" s="1"/>
  <c r="F39" i="5"/>
  <c r="U47" i="64" s="1"/>
  <c r="F17" i="5"/>
  <c r="AA56" i="63" s="1"/>
  <c r="F16" i="5"/>
  <c r="F12" i="5"/>
  <c r="V56" i="63" s="1"/>
  <c r="F11" i="5"/>
  <c r="M15" i="5"/>
  <c r="M7" i="5"/>
  <c r="F36" i="5" s="1"/>
  <c r="R47" i="64" s="1"/>
  <c r="Z56" i="48" l="1"/>
  <c r="Z56" i="63"/>
  <c r="V58" i="47"/>
  <c r="AT2" i="57"/>
  <c r="AO3" i="57"/>
  <c r="AJ5" i="57"/>
  <c r="AJ6" i="57"/>
  <c r="AT6" i="57"/>
  <c r="U56" i="50"/>
  <c r="U56" i="63"/>
  <c r="AJ55" i="50"/>
  <c r="AJ55" i="63"/>
  <c r="AA58" i="47"/>
  <c r="AE54" i="48"/>
  <c r="AE54" i="63"/>
  <c r="Q54" i="50"/>
  <c r="AO2" i="57"/>
  <c r="AO7" i="57" s="1"/>
  <c r="AT3" i="57"/>
  <c r="AJ3" i="57"/>
  <c r="AJ4" i="57"/>
  <c r="AT4" i="57"/>
  <c r="AH58" i="63"/>
  <c r="AJ55" i="48"/>
  <c r="AO4" i="57"/>
  <c r="AA9" i="61"/>
  <c r="AA12" i="61"/>
  <c r="AO5" i="57"/>
  <c r="AJ2" i="57"/>
  <c r="AJ7" i="57" s="1"/>
  <c r="E17" i="62"/>
  <c r="AC151" i="58"/>
  <c r="AC155" i="58"/>
  <c r="AK29" i="64"/>
  <c r="AK25" i="64"/>
  <c r="AK31" i="64"/>
  <c r="AK27" i="64"/>
  <c r="AK23" i="64"/>
  <c r="AK21" i="64"/>
  <c r="AK30" i="64"/>
  <c r="AK26" i="64"/>
  <c r="AK22" i="64"/>
  <c r="AY40" i="63"/>
  <c r="AY38" i="63"/>
  <c r="AY35" i="63"/>
  <c r="AY32" i="63"/>
  <c r="AY34" i="63"/>
  <c r="AY30" i="63"/>
  <c r="AY39" i="63"/>
  <c r="AY36" i="63"/>
  <c r="AY31" i="63"/>
  <c r="M236" i="61"/>
  <c r="AC5" i="58"/>
  <c r="AC9" i="58"/>
  <c r="AC13" i="58"/>
  <c r="AC17" i="58"/>
  <c r="AC21" i="58"/>
  <c r="AC29" i="58"/>
  <c r="AC33" i="58"/>
  <c r="AC37" i="58"/>
  <c r="AC101" i="58"/>
  <c r="AC117" i="58"/>
  <c r="AC133" i="58"/>
  <c r="X4" i="61"/>
  <c r="AC160" i="58"/>
  <c r="AI5" i="58"/>
  <c r="E18" i="62"/>
  <c r="J8" i="62"/>
  <c r="AR35" i="63"/>
  <c r="AR36" i="63" s="1"/>
  <c r="AV36" i="63" s="1"/>
  <c r="AR18" i="63"/>
  <c r="AV18" i="63" s="1"/>
  <c r="AR16" i="63"/>
  <c r="AV16" i="63" s="1"/>
  <c r="AO3" i="65"/>
  <c r="AJ5" i="65"/>
  <c r="AT5" i="65"/>
  <c r="AJ4" i="65"/>
  <c r="AT4" i="65"/>
  <c r="AT6" i="65"/>
  <c r="AJ6" i="65"/>
  <c r="U49" i="64"/>
  <c r="AO4" i="65"/>
  <c r="AR26" i="63"/>
  <c r="AR27" i="63" s="1"/>
  <c r="AR28" i="63" s="1"/>
  <c r="AT3" i="65"/>
  <c r="AJ3" i="65"/>
  <c r="AJ8" i="65" s="1"/>
  <c r="M49" i="64"/>
  <c r="Z5" i="61"/>
  <c r="AH5" i="61" s="1"/>
  <c r="AV27" i="63"/>
  <c r="AQ8" i="63"/>
  <c r="AV7" i="63"/>
  <c r="AR8" i="63"/>
  <c r="AV8" i="63" s="1"/>
  <c r="AV26" i="63"/>
  <c r="AV38" i="63"/>
  <c r="AV43" i="63"/>
  <c r="AR44" i="63"/>
  <c r="AV44" i="63" s="1"/>
  <c r="AV6" i="63"/>
  <c r="AR11" i="63"/>
  <c r="AR19" i="63"/>
  <c r="AV19" i="63" s="1"/>
  <c r="AR21" i="63"/>
  <c r="AV30" i="63"/>
  <c r="AR40" i="63"/>
  <c r="AV40" i="63" s="1"/>
  <c r="AV35" i="63"/>
  <c r="AV42" i="63"/>
  <c r="AR46" i="63"/>
  <c r="AV50" i="63"/>
  <c r="AO2" i="65"/>
  <c r="AJ2" i="65"/>
  <c r="AT2" i="65"/>
  <c r="Z3" i="61"/>
  <c r="AH3" i="61" s="1"/>
  <c r="Z4" i="61"/>
  <c r="AH4" i="61" s="1"/>
  <c r="AJ6" i="61"/>
  <c r="Z13" i="61"/>
  <c r="AH13" i="61" s="1"/>
  <c r="AJ3" i="61"/>
  <c r="Z6" i="61"/>
  <c r="AH6" i="61" s="1"/>
  <c r="R11" i="61"/>
  <c r="U9" i="61"/>
  <c r="AI9" i="61" s="1"/>
  <c r="U10" i="61"/>
  <c r="AI10" i="61" s="1"/>
  <c r="R12" i="61"/>
  <c r="M433" i="61"/>
  <c r="U12" i="61" s="1"/>
  <c r="AI12" i="61" s="1"/>
  <c r="R10" i="61"/>
  <c r="X10" i="61" s="1"/>
  <c r="AF10" i="61" s="1"/>
  <c r="M338" i="61"/>
  <c r="U11" i="61" s="1"/>
  <c r="AI11" i="61" s="1"/>
  <c r="Y3" i="61"/>
  <c r="AG3" i="61" s="1"/>
  <c r="AF4" i="61"/>
  <c r="AJ4" i="61"/>
  <c r="AF8" i="61"/>
  <c r="AJ8" i="61"/>
  <c r="X6" i="61"/>
  <c r="AF6" i="61" s="1"/>
  <c r="Z8" i="61"/>
  <c r="AH8" i="61" s="1"/>
  <c r="AG13" i="61"/>
  <c r="AT5" i="57"/>
  <c r="AT8" i="57" s="1"/>
  <c r="AC139" i="58"/>
  <c r="AC143" i="58"/>
  <c r="AC147" i="58"/>
  <c r="AC28" i="58"/>
  <c r="AC32" i="58"/>
  <c r="AC36" i="58"/>
  <c r="AC96" i="58"/>
  <c r="AC100" i="58"/>
  <c r="AC104" i="58"/>
  <c r="AC108" i="58"/>
  <c r="AC112" i="58"/>
  <c r="AC116" i="58"/>
  <c r="AC120" i="58"/>
  <c r="AC124" i="58"/>
  <c r="AC128" i="58"/>
  <c r="AC132" i="58"/>
  <c r="AC136" i="58"/>
  <c r="AC140" i="58"/>
  <c r="AC144" i="58"/>
  <c r="AC148" i="58"/>
  <c r="AC152" i="58"/>
  <c r="AC156" i="58"/>
  <c r="AC161" i="58"/>
  <c r="AC162" i="58"/>
  <c r="AT7" i="57"/>
  <c r="AC93" i="58"/>
  <c r="AC97" i="58"/>
  <c r="AC105" i="58"/>
  <c r="AC109" i="58"/>
  <c r="AC113" i="58"/>
  <c r="AC121" i="58"/>
  <c r="AC125" i="58"/>
  <c r="AC129" i="58"/>
  <c r="AC137" i="58"/>
  <c r="AC141" i="58"/>
  <c r="AC145" i="58"/>
  <c r="AC149" i="58"/>
  <c r="AC153" i="58"/>
  <c r="AC157" i="58"/>
  <c r="AC158" i="58"/>
  <c r="AC164" i="58"/>
  <c r="AC23" i="58"/>
  <c r="AC24" i="58"/>
  <c r="AC25" i="58"/>
  <c r="AC26" i="58"/>
  <c r="AC30" i="58"/>
  <c r="AC34" i="58"/>
  <c r="AC38" i="58"/>
  <c r="AC39" i="58"/>
  <c r="AC40" i="58"/>
  <c r="AC41" i="58"/>
  <c r="AC42" i="58"/>
  <c r="AC43" i="58"/>
  <c r="AC44" i="58"/>
  <c r="AC45" i="58"/>
  <c r="AC46" i="58"/>
  <c r="AC47" i="58"/>
  <c r="AC48" i="58"/>
  <c r="AC49" i="58"/>
  <c r="AC50" i="58"/>
  <c r="AC51" i="58"/>
  <c r="AC52" i="58"/>
  <c r="AC53" i="58"/>
  <c r="AC54" i="58"/>
  <c r="AC55" i="58"/>
  <c r="AC56" i="58"/>
  <c r="AC57" i="58"/>
  <c r="AC58" i="58"/>
  <c r="AC59" i="58"/>
  <c r="AC60" i="58"/>
  <c r="AC61" i="58"/>
  <c r="AC62" i="58"/>
  <c r="AC63" i="58"/>
  <c r="AC64" i="58"/>
  <c r="AC65" i="58"/>
  <c r="AC66" i="58"/>
  <c r="AC67" i="58"/>
  <c r="AC68" i="58"/>
  <c r="AC69" i="58"/>
  <c r="AC70" i="58"/>
  <c r="AC71" i="58"/>
  <c r="AC72" i="58"/>
  <c r="AC73" i="58"/>
  <c r="AC94" i="58"/>
  <c r="AC98" i="58"/>
  <c r="AC102" i="58"/>
  <c r="AC106" i="58"/>
  <c r="AC110" i="58"/>
  <c r="AC114" i="58"/>
  <c r="AC118" i="58"/>
  <c r="AC122" i="58"/>
  <c r="AC126" i="58"/>
  <c r="AC130" i="58"/>
  <c r="AC134" i="58"/>
  <c r="AC138" i="58"/>
  <c r="AC142" i="58"/>
  <c r="AC146" i="58"/>
  <c r="AC150" i="58"/>
  <c r="AC154" i="58"/>
  <c r="AC166" i="58"/>
  <c r="AJ8" i="57"/>
  <c r="AC165" i="58"/>
  <c r="AC159" i="58"/>
  <c r="AC163" i="58"/>
  <c r="U54" i="49"/>
  <c r="U58" i="49" s="1"/>
  <c r="U54" i="50"/>
  <c r="U54" i="48"/>
  <c r="AI54" i="49"/>
  <c r="AI54" i="50"/>
  <c r="AI54" i="48"/>
  <c r="W54" i="49"/>
  <c r="W58" i="49" s="1"/>
  <c r="W54" i="50"/>
  <c r="W54" i="48"/>
  <c r="Z54" i="49"/>
  <c r="Z58" i="49" s="1"/>
  <c r="Z51" i="50" s="1"/>
  <c r="Z54" i="50"/>
  <c r="Z54" i="48"/>
  <c r="AJ54" i="49"/>
  <c r="AJ54" i="50"/>
  <c r="AJ54" i="48"/>
  <c r="P54" i="49"/>
  <c r="P58" i="49" s="1"/>
  <c r="P54" i="50"/>
  <c r="P54" i="48"/>
  <c r="AF54" i="49"/>
  <c r="AF54" i="50"/>
  <c r="AF54" i="48"/>
  <c r="AH54" i="49"/>
  <c r="AH54" i="50"/>
  <c r="AH54" i="48"/>
  <c r="AI55" i="50"/>
  <c r="AI55" i="49"/>
  <c r="AI55" i="48"/>
  <c r="AI57" i="47"/>
  <c r="AJ56" i="50"/>
  <c r="AJ56" i="49"/>
  <c r="AJ58" i="47"/>
  <c r="R9" i="5"/>
  <c r="X54" i="49"/>
  <c r="X58" i="49" s="1"/>
  <c r="X54" i="50"/>
  <c r="X54" i="48"/>
  <c r="AC54" i="49"/>
  <c r="AC58" i="49" s="1"/>
  <c r="AC54" i="50"/>
  <c r="AC54" i="48"/>
  <c r="AA56" i="50"/>
  <c r="AA56" i="49"/>
  <c r="AA56" i="48"/>
  <c r="AJ56" i="48"/>
  <c r="U47" i="54"/>
  <c r="U47" i="53"/>
  <c r="U49" i="53" s="1"/>
  <c r="U47" i="52"/>
  <c r="U47" i="51"/>
  <c r="AH55" i="50"/>
  <c r="AH55" i="49"/>
  <c r="AI56" i="50"/>
  <c r="AI56" i="49"/>
  <c r="Z45" i="54"/>
  <c r="Z45" i="53"/>
  <c r="Z49" i="53" s="1"/>
  <c r="Z45" i="52"/>
  <c r="Z45" i="51"/>
  <c r="O54" i="49"/>
  <c r="O58" i="49" s="1"/>
  <c r="O54" i="50"/>
  <c r="S54" i="49"/>
  <c r="S54" i="50"/>
  <c r="AA54" i="49"/>
  <c r="AA58" i="49" s="1"/>
  <c r="AA54" i="50"/>
  <c r="U56" i="48"/>
  <c r="O54" i="48"/>
  <c r="U56" i="49"/>
  <c r="V56" i="50"/>
  <c r="V56" i="49"/>
  <c r="AH56" i="50"/>
  <c r="AH56" i="49"/>
  <c r="Z46" i="54"/>
  <c r="Z46" i="53"/>
  <c r="Z46" i="51"/>
  <c r="Z46" i="52"/>
  <c r="M54" i="49"/>
  <c r="M58" i="49" s="1"/>
  <c r="M54" i="50"/>
  <c r="M54" i="48"/>
  <c r="R54" i="49"/>
  <c r="R58" i="49" s="1"/>
  <c r="R54" i="50"/>
  <c r="U58" i="47"/>
  <c r="Z58" i="47"/>
  <c r="AE54" i="49"/>
  <c r="AE54" i="50"/>
  <c r="AH57" i="47"/>
  <c r="AI58" i="47"/>
  <c r="AK54" i="49"/>
  <c r="AK58" i="49" s="1"/>
  <c r="AK54" i="50"/>
  <c r="AK54" i="48"/>
  <c r="AH55" i="48"/>
  <c r="V56" i="48"/>
  <c r="AH56" i="48"/>
  <c r="R54" i="48"/>
  <c r="R47" i="54"/>
  <c r="R47" i="53"/>
  <c r="R47" i="51"/>
  <c r="R47" i="52"/>
  <c r="Z56" i="50"/>
  <c r="Z56" i="49"/>
  <c r="D36" i="5"/>
  <c r="R45" i="64" s="1"/>
  <c r="R49" i="64" s="1"/>
  <c r="R48" i="64" s="1"/>
  <c r="Z47" i="54"/>
  <c r="Z47" i="53"/>
  <c r="Z47" i="51"/>
  <c r="Z47" i="52"/>
  <c r="L54" i="49"/>
  <c r="L58" i="49" s="1"/>
  <c r="L54" i="50"/>
  <c r="L54" i="48"/>
  <c r="Q54" i="49"/>
  <c r="Q58" i="49" s="1"/>
  <c r="Q54" i="48"/>
  <c r="AH58" i="47"/>
  <c r="AI56" i="48"/>
  <c r="S54" i="48"/>
  <c r="AA54" i="48"/>
  <c r="AJ55" i="49"/>
  <c r="M49" i="52"/>
  <c r="U49" i="52"/>
  <c r="O49" i="53"/>
  <c r="P49" i="53"/>
  <c r="T49" i="53"/>
  <c r="M49" i="53"/>
  <c r="O49" i="52"/>
  <c r="Z49" i="50"/>
  <c r="Z47" i="50"/>
  <c r="Z45" i="50"/>
  <c r="Z48" i="50"/>
  <c r="Z41" i="50"/>
  <c r="Z39" i="50"/>
  <c r="Z35" i="50"/>
  <c r="Z44" i="50"/>
  <c r="Z46" i="50"/>
  <c r="Z50" i="50"/>
  <c r="Z42" i="50"/>
  <c r="Z38" i="50"/>
  <c r="Z29" i="50"/>
  <c r="Z24" i="50"/>
  <c r="Z30" i="50"/>
  <c r="Z22" i="50"/>
  <c r="Z36" i="50"/>
  <c r="Z33" i="50"/>
  <c r="Z25" i="50"/>
  <c r="Z20" i="50"/>
  <c r="Z19" i="50"/>
  <c r="Z15" i="50"/>
  <c r="Z13" i="50"/>
  <c r="Z11" i="50"/>
  <c r="Z7" i="50"/>
  <c r="Z5" i="50"/>
  <c r="Z12" i="50"/>
  <c r="Z34" i="50"/>
  <c r="Z31" i="50"/>
  <c r="Z26" i="50"/>
  <c r="Z10" i="50"/>
  <c r="Z23" i="50"/>
  <c r="Z16" i="50"/>
  <c r="Z21" i="50"/>
  <c r="Z6" i="50"/>
  <c r="AA44" i="50"/>
  <c r="AA28" i="50"/>
  <c r="AA33" i="50"/>
  <c r="AA15" i="50"/>
  <c r="AA5" i="50"/>
  <c r="AM57" i="48"/>
  <c r="E36" i="5"/>
  <c r="R46" i="64" s="1"/>
  <c r="F45" i="5"/>
  <c r="AA47" i="64" s="1"/>
  <c r="E45" i="5"/>
  <c r="AA46" i="64" s="1"/>
  <c r="D45" i="5"/>
  <c r="AA45" i="64" s="1"/>
  <c r="F43" i="5"/>
  <c r="Y47" i="64" s="1"/>
  <c r="D43" i="5"/>
  <c r="Y45" i="64" s="1"/>
  <c r="F41" i="5"/>
  <c r="W47" i="64" s="1"/>
  <c r="E41" i="5"/>
  <c r="W46" i="64" s="1"/>
  <c r="D41" i="5"/>
  <c r="W45" i="64" s="1"/>
  <c r="F28" i="5"/>
  <c r="AL56" i="63" s="1"/>
  <c r="D28" i="5"/>
  <c r="AL56" i="47" s="1"/>
  <c r="AL54" i="63" s="1"/>
  <c r="F23" i="5"/>
  <c r="AG56" i="63" s="1"/>
  <c r="D23" i="5"/>
  <c r="AG56" i="47" s="1"/>
  <c r="AG54" i="63" s="1"/>
  <c r="F20" i="5"/>
  <c r="AD56" i="63" s="1"/>
  <c r="E20" i="5"/>
  <c r="AD55" i="63" s="1"/>
  <c r="D20" i="5"/>
  <c r="AD56" i="47" s="1"/>
  <c r="AD54" i="63" s="1"/>
  <c r="F18" i="5"/>
  <c r="AB56" i="63" s="1"/>
  <c r="E18" i="5"/>
  <c r="AB55" i="63" s="1"/>
  <c r="D18" i="5"/>
  <c r="AB56" i="47" s="1"/>
  <c r="AB54" i="63" s="1"/>
  <c r="T39" i="4"/>
  <c r="S39" i="4"/>
  <c r="R39" i="4"/>
  <c r="Q39" i="4"/>
  <c r="P39" i="4"/>
  <c r="O39" i="4"/>
  <c r="N39" i="4"/>
  <c r="M39" i="4"/>
  <c r="L39" i="4"/>
  <c r="K39" i="4"/>
  <c r="J39" i="4"/>
  <c r="I39" i="4"/>
  <c r="U39" i="4" s="1"/>
  <c r="T38" i="4"/>
  <c r="S38" i="4"/>
  <c r="R38" i="4"/>
  <c r="Q38" i="4"/>
  <c r="P38" i="4"/>
  <c r="O38" i="4"/>
  <c r="N38" i="4"/>
  <c r="M38" i="4"/>
  <c r="L38" i="4"/>
  <c r="K38" i="4"/>
  <c r="J38" i="4"/>
  <c r="I38" i="4"/>
  <c r="U38" i="4" s="1"/>
  <c r="T37" i="4"/>
  <c r="S37" i="4"/>
  <c r="R37" i="4"/>
  <c r="Q37" i="4"/>
  <c r="P37" i="4"/>
  <c r="O37" i="4"/>
  <c r="N37" i="4"/>
  <c r="M37" i="4"/>
  <c r="L37" i="4"/>
  <c r="K37" i="4"/>
  <c r="J37" i="4"/>
  <c r="I37" i="4"/>
  <c r="U37" i="4" s="1"/>
  <c r="T36" i="4"/>
  <c r="S36" i="4"/>
  <c r="R36" i="4"/>
  <c r="Q36" i="4"/>
  <c r="P36" i="4"/>
  <c r="O36" i="4"/>
  <c r="N36" i="4"/>
  <c r="M36" i="4"/>
  <c r="L36" i="4"/>
  <c r="K36" i="4"/>
  <c r="J36" i="4"/>
  <c r="I36" i="4"/>
  <c r="U36" i="4" s="1"/>
  <c r="T35" i="4"/>
  <c r="S35" i="4"/>
  <c r="R35" i="4"/>
  <c r="Q35" i="4"/>
  <c r="P35" i="4"/>
  <c r="O35" i="4"/>
  <c r="N35" i="4"/>
  <c r="M35" i="4"/>
  <c r="L35" i="4"/>
  <c r="K35" i="4"/>
  <c r="J35" i="4"/>
  <c r="I35" i="4"/>
  <c r="U35" i="4" s="1"/>
  <c r="T34" i="4"/>
  <c r="S34" i="4"/>
  <c r="R34" i="4"/>
  <c r="Q34" i="4"/>
  <c r="P34" i="4"/>
  <c r="O34" i="4"/>
  <c r="N34" i="4"/>
  <c r="M34" i="4"/>
  <c r="L34" i="4"/>
  <c r="K34" i="4"/>
  <c r="J34" i="4"/>
  <c r="I34" i="4"/>
  <c r="U34" i="4" s="1"/>
  <c r="T33" i="4"/>
  <c r="S33" i="4"/>
  <c r="R33" i="4"/>
  <c r="Q33" i="4"/>
  <c r="P33" i="4"/>
  <c r="O33" i="4"/>
  <c r="N33" i="4"/>
  <c r="M33" i="4"/>
  <c r="L33" i="4"/>
  <c r="K33" i="4"/>
  <c r="J33" i="4"/>
  <c r="I33" i="4"/>
  <c r="U33" i="4" s="1"/>
  <c r="T32" i="4"/>
  <c r="S32" i="4"/>
  <c r="R32" i="4"/>
  <c r="Q32" i="4"/>
  <c r="P32" i="4"/>
  <c r="O32" i="4"/>
  <c r="N32" i="4"/>
  <c r="M32" i="4"/>
  <c r="L32" i="4"/>
  <c r="K32" i="4"/>
  <c r="J32" i="4"/>
  <c r="I32" i="4"/>
  <c r="U32" i="4" s="1"/>
  <c r="T31" i="4"/>
  <c r="S31" i="4"/>
  <c r="R31" i="4"/>
  <c r="Q31" i="4"/>
  <c r="P31" i="4"/>
  <c r="O31" i="4"/>
  <c r="N31" i="4"/>
  <c r="M31" i="4"/>
  <c r="L31" i="4"/>
  <c r="K31" i="4"/>
  <c r="J31" i="4"/>
  <c r="I31" i="4"/>
  <c r="U31" i="4" s="1"/>
  <c r="T30" i="4"/>
  <c r="S30" i="4"/>
  <c r="R30" i="4"/>
  <c r="Q30" i="4"/>
  <c r="P30" i="4"/>
  <c r="O30" i="4"/>
  <c r="N30" i="4"/>
  <c r="M30" i="4"/>
  <c r="L30" i="4"/>
  <c r="K30" i="4"/>
  <c r="J30" i="4"/>
  <c r="I30" i="4"/>
  <c r="U30" i="4" s="1"/>
  <c r="T29" i="4"/>
  <c r="S29" i="4"/>
  <c r="R29" i="4"/>
  <c r="Q29" i="4"/>
  <c r="P29" i="4"/>
  <c r="O29" i="4"/>
  <c r="N29" i="4"/>
  <c r="M29" i="4"/>
  <c r="L29" i="4"/>
  <c r="K29" i="4"/>
  <c r="J29" i="4"/>
  <c r="I29" i="4"/>
  <c r="U29" i="4" s="1"/>
  <c r="T28" i="4"/>
  <c r="S28" i="4"/>
  <c r="R28" i="4"/>
  <c r="Q28" i="4"/>
  <c r="P28" i="4"/>
  <c r="O28" i="4"/>
  <c r="N28" i="4"/>
  <c r="M28" i="4"/>
  <c r="L28" i="4"/>
  <c r="K28" i="4"/>
  <c r="J28" i="4"/>
  <c r="I28" i="4"/>
  <c r="U28" i="4" s="1"/>
  <c r="T27" i="4"/>
  <c r="S27" i="4"/>
  <c r="R27" i="4"/>
  <c r="Q27" i="4"/>
  <c r="P27" i="4"/>
  <c r="O27" i="4"/>
  <c r="N27" i="4"/>
  <c r="M27" i="4"/>
  <c r="L27" i="4"/>
  <c r="K27" i="4"/>
  <c r="J27" i="4"/>
  <c r="I27" i="4"/>
  <c r="U27" i="4" s="1"/>
  <c r="T26" i="4"/>
  <c r="S26" i="4"/>
  <c r="R26" i="4"/>
  <c r="Q26" i="4"/>
  <c r="P26" i="4"/>
  <c r="O26" i="4"/>
  <c r="N26" i="4"/>
  <c r="M26" i="4"/>
  <c r="L26" i="4"/>
  <c r="K26" i="4"/>
  <c r="J26" i="4"/>
  <c r="I26" i="4"/>
  <c r="U26" i="4" s="1"/>
  <c r="T25" i="4"/>
  <c r="S25" i="4"/>
  <c r="R25" i="4"/>
  <c r="Q25" i="4"/>
  <c r="P25" i="4"/>
  <c r="O25" i="4"/>
  <c r="N25" i="4"/>
  <c r="M25" i="4"/>
  <c r="L25" i="4"/>
  <c r="K25" i="4"/>
  <c r="J25" i="4"/>
  <c r="I25" i="4"/>
  <c r="U25" i="4" s="1"/>
  <c r="T24" i="4"/>
  <c r="S24" i="4"/>
  <c r="R24" i="4"/>
  <c r="Q24" i="4"/>
  <c r="P24" i="4"/>
  <c r="O24" i="4"/>
  <c r="N24" i="4"/>
  <c r="M24" i="4"/>
  <c r="L24" i="4"/>
  <c r="K24" i="4"/>
  <c r="J24" i="4"/>
  <c r="I24" i="4"/>
  <c r="U24" i="4" s="1"/>
  <c r="T23" i="4"/>
  <c r="S23" i="4"/>
  <c r="R23" i="4"/>
  <c r="Q23" i="4"/>
  <c r="P23" i="4"/>
  <c r="O23" i="4"/>
  <c r="N23" i="4"/>
  <c r="M23" i="4"/>
  <c r="L23" i="4"/>
  <c r="K23" i="4"/>
  <c r="J23" i="4"/>
  <c r="I23" i="4"/>
  <c r="U23" i="4" s="1"/>
  <c r="T22" i="4"/>
  <c r="S22" i="4"/>
  <c r="R22" i="4"/>
  <c r="Q22" i="4"/>
  <c r="P22" i="4"/>
  <c r="O22" i="4"/>
  <c r="N22" i="4"/>
  <c r="M22" i="4"/>
  <c r="L22" i="4"/>
  <c r="K22" i="4"/>
  <c r="J22" i="4"/>
  <c r="I22" i="4"/>
  <c r="U22" i="4" s="1"/>
  <c r="T21" i="4"/>
  <c r="S21" i="4"/>
  <c r="R21" i="4"/>
  <c r="Q21" i="4"/>
  <c r="P21" i="4"/>
  <c r="O21" i="4"/>
  <c r="N21" i="4"/>
  <c r="M21" i="4"/>
  <c r="L21" i="4"/>
  <c r="K21" i="4"/>
  <c r="J21" i="4"/>
  <c r="I21" i="4"/>
  <c r="U21" i="4" s="1"/>
  <c r="T20" i="4"/>
  <c r="S20" i="4"/>
  <c r="R20" i="4"/>
  <c r="Q20" i="4"/>
  <c r="P20" i="4"/>
  <c r="O20" i="4"/>
  <c r="N20" i="4"/>
  <c r="M20" i="4"/>
  <c r="L20" i="4"/>
  <c r="K20" i="4"/>
  <c r="J20" i="4"/>
  <c r="I20" i="4"/>
  <c r="U20" i="4" s="1"/>
  <c r="T19" i="4"/>
  <c r="S19" i="4"/>
  <c r="R19" i="4"/>
  <c r="Q19" i="4"/>
  <c r="P19" i="4"/>
  <c r="O19" i="4"/>
  <c r="N19" i="4"/>
  <c r="M19" i="4"/>
  <c r="L19" i="4"/>
  <c r="K19" i="4"/>
  <c r="J19" i="4"/>
  <c r="I19" i="4"/>
  <c r="U19" i="4" s="1"/>
  <c r="T18" i="4"/>
  <c r="S18" i="4"/>
  <c r="R18" i="4"/>
  <c r="Q18" i="4"/>
  <c r="P18" i="4"/>
  <c r="O18" i="4"/>
  <c r="N18" i="4"/>
  <c r="M18" i="4"/>
  <c r="L18" i="4"/>
  <c r="K18" i="4"/>
  <c r="J18" i="4"/>
  <c r="I18" i="4"/>
  <c r="U18" i="4" s="1"/>
  <c r="T17" i="4"/>
  <c r="S17" i="4"/>
  <c r="R17" i="4"/>
  <c r="Q17" i="4"/>
  <c r="P17" i="4"/>
  <c r="O17" i="4"/>
  <c r="N17" i="4"/>
  <c r="M17" i="4"/>
  <c r="L17" i="4"/>
  <c r="K17" i="4"/>
  <c r="J17" i="4"/>
  <c r="I17" i="4"/>
  <c r="U17" i="4" s="1"/>
  <c r="T16" i="4"/>
  <c r="S16" i="4"/>
  <c r="R16" i="4"/>
  <c r="Q16" i="4"/>
  <c r="P16" i="4"/>
  <c r="O16" i="4"/>
  <c r="N16" i="4"/>
  <c r="M16" i="4"/>
  <c r="L16" i="4"/>
  <c r="K16" i="4"/>
  <c r="J16" i="4"/>
  <c r="I16" i="4"/>
  <c r="U16" i="4" s="1"/>
  <c r="T15" i="4"/>
  <c r="S15" i="4"/>
  <c r="R15" i="4"/>
  <c r="Q15" i="4"/>
  <c r="P15" i="4"/>
  <c r="O15" i="4"/>
  <c r="N15" i="4"/>
  <c r="M15" i="4"/>
  <c r="L15" i="4"/>
  <c r="K15" i="4"/>
  <c r="J15" i="4"/>
  <c r="I15" i="4"/>
  <c r="U15" i="4" s="1"/>
  <c r="T14" i="4"/>
  <c r="S14" i="4"/>
  <c r="R14" i="4"/>
  <c r="Q14" i="4"/>
  <c r="P14" i="4"/>
  <c r="O14" i="4"/>
  <c r="N14" i="4"/>
  <c r="M14" i="4"/>
  <c r="L14" i="4"/>
  <c r="K14" i="4"/>
  <c r="J14" i="4"/>
  <c r="I14" i="4"/>
  <c r="U14" i="4" s="1"/>
  <c r="T13" i="4"/>
  <c r="S13" i="4"/>
  <c r="R13" i="4"/>
  <c r="Q13" i="4"/>
  <c r="P13" i="4"/>
  <c r="O13" i="4"/>
  <c r="N13" i="4"/>
  <c r="M13" i="4"/>
  <c r="L13" i="4"/>
  <c r="K13" i="4"/>
  <c r="J13" i="4"/>
  <c r="I13" i="4"/>
  <c r="U13" i="4" s="1"/>
  <c r="T12" i="4"/>
  <c r="S12" i="4"/>
  <c r="R12" i="4"/>
  <c r="Q12" i="4"/>
  <c r="P12" i="4"/>
  <c r="O12" i="4"/>
  <c r="N12" i="4"/>
  <c r="M12" i="4"/>
  <c r="L12" i="4"/>
  <c r="K12" i="4"/>
  <c r="J12" i="4"/>
  <c r="I12" i="4"/>
  <c r="U12" i="4" s="1"/>
  <c r="T11" i="4"/>
  <c r="S11" i="4"/>
  <c r="R11" i="4"/>
  <c r="Q11" i="4"/>
  <c r="P11" i="4"/>
  <c r="O11" i="4"/>
  <c r="N11" i="4"/>
  <c r="M11" i="4"/>
  <c r="L11" i="4"/>
  <c r="K11" i="4"/>
  <c r="J11" i="4"/>
  <c r="I11" i="4"/>
  <c r="U11" i="4" s="1"/>
  <c r="T10" i="4"/>
  <c r="S10" i="4"/>
  <c r="R10" i="4"/>
  <c r="Q10" i="4"/>
  <c r="P10" i="4"/>
  <c r="O10" i="4"/>
  <c r="N10" i="4"/>
  <c r="M10" i="4"/>
  <c r="L10" i="4"/>
  <c r="K10" i="4"/>
  <c r="J10" i="4"/>
  <c r="I10" i="4"/>
  <c r="U10" i="4" s="1"/>
  <c r="T9" i="4"/>
  <c r="S9" i="4"/>
  <c r="R9" i="4"/>
  <c r="Q9" i="4"/>
  <c r="P9" i="4"/>
  <c r="O9" i="4"/>
  <c r="N9" i="4"/>
  <c r="M9" i="4"/>
  <c r="L9" i="4"/>
  <c r="K9" i="4"/>
  <c r="J9" i="4"/>
  <c r="I9" i="4"/>
  <c r="U9" i="4" s="1"/>
  <c r="T8" i="4"/>
  <c r="S8" i="4"/>
  <c r="R8" i="4"/>
  <c r="Q8" i="4"/>
  <c r="P8" i="4"/>
  <c r="O8" i="4"/>
  <c r="N8" i="4"/>
  <c r="M8" i="4"/>
  <c r="L8" i="4"/>
  <c r="K8" i="4"/>
  <c r="J8" i="4"/>
  <c r="I8" i="4"/>
  <c r="U8" i="4" s="1"/>
  <c r="T7" i="4"/>
  <c r="S7" i="4"/>
  <c r="R7" i="4"/>
  <c r="Q7" i="4"/>
  <c r="P7" i="4"/>
  <c r="O7" i="4"/>
  <c r="N7" i="4"/>
  <c r="M7" i="4"/>
  <c r="L7" i="4"/>
  <c r="K7" i="4"/>
  <c r="J7" i="4"/>
  <c r="I7" i="4"/>
  <c r="U7" i="4" s="1"/>
  <c r="T6" i="4"/>
  <c r="S6" i="4"/>
  <c r="R6" i="4"/>
  <c r="Q6" i="4"/>
  <c r="P6" i="4"/>
  <c r="O6" i="4"/>
  <c r="N6" i="4"/>
  <c r="M6" i="4"/>
  <c r="L6" i="4"/>
  <c r="K6" i="4"/>
  <c r="J6" i="4"/>
  <c r="I6" i="4"/>
  <c r="U6" i="4" s="1"/>
  <c r="T5" i="4"/>
  <c r="S5" i="4"/>
  <c r="R5" i="4"/>
  <c r="Q5" i="4"/>
  <c r="P5" i="4"/>
  <c r="O5" i="4"/>
  <c r="N5" i="4"/>
  <c r="M5" i="4"/>
  <c r="L5" i="4"/>
  <c r="K5" i="4"/>
  <c r="J5" i="4"/>
  <c r="I5" i="4"/>
  <c r="U5" i="4" s="1"/>
  <c r="T4" i="4"/>
  <c r="S4" i="4"/>
  <c r="R4" i="4"/>
  <c r="Q4" i="4"/>
  <c r="P4" i="4"/>
  <c r="O4" i="4"/>
  <c r="N4" i="4"/>
  <c r="M4" i="4"/>
  <c r="L4" i="4"/>
  <c r="K4" i="4"/>
  <c r="J4" i="4"/>
  <c r="I4" i="4"/>
  <c r="U4" i="4" s="1"/>
  <c r="T3" i="4"/>
  <c r="S3" i="4"/>
  <c r="R3" i="4"/>
  <c r="Q3" i="4"/>
  <c r="P3" i="4"/>
  <c r="O3" i="4"/>
  <c r="N3" i="4"/>
  <c r="M3" i="4"/>
  <c r="L3" i="4"/>
  <c r="K3" i="4"/>
  <c r="J3" i="4"/>
  <c r="I3" i="4"/>
  <c r="U3" i="4" s="1"/>
  <c r="T2" i="4"/>
  <c r="S2" i="4"/>
  <c r="R2" i="4"/>
  <c r="Q2" i="4"/>
  <c r="P2" i="4"/>
  <c r="O2" i="4"/>
  <c r="N2" i="4"/>
  <c r="M2" i="4"/>
  <c r="L2" i="4"/>
  <c r="K2" i="4"/>
  <c r="J2" i="4"/>
  <c r="I2" i="4"/>
  <c r="U2" i="4" s="1"/>
  <c r="T48" i="3"/>
  <c r="S48" i="3"/>
  <c r="R48" i="3"/>
  <c r="Q48" i="3"/>
  <c r="P48" i="3"/>
  <c r="O48" i="3"/>
  <c r="N48" i="3"/>
  <c r="M48" i="3"/>
  <c r="L48" i="3"/>
  <c r="K48" i="3"/>
  <c r="J48" i="3"/>
  <c r="I48" i="3"/>
  <c r="U48" i="3" s="1"/>
  <c r="T47" i="3"/>
  <c r="S47" i="3"/>
  <c r="R47" i="3"/>
  <c r="Q47" i="3"/>
  <c r="P47" i="3"/>
  <c r="O47" i="3"/>
  <c r="N47" i="3"/>
  <c r="M47" i="3"/>
  <c r="L47" i="3"/>
  <c r="K47" i="3"/>
  <c r="J47" i="3"/>
  <c r="I47" i="3"/>
  <c r="U47" i="3" s="1"/>
  <c r="T46" i="3"/>
  <c r="S46" i="3"/>
  <c r="R46" i="3"/>
  <c r="Q46" i="3"/>
  <c r="P46" i="3"/>
  <c r="O46" i="3"/>
  <c r="N46" i="3"/>
  <c r="M46" i="3"/>
  <c r="L46" i="3"/>
  <c r="K46" i="3"/>
  <c r="J46" i="3"/>
  <c r="I46" i="3"/>
  <c r="U46" i="3" s="1"/>
  <c r="T45" i="3"/>
  <c r="S45" i="3"/>
  <c r="R45" i="3"/>
  <c r="Q45" i="3"/>
  <c r="P45" i="3"/>
  <c r="O45" i="3"/>
  <c r="N45" i="3"/>
  <c r="M45" i="3"/>
  <c r="L45" i="3"/>
  <c r="K45" i="3"/>
  <c r="J45" i="3"/>
  <c r="I45" i="3"/>
  <c r="U45" i="3" s="1"/>
  <c r="T44" i="3"/>
  <c r="S44" i="3"/>
  <c r="R44" i="3"/>
  <c r="Q44" i="3"/>
  <c r="P44" i="3"/>
  <c r="O44" i="3"/>
  <c r="N44" i="3"/>
  <c r="M44" i="3"/>
  <c r="L44" i="3"/>
  <c r="K44" i="3"/>
  <c r="J44" i="3"/>
  <c r="I44" i="3"/>
  <c r="U44" i="3" s="1"/>
  <c r="T43" i="3"/>
  <c r="S43" i="3"/>
  <c r="R43" i="3"/>
  <c r="Q43" i="3"/>
  <c r="P43" i="3"/>
  <c r="O43" i="3"/>
  <c r="N43" i="3"/>
  <c r="M43" i="3"/>
  <c r="L43" i="3"/>
  <c r="K43" i="3"/>
  <c r="J43" i="3"/>
  <c r="I43" i="3"/>
  <c r="U43" i="3" s="1"/>
  <c r="T42" i="3"/>
  <c r="S42" i="3"/>
  <c r="R42" i="3"/>
  <c r="Q42" i="3"/>
  <c r="P42" i="3"/>
  <c r="O42" i="3"/>
  <c r="N42" i="3"/>
  <c r="M42" i="3"/>
  <c r="L42" i="3"/>
  <c r="K42" i="3"/>
  <c r="J42" i="3"/>
  <c r="I42" i="3"/>
  <c r="U42" i="3" s="1"/>
  <c r="T41" i="3"/>
  <c r="S41" i="3"/>
  <c r="R41" i="3"/>
  <c r="Q41" i="3"/>
  <c r="P41" i="3"/>
  <c r="O41" i="3"/>
  <c r="N41" i="3"/>
  <c r="M41" i="3"/>
  <c r="L41" i="3"/>
  <c r="K41" i="3"/>
  <c r="J41" i="3"/>
  <c r="I41" i="3"/>
  <c r="U41" i="3" s="1"/>
  <c r="T40" i="3"/>
  <c r="S40" i="3"/>
  <c r="R40" i="3"/>
  <c r="Q40" i="3"/>
  <c r="P40" i="3"/>
  <c r="O40" i="3"/>
  <c r="N40" i="3"/>
  <c r="M40" i="3"/>
  <c r="L40" i="3"/>
  <c r="K40" i="3"/>
  <c r="J40" i="3"/>
  <c r="I40" i="3"/>
  <c r="U40" i="3" s="1"/>
  <c r="T39" i="3"/>
  <c r="S39" i="3"/>
  <c r="R39" i="3"/>
  <c r="Q39" i="3"/>
  <c r="P39" i="3"/>
  <c r="O39" i="3"/>
  <c r="N39" i="3"/>
  <c r="M39" i="3"/>
  <c r="L39" i="3"/>
  <c r="K39" i="3"/>
  <c r="J39" i="3"/>
  <c r="I39" i="3"/>
  <c r="U39" i="3" s="1"/>
  <c r="T38" i="3"/>
  <c r="S38" i="3"/>
  <c r="R38" i="3"/>
  <c r="Q38" i="3"/>
  <c r="P38" i="3"/>
  <c r="O38" i="3"/>
  <c r="N38" i="3"/>
  <c r="M38" i="3"/>
  <c r="L38" i="3"/>
  <c r="K38" i="3"/>
  <c r="J38" i="3"/>
  <c r="I38" i="3"/>
  <c r="U38" i="3" s="1"/>
  <c r="T37" i="3"/>
  <c r="S37" i="3"/>
  <c r="R37" i="3"/>
  <c r="Q37" i="3"/>
  <c r="P37" i="3"/>
  <c r="O37" i="3"/>
  <c r="N37" i="3"/>
  <c r="M37" i="3"/>
  <c r="L37" i="3"/>
  <c r="K37" i="3"/>
  <c r="J37" i="3"/>
  <c r="I37" i="3"/>
  <c r="U37" i="3" s="1"/>
  <c r="T36" i="3"/>
  <c r="S36" i="3"/>
  <c r="R36" i="3"/>
  <c r="Q36" i="3"/>
  <c r="P36" i="3"/>
  <c r="O36" i="3"/>
  <c r="N36" i="3"/>
  <c r="M36" i="3"/>
  <c r="L36" i="3"/>
  <c r="K36" i="3"/>
  <c r="J36" i="3"/>
  <c r="I36" i="3"/>
  <c r="U36" i="3" s="1"/>
  <c r="T35" i="3"/>
  <c r="S35" i="3"/>
  <c r="R35" i="3"/>
  <c r="Q35" i="3"/>
  <c r="P35" i="3"/>
  <c r="O35" i="3"/>
  <c r="N35" i="3"/>
  <c r="M35" i="3"/>
  <c r="L35" i="3"/>
  <c r="K35" i="3"/>
  <c r="J35" i="3"/>
  <c r="I35" i="3"/>
  <c r="U35" i="3" s="1"/>
  <c r="T34" i="3"/>
  <c r="S34" i="3"/>
  <c r="R34" i="3"/>
  <c r="Q34" i="3"/>
  <c r="P34" i="3"/>
  <c r="O34" i="3"/>
  <c r="N34" i="3"/>
  <c r="M34" i="3"/>
  <c r="L34" i="3"/>
  <c r="K34" i="3"/>
  <c r="J34" i="3"/>
  <c r="I34" i="3"/>
  <c r="U34" i="3" s="1"/>
  <c r="T33" i="3"/>
  <c r="S33" i="3"/>
  <c r="R33" i="3"/>
  <c r="Q33" i="3"/>
  <c r="P33" i="3"/>
  <c r="O33" i="3"/>
  <c r="N33" i="3"/>
  <c r="M33" i="3"/>
  <c r="L33" i="3"/>
  <c r="K33" i="3"/>
  <c r="J33" i="3"/>
  <c r="I33" i="3"/>
  <c r="U33" i="3" s="1"/>
  <c r="T32" i="3"/>
  <c r="S32" i="3"/>
  <c r="R32" i="3"/>
  <c r="Q32" i="3"/>
  <c r="P32" i="3"/>
  <c r="O32" i="3"/>
  <c r="N32" i="3"/>
  <c r="M32" i="3"/>
  <c r="L32" i="3"/>
  <c r="K32" i="3"/>
  <c r="J32" i="3"/>
  <c r="I32" i="3"/>
  <c r="U32" i="3" s="1"/>
  <c r="T31" i="3"/>
  <c r="S31" i="3"/>
  <c r="R31" i="3"/>
  <c r="Q31" i="3"/>
  <c r="P31" i="3"/>
  <c r="O31" i="3"/>
  <c r="N31" i="3"/>
  <c r="M31" i="3"/>
  <c r="L31" i="3"/>
  <c r="K31" i="3"/>
  <c r="J31" i="3"/>
  <c r="I31" i="3"/>
  <c r="U31" i="3" s="1"/>
  <c r="T30" i="3"/>
  <c r="S30" i="3"/>
  <c r="R30" i="3"/>
  <c r="Q30" i="3"/>
  <c r="P30" i="3"/>
  <c r="O30" i="3"/>
  <c r="N30" i="3"/>
  <c r="M30" i="3"/>
  <c r="L30" i="3"/>
  <c r="K30" i="3"/>
  <c r="J30" i="3"/>
  <c r="I30" i="3"/>
  <c r="U30" i="3" s="1"/>
  <c r="T29" i="3"/>
  <c r="S29" i="3"/>
  <c r="R29" i="3"/>
  <c r="Q29" i="3"/>
  <c r="P29" i="3"/>
  <c r="O29" i="3"/>
  <c r="N29" i="3"/>
  <c r="M29" i="3"/>
  <c r="L29" i="3"/>
  <c r="K29" i="3"/>
  <c r="J29" i="3"/>
  <c r="I29" i="3"/>
  <c r="U29" i="3" s="1"/>
  <c r="T28" i="3"/>
  <c r="S28" i="3"/>
  <c r="R28" i="3"/>
  <c r="Q28" i="3"/>
  <c r="P28" i="3"/>
  <c r="O28" i="3"/>
  <c r="N28" i="3"/>
  <c r="M28" i="3"/>
  <c r="L28" i="3"/>
  <c r="K28" i="3"/>
  <c r="J28" i="3"/>
  <c r="I28" i="3"/>
  <c r="U28" i="3" s="1"/>
  <c r="T27" i="3"/>
  <c r="S27" i="3"/>
  <c r="R27" i="3"/>
  <c r="Q27" i="3"/>
  <c r="P27" i="3"/>
  <c r="O27" i="3"/>
  <c r="N27" i="3"/>
  <c r="M27" i="3"/>
  <c r="L27" i="3"/>
  <c r="K27" i="3"/>
  <c r="J27" i="3"/>
  <c r="I27" i="3"/>
  <c r="U27" i="3" s="1"/>
  <c r="T26" i="3"/>
  <c r="S26" i="3"/>
  <c r="R26" i="3"/>
  <c r="Q26" i="3"/>
  <c r="P26" i="3"/>
  <c r="O26" i="3"/>
  <c r="N26" i="3"/>
  <c r="M26" i="3"/>
  <c r="L26" i="3"/>
  <c r="K26" i="3"/>
  <c r="J26" i="3"/>
  <c r="I26" i="3"/>
  <c r="U26" i="3" s="1"/>
  <c r="T25" i="3"/>
  <c r="S25" i="3"/>
  <c r="R25" i="3"/>
  <c r="Q25" i="3"/>
  <c r="P25" i="3"/>
  <c r="O25" i="3"/>
  <c r="N25" i="3"/>
  <c r="M25" i="3"/>
  <c r="L25" i="3"/>
  <c r="K25" i="3"/>
  <c r="J25" i="3"/>
  <c r="I25" i="3"/>
  <c r="U25" i="3" s="1"/>
  <c r="T24" i="3"/>
  <c r="S24" i="3"/>
  <c r="R24" i="3"/>
  <c r="Q24" i="3"/>
  <c r="P24" i="3"/>
  <c r="O24" i="3"/>
  <c r="N24" i="3"/>
  <c r="M24" i="3"/>
  <c r="L24" i="3"/>
  <c r="K24" i="3"/>
  <c r="J24" i="3"/>
  <c r="I24" i="3"/>
  <c r="U24" i="3" s="1"/>
  <c r="T23" i="3"/>
  <c r="S23" i="3"/>
  <c r="R23" i="3"/>
  <c r="Q23" i="3"/>
  <c r="P23" i="3"/>
  <c r="O23" i="3"/>
  <c r="N23" i="3"/>
  <c r="M23" i="3"/>
  <c r="L23" i="3"/>
  <c r="K23" i="3"/>
  <c r="J23" i="3"/>
  <c r="I23" i="3"/>
  <c r="U23" i="3" s="1"/>
  <c r="T22" i="3"/>
  <c r="S22" i="3"/>
  <c r="R22" i="3"/>
  <c r="Q22" i="3"/>
  <c r="P22" i="3"/>
  <c r="O22" i="3"/>
  <c r="N22" i="3"/>
  <c r="M22" i="3"/>
  <c r="L22" i="3"/>
  <c r="K22" i="3"/>
  <c r="J22" i="3"/>
  <c r="I22" i="3"/>
  <c r="U22" i="3" s="1"/>
  <c r="T21" i="3"/>
  <c r="S21" i="3"/>
  <c r="R21" i="3"/>
  <c r="Q21" i="3"/>
  <c r="P21" i="3"/>
  <c r="O21" i="3"/>
  <c r="N21" i="3"/>
  <c r="M21" i="3"/>
  <c r="L21" i="3"/>
  <c r="K21" i="3"/>
  <c r="J21" i="3"/>
  <c r="I21" i="3"/>
  <c r="U21" i="3" s="1"/>
  <c r="T20" i="3"/>
  <c r="S20" i="3"/>
  <c r="R20" i="3"/>
  <c r="Q20" i="3"/>
  <c r="P20" i="3"/>
  <c r="O20" i="3"/>
  <c r="N20" i="3"/>
  <c r="M20" i="3"/>
  <c r="L20" i="3"/>
  <c r="K20" i="3"/>
  <c r="J20" i="3"/>
  <c r="I20" i="3"/>
  <c r="U20" i="3" s="1"/>
  <c r="T19" i="3"/>
  <c r="S19" i="3"/>
  <c r="R19" i="3"/>
  <c r="Q19" i="3"/>
  <c r="P19" i="3"/>
  <c r="O19" i="3"/>
  <c r="N19" i="3"/>
  <c r="M19" i="3"/>
  <c r="L19" i="3"/>
  <c r="K19" i="3"/>
  <c r="J19" i="3"/>
  <c r="I19" i="3"/>
  <c r="U19" i="3" s="1"/>
  <c r="T18" i="3"/>
  <c r="S18" i="3"/>
  <c r="R18" i="3"/>
  <c r="Q18" i="3"/>
  <c r="P18" i="3"/>
  <c r="O18" i="3"/>
  <c r="N18" i="3"/>
  <c r="M18" i="3"/>
  <c r="L18" i="3"/>
  <c r="K18" i="3"/>
  <c r="J18" i="3"/>
  <c r="I18" i="3"/>
  <c r="U18" i="3" s="1"/>
  <c r="T17" i="3"/>
  <c r="S17" i="3"/>
  <c r="R17" i="3"/>
  <c r="Q17" i="3"/>
  <c r="P17" i="3"/>
  <c r="O17" i="3"/>
  <c r="N17" i="3"/>
  <c r="M17" i="3"/>
  <c r="L17" i="3"/>
  <c r="K17" i="3"/>
  <c r="J17" i="3"/>
  <c r="I17" i="3"/>
  <c r="U17" i="3" s="1"/>
  <c r="T16" i="3"/>
  <c r="S16" i="3"/>
  <c r="R16" i="3"/>
  <c r="Q16" i="3"/>
  <c r="P16" i="3"/>
  <c r="O16" i="3"/>
  <c r="N16" i="3"/>
  <c r="M16" i="3"/>
  <c r="L16" i="3"/>
  <c r="K16" i="3"/>
  <c r="J16" i="3"/>
  <c r="I16" i="3"/>
  <c r="U16" i="3" s="1"/>
  <c r="T15" i="3"/>
  <c r="S15" i="3"/>
  <c r="R15" i="3"/>
  <c r="Q15" i="3"/>
  <c r="P15" i="3"/>
  <c r="O15" i="3"/>
  <c r="N15" i="3"/>
  <c r="M15" i="3"/>
  <c r="L15" i="3"/>
  <c r="K15" i="3"/>
  <c r="J15" i="3"/>
  <c r="I15" i="3"/>
  <c r="U15" i="3" s="1"/>
  <c r="T14" i="3"/>
  <c r="S14" i="3"/>
  <c r="R14" i="3"/>
  <c r="Q14" i="3"/>
  <c r="P14" i="3"/>
  <c r="O14" i="3"/>
  <c r="N14" i="3"/>
  <c r="M14" i="3"/>
  <c r="L14" i="3"/>
  <c r="K14" i="3"/>
  <c r="J14" i="3"/>
  <c r="I14" i="3"/>
  <c r="U14" i="3" s="1"/>
  <c r="T13" i="3"/>
  <c r="S13" i="3"/>
  <c r="R13" i="3"/>
  <c r="Q13" i="3"/>
  <c r="P13" i="3"/>
  <c r="O13" i="3"/>
  <c r="N13" i="3"/>
  <c r="M13" i="3"/>
  <c r="L13" i="3"/>
  <c r="K13" i="3"/>
  <c r="J13" i="3"/>
  <c r="I13" i="3"/>
  <c r="U13" i="3" s="1"/>
  <c r="T12" i="3"/>
  <c r="S12" i="3"/>
  <c r="R12" i="3"/>
  <c r="Q12" i="3"/>
  <c r="P12" i="3"/>
  <c r="O12" i="3"/>
  <c r="N12" i="3"/>
  <c r="M12" i="3"/>
  <c r="L12" i="3"/>
  <c r="K12" i="3"/>
  <c r="J12" i="3"/>
  <c r="I12" i="3"/>
  <c r="U12" i="3" s="1"/>
  <c r="T11" i="3"/>
  <c r="S11" i="3"/>
  <c r="R11" i="3"/>
  <c r="Q11" i="3"/>
  <c r="P11" i="3"/>
  <c r="O11" i="3"/>
  <c r="N11" i="3"/>
  <c r="M11" i="3"/>
  <c r="L11" i="3"/>
  <c r="K11" i="3"/>
  <c r="J11" i="3"/>
  <c r="I11" i="3"/>
  <c r="U11" i="3" s="1"/>
  <c r="T10" i="3"/>
  <c r="S10" i="3"/>
  <c r="R10" i="3"/>
  <c r="Q10" i="3"/>
  <c r="P10" i="3"/>
  <c r="O10" i="3"/>
  <c r="N10" i="3"/>
  <c r="M10" i="3"/>
  <c r="L10" i="3"/>
  <c r="K10" i="3"/>
  <c r="J10" i="3"/>
  <c r="I10" i="3"/>
  <c r="U10" i="3" s="1"/>
  <c r="T9" i="3"/>
  <c r="S9" i="3"/>
  <c r="R9" i="3"/>
  <c r="Q9" i="3"/>
  <c r="P9" i="3"/>
  <c r="O9" i="3"/>
  <c r="N9" i="3"/>
  <c r="M9" i="3"/>
  <c r="L9" i="3"/>
  <c r="K9" i="3"/>
  <c r="J9" i="3"/>
  <c r="I9" i="3"/>
  <c r="U9" i="3" s="1"/>
  <c r="T8" i="3"/>
  <c r="S8" i="3"/>
  <c r="R8" i="3"/>
  <c r="Q8" i="3"/>
  <c r="P8" i="3"/>
  <c r="O8" i="3"/>
  <c r="N8" i="3"/>
  <c r="M8" i="3"/>
  <c r="L8" i="3"/>
  <c r="K8" i="3"/>
  <c r="J8" i="3"/>
  <c r="I8" i="3"/>
  <c r="U8" i="3" s="1"/>
  <c r="T7" i="3"/>
  <c r="S7" i="3"/>
  <c r="R7" i="3"/>
  <c r="Q7" i="3"/>
  <c r="P7" i="3"/>
  <c r="O7" i="3"/>
  <c r="N7" i="3"/>
  <c r="M7" i="3"/>
  <c r="L7" i="3"/>
  <c r="K7" i="3"/>
  <c r="J7" i="3"/>
  <c r="I7" i="3"/>
  <c r="U7" i="3" s="1"/>
  <c r="T6" i="3"/>
  <c r="S6" i="3"/>
  <c r="R6" i="3"/>
  <c r="Q6" i="3"/>
  <c r="P6" i="3"/>
  <c r="O6" i="3"/>
  <c r="N6" i="3"/>
  <c r="M6" i="3"/>
  <c r="L6" i="3"/>
  <c r="K6" i="3"/>
  <c r="J6" i="3"/>
  <c r="I6" i="3"/>
  <c r="U6" i="3" s="1"/>
  <c r="T5" i="3"/>
  <c r="S5" i="3"/>
  <c r="R5" i="3"/>
  <c r="Q5" i="3"/>
  <c r="P5" i="3"/>
  <c r="O5" i="3"/>
  <c r="N5" i="3"/>
  <c r="M5" i="3"/>
  <c r="L5" i="3"/>
  <c r="K5" i="3"/>
  <c r="J5" i="3"/>
  <c r="I5" i="3"/>
  <c r="U5" i="3" s="1"/>
  <c r="T4" i="3"/>
  <c r="S4" i="3"/>
  <c r="R4" i="3"/>
  <c r="Q4" i="3"/>
  <c r="P4" i="3"/>
  <c r="O4" i="3"/>
  <c r="N4" i="3"/>
  <c r="M4" i="3"/>
  <c r="L4" i="3"/>
  <c r="K4" i="3"/>
  <c r="J4" i="3"/>
  <c r="I4" i="3"/>
  <c r="U4" i="3" s="1"/>
  <c r="T3" i="3"/>
  <c r="S3" i="3"/>
  <c r="R3" i="3"/>
  <c r="Q3" i="3"/>
  <c r="P3" i="3"/>
  <c r="O3" i="3"/>
  <c r="N3" i="3"/>
  <c r="M3" i="3"/>
  <c r="L3" i="3"/>
  <c r="K3" i="3"/>
  <c r="J3" i="3"/>
  <c r="I3" i="3"/>
  <c r="U3" i="3" s="1"/>
  <c r="T2" i="3"/>
  <c r="S2" i="3"/>
  <c r="R2" i="3"/>
  <c r="Q2" i="3"/>
  <c r="P2" i="3"/>
  <c r="O2" i="3"/>
  <c r="N2" i="3"/>
  <c r="M2" i="3"/>
  <c r="L2" i="3"/>
  <c r="K2" i="3"/>
  <c r="J2" i="3"/>
  <c r="I2" i="3"/>
  <c r="U2" i="3" s="1"/>
  <c r="H1" i="2"/>
  <c r="I7" i="67" l="1"/>
  <c r="I7" i="63"/>
  <c r="I7" i="49"/>
  <c r="P13" i="5"/>
  <c r="P16" i="5" s="1"/>
  <c r="I7" i="50"/>
  <c r="I7" i="55"/>
  <c r="I7" i="48"/>
  <c r="I7" i="47"/>
  <c r="I12" i="67"/>
  <c r="I12" i="63"/>
  <c r="I12" i="50"/>
  <c r="I12" i="55"/>
  <c r="I12" i="48"/>
  <c r="I12" i="49"/>
  <c r="I12" i="47"/>
  <c r="I17" i="67"/>
  <c r="I17" i="63"/>
  <c r="I17" i="55"/>
  <c r="I17" i="48"/>
  <c r="I17" i="49"/>
  <c r="I17" i="50"/>
  <c r="I17" i="47"/>
  <c r="I21" i="67"/>
  <c r="I21" i="63"/>
  <c r="I21" i="55"/>
  <c r="I21" i="48"/>
  <c r="I21" i="49"/>
  <c r="I21" i="50"/>
  <c r="I21" i="47"/>
  <c r="I24" i="67"/>
  <c r="I24" i="63"/>
  <c r="I24" i="50"/>
  <c r="I24" i="55"/>
  <c r="I24" i="49"/>
  <c r="I24" i="48"/>
  <c r="I24" i="47"/>
  <c r="I27" i="67"/>
  <c r="I27" i="63"/>
  <c r="I27" i="55"/>
  <c r="I27" i="49"/>
  <c r="I27" i="50"/>
  <c r="I27" i="47"/>
  <c r="I27" i="48"/>
  <c r="I32" i="67"/>
  <c r="I32" i="63"/>
  <c r="I32" i="55"/>
  <c r="I32" i="50"/>
  <c r="I32" i="48"/>
  <c r="I32" i="49"/>
  <c r="I32" i="47"/>
  <c r="I38" i="67"/>
  <c r="I38" i="63"/>
  <c r="I38" i="55"/>
  <c r="I38" i="48"/>
  <c r="I38" i="49"/>
  <c r="I38" i="50"/>
  <c r="I38" i="47"/>
  <c r="I41" i="67"/>
  <c r="I41" i="63"/>
  <c r="I41" i="55"/>
  <c r="I41" i="49"/>
  <c r="I41" i="48"/>
  <c r="I41" i="50"/>
  <c r="I41" i="47"/>
  <c r="I45" i="67"/>
  <c r="I45" i="63"/>
  <c r="I45" i="55"/>
  <c r="I45" i="49"/>
  <c r="I45" i="48"/>
  <c r="I45" i="50"/>
  <c r="I45" i="47"/>
  <c r="I49" i="67"/>
  <c r="I49" i="63"/>
  <c r="I49" i="55"/>
  <c r="I49" i="49"/>
  <c r="I49" i="48"/>
  <c r="I49" i="50"/>
  <c r="I49" i="47"/>
  <c r="I7" i="68"/>
  <c r="I7" i="64"/>
  <c r="I7" i="52"/>
  <c r="I7" i="51"/>
  <c r="I7" i="54"/>
  <c r="I7" i="53"/>
  <c r="I12" i="68"/>
  <c r="I12" i="64"/>
  <c r="I12" i="52"/>
  <c r="I12" i="51"/>
  <c r="I12" i="54"/>
  <c r="I12" i="53"/>
  <c r="I14" i="68"/>
  <c r="I14" i="64"/>
  <c r="I14" i="54"/>
  <c r="I14" i="53"/>
  <c r="I14" i="52"/>
  <c r="I14" i="51"/>
  <c r="I15" i="68"/>
  <c r="I15" i="64"/>
  <c r="I15" i="52"/>
  <c r="I15" i="51"/>
  <c r="I15" i="54"/>
  <c r="I15" i="53"/>
  <c r="I16" i="68"/>
  <c r="I16" i="64"/>
  <c r="I16" i="52"/>
  <c r="I16" i="51"/>
  <c r="I16" i="54"/>
  <c r="I16" i="53"/>
  <c r="I17" i="68"/>
  <c r="I17" i="64"/>
  <c r="I17" i="51"/>
  <c r="I17" i="54"/>
  <c r="I17" i="53"/>
  <c r="I17" i="52"/>
  <c r="I18" i="68"/>
  <c r="I18" i="64"/>
  <c r="I18" i="54"/>
  <c r="I18" i="53"/>
  <c r="I18" i="52"/>
  <c r="I18" i="51"/>
  <c r="I20" i="68"/>
  <c r="I20" i="64"/>
  <c r="I20" i="52"/>
  <c r="I20" i="51"/>
  <c r="I20" i="54"/>
  <c r="I20" i="53"/>
  <c r="I21" i="68"/>
  <c r="I21" i="64"/>
  <c r="I21" i="51"/>
  <c r="I21" i="54"/>
  <c r="I21" i="53"/>
  <c r="I21" i="52"/>
  <c r="I22" i="68"/>
  <c r="I22" i="64"/>
  <c r="I22" i="54"/>
  <c r="I22" i="53"/>
  <c r="I22" i="52"/>
  <c r="I22" i="51"/>
  <c r="I23" i="68"/>
  <c r="I23" i="64"/>
  <c r="I23" i="52"/>
  <c r="I23" i="51"/>
  <c r="I23" i="54"/>
  <c r="I23" i="53"/>
  <c r="I24" i="68"/>
  <c r="I24" i="64"/>
  <c r="I24" i="52"/>
  <c r="I24" i="51"/>
  <c r="I24" i="54"/>
  <c r="I24" i="53"/>
  <c r="I26" i="68"/>
  <c r="I26" i="64"/>
  <c r="I26" i="54"/>
  <c r="I26" i="53"/>
  <c r="I26" i="52"/>
  <c r="I26" i="51"/>
  <c r="I27" i="68"/>
  <c r="I27" i="64"/>
  <c r="I27" i="52"/>
  <c r="I27" i="51"/>
  <c r="I27" i="54"/>
  <c r="I27" i="53"/>
  <c r="I28" i="68"/>
  <c r="I28" i="64"/>
  <c r="I28" i="52"/>
  <c r="I28" i="51"/>
  <c r="I28" i="54"/>
  <c r="I28" i="53"/>
  <c r="I29" i="68"/>
  <c r="I29" i="64"/>
  <c r="I29" i="51"/>
  <c r="I29" i="54"/>
  <c r="I29" i="53"/>
  <c r="I29" i="52"/>
  <c r="I30" i="68"/>
  <c r="I30" i="64"/>
  <c r="I30" i="54"/>
  <c r="I30" i="53"/>
  <c r="I30" i="52"/>
  <c r="I30" i="51"/>
  <c r="I31" i="68"/>
  <c r="I31" i="64"/>
  <c r="I31" i="52"/>
  <c r="I31" i="51"/>
  <c r="I31" i="54"/>
  <c r="I31" i="53"/>
  <c r="I32" i="68"/>
  <c r="I32" i="64"/>
  <c r="I32" i="52"/>
  <c r="I32" i="51"/>
  <c r="I32" i="54"/>
  <c r="I32" i="53"/>
  <c r="I33" i="68"/>
  <c r="I33" i="64"/>
  <c r="I33" i="51"/>
  <c r="I33" i="54"/>
  <c r="I33" i="53"/>
  <c r="I33" i="52"/>
  <c r="I34" i="68"/>
  <c r="I34" i="64"/>
  <c r="I34" i="54"/>
  <c r="I34" i="53"/>
  <c r="I34" i="52"/>
  <c r="I34" i="51"/>
  <c r="I35" i="68"/>
  <c r="I35" i="64"/>
  <c r="I35" i="52"/>
  <c r="I35" i="51"/>
  <c r="I35" i="54"/>
  <c r="I35" i="53"/>
  <c r="I36" i="68"/>
  <c r="I36" i="64"/>
  <c r="I36" i="52"/>
  <c r="I36" i="51"/>
  <c r="I36" i="54"/>
  <c r="I36" i="53"/>
  <c r="I37" i="68"/>
  <c r="I37" i="64"/>
  <c r="I37" i="51"/>
  <c r="I37" i="54"/>
  <c r="I37" i="53"/>
  <c r="I37" i="52"/>
  <c r="I38" i="68"/>
  <c r="I38" i="64"/>
  <c r="I38" i="54"/>
  <c r="I38" i="53"/>
  <c r="I38" i="52"/>
  <c r="I38" i="51"/>
  <c r="I39" i="68"/>
  <c r="I39" i="64"/>
  <c r="I39" i="52"/>
  <c r="I39" i="51"/>
  <c r="I39" i="54"/>
  <c r="I39" i="53"/>
  <c r="I40" i="68"/>
  <c r="I40" i="64"/>
  <c r="I40" i="52"/>
  <c r="I40" i="51"/>
  <c r="I40" i="54"/>
  <c r="I40" i="53"/>
  <c r="I41" i="68"/>
  <c r="I41" i="64"/>
  <c r="I41" i="51"/>
  <c r="I41" i="54"/>
  <c r="I41" i="53"/>
  <c r="I41" i="52"/>
  <c r="I42" i="68"/>
  <c r="I42" i="64"/>
  <c r="I42" i="54"/>
  <c r="I42" i="53"/>
  <c r="I42" i="52"/>
  <c r="I42" i="51"/>
  <c r="I6" i="67"/>
  <c r="I6" i="63"/>
  <c r="I6" i="55"/>
  <c r="I6" i="48"/>
  <c r="I6" i="49"/>
  <c r="I6" i="50"/>
  <c r="I6" i="47"/>
  <c r="I9" i="67"/>
  <c r="I9" i="63"/>
  <c r="I9" i="55"/>
  <c r="I9" i="48"/>
  <c r="I9" i="47"/>
  <c r="I9" i="49"/>
  <c r="I9" i="50"/>
  <c r="I10" i="67"/>
  <c r="I10" i="63"/>
  <c r="I10" i="55"/>
  <c r="I10" i="48"/>
  <c r="I10" i="47"/>
  <c r="I10" i="49"/>
  <c r="I10" i="50"/>
  <c r="I13" i="67"/>
  <c r="I13" i="63"/>
  <c r="I13" i="55"/>
  <c r="I13" i="48"/>
  <c r="I13" i="47"/>
  <c r="I13" i="49"/>
  <c r="I13" i="50"/>
  <c r="I15" i="67"/>
  <c r="I15" i="63"/>
  <c r="I15" i="49"/>
  <c r="I15" i="50"/>
  <c r="I15" i="55"/>
  <c r="I15" i="48"/>
  <c r="I15" i="47"/>
  <c r="I16" i="67"/>
  <c r="I16" i="63"/>
  <c r="I16" i="50"/>
  <c r="I16" i="47"/>
  <c r="I16" i="55"/>
  <c r="I16" i="48"/>
  <c r="I16" i="49"/>
  <c r="I19" i="67"/>
  <c r="I19" i="63"/>
  <c r="I19" i="49"/>
  <c r="I19" i="50"/>
  <c r="I19" i="47"/>
  <c r="I19" i="55"/>
  <c r="I19" i="48"/>
  <c r="I23" i="67"/>
  <c r="I23" i="63"/>
  <c r="I23" i="49"/>
  <c r="I23" i="55"/>
  <c r="I23" i="50"/>
  <c r="I23" i="48"/>
  <c r="I23" i="47"/>
  <c r="I25" i="67"/>
  <c r="I25" i="63"/>
  <c r="I25" i="55"/>
  <c r="I25" i="48"/>
  <c r="I25" i="49"/>
  <c r="I25" i="50"/>
  <c r="I25" i="47"/>
  <c r="I28" i="67"/>
  <c r="I28" i="63"/>
  <c r="I28" i="55"/>
  <c r="I28" i="50"/>
  <c r="I28" i="48"/>
  <c r="I28" i="47"/>
  <c r="I28" i="49"/>
  <c r="I30" i="67"/>
  <c r="I30" i="63"/>
  <c r="I30" i="55"/>
  <c r="I30" i="48"/>
  <c r="I30" i="47"/>
  <c r="I30" i="49"/>
  <c r="I30" i="50"/>
  <c r="I34" i="67"/>
  <c r="I34" i="63"/>
  <c r="I34" i="55"/>
  <c r="I34" i="48"/>
  <c r="I34" i="49"/>
  <c r="I34" i="47"/>
  <c r="I34" i="50"/>
  <c r="I36" i="67"/>
  <c r="I36" i="63"/>
  <c r="I36" i="55"/>
  <c r="I36" i="50"/>
  <c r="I36" i="48"/>
  <c r="I36" i="49"/>
  <c r="I36" i="47"/>
  <c r="I40" i="67"/>
  <c r="I40" i="63"/>
  <c r="I40" i="55"/>
  <c r="I40" i="50"/>
  <c r="I40" i="48"/>
  <c r="I40" i="47"/>
  <c r="I40" i="49"/>
  <c r="I43" i="67"/>
  <c r="I43" i="63"/>
  <c r="I43" i="55"/>
  <c r="I43" i="49"/>
  <c r="I43" i="50"/>
  <c r="I43" i="47"/>
  <c r="I43" i="48"/>
  <c r="I44" i="67"/>
  <c r="I44" i="63"/>
  <c r="I44" i="55"/>
  <c r="I44" i="50"/>
  <c r="I44" i="48"/>
  <c r="I44" i="49"/>
  <c r="I44" i="47"/>
  <c r="I47" i="67"/>
  <c r="I47" i="63"/>
  <c r="I47" i="55"/>
  <c r="I47" i="49"/>
  <c r="I47" i="50"/>
  <c r="I47" i="47"/>
  <c r="I47" i="48"/>
  <c r="I50" i="67"/>
  <c r="I50" i="63"/>
  <c r="I50" i="55"/>
  <c r="I50" i="48"/>
  <c r="M69" i="47" s="1"/>
  <c r="I50" i="49"/>
  <c r="I50" i="50"/>
  <c r="I50" i="47"/>
  <c r="I5" i="68"/>
  <c r="I5" i="64"/>
  <c r="I5" i="51"/>
  <c r="I5" i="54"/>
  <c r="I5" i="53"/>
  <c r="I5" i="52"/>
  <c r="P14" i="5"/>
  <c r="P17" i="5" s="1"/>
  <c r="I9" i="68"/>
  <c r="I9" i="64"/>
  <c r="I9" i="51"/>
  <c r="I9" i="54"/>
  <c r="I9" i="53"/>
  <c r="I9" i="52"/>
  <c r="I11" i="68"/>
  <c r="I11" i="64"/>
  <c r="I11" i="52"/>
  <c r="I11" i="51"/>
  <c r="I11" i="54"/>
  <c r="I11" i="53"/>
  <c r="I19" i="68"/>
  <c r="I19" i="64"/>
  <c r="I19" i="52"/>
  <c r="I19" i="51"/>
  <c r="I19" i="54"/>
  <c r="I19" i="53"/>
  <c r="I5" i="67"/>
  <c r="I5" i="63"/>
  <c r="I5" i="55"/>
  <c r="I5" i="48"/>
  <c r="I5" i="47"/>
  <c r="P12" i="5"/>
  <c r="P15" i="5" s="1"/>
  <c r="I5" i="49"/>
  <c r="I5" i="50"/>
  <c r="I8" i="67"/>
  <c r="I8" i="63"/>
  <c r="I8" i="50"/>
  <c r="I8" i="47"/>
  <c r="I8" i="55"/>
  <c r="I8" i="48"/>
  <c r="I8" i="49"/>
  <c r="I11" i="67"/>
  <c r="I11" i="63"/>
  <c r="I11" i="49"/>
  <c r="I11" i="50"/>
  <c r="I11" i="55"/>
  <c r="I11" i="48"/>
  <c r="I11" i="47"/>
  <c r="I14" i="67"/>
  <c r="I14" i="63"/>
  <c r="I14" i="55"/>
  <c r="I14" i="48"/>
  <c r="I14" i="49"/>
  <c r="I14" i="50"/>
  <c r="I14" i="47"/>
  <c r="I18" i="67"/>
  <c r="I18" i="63"/>
  <c r="I18" i="55"/>
  <c r="I18" i="48"/>
  <c r="I18" i="47"/>
  <c r="I18" i="49"/>
  <c r="I18" i="50"/>
  <c r="I20" i="67"/>
  <c r="I20" i="63"/>
  <c r="I20" i="50"/>
  <c r="I20" i="47"/>
  <c r="I20" i="55"/>
  <c r="I20" i="48"/>
  <c r="I20" i="49"/>
  <c r="I22" i="67"/>
  <c r="I22" i="63"/>
  <c r="I22" i="55"/>
  <c r="I22" i="49"/>
  <c r="I22" i="47"/>
  <c r="I22" i="50"/>
  <c r="I22" i="48"/>
  <c r="I26" i="67"/>
  <c r="I26" i="63"/>
  <c r="I26" i="55"/>
  <c r="I26" i="48"/>
  <c r="I26" i="49"/>
  <c r="I26" i="50"/>
  <c r="I26" i="47"/>
  <c r="I29" i="67"/>
  <c r="I29" i="63"/>
  <c r="I29" i="55"/>
  <c r="I29" i="49"/>
  <c r="I29" i="48"/>
  <c r="I29" i="50"/>
  <c r="I29" i="47"/>
  <c r="I31" i="67"/>
  <c r="I31" i="63"/>
  <c r="I31" i="55"/>
  <c r="I31" i="49"/>
  <c r="I31" i="50"/>
  <c r="I31" i="47"/>
  <c r="I31" i="48"/>
  <c r="I33" i="67"/>
  <c r="I33" i="63"/>
  <c r="I33" i="55"/>
  <c r="I33" i="49"/>
  <c r="I33" i="48"/>
  <c r="I33" i="50"/>
  <c r="I33" i="47"/>
  <c r="I35" i="67"/>
  <c r="I35" i="63"/>
  <c r="I35" i="55"/>
  <c r="I35" i="49"/>
  <c r="I35" i="50"/>
  <c r="I35" i="47"/>
  <c r="I35" i="48"/>
  <c r="I37" i="67"/>
  <c r="I37" i="63"/>
  <c r="I37" i="55"/>
  <c r="I37" i="49"/>
  <c r="I37" i="48"/>
  <c r="I37" i="50"/>
  <c r="I37" i="47"/>
  <c r="I39" i="67"/>
  <c r="I39" i="63"/>
  <c r="I39" i="55"/>
  <c r="I39" i="49"/>
  <c r="I39" i="50"/>
  <c r="I39" i="47"/>
  <c r="I39" i="48"/>
  <c r="I42" i="67"/>
  <c r="I42" i="63"/>
  <c r="I42" i="55"/>
  <c r="I42" i="48"/>
  <c r="I42" i="47"/>
  <c r="I42" i="49"/>
  <c r="I42" i="50"/>
  <c r="I46" i="67"/>
  <c r="I46" i="63"/>
  <c r="I46" i="55"/>
  <c r="I46" i="48"/>
  <c r="I46" i="49"/>
  <c r="I46" i="47"/>
  <c r="I46" i="50"/>
  <c r="I48" i="67"/>
  <c r="I48" i="63"/>
  <c r="I48" i="55"/>
  <c r="I48" i="50"/>
  <c r="I48" i="48"/>
  <c r="I48" i="47"/>
  <c r="I48" i="49"/>
  <c r="I51" i="67"/>
  <c r="I51" i="63"/>
  <c r="I51" i="55"/>
  <c r="I51" i="49"/>
  <c r="I51" i="50"/>
  <c r="I51" i="47"/>
  <c r="I51" i="48"/>
  <c r="I6" i="68"/>
  <c r="I6" i="64"/>
  <c r="I6" i="54"/>
  <c r="I6" i="53"/>
  <c r="I6" i="52"/>
  <c r="I6" i="51"/>
  <c r="I8" i="68"/>
  <c r="I8" i="64"/>
  <c r="I8" i="52"/>
  <c r="I8" i="51"/>
  <c r="I8" i="54"/>
  <c r="I8" i="53"/>
  <c r="I10" i="68"/>
  <c r="I10" i="64"/>
  <c r="I10" i="54"/>
  <c r="I10" i="53"/>
  <c r="I10" i="52"/>
  <c r="I10" i="51"/>
  <c r="I13" i="68"/>
  <c r="I13" i="64"/>
  <c r="I13" i="51"/>
  <c r="I13" i="54"/>
  <c r="I13" i="53"/>
  <c r="I13" i="52"/>
  <c r="I25" i="68"/>
  <c r="I25" i="64"/>
  <c r="I25" i="51"/>
  <c r="I25" i="54"/>
  <c r="I25" i="53"/>
  <c r="I25" i="52"/>
  <c r="Z8" i="50"/>
  <c r="Z18" i="50"/>
  <c r="Z14" i="50"/>
  <c r="Z9" i="50"/>
  <c r="Z17" i="50"/>
  <c r="Z28" i="50"/>
  <c r="Z27" i="50"/>
  <c r="Z32" i="50"/>
  <c r="Z40" i="50"/>
  <c r="Z37" i="50"/>
  <c r="Z43" i="50"/>
  <c r="Z53" i="50"/>
  <c r="AI6" i="58"/>
  <c r="AI8" i="58"/>
  <c r="AJ58" i="49"/>
  <c r="AI2" i="58"/>
  <c r="AO8" i="57"/>
  <c r="AO9" i="57" s="1"/>
  <c r="AT8" i="65"/>
  <c r="AO8" i="65"/>
  <c r="E19" i="62"/>
  <c r="AT7" i="65"/>
  <c r="AO7" i="65"/>
  <c r="AJ7" i="65"/>
  <c r="AR12" i="63"/>
  <c r="AV11" i="63"/>
  <c r="AR47" i="63"/>
  <c r="AV47" i="63" s="1"/>
  <c r="AV46" i="63"/>
  <c r="AV21" i="63"/>
  <c r="AR22" i="63"/>
  <c r="AQ9" i="63"/>
  <c r="AR29" i="63"/>
  <c r="AV29" i="63" s="1"/>
  <c r="AV28" i="63"/>
  <c r="X11" i="61"/>
  <c r="AF11" i="61" s="1"/>
  <c r="X9" i="61"/>
  <c r="AF9" i="61" s="1"/>
  <c r="X12" i="61"/>
  <c r="AF12" i="61" s="1"/>
  <c r="AJ9" i="57"/>
  <c r="AT9" i="57"/>
  <c r="AG56" i="50"/>
  <c r="AG56" i="49"/>
  <c r="AG56" i="48"/>
  <c r="AG58" i="47"/>
  <c r="AA51" i="50"/>
  <c r="AA50" i="50"/>
  <c r="AA42" i="50"/>
  <c r="AA36" i="50"/>
  <c r="AA26" i="50"/>
  <c r="AA27" i="50"/>
  <c r="AA25" i="50"/>
  <c r="AA23" i="50"/>
  <c r="AA10" i="50"/>
  <c r="AA16" i="50"/>
  <c r="AA39" i="50"/>
  <c r="AA6" i="50"/>
  <c r="AA49" i="50"/>
  <c r="AA48" i="50"/>
  <c r="AA40" i="50"/>
  <c r="AA32" i="50"/>
  <c r="AA24" i="50"/>
  <c r="AA43" i="50"/>
  <c r="AA19" i="50"/>
  <c r="AA29" i="50"/>
  <c r="AA7" i="50"/>
  <c r="AA13" i="50"/>
  <c r="AA21" i="50"/>
  <c r="AA17" i="50"/>
  <c r="AB54" i="49"/>
  <c r="AB54" i="50"/>
  <c r="AB54" i="48"/>
  <c r="AD55" i="50"/>
  <c r="AD55" i="49"/>
  <c r="AD55" i="48"/>
  <c r="AD57" i="47"/>
  <c r="AL54" i="49"/>
  <c r="AL54" i="50"/>
  <c r="AL54" i="48"/>
  <c r="W47" i="54"/>
  <c r="W47" i="53"/>
  <c r="W47" i="52"/>
  <c r="W47" i="51"/>
  <c r="AA46" i="54"/>
  <c r="AA46" i="53"/>
  <c r="AA46" i="52"/>
  <c r="AA46" i="51"/>
  <c r="AA9" i="50"/>
  <c r="AA8" i="50"/>
  <c r="AA18" i="50"/>
  <c r="AA35" i="50"/>
  <c r="AA30" i="50"/>
  <c r="AA46" i="50"/>
  <c r="W46" i="54"/>
  <c r="W46" i="53"/>
  <c r="W46" i="52"/>
  <c r="W46" i="51"/>
  <c r="D30" i="5"/>
  <c r="L45" i="64" s="1"/>
  <c r="R46" i="54"/>
  <c r="R46" i="53"/>
  <c r="R46" i="51"/>
  <c r="R46" i="52"/>
  <c r="AL56" i="50"/>
  <c r="AL56" i="49"/>
  <c r="AL58" i="47"/>
  <c r="AL56" i="48"/>
  <c r="AA11" i="50"/>
  <c r="AA38" i="50"/>
  <c r="AA31" i="50"/>
  <c r="AA20" i="50"/>
  <c r="AA41" i="50"/>
  <c r="AA45" i="50"/>
  <c r="AD54" i="49"/>
  <c r="AD54" i="50"/>
  <c r="AD54" i="48"/>
  <c r="AA45" i="54"/>
  <c r="AA45" i="53"/>
  <c r="AA45" i="51"/>
  <c r="AA45" i="52"/>
  <c r="AB55" i="50"/>
  <c r="AB55" i="49"/>
  <c r="AB57" i="47"/>
  <c r="AB55" i="48"/>
  <c r="AD56" i="49"/>
  <c r="AD56" i="48"/>
  <c r="AD58" i="47"/>
  <c r="AD56" i="50"/>
  <c r="Y45" i="54"/>
  <c r="Y45" i="53"/>
  <c r="Y45" i="52"/>
  <c r="Y45" i="51"/>
  <c r="AA47" i="54"/>
  <c r="AA47" i="53"/>
  <c r="AA47" i="52"/>
  <c r="AA47" i="51"/>
  <c r="AB56" i="50"/>
  <c r="AB58" i="47"/>
  <c r="AB56" i="49"/>
  <c r="AB56" i="48"/>
  <c r="AG54" i="49"/>
  <c r="AG54" i="48"/>
  <c r="AG54" i="50"/>
  <c r="W45" i="54"/>
  <c r="W45" i="53"/>
  <c r="W45" i="51"/>
  <c r="W45" i="52"/>
  <c r="Y47" i="54"/>
  <c r="Y47" i="53"/>
  <c r="Y47" i="51"/>
  <c r="Y47" i="52"/>
  <c r="AA14" i="50"/>
  <c r="AA12" i="50"/>
  <c r="AA34" i="50"/>
  <c r="AA22" i="50"/>
  <c r="AA37" i="50"/>
  <c r="AA47" i="50"/>
  <c r="AH58" i="49"/>
  <c r="R45" i="54"/>
  <c r="R45" i="53"/>
  <c r="R49" i="53" s="1"/>
  <c r="R48" i="53" s="1"/>
  <c r="R45" i="52"/>
  <c r="R49" i="52" s="1"/>
  <c r="R48" i="52" s="1"/>
  <c r="R45" i="51"/>
  <c r="Z49" i="52"/>
  <c r="AI58" i="49"/>
  <c r="E28" i="5"/>
  <c r="AL55" i="63" s="1"/>
  <c r="D37" i="5"/>
  <c r="S45" i="64" s="1"/>
  <c r="AQ60" i="67" l="1"/>
  <c r="BB60" i="67"/>
  <c r="AL60" i="67"/>
  <c r="AO60" i="67"/>
  <c r="BD60" i="67"/>
  <c r="AN60" i="67"/>
  <c r="AX60" i="67"/>
  <c r="BA60" i="67"/>
  <c r="AK60" i="67"/>
  <c r="BC60" i="67"/>
  <c r="AY60" i="67"/>
  <c r="AP60" i="67"/>
  <c r="AS60" i="67"/>
  <c r="AV60" i="67"/>
  <c r="AZ60" i="67"/>
  <c r="AW60" i="67"/>
  <c r="AR60" i="67"/>
  <c r="AI60" i="67"/>
  <c r="AT60" i="67"/>
  <c r="AJ60" i="67"/>
  <c r="AM60" i="67"/>
  <c r="AU60" i="67"/>
  <c r="BC57" i="67"/>
  <c r="AM57" i="67"/>
  <c r="BB57" i="67"/>
  <c r="AL57" i="67"/>
  <c r="AO57" i="67"/>
  <c r="BD57" i="67"/>
  <c r="AN57" i="67"/>
  <c r="AQ57" i="67"/>
  <c r="AX57" i="67"/>
  <c r="BA57" i="67"/>
  <c r="AK57" i="67"/>
  <c r="AZ57" i="67"/>
  <c r="AJ57" i="67"/>
  <c r="AU57" i="67"/>
  <c r="AP57" i="67"/>
  <c r="AS57" i="67"/>
  <c r="AR57" i="67"/>
  <c r="AY57" i="67"/>
  <c r="AV57" i="67"/>
  <c r="AW57" i="67"/>
  <c r="AI57" i="67"/>
  <c r="AT57" i="67"/>
  <c r="AM80" i="67"/>
  <c r="AW80" i="67"/>
  <c r="P80" i="67"/>
  <c r="AV80" i="67"/>
  <c r="AI80" i="67"/>
  <c r="AP80" i="67"/>
  <c r="AU80" i="67"/>
  <c r="AS80" i="67"/>
  <c r="AR80" i="67"/>
  <c r="BB80" i="67"/>
  <c r="AK80" i="67"/>
  <c r="AJ80" i="67"/>
  <c r="AL80" i="67"/>
  <c r="AX80" i="67"/>
  <c r="BC80" i="67"/>
  <c r="BA80" i="67"/>
  <c r="AN80" i="67"/>
  <c r="AY80" i="67"/>
  <c r="AO80" i="67"/>
  <c r="AQ80" i="67"/>
  <c r="BD80" i="67"/>
  <c r="R80" i="67"/>
  <c r="AZ80" i="67"/>
  <c r="AT80" i="67"/>
  <c r="AT68" i="67"/>
  <c r="AW68" i="67"/>
  <c r="AV68" i="67"/>
  <c r="BC68" i="67"/>
  <c r="AP68" i="67"/>
  <c r="AS68" i="67"/>
  <c r="AR68" i="67"/>
  <c r="AY68" i="67"/>
  <c r="AQ68" i="67"/>
  <c r="AK68" i="67"/>
  <c r="AJ68" i="67"/>
  <c r="AM68" i="67"/>
  <c r="BB68" i="67"/>
  <c r="BA68" i="67"/>
  <c r="AN68" i="67"/>
  <c r="AX68" i="67"/>
  <c r="AO68" i="67"/>
  <c r="AL68" i="67"/>
  <c r="BD68" i="67"/>
  <c r="AI68" i="67"/>
  <c r="AU68" i="67"/>
  <c r="AZ68" i="67"/>
  <c r="AW101" i="67"/>
  <c r="BD101" i="67"/>
  <c r="AN101" i="67"/>
  <c r="AU101" i="67"/>
  <c r="BB101" i="67"/>
  <c r="AT101" i="67"/>
  <c r="AS101" i="67"/>
  <c r="AZ101" i="67"/>
  <c r="AJ101" i="67"/>
  <c r="AQ101" i="67"/>
  <c r="AK101" i="67"/>
  <c r="AY101" i="67"/>
  <c r="AI101" i="67"/>
  <c r="AO101" i="67"/>
  <c r="AM101" i="67"/>
  <c r="AV101" i="67"/>
  <c r="AP101" i="67"/>
  <c r="AR101" i="67"/>
  <c r="AX101" i="67"/>
  <c r="BA101" i="67"/>
  <c r="BC101" i="67"/>
  <c r="AL101" i="67"/>
  <c r="AS84" i="67"/>
  <c r="AR84" i="67"/>
  <c r="AW84" i="67"/>
  <c r="BD84" i="67"/>
  <c r="AJ84" i="67"/>
  <c r="AL84" i="67"/>
  <c r="AQ84" i="67"/>
  <c r="AX84" i="67"/>
  <c r="BC84" i="67"/>
  <c r="BB84" i="67"/>
  <c r="AY84" i="67"/>
  <c r="AP84" i="67"/>
  <c r="BA84" i="67"/>
  <c r="AZ84" i="67"/>
  <c r="AT84" i="67"/>
  <c r="AI84" i="67"/>
  <c r="AU84" i="67"/>
  <c r="AO84" i="67"/>
  <c r="AV84" i="67"/>
  <c r="AK84" i="67"/>
  <c r="AN84" i="67"/>
  <c r="AM84" i="67"/>
  <c r="AM69" i="67"/>
  <c r="BC69" i="67"/>
  <c r="AP69" i="67"/>
  <c r="AS69" i="67"/>
  <c r="AR69" i="67"/>
  <c r="BB69" i="67"/>
  <c r="AL69" i="67"/>
  <c r="AO69" i="67"/>
  <c r="BD69" i="67"/>
  <c r="AN69" i="67"/>
  <c r="AT69" i="67"/>
  <c r="AW69" i="67"/>
  <c r="AV69" i="67"/>
  <c r="AU69" i="67"/>
  <c r="AX69" i="67"/>
  <c r="AK69" i="67"/>
  <c r="AY69" i="67"/>
  <c r="AZ69" i="67"/>
  <c r="AQ69" i="67"/>
  <c r="BA69" i="67"/>
  <c r="AJ69" i="67"/>
  <c r="AI69" i="67"/>
  <c r="M11" i="47"/>
  <c r="M7" i="47"/>
  <c r="M8" i="47"/>
  <c r="M12" i="47"/>
  <c r="M13" i="47"/>
  <c r="M14" i="47"/>
  <c r="AH68" i="68"/>
  <c r="Z68" i="68"/>
  <c r="AE68" i="68"/>
  <c r="AB68" i="68"/>
  <c r="AC68" i="68"/>
  <c r="X68" i="68"/>
  <c r="Y68" i="68"/>
  <c r="AD68" i="68"/>
  <c r="AA68" i="68"/>
  <c r="AF68" i="68"/>
  <c r="AG68" i="68"/>
  <c r="Z53" i="68"/>
  <c r="AC53" i="68"/>
  <c r="X53" i="68"/>
  <c r="AB53" i="68"/>
  <c r="AE53" i="68"/>
  <c r="AH53" i="68"/>
  <c r="AG53" i="68"/>
  <c r="AA53" i="68"/>
  <c r="AD53" i="68"/>
  <c r="Y53" i="68"/>
  <c r="AF53" i="68"/>
  <c r="Z49" i="68"/>
  <c r="AC49" i="68"/>
  <c r="AF49" i="68"/>
  <c r="AE49" i="68"/>
  <c r="AH49" i="68"/>
  <c r="AG49" i="68"/>
  <c r="AA49" i="68"/>
  <c r="AD49" i="68"/>
  <c r="Y49" i="68"/>
  <c r="AB49" i="68"/>
  <c r="X49" i="68"/>
  <c r="AW94" i="67"/>
  <c r="AU94" i="67"/>
  <c r="AZ94" i="67"/>
  <c r="BB94" i="67"/>
  <c r="AS94" i="67"/>
  <c r="AQ94" i="67"/>
  <c r="AR94" i="67"/>
  <c r="AX94" i="67"/>
  <c r="BD94" i="67"/>
  <c r="BA94" i="67"/>
  <c r="AY94" i="67"/>
  <c r="AL94" i="67"/>
  <c r="AO94" i="67"/>
  <c r="AI94" i="67"/>
  <c r="AP94" i="67"/>
  <c r="AK94" i="67"/>
  <c r="AV94" i="67"/>
  <c r="BC94" i="67"/>
  <c r="AJ94" i="67"/>
  <c r="AN94" i="67"/>
  <c r="AM94" i="67"/>
  <c r="AT94" i="67"/>
  <c r="AI85" i="67"/>
  <c r="AW85" i="67"/>
  <c r="AR85" i="67"/>
  <c r="BD85" i="67"/>
  <c r="AP85" i="67"/>
  <c r="AM85" i="67"/>
  <c r="AL85" i="67"/>
  <c r="AT85" i="67"/>
  <c r="AS85" i="67"/>
  <c r="AN85" i="67"/>
  <c r="AY85" i="67"/>
  <c r="BB85" i="67"/>
  <c r="AV85" i="67"/>
  <c r="BC85" i="67"/>
  <c r="AK85" i="67"/>
  <c r="AZ85" i="67"/>
  <c r="AU85" i="67"/>
  <c r="AX85" i="67"/>
  <c r="BA85" i="67"/>
  <c r="AJ85" i="67"/>
  <c r="AQ85" i="67"/>
  <c r="AO85" i="67"/>
  <c r="AU74" i="67"/>
  <c r="AQ74" i="67"/>
  <c r="AP74" i="67"/>
  <c r="AS74" i="67"/>
  <c r="AR74" i="67"/>
  <c r="R74" i="67"/>
  <c r="BB74" i="67"/>
  <c r="AL74" i="67"/>
  <c r="AO74" i="67"/>
  <c r="BD74" i="67"/>
  <c r="AN74" i="67"/>
  <c r="AI74" i="67"/>
  <c r="P74" i="67"/>
  <c r="AX74" i="67"/>
  <c r="AW74" i="67"/>
  <c r="AJ74" i="67"/>
  <c r="AT74" i="67"/>
  <c r="AK74" i="67"/>
  <c r="AM74" i="67"/>
  <c r="AZ74" i="67"/>
  <c r="AY74" i="67"/>
  <c r="BC74" i="67"/>
  <c r="BA74" i="67"/>
  <c r="AV74" i="67"/>
  <c r="BC63" i="67"/>
  <c r="AU63" i="67"/>
  <c r="AI63" i="67"/>
  <c r="AY63" i="67"/>
  <c r="AP63" i="67"/>
  <c r="AS63" i="67"/>
  <c r="AR63" i="67"/>
  <c r="AT63" i="67"/>
  <c r="AK63" i="67"/>
  <c r="AV63" i="67"/>
  <c r="AM63" i="67"/>
  <c r="AL63" i="67"/>
  <c r="BA63" i="67"/>
  <c r="AN63" i="67"/>
  <c r="AQ63" i="67"/>
  <c r="BB63" i="67"/>
  <c r="AW63" i="67"/>
  <c r="BD63" i="67"/>
  <c r="AJ63" i="67"/>
  <c r="AX63" i="67"/>
  <c r="AO63" i="67"/>
  <c r="AZ63" i="67"/>
  <c r="AE53" i="48"/>
  <c r="AA53" i="48"/>
  <c r="AA58" i="48" s="1"/>
  <c r="AG53" i="48"/>
  <c r="AF53" i="48"/>
  <c r="Z53" i="48"/>
  <c r="Z58" i="48" s="1"/>
  <c r="AG48" i="68"/>
  <c r="AD48" i="68"/>
  <c r="Z48" i="68"/>
  <c r="AH48" i="68"/>
  <c r="AB48" i="68"/>
  <c r="Y48" i="68"/>
  <c r="AA48" i="68"/>
  <c r="AF48" i="68"/>
  <c r="AC48" i="68"/>
  <c r="AE48" i="68"/>
  <c r="X48" i="68"/>
  <c r="AS95" i="67"/>
  <c r="AQ95" i="67"/>
  <c r="AV95" i="67"/>
  <c r="AJ95" i="67"/>
  <c r="AX95" i="67"/>
  <c r="AW95" i="67"/>
  <c r="BC95" i="67"/>
  <c r="AI95" i="67"/>
  <c r="BD95" i="67"/>
  <c r="BB95" i="67"/>
  <c r="AZ95" i="67"/>
  <c r="AO95" i="67"/>
  <c r="AY95" i="67"/>
  <c r="AN95" i="67"/>
  <c r="AT95" i="67"/>
  <c r="AR95" i="67"/>
  <c r="AK95" i="67"/>
  <c r="AU95" i="67"/>
  <c r="AL95" i="67"/>
  <c r="AP95" i="67"/>
  <c r="BA95" i="67"/>
  <c r="AM95" i="67"/>
  <c r="AU82" i="67"/>
  <c r="AM82" i="67"/>
  <c r="AW82" i="67"/>
  <c r="AV82" i="67"/>
  <c r="AI82" i="67"/>
  <c r="AP82" i="67"/>
  <c r="AS82" i="67"/>
  <c r="AR82" i="67"/>
  <c r="BB82" i="67"/>
  <c r="BA82" i="67"/>
  <c r="AZ82" i="67"/>
  <c r="AQ82" i="67"/>
  <c r="BC82" i="67"/>
  <c r="AN82" i="67"/>
  <c r="AL82" i="67"/>
  <c r="AO82" i="67"/>
  <c r="AJ82" i="67"/>
  <c r="AY82" i="67"/>
  <c r="AK82" i="67"/>
  <c r="BD82" i="67"/>
  <c r="AT82" i="67"/>
  <c r="AX82" i="67"/>
  <c r="BC71" i="67"/>
  <c r="AU71" i="67"/>
  <c r="AM71" i="67"/>
  <c r="AI71" i="67"/>
  <c r="AX71" i="67"/>
  <c r="BA71" i="67"/>
  <c r="AK71" i="67"/>
  <c r="AZ71" i="67"/>
  <c r="AJ71" i="67"/>
  <c r="AY71" i="67"/>
  <c r="AT71" i="67"/>
  <c r="AO71" i="67"/>
  <c r="AV71" i="67"/>
  <c r="AQ71" i="67"/>
  <c r="AP71" i="67"/>
  <c r="AR71" i="67"/>
  <c r="AL71" i="67"/>
  <c r="AW71" i="67"/>
  <c r="AN71" i="67"/>
  <c r="BB71" i="67"/>
  <c r="AS71" i="67"/>
  <c r="BD71" i="67"/>
  <c r="AU62" i="67"/>
  <c r="AQ62" i="67"/>
  <c r="BB62" i="67"/>
  <c r="AL62" i="67"/>
  <c r="AO62" i="67"/>
  <c r="BD62" i="67"/>
  <c r="AN62" i="67"/>
  <c r="AY62" i="67"/>
  <c r="AX62" i="67"/>
  <c r="BA62" i="67"/>
  <c r="AK62" i="67"/>
  <c r="AZ62" i="67"/>
  <c r="AJ62" i="67"/>
  <c r="AI62" i="67"/>
  <c r="AM62" i="67"/>
  <c r="AV62" i="67"/>
  <c r="AW62" i="67"/>
  <c r="AR62" i="67"/>
  <c r="AT62" i="67"/>
  <c r="AS62" i="67"/>
  <c r="AP62" i="67"/>
  <c r="BC62" i="67"/>
  <c r="AE85" i="68"/>
  <c r="AG85" i="68"/>
  <c r="X85" i="68"/>
  <c r="AA85" i="68"/>
  <c r="AD85" i="68"/>
  <c r="Z85" i="68"/>
  <c r="Y85" i="68"/>
  <c r="AC85" i="68"/>
  <c r="AH85" i="68"/>
  <c r="AB85" i="68"/>
  <c r="AF85" i="68"/>
  <c r="Y83" i="68"/>
  <c r="AE83" i="68"/>
  <c r="AA83" i="68"/>
  <c r="AH83" i="68"/>
  <c r="AC83" i="68"/>
  <c r="AD83" i="68"/>
  <c r="AF83" i="68"/>
  <c r="AG83" i="68"/>
  <c r="Z83" i="68"/>
  <c r="X83" i="68"/>
  <c r="AB83" i="68"/>
  <c r="AE81" i="68"/>
  <c r="AG81" i="68"/>
  <c r="X81" i="68"/>
  <c r="AH81" i="68"/>
  <c r="AB81" i="68"/>
  <c r="AF81" i="68"/>
  <c r="AA81" i="68"/>
  <c r="AD81" i="68"/>
  <c r="Z81" i="68"/>
  <c r="Y81" i="68"/>
  <c r="AC81" i="68"/>
  <c r="AA79" i="68"/>
  <c r="AH79" i="68"/>
  <c r="AC79" i="68"/>
  <c r="Y79" i="68"/>
  <c r="AD79" i="68"/>
  <c r="AF79" i="68"/>
  <c r="Z79" i="68"/>
  <c r="X79" i="68"/>
  <c r="AB79" i="68"/>
  <c r="AE79" i="68"/>
  <c r="AG79" i="68"/>
  <c r="AH77" i="68"/>
  <c r="Z77" i="68"/>
  <c r="X77" i="68"/>
  <c r="AC77" i="68"/>
  <c r="Y77" i="68"/>
  <c r="AF77" i="68"/>
  <c r="AE77" i="68"/>
  <c r="AD77" i="68"/>
  <c r="AG77" i="68"/>
  <c r="AB77" i="68"/>
  <c r="AA77" i="68"/>
  <c r="AC75" i="68"/>
  <c r="Y75" i="68"/>
  <c r="AF75" i="68"/>
  <c r="Z75" i="68"/>
  <c r="AB75" i="68"/>
  <c r="AE75" i="68"/>
  <c r="X75" i="68"/>
  <c r="AA75" i="68"/>
  <c r="AH75" i="68"/>
  <c r="AG75" i="68"/>
  <c r="AD75" i="68"/>
  <c r="AF73" i="68"/>
  <c r="Z73" i="68"/>
  <c r="X73" i="68"/>
  <c r="Y73" i="68"/>
  <c r="AE73" i="68"/>
  <c r="AH73" i="68"/>
  <c r="AG73" i="68"/>
  <c r="AB73" i="68"/>
  <c r="AA73" i="68"/>
  <c r="AD73" i="68"/>
  <c r="AC73" i="68"/>
  <c r="AG71" i="68"/>
  <c r="AD71" i="68"/>
  <c r="AC71" i="68"/>
  <c r="AF71" i="68"/>
  <c r="Z71" i="68"/>
  <c r="AB71" i="68"/>
  <c r="AE71" i="68"/>
  <c r="X71" i="68"/>
  <c r="AA71" i="68"/>
  <c r="AH71" i="68"/>
  <c r="Y71" i="68"/>
  <c r="X69" i="68"/>
  <c r="AE69" i="68"/>
  <c r="AH69" i="68"/>
  <c r="AB69" i="68"/>
  <c r="AD69" i="68"/>
  <c r="AA69" i="68"/>
  <c r="AC69" i="68"/>
  <c r="AF69" i="68"/>
  <c r="Y69" i="68"/>
  <c r="Z69" i="68"/>
  <c r="AG69" i="68"/>
  <c r="AF66" i="68"/>
  <c r="AA66" i="68"/>
  <c r="AG66" i="68"/>
  <c r="X66" i="68"/>
  <c r="Z66" i="68"/>
  <c r="AC66" i="68"/>
  <c r="AB66" i="68"/>
  <c r="AD66" i="68"/>
  <c r="AE66" i="68"/>
  <c r="Y66" i="68"/>
  <c r="AH66" i="68"/>
  <c r="AG64" i="68"/>
  <c r="AD64" i="68"/>
  <c r="Z64" i="68"/>
  <c r="AH64" i="68"/>
  <c r="AB64" i="68"/>
  <c r="Y64" i="68"/>
  <c r="AA64" i="68"/>
  <c r="AF64" i="68"/>
  <c r="AC64" i="68"/>
  <c r="AE64" i="68"/>
  <c r="X64" i="68"/>
  <c r="Z61" i="68"/>
  <c r="AC61" i="68"/>
  <c r="X61" i="68"/>
  <c r="AB61" i="68"/>
  <c r="AE61" i="68"/>
  <c r="AH61" i="68"/>
  <c r="AG61" i="68"/>
  <c r="AA61" i="68"/>
  <c r="AD61" i="68"/>
  <c r="Y61" i="68"/>
  <c r="AF61" i="68"/>
  <c r="AE59" i="68"/>
  <c r="AF59" i="68"/>
  <c r="AB59" i="68"/>
  <c r="X59" i="68"/>
  <c r="Y59" i="68"/>
  <c r="AD59" i="68"/>
  <c r="AC59" i="68"/>
  <c r="AH59" i="68"/>
  <c r="AA59" i="68"/>
  <c r="AG59" i="68"/>
  <c r="Z59" i="68"/>
  <c r="Z57" i="68"/>
  <c r="AC57" i="68"/>
  <c r="AF57" i="68"/>
  <c r="AA57" i="68"/>
  <c r="AD57" i="68"/>
  <c r="Y57" i="68"/>
  <c r="AB57" i="68"/>
  <c r="X57" i="68"/>
  <c r="AE57" i="68"/>
  <c r="AH57" i="68"/>
  <c r="AG57" i="68"/>
  <c r="AG50" i="68"/>
  <c r="AH50" i="68"/>
  <c r="AD50" i="68"/>
  <c r="Z50" i="68"/>
  <c r="X50" i="68"/>
  <c r="Y50" i="68"/>
  <c r="AB50" i="68"/>
  <c r="AC50" i="68"/>
  <c r="AA50" i="68"/>
  <c r="AF50" i="68"/>
  <c r="AE50" i="68"/>
  <c r="AS90" i="67"/>
  <c r="AQ90" i="67"/>
  <c r="AR90" i="67"/>
  <c r="AX90" i="67"/>
  <c r="BD90" i="67"/>
  <c r="AT90" i="67"/>
  <c r="AO90" i="67"/>
  <c r="BC90" i="67"/>
  <c r="AM90" i="67"/>
  <c r="AJ90" i="67"/>
  <c r="AP90" i="67"/>
  <c r="AV90" i="67"/>
  <c r="AY90" i="67"/>
  <c r="AZ90" i="67"/>
  <c r="AN90" i="67"/>
  <c r="BA90" i="67"/>
  <c r="AU90" i="67"/>
  <c r="BB90" i="67"/>
  <c r="AW90" i="67"/>
  <c r="AI90" i="67"/>
  <c r="AK90" i="67"/>
  <c r="AL90" i="67"/>
  <c r="BC73" i="67"/>
  <c r="AM73" i="67"/>
  <c r="BB73" i="67"/>
  <c r="AL73" i="67"/>
  <c r="AO73" i="67"/>
  <c r="BD73" i="67"/>
  <c r="AN73" i="67"/>
  <c r="AX73" i="67"/>
  <c r="BA73" i="67"/>
  <c r="AK73" i="67"/>
  <c r="AZ73" i="67"/>
  <c r="AJ73" i="67"/>
  <c r="AU73" i="67"/>
  <c r="AY73" i="67"/>
  <c r="AV73" i="67"/>
  <c r="AW73" i="67"/>
  <c r="AR73" i="67"/>
  <c r="AT73" i="67"/>
  <c r="AS73" i="67"/>
  <c r="AQ73" i="67"/>
  <c r="R73" i="67"/>
  <c r="AP73" i="67"/>
  <c r="P73" i="67"/>
  <c r="AI73" i="67"/>
  <c r="M66" i="47"/>
  <c r="M63" i="47"/>
  <c r="AS98" i="67"/>
  <c r="AQ98" i="67"/>
  <c r="AR98" i="67"/>
  <c r="AX98" i="67"/>
  <c r="BD98" i="67"/>
  <c r="AT98" i="67"/>
  <c r="AO98" i="67"/>
  <c r="BC98" i="67"/>
  <c r="AM98" i="67"/>
  <c r="AJ98" i="67"/>
  <c r="AP98" i="67"/>
  <c r="AV98" i="67"/>
  <c r="BA98" i="67"/>
  <c r="AU98" i="67"/>
  <c r="BB98" i="67"/>
  <c r="AW98" i="67"/>
  <c r="AI98" i="67"/>
  <c r="AK98" i="67"/>
  <c r="AL98" i="67"/>
  <c r="AY98" i="67"/>
  <c r="AZ98" i="67"/>
  <c r="AN98" i="67"/>
  <c r="AP87" i="67"/>
  <c r="BA87" i="67"/>
  <c r="AK87" i="67"/>
  <c r="AY87" i="67"/>
  <c r="AX87" i="67"/>
  <c r="AQ87" i="67"/>
  <c r="AS87" i="67"/>
  <c r="BD87" i="67"/>
  <c r="AM87" i="67"/>
  <c r="AV87" i="67"/>
  <c r="AO87" i="67"/>
  <c r="AT87" i="67"/>
  <c r="AL87" i="67"/>
  <c r="AJ87" i="67"/>
  <c r="AN87" i="67"/>
  <c r="BC87" i="67"/>
  <c r="AZ87" i="67"/>
  <c r="AW87" i="67"/>
  <c r="AI87" i="67"/>
  <c r="AR87" i="67"/>
  <c r="BB87" i="67"/>
  <c r="AU87" i="67"/>
  <c r="AU78" i="67"/>
  <c r="AQ78" i="67"/>
  <c r="BA78" i="67"/>
  <c r="AP78" i="67"/>
  <c r="AS78" i="67"/>
  <c r="AN78" i="67"/>
  <c r="BC78" i="67"/>
  <c r="AL78" i="67"/>
  <c r="AO78" i="67"/>
  <c r="AZ78" i="67"/>
  <c r="AJ78" i="67"/>
  <c r="R78" i="67"/>
  <c r="AT78" i="67"/>
  <c r="AW78" i="67"/>
  <c r="AR78" i="67"/>
  <c r="AM78" i="67"/>
  <c r="P78" i="67"/>
  <c r="AV78" i="67"/>
  <c r="AI78" i="67"/>
  <c r="BD78" i="67"/>
  <c r="BB78" i="67"/>
  <c r="AY78" i="67"/>
  <c r="AX78" i="67"/>
  <c r="AK78" i="67"/>
  <c r="AU66" i="67"/>
  <c r="AQ66" i="67"/>
  <c r="AX66" i="67"/>
  <c r="BA66" i="67"/>
  <c r="AK66" i="67"/>
  <c r="AZ66" i="67"/>
  <c r="AJ66" i="67"/>
  <c r="AI66" i="67"/>
  <c r="AT66" i="67"/>
  <c r="AW66" i="67"/>
  <c r="AV66" i="67"/>
  <c r="AY66" i="67"/>
  <c r="AL66" i="67"/>
  <c r="AO66" i="67"/>
  <c r="AN66" i="67"/>
  <c r="BB66" i="67"/>
  <c r="AS66" i="67"/>
  <c r="AP66" i="67"/>
  <c r="BD66" i="67"/>
  <c r="AM66" i="67"/>
  <c r="AR66" i="67"/>
  <c r="BC66" i="67"/>
  <c r="AG62" i="68"/>
  <c r="AH62" i="68"/>
  <c r="AD62" i="68"/>
  <c r="Z62" i="68"/>
  <c r="AE62" i="68"/>
  <c r="Y62" i="68"/>
  <c r="X62" i="68"/>
  <c r="AC62" i="68"/>
  <c r="AB62" i="68"/>
  <c r="AA62" i="68"/>
  <c r="AF62" i="68"/>
  <c r="AG52" i="68"/>
  <c r="Z52" i="68"/>
  <c r="AH52" i="68"/>
  <c r="AD52" i="68"/>
  <c r="AA52" i="68"/>
  <c r="AF52" i="68"/>
  <c r="Y52" i="68"/>
  <c r="AE52" i="68"/>
  <c r="AC52" i="68"/>
  <c r="X52" i="68"/>
  <c r="AB52" i="68"/>
  <c r="BB96" i="67"/>
  <c r="BA96" i="67"/>
  <c r="AK96" i="67"/>
  <c r="AY96" i="67"/>
  <c r="AI96" i="67"/>
  <c r="AN96" i="67"/>
  <c r="AT96" i="67"/>
  <c r="AS96" i="67"/>
  <c r="BC96" i="67"/>
  <c r="AR96" i="67"/>
  <c r="AP96" i="67"/>
  <c r="AL96" i="67"/>
  <c r="AO96" i="67"/>
  <c r="AU96" i="67"/>
  <c r="AJ96" i="67"/>
  <c r="AQ96" i="67"/>
  <c r="BD96" i="67"/>
  <c r="AW96" i="67"/>
  <c r="AM96" i="67"/>
  <c r="AZ96" i="67"/>
  <c r="AX96" i="67"/>
  <c r="AV96" i="67"/>
  <c r="AW86" i="67"/>
  <c r="AP86" i="67"/>
  <c r="AN86" i="67"/>
  <c r="AM86" i="67"/>
  <c r="AL86" i="67"/>
  <c r="AV86" i="67"/>
  <c r="AS86" i="67"/>
  <c r="AJ86" i="67"/>
  <c r="BD86" i="67"/>
  <c r="AI86" i="67"/>
  <c r="BC86" i="67"/>
  <c r="BA86" i="67"/>
  <c r="AU86" i="67"/>
  <c r="AT86" i="67"/>
  <c r="AR86" i="67"/>
  <c r="BB86" i="67"/>
  <c r="AO86" i="67"/>
  <c r="AX86" i="67"/>
  <c r="AQ86" i="67"/>
  <c r="AK86" i="67"/>
  <c r="AY86" i="67"/>
  <c r="AZ86" i="67"/>
  <c r="M67" i="47"/>
  <c r="BC75" i="67"/>
  <c r="AU75" i="67"/>
  <c r="AM75" i="67"/>
  <c r="R75" i="67"/>
  <c r="AY75" i="67"/>
  <c r="AT75" i="67"/>
  <c r="AW75" i="67"/>
  <c r="P75" i="67"/>
  <c r="AV75" i="67"/>
  <c r="AX75" i="67"/>
  <c r="AO75" i="67"/>
  <c r="AZ75" i="67"/>
  <c r="AP75" i="67"/>
  <c r="AK75" i="67"/>
  <c r="AR75" i="67"/>
  <c r="AL75" i="67"/>
  <c r="BA75" i="67"/>
  <c r="AN75" i="67"/>
  <c r="AI75" i="67"/>
  <c r="BB75" i="67"/>
  <c r="AS75" i="67"/>
  <c r="BD75" i="67"/>
  <c r="AJ75" i="67"/>
  <c r="AQ75" i="67"/>
  <c r="AM65" i="67"/>
  <c r="BC65" i="67"/>
  <c r="AT65" i="67"/>
  <c r="AW65" i="67"/>
  <c r="AV65" i="67"/>
  <c r="AP65" i="67"/>
  <c r="AS65" i="67"/>
  <c r="AR65" i="67"/>
  <c r="AQ65" i="67"/>
  <c r="AK65" i="67"/>
  <c r="AJ65" i="67"/>
  <c r="AY65" i="67"/>
  <c r="AZ65" i="67"/>
  <c r="AI65" i="67"/>
  <c r="BB65" i="67"/>
  <c r="BA65" i="67"/>
  <c r="AN65" i="67"/>
  <c r="AX65" i="67"/>
  <c r="AO65" i="67"/>
  <c r="AL65" i="67"/>
  <c r="BD65" i="67"/>
  <c r="AU65" i="67"/>
  <c r="AW93" i="67"/>
  <c r="AU93" i="67"/>
  <c r="BD93" i="67"/>
  <c r="AL93" i="67"/>
  <c r="AR93" i="67"/>
  <c r="AX93" i="67"/>
  <c r="AS93" i="67"/>
  <c r="AQ93" i="67"/>
  <c r="AV93" i="67"/>
  <c r="AJ93" i="67"/>
  <c r="AK93" i="67"/>
  <c r="AI93" i="67"/>
  <c r="AZ93" i="67"/>
  <c r="BA93" i="67"/>
  <c r="AM93" i="67"/>
  <c r="BB93" i="67"/>
  <c r="AO93" i="67"/>
  <c r="AT93" i="67"/>
  <c r="AP93" i="67"/>
  <c r="BC93" i="67"/>
  <c r="AY93" i="67"/>
  <c r="AN93" i="67"/>
  <c r="AP76" i="67"/>
  <c r="AS76" i="67"/>
  <c r="AR76" i="67"/>
  <c r="BB76" i="67"/>
  <c r="AL76" i="67"/>
  <c r="AO76" i="67"/>
  <c r="BD76" i="67"/>
  <c r="AN76" i="67"/>
  <c r="AM76" i="67"/>
  <c r="AT76" i="67"/>
  <c r="AW76" i="67"/>
  <c r="AV76" i="67"/>
  <c r="P76" i="67"/>
  <c r="BC76" i="67"/>
  <c r="AQ76" i="67"/>
  <c r="AI76" i="67"/>
  <c r="AZ76" i="67"/>
  <c r="AY76" i="67"/>
  <c r="AU76" i="67"/>
  <c r="BA76" i="67"/>
  <c r="AJ76" i="67"/>
  <c r="AX76" i="67"/>
  <c r="AK76" i="67"/>
  <c r="R76" i="67"/>
  <c r="M29" i="47"/>
  <c r="M17" i="47"/>
  <c r="M27" i="47"/>
  <c r="M51" i="47"/>
  <c r="M18" i="47"/>
  <c r="M32" i="47"/>
  <c r="M40" i="47"/>
  <c r="M48" i="47"/>
  <c r="M37" i="47"/>
  <c r="M22" i="47"/>
  <c r="M35" i="47"/>
  <c r="M21" i="47"/>
  <c r="M33" i="47"/>
  <c r="M26" i="47"/>
  <c r="M34" i="47"/>
  <c r="M42" i="47"/>
  <c r="M50" i="47"/>
  <c r="M43" i="47"/>
  <c r="M24" i="47"/>
  <c r="M41" i="47"/>
  <c r="M23" i="47"/>
  <c r="M39" i="47"/>
  <c r="M28" i="47"/>
  <c r="M36" i="47"/>
  <c r="M44" i="47"/>
  <c r="M49" i="47"/>
  <c r="M47" i="47"/>
  <c r="M25" i="47"/>
  <c r="M20" i="47"/>
  <c r="M45" i="47"/>
  <c r="M30" i="47"/>
  <c r="M38" i="47"/>
  <c r="M46" i="47"/>
  <c r="M31" i="47"/>
  <c r="M19" i="47"/>
  <c r="AL103" i="67"/>
  <c r="AS103" i="67"/>
  <c r="AR103" i="67"/>
  <c r="BC103" i="67"/>
  <c r="AM103" i="67"/>
  <c r="AP103" i="67"/>
  <c r="AT103" i="67"/>
  <c r="AK103" i="67"/>
  <c r="AV103" i="67"/>
  <c r="AU103" i="67"/>
  <c r="BA103" i="67"/>
  <c r="AN103" i="67"/>
  <c r="AQ103" i="67"/>
  <c r="BB103" i="67"/>
  <c r="AW103" i="67"/>
  <c r="BD103" i="67"/>
  <c r="AJ103" i="67"/>
  <c r="AI103" i="67"/>
  <c r="AX103" i="67"/>
  <c r="AO103" i="67"/>
  <c r="AZ103" i="67"/>
  <c r="AY103" i="67"/>
  <c r="AW91" i="67"/>
  <c r="AU91" i="67"/>
  <c r="BD91" i="67"/>
  <c r="AL91" i="67"/>
  <c r="AR91" i="67"/>
  <c r="AP91" i="67"/>
  <c r="AK91" i="67"/>
  <c r="AQ91" i="67"/>
  <c r="BA91" i="67"/>
  <c r="AM91" i="67"/>
  <c r="AS91" i="67"/>
  <c r="BC91" i="67"/>
  <c r="AI91" i="67"/>
  <c r="AV91" i="67"/>
  <c r="BB91" i="67"/>
  <c r="AZ91" i="67"/>
  <c r="AX91" i="67"/>
  <c r="AO91" i="67"/>
  <c r="AY91" i="67"/>
  <c r="AN91" i="67"/>
  <c r="AT91" i="67"/>
  <c r="AJ91" i="67"/>
  <c r="AQ83" i="67"/>
  <c r="AI83" i="67"/>
  <c r="BA83" i="67"/>
  <c r="AK83" i="67"/>
  <c r="AZ83" i="67"/>
  <c r="AJ83" i="67"/>
  <c r="AM83" i="67"/>
  <c r="AT83" i="67"/>
  <c r="AY83" i="67"/>
  <c r="AS83" i="67"/>
  <c r="BD83" i="67"/>
  <c r="AX83" i="67"/>
  <c r="AU83" i="67"/>
  <c r="AL83" i="67"/>
  <c r="AO83" i="67"/>
  <c r="AV83" i="67"/>
  <c r="AP83" i="67"/>
  <c r="AR83" i="67"/>
  <c r="AW83" i="67"/>
  <c r="AN83" i="67"/>
  <c r="BC83" i="67"/>
  <c r="BB83" i="67"/>
  <c r="AQ72" i="67"/>
  <c r="AM72" i="67"/>
  <c r="AX72" i="67"/>
  <c r="BA72" i="67"/>
  <c r="AK72" i="67"/>
  <c r="AZ72" i="67"/>
  <c r="AJ72" i="67"/>
  <c r="BC72" i="67"/>
  <c r="AT72" i="67"/>
  <c r="AO72" i="67"/>
  <c r="AV72" i="67"/>
  <c r="AL72" i="67"/>
  <c r="AS72" i="67"/>
  <c r="AR72" i="67"/>
  <c r="AN72" i="67"/>
  <c r="AU72" i="67"/>
  <c r="AY72" i="67"/>
  <c r="BB72" i="67"/>
  <c r="AP72" i="67"/>
  <c r="AW72" i="67"/>
  <c r="BD72" i="67"/>
  <c r="AI72" i="67"/>
  <c r="AH55" i="47"/>
  <c r="AH60" i="47" s="1"/>
  <c r="Q55" i="47"/>
  <c r="Q60" i="47" s="1"/>
  <c r="R55" i="47"/>
  <c r="R60" i="47" s="1"/>
  <c r="U55" i="47"/>
  <c r="U60" i="47" s="1"/>
  <c r="W55" i="47"/>
  <c r="W60" i="47" s="1"/>
  <c r="X55" i="47"/>
  <c r="X60" i="47" s="1"/>
  <c r="Y55" i="47"/>
  <c r="AA55" i="47"/>
  <c r="AC55" i="47"/>
  <c r="AC60" i="47" s="1"/>
  <c r="L55" i="47"/>
  <c r="L60" i="47" s="1"/>
  <c r="AF55" i="47"/>
  <c r="AF60" i="47" s="1"/>
  <c r="Z55" i="47"/>
  <c r="O55" i="47"/>
  <c r="O60" i="47" s="1"/>
  <c r="AE55" i="47"/>
  <c r="AE60" i="47" s="1"/>
  <c r="P55" i="47"/>
  <c r="P60" i="47" s="1"/>
  <c r="AI55" i="47"/>
  <c r="AI60" i="47" s="1"/>
  <c r="S55" i="47"/>
  <c r="S60" i="47" s="1"/>
  <c r="V55" i="47"/>
  <c r="AG54" i="68"/>
  <c r="AD54" i="68"/>
  <c r="Z54" i="68"/>
  <c r="AH54" i="68"/>
  <c r="AB54" i="68"/>
  <c r="Y54" i="68"/>
  <c r="AA54" i="68"/>
  <c r="AF54" i="68"/>
  <c r="AC54" i="68"/>
  <c r="AE54" i="68"/>
  <c r="X54" i="68"/>
  <c r="X44" i="52"/>
  <c r="Y44" i="52"/>
  <c r="AW102" i="67"/>
  <c r="AV102" i="67"/>
  <c r="AQ102" i="67"/>
  <c r="AP102" i="67"/>
  <c r="AS102" i="67"/>
  <c r="AR102" i="67"/>
  <c r="BC102" i="67"/>
  <c r="AM102" i="67"/>
  <c r="BB102" i="67"/>
  <c r="BA102" i="67"/>
  <c r="AZ102" i="67"/>
  <c r="AK102" i="67"/>
  <c r="BD102" i="67"/>
  <c r="AY102" i="67"/>
  <c r="AT102" i="67"/>
  <c r="AN102" i="67"/>
  <c r="AU102" i="67"/>
  <c r="AL102" i="67"/>
  <c r="AO102" i="67"/>
  <c r="AJ102" i="67"/>
  <c r="AI102" i="67"/>
  <c r="AX102" i="67"/>
  <c r="AW92" i="67"/>
  <c r="AU92" i="67"/>
  <c r="AZ92" i="67"/>
  <c r="AL92" i="67"/>
  <c r="AS92" i="67"/>
  <c r="AQ92" i="67"/>
  <c r="AR92" i="67"/>
  <c r="AX92" i="67"/>
  <c r="BD92" i="67"/>
  <c r="AT92" i="67"/>
  <c r="AK92" i="67"/>
  <c r="AI92" i="67"/>
  <c r="AN92" i="67"/>
  <c r="BA92" i="67"/>
  <c r="AM92" i="67"/>
  <c r="AP92" i="67"/>
  <c r="BB92" i="67"/>
  <c r="AO92" i="67"/>
  <c r="BC92" i="67"/>
  <c r="AV92" i="67"/>
  <c r="AY92" i="67"/>
  <c r="AJ92" i="67"/>
  <c r="AM61" i="67"/>
  <c r="BC61" i="67"/>
  <c r="AX61" i="67"/>
  <c r="BA61" i="67"/>
  <c r="AK61" i="67"/>
  <c r="AZ61" i="67"/>
  <c r="AJ61" i="67"/>
  <c r="AT61" i="67"/>
  <c r="AW61" i="67"/>
  <c r="AV61" i="67"/>
  <c r="AQ61" i="67"/>
  <c r="J8" i="69" s="1"/>
  <c r="AU61" i="67"/>
  <c r="BB61" i="67"/>
  <c r="BD61" i="67"/>
  <c r="AP61" i="67"/>
  <c r="AO61" i="67"/>
  <c r="AI61" i="67"/>
  <c r="AL61" i="67"/>
  <c r="AY61" i="67"/>
  <c r="AR61" i="67"/>
  <c r="AS61" i="67"/>
  <c r="AN61" i="67"/>
  <c r="AG56" i="68"/>
  <c r="AH56" i="68"/>
  <c r="AD56" i="68"/>
  <c r="Z56" i="68"/>
  <c r="AE56" i="68"/>
  <c r="Y56" i="68"/>
  <c r="X56" i="68"/>
  <c r="AC56" i="68"/>
  <c r="AB56" i="68"/>
  <c r="AA56" i="68"/>
  <c r="AF56" i="68"/>
  <c r="AE51" i="68"/>
  <c r="AB51" i="68"/>
  <c r="X51" i="68"/>
  <c r="AF51" i="68"/>
  <c r="AG51" i="68"/>
  <c r="Z51" i="68"/>
  <c r="AA51" i="68"/>
  <c r="Y51" i="68"/>
  <c r="AD51" i="68"/>
  <c r="AC51" i="68"/>
  <c r="AH51" i="68"/>
  <c r="AW100" i="67"/>
  <c r="AU100" i="67"/>
  <c r="AZ100" i="67"/>
  <c r="AS100" i="67"/>
  <c r="AQ100" i="67"/>
  <c r="AR100" i="67"/>
  <c r="AX100" i="67"/>
  <c r="BD100" i="67"/>
  <c r="AT100" i="67"/>
  <c r="AK100" i="67"/>
  <c r="AI100" i="67"/>
  <c r="AN100" i="67"/>
  <c r="AL100" i="67"/>
  <c r="BC100" i="67"/>
  <c r="AV100" i="67"/>
  <c r="AY100" i="67"/>
  <c r="AJ100" i="67"/>
  <c r="BA100" i="67"/>
  <c r="AM100" i="67"/>
  <c r="AP100" i="67"/>
  <c r="BB100" i="67"/>
  <c r="AO100" i="67"/>
  <c r="AP89" i="67"/>
  <c r="AW89" i="67"/>
  <c r="AU89" i="67"/>
  <c r="BD89" i="67"/>
  <c r="AL89" i="67"/>
  <c r="AR89" i="67"/>
  <c r="AS89" i="67"/>
  <c r="AQ89" i="67"/>
  <c r="AV89" i="67"/>
  <c r="AJ89" i="67"/>
  <c r="AX89" i="67"/>
  <c r="BA89" i="67"/>
  <c r="AY89" i="67"/>
  <c r="AT89" i="67"/>
  <c r="AK89" i="67"/>
  <c r="BC89" i="67"/>
  <c r="AN89" i="67"/>
  <c r="AZ89" i="67"/>
  <c r="AM89" i="67"/>
  <c r="AO89" i="67"/>
  <c r="AI89" i="67"/>
  <c r="BB89" i="67"/>
  <c r="R81" i="67"/>
  <c r="AY81" i="67"/>
  <c r="AS81" i="67"/>
  <c r="AR81" i="67"/>
  <c r="AX81" i="67"/>
  <c r="BC81" i="67"/>
  <c r="AO81" i="67"/>
  <c r="BD81" i="67"/>
  <c r="AN81" i="67"/>
  <c r="AP81" i="67"/>
  <c r="AU81" i="67"/>
  <c r="BB81" i="67"/>
  <c r="AI81" i="67"/>
  <c r="AW81" i="67"/>
  <c r="AV81" i="67"/>
  <c r="P81" i="67"/>
  <c r="AT81" i="67"/>
  <c r="AQ81" i="67"/>
  <c r="AZ81" i="67"/>
  <c r="AL81" i="67"/>
  <c r="BA81" i="67"/>
  <c r="AJ81" i="67"/>
  <c r="AK81" i="67"/>
  <c r="AM81" i="67"/>
  <c r="AU70" i="67"/>
  <c r="AQ70" i="67"/>
  <c r="AT70" i="67"/>
  <c r="AW70" i="67"/>
  <c r="AV70" i="67"/>
  <c r="AP70" i="67"/>
  <c r="AS70" i="67"/>
  <c r="AR70" i="67"/>
  <c r="AI70" i="67"/>
  <c r="AX70" i="67"/>
  <c r="BA70" i="67"/>
  <c r="AZ70" i="67"/>
  <c r="AM70" i="67"/>
  <c r="BD70" i="67"/>
  <c r="AN70" i="67"/>
  <c r="BB70" i="67"/>
  <c r="AO70" i="67"/>
  <c r="AJ70" i="67"/>
  <c r="BC70" i="67"/>
  <c r="AL70" i="67"/>
  <c r="AK70" i="67"/>
  <c r="AY70" i="67"/>
  <c r="AB44" i="51"/>
  <c r="U48" i="51"/>
  <c r="P44" i="51"/>
  <c r="Y44" i="51"/>
  <c r="T48" i="51"/>
  <c r="O44" i="51"/>
  <c r="W44" i="51"/>
  <c r="X48" i="51"/>
  <c r="S44" i="51"/>
  <c r="Z44" i="51"/>
  <c r="V48" i="51"/>
  <c r="Q44" i="51"/>
  <c r="X44" i="51"/>
  <c r="X49" i="51" s="1"/>
  <c r="M48" i="51"/>
  <c r="L44" i="51"/>
  <c r="T44" i="51"/>
  <c r="T49" i="51" s="1"/>
  <c r="T5" i="52" s="1"/>
  <c r="N48" i="51"/>
  <c r="Z48" i="51"/>
  <c r="R44" i="51"/>
  <c r="R49" i="51" s="1"/>
  <c r="AA44" i="51"/>
  <c r="O48" i="51"/>
  <c r="N44" i="51"/>
  <c r="N49" i="51" s="1"/>
  <c r="V44" i="51"/>
  <c r="V49" i="51" s="1"/>
  <c r="V15" i="52" s="1"/>
  <c r="P48" i="51"/>
  <c r="M44" i="51"/>
  <c r="M49" i="51" s="1"/>
  <c r="U44" i="51"/>
  <c r="U49" i="51" s="1"/>
  <c r="AX99" i="67"/>
  <c r="AW99" i="67"/>
  <c r="AU99" i="67"/>
  <c r="BD99" i="67"/>
  <c r="AL99" i="67"/>
  <c r="AR99" i="67"/>
  <c r="AP99" i="67"/>
  <c r="AS99" i="67"/>
  <c r="BC99" i="67"/>
  <c r="AI99" i="67"/>
  <c r="AV99" i="67"/>
  <c r="BB99" i="67"/>
  <c r="AZ99" i="67"/>
  <c r="AO99" i="67"/>
  <c r="AY99" i="67"/>
  <c r="AN99" i="67"/>
  <c r="AT99" i="67"/>
  <c r="AJ99" i="67"/>
  <c r="AK99" i="67"/>
  <c r="AQ99" i="67"/>
  <c r="BA99" i="67"/>
  <c r="AM99" i="67"/>
  <c r="BA88" i="67"/>
  <c r="AK88" i="67"/>
  <c r="AY88" i="67"/>
  <c r="AI88" i="67"/>
  <c r="AN88" i="67"/>
  <c r="AT88" i="67"/>
  <c r="AW88" i="67"/>
  <c r="AU88" i="67"/>
  <c r="AZ88" i="67"/>
  <c r="BC88" i="67"/>
  <c r="AP88" i="67"/>
  <c r="BB88" i="67"/>
  <c r="AQ88" i="67"/>
  <c r="AJ88" i="67"/>
  <c r="AS88" i="67"/>
  <c r="AM88" i="67"/>
  <c r="AX88" i="67"/>
  <c r="AL88" i="67"/>
  <c r="AO88" i="67"/>
  <c r="BD88" i="67"/>
  <c r="AR88" i="67"/>
  <c r="AV88" i="67"/>
  <c r="BC77" i="67"/>
  <c r="AM77" i="67"/>
  <c r="AX77" i="67"/>
  <c r="BA77" i="67"/>
  <c r="AK77" i="67"/>
  <c r="AZ77" i="67"/>
  <c r="AJ77" i="67"/>
  <c r="AQ77" i="67"/>
  <c r="AU77" i="67"/>
  <c r="AT77" i="67"/>
  <c r="AW77" i="67"/>
  <c r="AV77" i="67"/>
  <c r="AL77" i="67"/>
  <c r="AO77" i="67"/>
  <c r="AN77" i="67"/>
  <c r="BB77" i="67"/>
  <c r="AS77" i="67"/>
  <c r="AP77" i="67"/>
  <c r="BD77" i="67"/>
  <c r="AI77" i="67"/>
  <c r="AR77" i="67"/>
  <c r="AY77" i="67"/>
  <c r="BC67" i="67"/>
  <c r="V8" i="69" s="1"/>
  <c r="AU67" i="67"/>
  <c r="AI67" i="67"/>
  <c r="B10" i="69" s="1"/>
  <c r="AY67" i="67"/>
  <c r="R10" i="69" s="1"/>
  <c r="BB67" i="67"/>
  <c r="AL67" i="67"/>
  <c r="E10" i="69" s="1"/>
  <c r="AO67" i="67"/>
  <c r="H10" i="69" s="1"/>
  <c r="BD67" i="67"/>
  <c r="AN67" i="67"/>
  <c r="AT67" i="67"/>
  <c r="AK67" i="67"/>
  <c r="D10" i="69" s="1"/>
  <c r="AV67" i="67"/>
  <c r="AQ67" i="67"/>
  <c r="J10" i="69" s="1"/>
  <c r="AM67" i="67"/>
  <c r="F8" i="69" s="1"/>
  <c r="AP67" i="67"/>
  <c r="I10" i="69" s="1"/>
  <c r="BA67" i="67"/>
  <c r="T10" i="69" s="1"/>
  <c r="AR67" i="67"/>
  <c r="AW67" i="67"/>
  <c r="P10" i="69" s="1"/>
  <c r="AJ67" i="67"/>
  <c r="AX67" i="67"/>
  <c r="AS67" i="67"/>
  <c r="AZ67" i="67"/>
  <c r="AU58" i="67"/>
  <c r="AQ58" i="67"/>
  <c r="AP58" i="67"/>
  <c r="AS58" i="67"/>
  <c r="AR58" i="67"/>
  <c r="AY58" i="67"/>
  <c r="BB58" i="67"/>
  <c r="AL58" i="67"/>
  <c r="AO58" i="67"/>
  <c r="BD58" i="67"/>
  <c r="AN58" i="67"/>
  <c r="AT58" i="67"/>
  <c r="AW58" i="67"/>
  <c r="AV58" i="67"/>
  <c r="AI58" i="67"/>
  <c r="AX58" i="67"/>
  <c r="AK58" i="67"/>
  <c r="BC58" i="67"/>
  <c r="V10" i="69" s="1"/>
  <c r="AZ58" i="67"/>
  <c r="BA58" i="67"/>
  <c r="AJ58" i="67"/>
  <c r="AM58" i="67"/>
  <c r="AA84" i="68"/>
  <c r="AG84" i="68"/>
  <c r="AD84" i="68"/>
  <c r="AC84" i="68"/>
  <c r="AF84" i="68"/>
  <c r="AE84" i="68"/>
  <c r="Y84" i="68"/>
  <c r="AB84" i="68"/>
  <c r="AH84" i="68"/>
  <c r="X84" i="68"/>
  <c r="Z84" i="68"/>
  <c r="AC82" i="68"/>
  <c r="AF82" i="68"/>
  <c r="AG82" i="68"/>
  <c r="AB82" i="68"/>
  <c r="Z82" i="68"/>
  <c r="AE82" i="68"/>
  <c r="Y82" i="68"/>
  <c r="X82" i="68"/>
  <c r="AA82" i="68"/>
  <c r="AD82" i="68"/>
  <c r="AH82" i="68"/>
  <c r="AA80" i="68"/>
  <c r="Y80" i="68"/>
  <c r="AB80" i="68"/>
  <c r="AH80" i="68"/>
  <c r="X80" i="68"/>
  <c r="Z80" i="68"/>
  <c r="AG80" i="68"/>
  <c r="AD80" i="68"/>
  <c r="AC80" i="68"/>
  <c r="AF80" i="68"/>
  <c r="AE80" i="68"/>
  <c r="AE78" i="68"/>
  <c r="Y78" i="68"/>
  <c r="X78" i="68"/>
  <c r="AH78" i="68"/>
  <c r="AC78" i="68"/>
  <c r="AF78" i="68"/>
  <c r="AD78" i="68"/>
  <c r="Z78" i="68"/>
  <c r="AG78" i="68"/>
  <c r="AB78" i="68"/>
  <c r="AA78" i="68"/>
  <c r="AA76" i="68"/>
  <c r="AD76" i="68"/>
  <c r="AG76" i="68"/>
  <c r="Z76" i="68"/>
  <c r="AC76" i="68"/>
  <c r="AF76" i="68"/>
  <c r="AE76" i="68"/>
  <c r="Y76" i="68"/>
  <c r="AB76" i="68"/>
  <c r="AH76" i="68"/>
  <c r="X76" i="68"/>
  <c r="AE74" i="68"/>
  <c r="AD74" i="68"/>
  <c r="AG74" i="68"/>
  <c r="AH74" i="68"/>
  <c r="AC74" i="68"/>
  <c r="AB74" i="68"/>
  <c r="Z74" i="68"/>
  <c r="Y74" i="68"/>
  <c r="X74" i="68"/>
  <c r="AF74" i="68"/>
  <c r="AA74" i="68"/>
  <c r="AA72" i="68"/>
  <c r="AE72" i="68"/>
  <c r="AH72" i="68"/>
  <c r="X72" i="68"/>
  <c r="AD72" i="68"/>
  <c r="AG72" i="68"/>
  <c r="Z72" i="68"/>
  <c r="AC72" i="68"/>
  <c r="AF72" i="68"/>
  <c r="Y72" i="68"/>
  <c r="AB72" i="68"/>
  <c r="Z70" i="68"/>
  <c r="AC70" i="68"/>
  <c r="AF70" i="68"/>
  <c r="AH70" i="68"/>
  <c r="AD70" i="68"/>
  <c r="AG70" i="68"/>
  <c r="AB70" i="68"/>
  <c r="AA70" i="68"/>
  <c r="AE70" i="68"/>
  <c r="Y70" i="68"/>
  <c r="X70" i="68"/>
  <c r="AG67" i="68"/>
  <c r="AF67" i="68"/>
  <c r="Z67" i="68"/>
  <c r="AB67" i="68"/>
  <c r="AE67" i="68"/>
  <c r="AC67" i="68"/>
  <c r="Y67" i="68"/>
  <c r="AA67" i="68"/>
  <c r="AH67" i="68"/>
  <c r="AD67" i="68"/>
  <c r="X67" i="68"/>
  <c r="Z65" i="68"/>
  <c r="AC65" i="68"/>
  <c r="AG65" i="68"/>
  <c r="AE65" i="68"/>
  <c r="AH65" i="68"/>
  <c r="AF65" i="68"/>
  <c r="AD65" i="68"/>
  <c r="Y65" i="68"/>
  <c r="AB65" i="68"/>
  <c r="AA65" i="68"/>
  <c r="X65" i="68"/>
  <c r="AE63" i="68"/>
  <c r="AF63" i="68"/>
  <c r="AB63" i="68"/>
  <c r="X63" i="68"/>
  <c r="AC63" i="68"/>
  <c r="AH63" i="68"/>
  <c r="AG63" i="68"/>
  <c r="AA63" i="68"/>
  <c r="Z63" i="68"/>
  <c r="Y63" i="68"/>
  <c r="AD63" i="68"/>
  <c r="AG60" i="68"/>
  <c r="AH60" i="68"/>
  <c r="AD60" i="68"/>
  <c r="Z60" i="68"/>
  <c r="X60" i="68"/>
  <c r="Y60" i="68"/>
  <c r="AB60" i="68"/>
  <c r="AC60" i="68"/>
  <c r="AA60" i="68"/>
  <c r="AF60" i="68"/>
  <c r="AE60" i="68"/>
  <c r="AG58" i="68"/>
  <c r="Z58" i="68"/>
  <c r="AH58" i="68"/>
  <c r="AD58" i="68"/>
  <c r="AA58" i="68"/>
  <c r="AF58" i="68"/>
  <c r="Y58" i="68"/>
  <c r="AE58" i="68"/>
  <c r="AC58" i="68"/>
  <c r="X58" i="68"/>
  <c r="AB58" i="68"/>
  <c r="AE55" i="68"/>
  <c r="X55" i="68"/>
  <c r="AF55" i="68"/>
  <c r="AB55" i="68"/>
  <c r="Z55" i="68"/>
  <c r="Y55" i="68"/>
  <c r="AD55" i="68"/>
  <c r="AA55" i="68"/>
  <c r="AC55" i="68"/>
  <c r="AH55" i="68"/>
  <c r="AG55" i="68"/>
  <c r="M68" i="47"/>
  <c r="AW97" i="67"/>
  <c r="AU97" i="67"/>
  <c r="BD97" i="67"/>
  <c r="AL97" i="67"/>
  <c r="AR97" i="67"/>
  <c r="AS97" i="67"/>
  <c r="AQ97" i="67"/>
  <c r="AV97" i="67"/>
  <c r="AJ97" i="67"/>
  <c r="AX97" i="67"/>
  <c r="BA97" i="67"/>
  <c r="AY97" i="67"/>
  <c r="AT97" i="67"/>
  <c r="BC97" i="67"/>
  <c r="AN97" i="67"/>
  <c r="AZ97" i="67"/>
  <c r="AP97" i="67"/>
  <c r="AM97" i="67"/>
  <c r="AO97" i="67"/>
  <c r="AI97" i="67"/>
  <c r="BB97" i="67"/>
  <c r="AK97" i="67"/>
  <c r="AQ79" i="67"/>
  <c r="AY79" i="67"/>
  <c r="AO79" i="67"/>
  <c r="BD79" i="67"/>
  <c r="AN79" i="67"/>
  <c r="AP79" i="67"/>
  <c r="BC79" i="67"/>
  <c r="AL79" i="67"/>
  <c r="AW79" i="67"/>
  <c r="AJ79" i="67"/>
  <c r="AS79" i="67"/>
  <c r="AZ79" i="67"/>
  <c r="R79" i="67"/>
  <c r="AK79" i="67"/>
  <c r="AV79" i="67"/>
  <c r="AX79" i="67"/>
  <c r="AU79" i="67"/>
  <c r="BB79" i="67"/>
  <c r="AI79" i="67"/>
  <c r="BA79" i="67"/>
  <c r="P79" i="67"/>
  <c r="AR79" i="67"/>
  <c r="AM79" i="67"/>
  <c r="AT79" i="67"/>
  <c r="BC64" i="67"/>
  <c r="AI64" i="67"/>
  <c r="BB64" i="67"/>
  <c r="AL64" i="67"/>
  <c r="AO64" i="67"/>
  <c r="BD64" i="67"/>
  <c r="AN64" i="67"/>
  <c r="AQ64" i="67"/>
  <c r="AX64" i="67"/>
  <c r="BA64" i="67"/>
  <c r="AK64" i="67"/>
  <c r="AZ64" i="67"/>
  <c r="AJ64" i="67"/>
  <c r="AM64" i="67"/>
  <c r="AY64" i="67"/>
  <c r="AV64" i="67"/>
  <c r="AW64" i="67"/>
  <c r="AR64" i="67"/>
  <c r="AT64" i="67"/>
  <c r="AS64" i="67"/>
  <c r="AU64" i="67"/>
  <c r="AP64" i="67"/>
  <c r="BC59" i="67"/>
  <c r="AU59" i="67"/>
  <c r="AY59" i="67"/>
  <c r="AT59" i="67"/>
  <c r="AW59" i="67"/>
  <c r="AV59" i="67"/>
  <c r="AP59" i="67"/>
  <c r="AK59" i="67"/>
  <c r="AR59" i="67"/>
  <c r="AL59" i="67"/>
  <c r="BA59" i="67"/>
  <c r="AN59" i="67"/>
  <c r="AQ59" i="67"/>
  <c r="AI59" i="67"/>
  <c r="AM59" i="67"/>
  <c r="BB59" i="67"/>
  <c r="AS59" i="67"/>
  <c r="BD59" i="67"/>
  <c r="AJ59" i="67"/>
  <c r="AX59" i="67"/>
  <c r="AO59" i="67"/>
  <c r="AZ59" i="67"/>
  <c r="D4" i="5"/>
  <c r="F30" i="5" s="1"/>
  <c r="L47" i="64" s="1"/>
  <c r="L49" i="64"/>
  <c r="AV22" i="63"/>
  <c r="AR23" i="63"/>
  <c r="AV12" i="63"/>
  <c r="AR13" i="63"/>
  <c r="AO9" i="65"/>
  <c r="AQ10" i="63"/>
  <c r="AJ9" i="65"/>
  <c r="AT9" i="65"/>
  <c r="L47" i="54"/>
  <c r="L47" i="53"/>
  <c r="R8" i="52"/>
  <c r="R6" i="52"/>
  <c r="R19" i="52"/>
  <c r="R21" i="52"/>
  <c r="R23" i="52"/>
  <c r="R25" i="52"/>
  <c r="R27" i="52"/>
  <c r="R31" i="52"/>
  <c r="R26" i="52"/>
  <c r="S45" i="54"/>
  <c r="S45" i="53"/>
  <c r="S45" i="51"/>
  <c r="S45" i="52"/>
  <c r="AL55" i="50"/>
  <c r="AL55" i="49"/>
  <c r="AL55" i="48"/>
  <c r="AL57" i="47"/>
  <c r="T9" i="52"/>
  <c r="T36" i="52"/>
  <c r="T38" i="52"/>
  <c r="T12" i="52"/>
  <c r="T33" i="52"/>
  <c r="T37" i="52"/>
  <c r="T34" i="52"/>
  <c r="U16" i="52"/>
  <c r="U11" i="52"/>
  <c r="U10" i="52"/>
  <c r="U9" i="52"/>
  <c r="U8" i="52"/>
  <c r="U7" i="52"/>
  <c r="U5" i="52"/>
  <c r="U6" i="52"/>
  <c r="U25" i="52"/>
  <c r="U41" i="52"/>
  <c r="U22" i="52"/>
  <c r="U38" i="52"/>
  <c r="U27" i="52"/>
  <c r="U24" i="52"/>
  <c r="U40" i="52"/>
  <c r="U12" i="52"/>
  <c r="U29" i="52"/>
  <c r="U26" i="52"/>
  <c r="U42" i="52"/>
  <c r="U14" i="52"/>
  <c r="U31" i="52"/>
  <c r="U28" i="52"/>
  <c r="U17" i="52"/>
  <c r="U33" i="52"/>
  <c r="U13" i="52"/>
  <c r="U30" i="52"/>
  <c r="U19" i="52"/>
  <c r="U35" i="52"/>
  <c r="U15" i="52"/>
  <c r="U32" i="52"/>
  <c r="U34" i="52"/>
  <c r="U36" i="52"/>
  <c r="U21" i="52"/>
  <c r="U23" i="52"/>
  <c r="U37" i="52"/>
  <c r="U39" i="52"/>
  <c r="U18" i="52"/>
  <c r="U20" i="52"/>
  <c r="N16" i="52"/>
  <c r="N10" i="52"/>
  <c r="N8" i="52"/>
  <c r="N7" i="52"/>
  <c r="N6" i="52"/>
  <c r="N5" i="52"/>
  <c r="N21" i="52"/>
  <c r="N17" i="52"/>
  <c r="N15" i="52"/>
  <c r="N13" i="52"/>
  <c r="N11" i="52"/>
  <c r="N9" i="52"/>
  <c r="N31" i="52"/>
  <c r="N28" i="52"/>
  <c r="N37" i="52"/>
  <c r="N34" i="52"/>
  <c r="N14" i="52"/>
  <c r="N35" i="52"/>
  <c r="N32" i="52"/>
  <c r="N25" i="52"/>
  <c r="N41" i="52"/>
  <c r="N22" i="52"/>
  <c r="N38" i="52"/>
  <c r="N19" i="52"/>
  <c r="N12" i="52"/>
  <c r="N18" i="52"/>
  <c r="N23" i="52"/>
  <c r="N39" i="52"/>
  <c r="N36" i="52"/>
  <c r="N29" i="52"/>
  <c r="N26" i="52"/>
  <c r="N42" i="52"/>
  <c r="N27" i="52"/>
  <c r="N24" i="52"/>
  <c r="N30" i="52"/>
  <c r="N20" i="52"/>
  <c r="N40" i="52"/>
  <c r="N33" i="52"/>
  <c r="L45" i="54"/>
  <c r="L45" i="53"/>
  <c r="L45" i="51"/>
  <c r="L45" i="52"/>
  <c r="V21" i="52"/>
  <c r="V17" i="52"/>
  <c r="V9" i="52"/>
  <c r="V7" i="52"/>
  <c r="V8" i="52"/>
  <c r="V6" i="52"/>
  <c r="V36" i="52"/>
  <c r="V33" i="52"/>
  <c r="V27" i="52"/>
  <c r="V24" i="52"/>
  <c r="V26" i="52"/>
  <c r="V42" i="52"/>
  <c r="V28" i="52"/>
  <c r="V12" i="52"/>
  <c r="V30" i="52"/>
  <c r="V19" i="52"/>
  <c r="V39" i="52"/>
  <c r="V29" i="52"/>
  <c r="V23" i="52"/>
  <c r="AA53" i="50"/>
  <c r="E30" i="5"/>
  <c r="L46" i="64" s="1"/>
  <c r="N56" i="47"/>
  <c r="N54" i="63" s="1"/>
  <c r="F4" i="5"/>
  <c r="N56" i="63" s="1"/>
  <c r="E4" i="5"/>
  <c r="N55" i="63" s="1"/>
  <c r="E37" i="5"/>
  <c r="S46" i="64" s="1"/>
  <c r="F37" i="5"/>
  <c r="S47" i="64" s="1"/>
  <c r="T5" i="64" l="1"/>
  <c r="V29" i="64"/>
  <c r="V6" i="64"/>
  <c r="U21" i="64"/>
  <c r="U13" i="64"/>
  <c r="U29" i="64"/>
  <c r="U25" i="64"/>
  <c r="U16" i="64"/>
  <c r="T37" i="64"/>
  <c r="R25" i="64"/>
  <c r="S25" i="64" s="1"/>
  <c r="T36" i="64"/>
  <c r="R26" i="64"/>
  <c r="S26" i="64" s="1"/>
  <c r="R23" i="64"/>
  <c r="S23" i="64" s="1"/>
  <c r="V19" i="64"/>
  <c r="V42" i="64"/>
  <c r="V33" i="64"/>
  <c r="V7" i="64"/>
  <c r="T14" i="52"/>
  <c r="R31" i="64"/>
  <c r="S31" i="64" s="1"/>
  <c r="R21" i="64"/>
  <c r="S21" i="64" s="1"/>
  <c r="V15" i="64"/>
  <c r="R11" i="52"/>
  <c r="R5" i="52"/>
  <c r="R35" i="52"/>
  <c r="R37" i="52"/>
  <c r="R39" i="52"/>
  <c r="R41" i="52"/>
  <c r="R28" i="52"/>
  <c r="R15" i="52"/>
  <c r="R33" i="52"/>
  <c r="R10" i="52"/>
  <c r="R30" i="52"/>
  <c r="R34" i="52"/>
  <c r="R40" i="52"/>
  <c r="R29" i="52"/>
  <c r="R17" i="52"/>
  <c r="R16" i="52"/>
  <c r="R9" i="52"/>
  <c r="R13" i="52"/>
  <c r="R20" i="52"/>
  <c r="R18" i="52"/>
  <c r="R24" i="52"/>
  <c r="R22" i="52"/>
  <c r="R12" i="52"/>
  <c r="R32" i="52"/>
  <c r="R42" i="52"/>
  <c r="R7" i="52"/>
  <c r="R38" i="52"/>
  <c r="R14" i="52"/>
  <c r="R36" i="52"/>
  <c r="N33" i="64"/>
  <c r="N24" i="64"/>
  <c r="N29" i="64"/>
  <c r="N18" i="64"/>
  <c r="N22" i="64"/>
  <c r="N35" i="64"/>
  <c r="N28" i="64"/>
  <c r="N13" i="64"/>
  <c r="N5" i="64"/>
  <c r="N10" i="64"/>
  <c r="T34" i="64"/>
  <c r="T12" i="64"/>
  <c r="T9" i="64"/>
  <c r="R27" i="64"/>
  <c r="S27" i="64" s="1"/>
  <c r="R19" i="64"/>
  <c r="S19" i="64" s="1"/>
  <c r="C8" i="69"/>
  <c r="C10" i="69"/>
  <c r="O10" i="69"/>
  <c r="O8" i="69"/>
  <c r="G8" i="69"/>
  <c r="G10" i="69"/>
  <c r="V12" i="64"/>
  <c r="R6" i="64"/>
  <c r="S6" i="64" s="1"/>
  <c r="L6" i="70"/>
  <c r="AI20" i="48"/>
  <c r="AI30" i="48"/>
  <c r="AI46" i="48"/>
  <c r="AI14" i="48"/>
  <c r="AI9" i="48"/>
  <c r="AI51" i="48"/>
  <c r="AI50" i="48"/>
  <c r="AI31" i="48"/>
  <c r="AI22" i="48"/>
  <c r="AI39" i="48"/>
  <c r="AI48" i="48"/>
  <c r="AI32" i="48"/>
  <c r="AI10" i="48"/>
  <c r="AI8" i="48"/>
  <c r="AI29" i="48"/>
  <c r="AI23" i="48"/>
  <c r="AI28" i="48"/>
  <c r="AI43" i="48"/>
  <c r="AI5" i="48"/>
  <c r="AI6" i="48"/>
  <c r="AI40" i="48"/>
  <c r="AI49" i="48"/>
  <c r="AI18" i="48"/>
  <c r="AI16" i="48"/>
  <c r="AI37" i="48"/>
  <c r="AI11" i="48"/>
  <c r="AI15" i="48"/>
  <c r="AI36" i="48"/>
  <c r="AI27" i="48"/>
  <c r="AI33" i="48"/>
  <c r="AI35" i="48"/>
  <c r="AI41" i="48"/>
  <c r="AI42" i="48"/>
  <c r="AI24" i="48"/>
  <c r="AI47" i="48"/>
  <c r="AI13" i="48"/>
  <c r="AI19" i="48"/>
  <c r="AI12" i="48"/>
  <c r="AI34" i="48"/>
  <c r="AI38" i="48"/>
  <c r="AI25" i="48"/>
  <c r="AI45" i="48"/>
  <c r="AI7" i="48"/>
  <c r="AI17" i="48"/>
  <c r="AI26" i="48"/>
  <c r="AI44" i="48"/>
  <c r="AI21" i="48"/>
  <c r="V24" i="64"/>
  <c r="V17" i="64"/>
  <c r="U18" i="64"/>
  <c r="U15" i="64"/>
  <c r="U31" i="64"/>
  <c r="U27" i="64"/>
  <c r="U8" i="64"/>
  <c r="T38" i="64"/>
  <c r="T33" i="64"/>
  <c r="R8" i="64"/>
  <c r="S8" i="64" s="1"/>
  <c r="L8" i="69"/>
  <c r="L10" i="69"/>
  <c r="P48" i="52"/>
  <c r="P48" i="64"/>
  <c r="P48" i="53"/>
  <c r="T16" i="52"/>
  <c r="T8" i="52"/>
  <c r="T23" i="52"/>
  <c r="T25" i="52"/>
  <c r="T27" i="52"/>
  <c r="T29" i="52"/>
  <c r="T31" i="52"/>
  <c r="T13" i="52"/>
  <c r="T15" i="52"/>
  <c r="T19" i="52"/>
  <c r="T6" i="52"/>
  <c r="T22" i="52"/>
  <c r="T42" i="52"/>
  <c r="T35" i="52"/>
  <c r="T11" i="52"/>
  <c r="T7" i="52"/>
  <c r="T39" i="52"/>
  <c r="T41" i="52"/>
  <c r="T24" i="52"/>
  <c r="T26" i="52"/>
  <c r="T28" i="52"/>
  <c r="T30" i="52"/>
  <c r="T18" i="52"/>
  <c r="T21" i="52"/>
  <c r="T10" i="52"/>
  <c r="T20" i="52"/>
  <c r="T40" i="52"/>
  <c r="T17" i="52"/>
  <c r="T32" i="52"/>
  <c r="U43" i="48"/>
  <c r="U43" i="50" s="1"/>
  <c r="U34" i="48"/>
  <c r="U34" i="50" s="1"/>
  <c r="U21" i="48"/>
  <c r="U21" i="50" s="1"/>
  <c r="U5" i="48"/>
  <c r="U45" i="48"/>
  <c r="U45" i="50" s="1"/>
  <c r="U22" i="48"/>
  <c r="U22" i="50" s="1"/>
  <c r="U49" i="48"/>
  <c r="U49" i="50" s="1"/>
  <c r="U35" i="48"/>
  <c r="U35" i="50" s="1"/>
  <c r="U20" i="48"/>
  <c r="U20" i="50" s="1"/>
  <c r="U9" i="48"/>
  <c r="U9" i="50" s="1"/>
  <c r="U7" i="48"/>
  <c r="U7" i="50" s="1"/>
  <c r="U48" i="48"/>
  <c r="U48" i="50" s="1"/>
  <c r="U29" i="48"/>
  <c r="U29" i="50" s="1"/>
  <c r="U38" i="48"/>
  <c r="U38" i="50" s="1"/>
  <c r="U11" i="48"/>
  <c r="U11" i="50" s="1"/>
  <c r="U28" i="48"/>
  <c r="U28" i="50" s="1"/>
  <c r="U26" i="48"/>
  <c r="U26" i="50" s="1"/>
  <c r="U36" i="48"/>
  <c r="U36" i="50" s="1"/>
  <c r="U51" i="48"/>
  <c r="U51" i="50" s="1"/>
  <c r="U40" i="48"/>
  <c r="U40" i="50" s="1"/>
  <c r="U23" i="48"/>
  <c r="U23" i="50" s="1"/>
  <c r="U50" i="48"/>
  <c r="U50" i="50" s="1"/>
  <c r="U41" i="48"/>
  <c r="U41" i="50" s="1"/>
  <c r="U32" i="48"/>
  <c r="U32" i="50" s="1"/>
  <c r="U19" i="48"/>
  <c r="U19" i="50" s="1"/>
  <c r="U47" i="48"/>
  <c r="U47" i="50" s="1"/>
  <c r="U37" i="48"/>
  <c r="U37" i="50" s="1"/>
  <c r="U17" i="48"/>
  <c r="U17" i="50" s="1"/>
  <c r="U44" i="48"/>
  <c r="U44" i="50" s="1"/>
  <c r="U33" i="48"/>
  <c r="U33" i="50" s="1"/>
  <c r="U18" i="48"/>
  <c r="U18" i="50" s="1"/>
  <c r="U31" i="48"/>
  <c r="U31" i="50" s="1"/>
  <c r="U13" i="48"/>
  <c r="U13" i="50" s="1"/>
  <c r="U39" i="48"/>
  <c r="U39" i="50" s="1"/>
  <c r="U14" i="48"/>
  <c r="U14" i="50" s="1"/>
  <c r="U30" i="48"/>
  <c r="U30" i="50" s="1"/>
  <c r="U42" i="48"/>
  <c r="U42" i="50" s="1"/>
  <c r="U15" i="48"/>
  <c r="U15" i="50" s="1"/>
  <c r="U16" i="48"/>
  <c r="U16" i="50" s="1"/>
  <c r="U46" i="48"/>
  <c r="U46" i="50" s="1"/>
  <c r="U8" i="48"/>
  <c r="U8" i="50" s="1"/>
  <c r="U6" i="48"/>
  <c r="U6" i="50" s="1"/>
  <c r="U12" i="48"/>
  <c r="U12" i="50" s="1"/>
  <c r="U24" i="48"/>
  <c r="U24" i="50" s="1"/>
  <c r="U27" i="48"/>
  <c r="U27" i="50" s="1"/>
  <c r="U25" i="48"/>
  <c r="U10" i="48"/>
  <c r="U10" i="50" s="1"/>
  <c r="B6" i="70"/>
  <c r="B10" i="70"/>
  <c r="B8" i="70"/>
  <c r="I8" i="70"/>
  <c r="I6" i="70"/>
  <c r="I10" i="70"/>
  <c r="D8" i="70"/>
  <c r="D10" i="70"/>
  <c r="L6" i="69"/>
  <c r="C6" i="69"/>
  <c r="V39" i="64"/>
  <c r="V28" i="64"/>
  <c r="V27" i="64"/>
  <c r="V8" i="64"/>
  <c r="N27" i="64"/>
  <c r="N41" i="64"/>
  <c r="N16" i="64"/>
  <c r="U39" i="64"/>
  <c r="U14" i="64"/>
  <c r="U9" i="64"/>
  <c r="K10" i="69"/>
  <c r="K8" i="69"/>
  <c r="W8" i="69"/>
  <c r="W10" i="69"/>
  <c r="R38" i="48"/>
  <c r="R28" i="48"/>
  <c r="R15" i="48"/>
  <c r="R23" i="48"/>
  <c r="R7" i="48"/>
  <c r="R24" i="48"/>
  <c r="R8" i="48"/>
  <c r="R22" i="48"/>
  <c r="R37" i="48"/>
  <c r="R41" i="48"/>
  <c r="R40" i="48"/>
  <c r="R35" i="48"/>
  <c r="R48" i="48"/>
  <c r="R20" i="48"/>
  <c r="R13" i="48"/>
  <c r="R27" i="48"/>
  <c r="R11" i="48"/>
  <c r="R36" i="48"/>
  <c r="R34" i="48"/>
  <c r="R26" i="48"/>
  <c r="R14" i="48"/>
  <c r="R51" i="48"/>
  <c r="R25" i="48"/>
  <c r="R12" i="48"/>
  <c r="R16" i="48"/>
  <c r="R30" i="48"/>
  <c r="R21" i="48"/>
  <c r="R5" i="48"/>
  <c r="R6" i="48"/>
  <c r="R43" i="48"/>
  <c r="R46" i="48"/>
  <c r="R49" i="48"/>
  <c r="R44" i="48"/>
  <c r="R9" i="48"/>
  <c r="R19" i="48"/>
  <c r="R33" i="48"/>
  <c r="R45" i="48"/>
  <c r="R32" i="48"/>
  <c r="R18" i="48"/>
  <c r="R29" i="48"/>
  <c r="R42" i="48"/>
  <c r="R50" i="48"/>
  <c r="R39" i="48"/>
  <c r="R10" i="48"/>
  <c r="R17" i="48"/>
  <c r="R31" i="48"/>
  <c r="R47" i="48"/>
  <c r="M55" i="47"/>
  <c r="M60" i="47" s="1"/>
  <c r="E8" i="70"/>
  <c r="E6" i="70"/>
  <c r="E10" i="70"/>
  <c r="L8" i="70"/>
  <c r="L10" i="70"/>
  <c r="H8" i="70"/>
  <c r="H6" i="70"/>
  <c r="B8" i="69"/>
  <c r="H10" i="70"/>
  <c r="P8" i="69"/>
  <c r="P6" i="69"/>
  <c r="R8" i="69"/>
  <c r="R6" i="69"/>
  <c r="I6" i="69"/>
  <c r="S6" i="69"/>
  <c r="Q6" i="69"/>
  <c r="G6" i="69"/>
  <c r="E8" i="69"/>
  <c r="E6" i="69"/>
  <c r="V6" i="69"/>
  <c r="V9" i="64"/>
  <c r="N36" i="64"/>
  <c r="N14" i="64"/>
  <c r="N15" i="64"/>
  <c r="U35" i="64"/>
  <c r="U38" i="64"/>
  <c r="N8" i="69"/>
  <c r="N10" i="69"/>
  <c r="P49" i="51"/>
  <c r="V34" i="52"/>
  <c r="V32" i="52"/>
  <c r="V13" i="52"/>
  <c r="V31" i="52"/>
  <c r="V37" i="52"/>
  <c r="V38" i="52"/>
  <c r="V20" i="52"/>
  <c r="V10" i="52"/>
  <c r="V11" i="52"/>
  <c r="V25" i="52"/>
  <c r="N20" i="64"/>
  <c r="N42" i="64"/>
  <c r="N39" i="64"/>
  <c r="N19" i="64"/>
  <c r="N25" i="64"/>
  <c r="N34" i="64"/>
  <c r="N9" i="64"/>
  <c r="N17" i="64"/>
  <c r="N7" i="64"/>
  <c r="U37" i="64"/>
  <c r="U34" i="64"/>
  <c r="U19" i="64"/>
  <c r="U17" i="64"/>
  <c r="U42" i="64"/>
  <c r="U40" i="64"/>
  <c r="U22" i="64"/>
  <c r="U5" i="64"/>
  <c r="U10" i="64"/>
  <c r="F10" i="69"/>
  <c r="Q8" i="69"/>
  <c r="Q10" i="69"/>
  <c r="Z48" i="53"/>
  <c r="Z48" i="64"/>
  <c r="M48" i="52"/>
  <c r="M48" i="53"/>
  <c r="M48" i="64"/>
  <c r="Z49" i="51"/>
  <c r="O49" i="51"/>
  <c r="U48" i="53"/>
  <c r="U48" i="52"/>
  <c r="U48" i="64"/>
  <c r="V56" i="47"/>
  <c r="Y56" i="47"/>
  <c r="V60" i="47"/>
  <c r="L18" i="48"/>
  <c r="L22" i="48"/>
  <c r="L15" i="48"/>
  <c r="L34" i="48"/>
  <c r="L16" i="48"/>
  <c r="L19" i="48"/>
  <c r="L8" i="48"/>
  <c r="L40" i="48"/>
  <c r="L47" i="48"/>
  <c r="L38" i="48"/>
  <c r="L45" i="48"/>
  <c r="L35" i="48"/>
  <c r="L20" i="48"/>
  <c r="L41" i="48"/>
  <c r="L26" i="48"/>
  <c r="L24" i="48"/>
  <c r="L11" i="48"/>
  <c r="L51" i="48"/>
  <c r="L28" i="48"/>
  <c r="L50" i="48"/>
  <c r="L48" i="48"/>
  <c r="L6" i="48"/>
  <c r="L9" i="48"/>
  <c r="L29" i="48"/>
  <c r="L13" i="48"/>
  <c r="L14" i="48"/>
  <c r="L5" i="48"/>
  <c r="L30" i="48"/>
  <c r="L44" i="48"/>
  <c r="L31" i="48"/>
  <c r="L12" i="48"/>
  <c r="L25" i="48"/>
  <c r="L43" i="48"/>
  <c r="L10" i="48"/>
  <c r="L36" i="48"/>
  <c r="L37" i="48"/>
  <c r="L7" i="48"/>
  <c r="L49" i="48"/>
  <c r="L27" i="48"/>
  <c r="L23" i="48"/>
  <c r="L21" i="48"/>
  <c r="L46" i="48"/>
  <c r="L42" i="48"/>
  <c r="L39" i="48"/>
  <c r="L33" i="48"/>
  <c r="L17" i="48"/>
  <c r="L32" i="48"/>
  <c r="X51" i="48"/>
  <c r="X26" i="48"/>
  <c r="X10" i="48"/>
  <c r="X49" i="48"/>
  <c r="X39" i="48"/>
  <c r="X29" i="48"/>
  <c r="X14" i="48"/>
  <c r="X47" i="48"/>
  <c r="X22" i="48"/>
  <c r="X33" i="48"/>
  <c r="X18" i="48"/>
  <c r="X50" i="48"/>
  <c r="X16" i="48"/>
  <c r="X42" i="48"/>
  <c r="X34" i="48"/>
  <c r="X21" i="48"/>
  <c r="X30" i="48"/>
  <c r="X12" i="48"/>
  <c r="X31" i="48"/>
  <c r="X35" i="48"/>
  <c r="X19" i="48"/>
  <c r="X6" i="48"/>
  <c r="X45" i="48"/>
  <c r="X44" i="48"/>
  <c r="X23" i="48"/>
  <c r="X7" i="48"/>
  <c r="X46" i="48"/>
  <c r="X36" i="48"/>
  <c r="X24" i="48"/>
  <c r="X8" i="48"/>
  <c r="X37" i="48"/>
  <c r="X17" i="48"/>
  <c r="X28" i="48"/>
  <c r="X9" i="48"/>
  <c r="X38" i="48"/>
  <c r="X43" i="48"/>
  <c r="X5" i="48"/>
  <c r="X11" i="48"/>
  <c r="X20" i="48"/>
  <c r="X48" i="48"/>
  <c r="X41" i="48"/>
  <c r="X40" i="48"/>
  <c r="X15" i="48"/>
  <c r="X13" i="48"/>
  <c r="X32" i="48"/>
  <c r="X27" i="48"/>
  <c r="X25" i="48"/>
  <c r="Q30" i="48"/>
  <c r="Q51" i="48"/>
  <c r="Q6" i="48"/>
  <c r="Q41" i="48"/>
  <c r="Q16" i="48"/>
  <c r="Q32" i="48"/>
  <c r="Q8" i="48"/>
  <c r="Q11" i="48"/>
  <c r="Q38" i="48"/>
  <c r="Q48" i="48"/>
  <c r="Q42" i="48"/>
  <c r="Q33" i="48"/>
  <c r="Q15" i="48"/>
  <c r="Q10" i="48"/>
  <c r="Q14" i="48"/>
  <c r="Q31" i="48"/>
  <c r="Q20" i="48"/>
  <c r="Q22" i="48"/>
  <c r="Q34" i="48"/>
  <c r="Q45" i="48"/>
  <c r="Q7" i="48"/>
  <c r="Q47" i="48"/>
  <c r="Q28" i="48"/>
  <c r="Q36" i="48"/>
  <c r="Q13" i="48"/>
  <c r="Q29" i="48"/>
  <c r="Q5" i="48"/>
  <c r="Q44" i="48"/>
  <c r="Q46" i="48"/>
  <c r="Q35" i="48"/>
  <c r="Q39" i="48"/>
  <c r="Q18" i="48"/>
  <c r="Q27" i="48"/>
  <c r="Q26" i="48"/>
  <c r="Q24" i="48"/>
  <c r="Q17" i="48"/>
  <c r="Q25" i="48"/>
  <c r="Q50" i="48"/>
  <c r="Q40" i="48"/>
  <c r="Q23" i="48"/>
  <c r="Q19" i="48"/>
  <c r="Q43" i="48"/>
  <c r="Q37" i="48"/>
  <c r="Q9" i="48"/>
  <c r="Q21" i="48"/>
  <c r="Q12" i="48"/>
  <c r="Q49" i="48"/>
  <c r="G8" i="70"/>
  <c r="G10" i="70"/>
  <c r="G6" i="70"/>
  <c r="C8" i="70"/>
  <c r="C10" i="70"/>
  <c r="C6" i="70"/>
  <c r="K10" i="70"/>
  <c r="K8" i="70"/>
  <c r="AA7" i="63"/>
  <c r="AA11" i="63"/>
  <c r="AA15" i="63"/>
  <c r="AA19" i="63"/>
  <c r="AA23" i="63"/>
  <c r="AA27" i="63"/>
  <c r="AA31" i="63"/>
  <c r="AA35" i="63"/>
  <c r="AA39" i="63"/>
  <c r="AA43" i="63"/>
  <c r="AA47" i="63"/>
  <c r="AA51" i="63"/>
  <c r="AA6" i="63"/>
  <c r="AA10" i="63"/>
  <c r="AA14" i="63"/>
  <c r="AA18" i="63"/>
  <c r="AA22" i="63"/>
  <c r="AA26" i="63"/>
  <c r="AA30" i="63"/>
  <c r="AA34" i="63"/>
  <c r="AA38" i="63"/>
  <c r="AA42" i="63"/>
  <c r="AA46" i="63"/>
  <c r="AA50" i="63"/>
  <c r="AA5" i="63"/>
  <c r="AA9" i="63"/>
  <c r="AA13" i="63"/>
  <c r="AA17" i="63"/>
  <c r="AA21" i="63"/>
  <c r="AA25" i="63"/>
  <c r="AA29" i="63"/>
  <c r="AA33" i="63"/>
  <c r="AA37" i="63"/>
  <c r="AA41" i="63"/>
  <c r="AA45" i="63"/>
  <c r="AA49" i="63"/>
  <c r="AA8" i="63"/>
  <c r="AA12" i="63"/>
  <c r="AA16" i="63"/>
  <c r="AA20" i="63"/>
  <c r="AA24" i="63"/>
  <c r="AA28" i="63"/>
  <c r="AA32" i="63"/>
  <c r="AA36" i="63"/>
  <c r="AA40" i="63"/>
  <c r="AA44" i="63"/>
  <c r="AA48" i="63"/>
  <c r="AA49" i="49"/>
  <c r="Z49" i="67" s="1"/>
  <c r="Z101" i="67" s="1"/>
  <c r="AA41" i="49"/>
  <c r="Z41" i="67" s="1"/>
  <c r="Z93" i="67" s="1"/>
  <c r="AA24" i="49"/>
  <c r="Z24" i="67" s="1"/>
  <c r="Z76" i="67" s="1"/>
  <c r="AA32" i="49"/>
  <c r="Z32" i="67" s="1"/>
  <c r="Z84" i="67" s="1"/>
  <c r="AA51" i="49"/>
  <c r="Z51" i="67" s="1"/>
  <c r="Z103" i="67" s="1"/>
  <c r="AA19" i="49"/>
  <c r="Z19" i="67" s="1"/>
  <c r="Z71" i="67" s="1"/>
  <c r="AA47" i="49"/>
  <c r="Z47" i="67" s="1"/>
  <c r="Z99" i="67" s="1"/>
  <c r="AA18" i="49"/>
  <c r="Z18" i="67" s="1"/>
  <c r="Z70" i="67" s="1"/>
  <c r="AA38" i="49"/>
  <c r="Z38" i="67" s="1"/>
  <c r="Z90" i="67" s="1"/>
  <c r="AA8" i="49"/>
  <c r="Z8" i="67" s="1"/>
  <c r="Z60" i="67" s="1"/>
  <c r="AA46" i="49"/>
  <c r="Z46" i="67" s="1"/>
  <c r="Z98" i="67" s="1"/>
  <c r="AA43" i="49"/>
  <c r="Z43" i="67" s="1"/>
  <c r="Z95" i="67" s="1"/>
  <c r="AA50" i="49"/>
  <c r="Z50" i="67" s="1"/>
  <c r="Z102" i="67" s="1"/>
  <c r="AA40" i="49"/>
  <c r="Z40" i="67" s="1"/>
  <c r="Z92" i="67" s="1"/>
  <c r="AA34" i="49"/>
  <c r="Z34" i="67" s="1"/>
  <c r="Z86" i="67" s="1"/>
  <c r="AA31" i="49"/>
  <c r="Z31" i="67" s="1"/>
  <c r="Z83" i="67" s="1"/>
  <c r="AA13" i="49"/>
  <c r="Z13" i="67" s="1"/>
  <c r="Z65" i="67" s="1"/>
  <c r="AA23" i="49"/>
  <c r="Z23" i="67" s="1"/>
  <c r="Z75" i="67" s="1"/>
  <c r="AA16" i="49"/>
  <c r="Z16" i="67" s="1"/>
  <c r="Z68" i="67" s="1"/>
  <c r="AA45" i="49"/>
  <c r="Z45" i="67" s="1"/>
  <c r="Z97" i="67" s="1"/>
  <c r="AA21" i="49"/>
  <c r="Z21" i="67" s="1"/>
  <c r="Z73" i="67" s="1"/>
  <c r="AA7" i="49"/>
  <c r="Z7" i="67" s="1"/>
  <c r="Z59" i="67" s="1"/>
  <c r="AA12" i="49"/>
  <c r="Z12" i="67" s="1"/>
  <c r="Z64" i="67" s="1"/>
  <c r="AA48" i="49"/>
  <c r="Z48" i="67" s="1"/>
  <c r="Z100" i="67" s="1"/>
  <c r="AA37" i="49"/>
  <c r="Z37" i="67" s="1"/>
  <c r="Z89" i="67" s="1"/>
  <c r="AA44" i="49"/>
  <c r="Z44" i="67" s="1"/>
  <c r="Z96" i="67" s="1"/>
  <c r="AA29" i="49"/>
  <c r="Z29" i="67" s="1"/>
  <c r="Z81" i="67" s="1"/>
  <c r="AA42" i="49"/>
  <c r="Z42" i="67" s="1"/>
  <c r="Z94" i="67" s="1"/>
  <c r="AA15" i="49"/>
  <c r="Z15" i="67" s="1"/>
  <c r="Z67" i="67" s="1"/>
  <c r="AA39" i="49"/>
  <c r="Z39" i="67" s="1"/>
  <c r="Z91" i="67" s="1"/>
  <c r="AA14" i="49"/>
  <c r="Z14" i="67" s="1"/>
  <c r="Z66" i="67" s="1"/>
  <c r="AA25" i="49"/>
  <c r="Z25" i="67" s="1"/>
  <c r="Z77" i="67" s="1"/>
  <c r="AA35" i="49"/>
  <c r="Z35" i="67" s="1"/>
  <c r="Z87" i="67" s="1"/>
  <c r="AA30" i="49"/>
  <c r="Z30" i="67" s="1"/>
  <c r="Z82" i="67" s="1"/>
  <c r="AA28" i="49"/>
  <c r="Z28" i="67" s="1"/>
  <c r="Z80" i="67" s="1"/>
  <c r="AA33" i="49"/>
  <c r="Z33" i="67" s="1"/>
  <c r="Z85" i="67" s="1"/>
  <c r="AA26" i="49"/>
  <c r="Z26" i="67" s="1"/>
  <c r="Z78" i="67" s="1"/>
  <c r="AA11" i="49"/>
  <c r="Z11" i="67" s="1"/>
  <c r="Z63" i="67" s="1"/>
  <c r="AA10" i="49"/>
  <c r="Z10" i="67" s="1"/>
  <c r="Z62" i="67" s="1"/>
  <c r="AA17" i="49"/>
  <c r="Z17" i="67" s="1"/>
  <c r="Z69" i="67" s="1"/>
  <c r="AA36" i="49"/>
  <c r="Z36" i="67" s="1"/>
  <c r="Z88" i="67" s="1"/>
  <c r="AA6" i="49"/>
  <c r="Z6" i="67" s="1"/>
  <c r="Z58" i="67" s="1"/>
  <c r="AA27" i="49"/>
  <c r="Z27" i="67" s="1"/>
  <c r="Z79" i="67" s="1"/>
  <c r="AA22" i="49"/>
  <c r="Z22" i="67" s="1"/>
  <c r="Z74" i="67" s="1"/>
  <c r="AA20" i="49"/>
  <c r="Z20" i="67" s="1"/>
  <c r="Z72" i="67" s="1"/>
  <c r="AA5" i="49"/>
  <c r="AA9" i="49"/>
  <c r="Z9" i="67" s="1"/>
  <c r="Z61" i="67" s="1"/>
  <c r="M6" i="69"/>
  <c r="N6" i="69"/>
  <c r="D6" i="69"/>
  <c r="W6" i="69"/>
  <c r="U6" i="69"/>
  <c r="I8" i="69"/>
  <c r="D8" i="69"/>
  <c r="V23" i="64"/>
  <c r="V30" i="64"/>
  <c r="V26" i="64"/>
  <c r="V36" i="64"/>
  <c r="V21" i="64"/>
  <c r="N40" i="64"/>
  <c r="N12" i="64"/>
  <c r="N31" i="64"/>
  <c r="N6" i="64"/>
  <c r="U36" i="64"/>
  <c r="U33" i="64"/>
  <c r="W33" i="64" s="1"/>
  <c r="U12" i="64"/>
  <c r="U6" i="64"/>
  <c r="U10" i="69"/>
  <c r="U8" i="69"/>
  <c r="V48" i="64"/>
  <c r="V48" i="52"/>
  <c r="V48" i="53"/>
  <c r="P40" i="48"/>
  <c r="P48" i="48"/>
  <c r="P45" i="48"/>
  <c r="P24" i="48"/>
  <c r="P8" i="48"/>
  <c r="P22" i="48"/>
  <c r="P51" i="48"/>
  <c r="P20" i="48"/>
  <c r="P9" i="48"/>
  <c r="P7" i="48"/>
  <c r="P49" i="48"/>
  <c r="P32" i="48"/>
  <c r="P37" i="48"/>
  <c r="P47" i="48"/>
  <c r="P19" i="48"/>
  <c r="P26" i="48"/>
  <c r="P28" i="48"/>
  <c r="P15" i="48"/>
  <c r="P10" i="48"/>
  <c r="P44" i="48"/>
  <c r="P36" i="48"/>
  <c r="P29" i="48"/>
  <c r="P6" i="48"/>
  <c r="P23" i="48"/>
  <c r="P30" i="48"/>
  <c r="P21" i="48"/>
  <c r="P5" i="48"/>
  <c r="P17" i="48"/>
  <c r="P31" i="48"/>
  <c r="P18" i="48"/>
  <c r="P38" i="48"/>
  <c r="P13" i="48"/>
  <c r="P35" i="48"/>
  <c r="P46" i="48"/>
  <c r="P43" i="48"/>
  <c r="P34" i="48"/>
  <c r="P11" i="48"/>
  <c r="P16" i="48"/>
  <c r="P33" i="48"/>
  <c r="P14" i="48"/>
  <c r="P25" i="48"/>
  <c r="P12" i="48"/>
  <c r="P39" i="48"/>
  <c r="P41" i="48"/>
  <c r="P27" i="48"/>
  <c r="P42" i="48"/>
  <c r="P50" i="48"/>
  <c r="V18" i="52"/>
  <c r="V35" i="52"/>
  <c r="V41" i="52"/>
  <c r="V14" i="52"/>
  <c r="V40" i="52"/>
  <c r="V22" i="52"/>
  <c r="V5" i="52"/>
  <c r="V16" i="52"/>
  <c r="N30" i="64"/>
  <c r="N26" i="64"/>
  <c r="N23" i="64"/>
  <c r="N38" i="64"/>
  <c r="N32" i="64"/>
  <c r="N37" i="64"/>
  <c r="N11" i="64"/>
  <c r="N21" i="64"/>
  <c r="N8" i="64"/>
  <c r="U20" i="64"/>
  <c r="U23" i="64"/>
  <c r="U32" i="64"/>
  <c r="U30" i="64"/>
  <c r="U28" i="64"/>
  <c r="U26" i="64"/>
  <c r="U24" i="64"/>
  <c r="U41" i="64"/>
  <c r="U7" i="64"/>
  <c r="U11" i="64"/>
  <c r="L47" i="51"/>
  <c r="M64" i="47"/>
  <c r="M70" i="47" s="1"/>
  <c r="S10" i="69"/>
  <c r="S8" i="69"/>
  <c r="M8" i="69"/>
  <c r="M10" i="69"/>
  <c r="M26" i="52"/>
  <c r="M13" i="52"/>
  <c r="M15" i="52"/>
  <c r="M32" i="52"/>
  <c r="M33" i="52"/>
  <c r="M42" i="52"/>
  <c r="M11" i="52"/>
  <c r="M8" i="52"/>
  <c r="M12" i="52"/>
  <c r="M23" i="52"/>
  <c r="M20" i="52"/>
  <c r="M18" i="52"/>
  <c r="M31" i="52"/>
  <c r="M28" i="52"/>
  <c r="M16" i="52"/>
  <c r="M6" i="52"/>
  <c r="M24" i="52"/>
  <c r="M22" i="52"/>
  <c r="M19" i="52"/>
  <c r="M27" i="52"/>
  <c r="M5" i="52"/>
  <c r="M39" i="52"/>
  <c r="M34" i="52"/>
  <c r="M30" i="52"/>
  <c r="M37" i="52"/>
  <c r="M21" i="52"/>
  <c r="M17" i="52"/>
  <c r="M9" i="52"/>
  <c r="M7" i="52"/>
  <c r="M40" i="52"/>
  <c r="M38" i="52"/>
  <c r="M41" i="52"/>
  <c r="M35" i="52"/>
  <c r="M14" i="52"/>
  <c r="M25" i="52"/>
  <c r="M10" i="52"/>
  <c r="M29" i="52"/>
  <c r="M36" i="52"/>
  <c r="O48" i="53"/>
  <c r="O48" i="64"/>
  <c r="O48" i="52"/>
  <c r="N48" i="52"/>
  <c r="N48" i="64"/>
  <c r="N48" i="53"/>
  <c r="T48" i="64"/>
  <c r="T48" i="52"/>
  <c r="T48" i="53"/>
  <c r="D6" i="70"/>
  <c r="K6" i="70"/>
  <c r="S37" i="48"/>
  <c r="S48" i="48"/>
  <c r="S34" i="48"/>
  <c r="S16" i="48"/>
  <c r="S46" i="48"/>
  <c r="S8" i="48"/>
  <c r="S33" i="48"/>
  <c r="S6" i="48"/>
  <c r="S15" i="48"/>
  <c r="S35" i="48"/>
  <c r="S21" i="48"/>
  <c r="S47" i="48"/>
  <c r="S50" i="48"/>
  <c r="S30" i="48"/>
  <c r="S23" i="48"/>
  <c r="S19" i="48"/>
  <c r="S17" i="48"/>
  <c r="S18" i="48"/>
  <c r="S43" i="48"/>
  <c r="S22" i="48"/>
  <c r="S31" i="48"/>
  <c r="S42" i="48"/>
  <c r="S9" i="48"/>
  <c r="S45" i="48"/>
  <c r="S27" i="48"/>
  <c r="S13" i="48"/>
  <c r="S40" i="48"/>
  <c r="S5" i="48"/>
  <c r="S28" i="48"/>
  <c r="S44" i="48"/>
  <c r="S25" i="48"/>
  <c r="S32" i="48"/>
  <c r="S38" i="48"/>
  <c r="S24" i="48"/>
  <c r="S51" i="48"/>
  <c r="S10" i="48"/>
  <c r="S49" i="48"/>
  <c r="S20" i="48"/>
  <c r="S39" i="48"/>
  <c r="S26" i="48"/>
  <c r="S14" i="48"/>
  <c r="S12" i="48"/>
  <c r="S36" i="48"/>
  <c r="S7" i="48"/>
  <c r="S11" i="48"/>
  <c r="S41" i="48"/>
  <c r="S29" i="48"/>
  <c r="O23" i="48"/>
  <c r="O7" i="48"/>
  <c r="O19" i="48"/>
  <c r="O17" i="48"/>
  <c r="O40" i="48"/>
  <c r="O9" i="48"/>
  <c r="O32" i="48"/>
  <c r="O46" i="48"/>
  <c r="O51" i="48"/>
  <c r="O22" i="48"/>
  <c r="O50" i="48"/>
  <c r="O24" i="48"/>
  <c r="O13" i="48"/>
  <c r="O8" i="48"/>
  <c r="O6" i="48"/>
  <c r="O18" i="48"/>
  <c r="O47" i="48"/>
  <c r="O30" i="48"/>
  <c r="O49" i="48"/>
  <c r="O21" i="48"/>
  <c r="O28" i="48"/>
  <c r="O43" i="48"/>
  <c r="O45" i="48"/>
  <c r="O31" i="48"/>
  <c r="O16" i="48"/>
  <c r="O44" i="48"/>
  <c r="O14" i="48"/>
  <c r="O11" i="48"/>
  <c r="O15" i="48"/>
  <c r="O12" i="48"/>
  <c r="O39" i="48"/>
  <c r="O48" i="48"/>
  <c r="O37" i="48"/>
  <c r="O27" i="48"/>
  <c r="O38" i="48"/>
  <c r="O33" i="48"/>
  <c r="O20" i="48"/>
  <c r="O29" i="48"/>
  <c r="O41" i="48"/>
  <c r="O42" i="48"/>
  <c r="O36" i="48"/>
  <c r="O35" i="48"/>
  <c r="O10" i="48"/>
  <c r="O5" i="48"/>
  <c r="O25" i="48"/>
  <c r="O26" i="48"/>
  <c r="O34" i="48"/>
  <c r="AC30" i="48"/>
  <c r="AC7" i="48"/>
  <c r="AC14" i="48"/>
  <c r="AC12" i="48"/>
  <c r="AC40" i="48"/>
  <c r="AC9" i="48"/>
  <c r="AC43" i="48"/>
  <c r="AC44" i="48"/>
  <c r="AC38" i="48"/>
  <c r="AC41" i="48"/>
  <c r="AC45" i="48"/>
  <c r="AC13" i="48"/>
  <c r="AC5" i="48"/>
  <c r="AC25" i="48"/>
  <c r="AC39" i="48"/>
  <c r="AC37" i="48"/>
  <c r="AC46" i="48"/>
  <c r="AC31" i="48"/>
  <c r="AC50" i="48"/>
  <c r="AC10" i="48"/>
  <c r="AC42" i="48"/>
  <c r="AC47" i="48"/>
  <c r="AC48" i="48"/>
  <c r="AC16" i="48"/>
  <c r="AC33" i="48"/>
  <c r="AC8" i="48"/>
  <c r="AC11" i="48"/>
  <c r="AC20" i="48"/>
  <c r="AC15" i="48"/>
  <c r="AC29" i="48"/>
  <c r="AC51" i="48"/>
  <c r="AC22" i="48"/>
  <c r="AC26" i="48"/>
  <c r="AC32" i="48"/>
  <c r="AC28" i="48"/>
  <c r="AC6" i="48"/>
  <c r="AC34" i="48"/>
  <c r="AC23" i="48"/>
  <c r="AC49" i="48"/>
  <c r="AC24" i="48"/>
  <c r="AC19" i="48"/>
  <c r="AC18" i="48"/>
  <c r="AC21" i="48"/>
  <c r="AC35" i="48"/>
  <c r="AC17" i="48"/>
  <c r="AC36" i="48"/>
  <c r="AC27" i="48"/>
  <c r="W47" i="48"/>
  <c r="W35" i="48"/>
  <c r="W20" i="48"/>
  <c r="W9" i="48"/>
  <c r="W31" i="48"/>
  <c r="W13" i="48"/>
  <c r="W50" i="48"/>
  <c r="W39" i="48"/>
  <c r="W29" i="48"/>
  <c r="W14" i="48"/>
  <c r="W30" i="48"/>
  <c r="W6" i="48"/>
  <c r="W42" i="48"/>
  <c r="W15" i="48"/>
  <c r="W7" i="48"/>
  <c r="W34" i="48"/>
  <c r="W5" i="48"/>
  <c r="W49" i="48"/>
  <c r="W12" i="48"/>
  <c r="W16" i="48"/>
  <c r="W41" i="48"/>
  <c r="W37" i="48"/>
  <c r="W45" i="48"/>
  <c r="W33" i="48"/>
  <c r="W18" i="48"/>
  <c r="W27" i="48"/>
  <c r="W26" i="48"/>
  <c r="W10" i="48"/>
  <c r="W46" i="48"/>
  <c r="W36" i="48"/>
  <c r="W24" i="48"/>
  <c r="W8" i="48"/>
  <c r="W17" i="48"/>
  <c r="W51" i="48"/>
  <c r="W28" i="48"/>
  <c r="W44" i="48"/>
  <c r="W23" i="48"/>
  <c r="W43" i="48"/>
  <c r="W21" i="48"/>
  <c r="W11" i="48"/>
  <c r="W25" i="48"/>
  <c r="W48" i="48"/>
  <c r="W19" i="48"/>
  <c r="W40" i="48"/>
  <c r="W38" i="48"/>
  <c r="W32" i="48"/>
  <c r="W22" i="48"/>
  <c r="AH26" i="48"/>
  <c r="AH47" i="48"/>
  <c r="AH23" i="48"/>
  <c r="AH41" i="48"/>
  <c r="AH9" i="48"/>
  <c r="AH18" i="48"/>
  <c r="AH39" i="48"/>
  <c r="AH10" i="48"/>
  <c r="AH8" i="48"/>
  <c r="AH40" i="48"/>
  <c r="AH42" i="48"/>
  <c r="AH31" i="48"/>
  <c r="AH28" i="48"/>
  <c r="AH30" i="48"/>
  <c r="AH37" i="48"/>
  <c r="AH48" i="48"/>
  <c r="AH7" i="48"/>
  <c r="AH32" i="48"/>
  <c r="AH19" i="48"/>
  <c r="AH29" i="48"/>
  <c r="AH49" i="48"/>
  <c r="AH43" i="48"/>
  <c r="AH11" i="48"/>
  <c r="AH50" i="48"/>
  <c r="AH46" i="48"/>
  <c r="AH25" i="48"/>
  <c r="AH6" i="48"/>
  <c r="AH13" i="48"/>
  <c r="AH34" i="48"/>
  <c r="AH5" i="48"/>
  <c r="AH14" i="48"/>
  <c r="AH35" i="48"/>
  <c r="AH21" i="48"/>
  <c r="AH38" i="48"/>
  <c r="AH44" i="48"/>
  <c r="AH22" i="48"/>
  <c r="AH15" i="48"/>
  <c r="AH27" i="48"/>
  <c r="AH24" i="48"/>
  <c r="AH51" i="48"/>
  <c r="AH45" i="48"/>
  <c r="AH20" i="48"/>
  <c r="AH17" i="48"/>
  <c r="AH36" i="48"/>
  <c r="AH12" i="48"/>
  <c r="AH16" i="48"/>
  <c r="AH33" i="48"/>
  <c r="H8" i="69"/>
  <c r="F6" i="69"/>
  <c r="J6" i="70"/>
  <c r="J8" i="70"/>
  <c r="J10" i="70"/>
  <c r="F8" i="70"/>
  <c r="F10" i="70"/>
  <c r="F6" i="70"/>
  <c r="Z7" i="63"/>
  <c r="Z11" i="63"/>
  <c r="Z15" i="63"/>
  <c r="Z19" i="63"/>
  <c r="Z23" i="63"/>
  <c r="Z27" i="63"/>
  <c r="Z31" i="63"/>
  <c r="Z35" i="63"/>
  <c r="Z39" i="63"/>
  <c r="Z43" i="63"/>
  <c r="Z47" i="63"/>
  <c r="Z51" i="63"/>
  <c r="Z6" i="63"/>
  <c r="Z10" i="63"/>
  <c r="Z14" i="63"/>
  <c r="Z18" i="63"/>
  <c r="Z22" i="63"/>
  <c r="Z26" i="63"/>
  <c r="Z30" i="63"/>
  <c r="Z34" i="63"/>
  <c r="Z38" i="63"/>
  <c r="Z42" i="63"/>
  <c r="Z46" i="63"/>
  <c r="Z50" i="63"/>
  <c r="Z5" i="63"/>
  <c r="Z9" i="63"/>
  <c r="Z13" i="63"/>
  <c r="Z17" i="63"/>
  <c r="Z21" i="63"/>
  <c r="Z25" i="63"/>
  <c r="Z29" i="63"/>
  <c r="Z33" i="63"/>
  <c r="Z37" i="63"/>
  <c r="Z41" i="63"/>
  <c r="Z45" i="63"/>
  <c r="Z49" i="63"/>
  <c r="Z8" i="63"/>
  <c r="Z12" i="63"/>
  <c r="Z16" i="63"/>
  <c r="Z20" i="63"/>
  <c r="Z24" i="63"/>
  <c r="Z28" i="63"/>
  <c r="Z32" i="63"/>
  <c r="Z36" i="63"/>
  <c r="Z40" i="63"/>
  <c r="Z44" i="63"/>
  <c r="Z48" i="63"/>
  <c r="Z50" i="49"/>
  <c r="Y50" i="67" s="1"/>
  <c r="Y102" i="67" s="1"/>
  <c r="Z46" i="49"/>
  <c r="Y46" i="67" s="1"/>
  <c r="Y98" i="67" s="1"/>
  <c r="Z30" i="49"/>
  <c r="Y30" i="67" s="1"/>
  <c r="Y82" i="67" s="1"/>
  <c r="Z41" i="49"/>
  <c r="Y41" i="67" s="1"/>
  <c r="Y93" i="67" s="1"/>
  <c r="Z24" i="49"/>
  <c r="Y24" i="67" s="1"/>
  <c r="Y76" i="67" s="1"/>
  <c r="Z23" i="49"/>
  <c r="Y23" i="67" s="1"/>
  <c r="Y75" i="67" s="1"/>
  <c r="Z40" i="49"/>
  <c r="Y40" i="67" s="1"/>
  <c r="Y92" i="67" s="1"/>
  <c r="Z19" i="49"/>
  <c r="Y19" i="67" s="1"/>
  <c r="Y71" i="67" s="1"/>
  <c r="Z39" i="49"/>
  <c r="Y39" i="67" s="1"/>
  <c r="Y91" i="67" s="1"/>
  <c r="Z13" i="49"/>
  <c r="Y13" i="67" s="1"/>
  <c r="Y65" i="67" s="1"/>
  <c r="Z47" i="49"/>
  <c r="Y47" i="67" s="1"/>
  <c r="Y99" i="67" s="1"/>
  <c r="Z10" i="49"/>
  <c r="Y10" i="67" s="1"/>
  <c r="Y62" i="67" s="1"/>
  <c r="Z51" i="49"/>
  <c r="Y51" i="67" s="1"/>
  <c r="Y103" i="67" s="1"/>
  <c r="Z22" i="49"/>
  <c r="Y22" i="67" s="1"/>
  <c r="Y74" i="67" s="1"/>
  <c r="Z35" i="49"/>
  <c r="Y35" i="67" s="1"/>
  <c r="Y87" i="67" s="1"/>
  <c r="Z11" i="49"/>
  <c r="Y11" i="67" s="1"/>
  <c r="Y63" i="67" s="1"/>
  <c r="Z29" i="49"/>
  <c r="Y29" i="67" s="1"/>
  <c r="Y81" i="67" s="1"/>
  <c r="Z9" i="49"/>
  <c r="Y9" i="67" s="1"/>
  <c r="Y61" i="67" s="1"/>
  <c r="Z48" i="49"/>
  <c r="Y48" i="67" s="1"/>
  <c r="Y100" i="67" s="1"/>
  <c r="Z27" i="49"/>
  <c r="Y27" i="67" s="1"/>
  <c r="Y79" i="67" s="1"/>
  <c r="Z8" i="49"/>
  <c r="Y8" i="67" s="1"/>
  <c r="Y60" i="67" s="1"/>
  <c r="Z7" i="49"/>
  <c r="Y7" i="67" s="1"/>
  <c r="Y59" i="67" s="1"/>
  <c r="Z18" i="49"/>
  <c r="Y18" i="67" s="1"/>
  <c r="Y70" i="67" s="1"/>
  <c r="Z49" i="49"/>
  <c r="Y49" i="67" s="1"/>
  <c r="Y101" i="67" s="1"/>
  <c r="Z42" i="49"/>
  <c r="Y42" i="67" s="1"/>
  <c r="Y94" i="67" s="1"/>
  <c r="Z25" i="49"/>
  <c r="Y25" i="67" s="1"/>
  <c r="Y77" i="67" s="1"/>
  <c r="Z37" i="49"/>
  <c r="Y37" i="67" s="1"/>
  <c r="Y89" i="67" s="1"/>
  <c r="Z43" i="49"/>
  <c r="Y43" i="67" s="1"/>
  <c r="Y95" i="67" s="1"/>
  <c r="Z16" i="49"/>
  <c r="Y16" i="67" s="1"/>
  <c r="Y68" i="67" s="1"/>
  <c r="Z32" i="49"/>
  <c r="Y32" i="67" s="1"/>
  <c r="Y84" i="67" s="1"/>
  <c r="Z15" i="49"/>
  <c r="Y15" i="67" s="1"/>
  <c r="Y67" i="67" s="1"/>
  <c r="Z14" i="49"/>
  <c r="Y14" i="67" s="1"/>
  <c r="Y66" i="67" s="1"/>
  <c r="Z5" i="49"/>
  <c r="Z31" i="49"/>
  <c r="Y31" i="67" s="1"/>
  <c r="Y83" i="67" s="1"/>
  <c r="Z44" i="49"/>
  <c r="Y44" i="67" s="1"/>
  <c r="Y96" i="67" s="1"/>
  <c r="Z38" i="49"/>
  <c r="Y38" i="67" s="1"/>
  <c r="Y90" i="67" s="1"/>
  <c r="Z33" i="49"/>
  <c r="Y33" i="67" s="1"/>
  <c r="Y85" i="67" s="1"/>
  <c r="Z12" i="49"/>
  <c r="Y12" i="67" s="1"/>
  <c r="Y64" i="67" s="1"/>
  <c r="Z26" i="49"/>
  <c r="Y26" i="67" s="1"/>
  <c r="Y78" i="67" s="1"/>
  <c r="Z6" i="49"/>
  <c r="Y6" i="67" s="1"/>
  <c r="Y58" i="67" s="1"/>
  <c r="Z20" i="49"/>
  <c r="Y20" i="67" s="1"/>
  <c r="Y72" i="67" s="1"/>
  <c r="Z34" i="49"/>
  <c r="Y34" i="67" s="1"/>
  <c r="Y86" i="67" s="1"/>
  <c r="Z21" i="49"/>
  <c r="Y21" i="67" s="1"/>
  <c r="Y73" i="67" s="1"/>
  <c r="Z17" i="49"/>
  <c r="Y17" i="67" s="1"/>
  <c r="Y69" i="67" s="1"/>
  <c r="Z45" i="49"/>
  <c r="Y45" i="67" s="1"/>
  <c r="Y97" i="67" s="1"/>
  <c r="Z28" i="49"/>
  <c r="Y28" i="67" s="1"/>
  <c r="Y80" i="67" s="1"/>
  <c r="Z36" i="49"/>
  <c r="Y36" i="67" s="1"/>
  <c r="Y88" i="67" s="1"/>
  <c r="B6" i="69"/>
  <c r="O6" i="69"/>
  <c r="K6" i="69"/>
  <c r="T6" i="69"/>
  <c r="J6" i="69"/>
  <c r="H6" i="69"/>
  <c r="T8" i="69"/>
  <c r="Z48" i="52"/>
  <c r="L47" i="52"/>
  <c r="L49" i="53"/>
  <c r="N58" i="63"/>
  <c r="AV13" i="63"/>
  <c r="AR14" i="63"/>
  <c r="AV14" i="63" s="1"/>
  <c r="AQ11" i="63"/>
  <c r="AV23" i="63"/>
  <c r="AR24" i="63"/>
  <c r="AV24" i="63" s="1"/>
  <c r="V23" i="53"/>
  <c r="T23" i="68" s="1"/>
  <c r="T66" i="68" s="1"/>
  <c r="V23" i="54"/>
  <c r="V26" i="53"/>
  <c r="T26" i="68" s="1"/>
  <c r="T69" i="68" s="1"/>
  <c r="V26" i="54"/>
  <c r="V8" i="53"/>
  <c r="T8" i="68" s="1"/>
  <c r="T51" i="68" s="1"/>
  <c r="V8" i="54"/>
  <c r="N40" i="53"/>
  <c r="N40" i="68" s="1"/>
  <c r="N83" i="68" s="1"/>
  <c r="N40" i="54"/>
  <c r="N12" i="53"/>
  <c r="N12" i="68" s="1"/>
  <c r="N55" i="68" s="1"/>
  <c r="N12" i="54"/>
  <c r="N15" i="53"/>
  <c r="N15" i="68" s="1"/>
  <c r="N58" i="68" s="1"/>
  <c r="N15" i="54"/>
  <c r="W36" i="52"/>
  <c r="U36" i="53"/>
  <c r="S36" i="68" s="1"/>
  <c r="S79" i="68" s="1"/>
  <c r="U36" i="54"/>
  <c r="W33" i="52"/>
  <c r="U33" i="53"/>
  <c r="S33" i="68" s="1"/>
  <c r="S76" i="68" s="1"/>
  <c r="U33" i="54"/>
  <c r="W12" i="52"/>
  <c r="U12" i="53"/>
  <c r="S12" i="68" s="1"/>
  <c r="S55" i="68" s="1"/>
  <c r="U12" i="54"/>
  <c r="W6" i="52"/>
  <c r="U6" i="53"/>
  <c r="S6" i="68" s="1"/>
  <c r="S49" i="68" s="1"/>
  <c r="U6" i="54"/>
  <c r="T34" i="53"/>
  <c r="R34" i="68" s="1"/>
  <c r="R77" i="68" s="1"/>
  <c r="T34" i="54"/>
  <c r="T14" i="53"/>
  <c r="T14" i="54"/>
  <c r="T38" i="53"/>
  <c r="R38" i="68" s="1"/>
  <c r="R81" i="68" s="1"/>
  <c r="T38" i="54"/>
  <c r="T5" i="53"/>
  <c r="R5" i="68" s="1"/>
  <c r="R48" i="68" s="1"/>
  <c r="T44" i="52"/>
  <c r="T5" i="54"/>
  <c r="R15" i="53"/>
  <c r="S15" i="53" s="1"/>
  <c r="S15" i="52"/>
  <c r="R15" i="54"/>
  <c r="S15" i="54" s="1"/>
  <c r="R28" i="53"/>
  <c r="S28" i="53" s="1"/>
  <c r="S28" i="52"/>
  <c r="R28" i="54"/>
  <c r="S28" i="54" s="1"/>
  <c r="R39" i="53"/>
  <c r="S39" i="53" s="1"/>
  <c r="S39" i="52"/>
  <c r="R39" i="54"/>
  <c r="S39" i="54" s="1"/>
  <c r="R37" i="53"/>
  <c r="S37" i="53" s="1"/>
  <c r="S37" i="52"/>
  <c r="R37" i="54"/>
  <c r="S37" i="54" s="1"/>
  <c r="R5" i="53"/>
  <c r="S5" i="52"/>
  <c r="R44" i="52"/>
  <c r="R5" i="54"/>
  <c r="R11" i="53"/>
  <c r="S11" i="53" s="1"/>
  <c r="S11" i="52"/>
  <c r="R11" i="54"/>
  <c r="S11" i="54" s="1"/>
  <c r="S47" i="54"/>
  <c r="S47" i="52"/>
  <c r="S47" i="51"/>
  <c r="S47" i="53"/>
  <c r="V34" i="53"/>
  <c r="V34" i="54"/>
  <c r="V32" i="53"/>
  <c r="V32" i="54"/>
  <c r="V13" i="53"/>
  <c r="V13" i="54"/>
  <c r="V31" i="53"/>
  <c r="V31" i="54"/>
  <c r="V37" i="53"/>
  <c r="V37" i="54"/>
  <c r="V38" i="53"/>
  <c r="V38" i="54"/>
  <c r="V20" i="53"/>
  <c r="V20" i="54"/>
  <c r="V10" i="53"/>
  <c r="V10" i="54"/>
  <c r="V11" i="53"/>
  <c r="V11" i="54"/>
  <c r="V25" i="53"/>
  <c r="V25" i="54"/>
  <c r="N20" i="53"/>
  <c r="N20" i="68" s="1"/>
  <c r="N63" i="68" s="1"/>
  <c r="N20" i="54"/>
  <c r="N42" i="53"/>
  <c r="N42" i="68" s="1"/>
  <c r="N85" i="68" s="1"/>
  <c r="N42" i="54"/>
  <c r="N39" i="53"/>
  <c r="N39" i="68" s="1"/>
  <c r="N82" i="68" s="1"/>
  <c r="N39" i="54"/>
  <c r="N19" i="53"/>
  <c r="N19" i="68" s="1"/>
  <c r="N62" i="68" s="1"/>
  <c r="N19" i="54"/>
  <c r="N25" i="53"/>
  <c r="N25" i="68" s="1"/>
  <c r="N68" i="68" s="1"/>
  <c r="N25" i="54"/>
  <c r="N34" i="53"/>
  <c r="N34" i="68" s="1"/>
  <c r="N77" i="68" s="1"/>
  <c r="N34" i="54"/>
  <c r="N9" i="53"/>
  <c r="N9" i="68" s="1"/>
  <c r="N52" i="68" s="1"/>
  <c r="N9" i="54"/>
  <c r="N17" i="53"/>
  <c r="N17" i="68" s="1"/>
  <c r="N60" i="68" s="1"/>
  <c r="N17" i="54"/>
  <c r="N7" i="53"/>
  <c r="N7" i="68" s="1"/>
  <c r="N50" i="68" s="1"/>
  <c r="N7" i="54"/>
  <c r="W37" i="52"/>
  <c r="U37" i="53"/>
  <c r="S37" i="68" s="1"/>
  <c r="S80" i="68" s="1"/>
  <c r="U37" i="54"/>
  <c r="W34" i="52"/>
  <c r="U34" i="53"/>
  <c r="S34" i="68" s="1"/>
  <c r="S77" i="68" s="1"/>
  <c r="U34" i="54"/>
  <c r="W19" i="52"/>
  <c r="U19" i="53"/>
  <c r="S19" i="68" s="1"/>
  <c r="S62" i="68" s="1"/>
  <c r="U19" i="54"/>
  <c r="W17" i="52"/>
  <c r="U17" i="53"/>
  <c r="S17" i="68" s="1"/>
  <c r="S60" i="68" s="1"/>
  <c r="U17" i="54"/>
  <c r="W42" i="52"/>
  <c r="U42" i="53"/>
  <c r="S42" i="68" s="1"/>
  <c r="S85" i="68" s="1"/>
  <c r="U42" i="54"/>
  <c r="W40" i="52"/>
  <c r="U40" i="53"/>
  <c r="S40" i="68" s="1"/>
  <c r="S83" i="68" s="1"/>
  <c r="U40" i="54"/>
  <c r="W22" i="52"/>
  <c r="U22" i="53"/>
  <c r="S22" i="68" s="1"/>
  <c r="S65" i="68" s="1"/>
  <c r="U22" i="54"/>
  <c r="W5" i="52"/>
  <c r="U5" i="53"/>
  <c r="S5" i="68" s="1"/>
  <c r="S48" i="68" s="1"/>
  <c r="U44" i="52"/>
  <c r="U5" i="54"/>
  <c r="W10" i="52"/>
  <c r="U10" i="53"/>
  <c r="S10" i="68" s="1"/>
  <c r="S53" i="68" s="1"/>
  <c r="U10" i="54"/>
  <c r="T32" i="53"/>
  <c r="T32" i="54"/>
  <c r="T35" i="53"/>
  <c r="T35" i="54"/>
  <c r="T17" i="53"/>
  <c r="T17" i="54"/>
  <c r="T42" i="53"/>
  <c r="T42" i="54"/>
  <c r="T40" i="53"/>
  <c r="T40" i="54"/>
  <c r="T22" i="53"/>
  <c r="T22" i="54"/>
  <c r="T20" i="53"/>
  <c r="T20" i="54"/>
  <c r="T6" i="53"/>
  <c r="T6" i="54"/>
  <c r="T10" i="53"/>
  <c r="T10" i="54"/>
  <c r="R26" i="53"/>
  <c r="S26" i="53" s="1"/>
  <c r="S26" i="52"/>
  <c r="R26" i="54"/>
  <c r="S26" i="54" s="1"/>
  <c r="R31" i="53"/>
  <c r="S31" i="53" s="1"/>
  <c r="S31" i="52"/>
  <c r="R31" i="54"/>
  <c r="S31" i="54" s="1"/>
  <c r="R27" i="53"/>
  <c r="S27" i="53" s="1"/>
  <c r="S27" i="52"/>
  <c r="R27" i="54"/>
  <c r="S27" i="54" s="1"/>
  <c r="R25" i="53"/>
  <c r="S25" i="53" s="1"/>
  <c r="S25" i="52"/>
  <c r="R25" i="54"/>
  <c r="S25" i="54" s="1"/>
  <c r="R23" i="53"/>
  <c r="S23" i="53" s="1"/>
  <c r="S23" i="52"/>
  <c r="R23" i="54"/>
  <c r="S23" i="54" s="1"/>
  <c r="R21" i="53"/>
  <c r="S21" i="53" s="1"/>
  <c r="S21" i="52"/>
  <c r="R21" i="54"/>
  <c r="S21" i="54" s="1"/>
  <c r="S19" i="52"/>
  <c r="R19" i="53"/>
  <c r="S19" i="53" s="1"/>
  <c r="R19" i="54"/>
  <c r="S19" i="54" s="1"/>
  <c r="R6" i="53"/>
  <c r="S6" i="53" s="1"/>
  <c r="S6" i="52"/>
  <c r="R6" i="54"/>
  <c r="S6" i="54" s="1"/>
  <c r="R8" i="53"/>
  <c r="S8" i="53" s="1"/>
  <c r="S8" i="52"/>
  <c r="R8" i="54"/>
  <c r="S8" i="54" s="1"/>
  <c r="V30" i="53"/>
  <c r="T30" i="68" s="1"/>
  <c r="T73" i="68" s="1"/>
  <c r="V30" i="54"/>
  <c r="V36" i="53"/>
  <c r="T36" i="68" s="1"/>
  <c r="T79" i="68" s="1"/>
  <c r="V36" i="54"/>
  <c r="V21" i="53"/>
  <c r="T21" i="68" s="1"/>
  <c r="T64" i="68" s="1"/>
  <c r="V21" i="54"/>
  <c r="N27" i="53"/>
  <c r="N27" i="68" s="1"/>
  <c r="N70" i="68" s="1"/>
  <c r="N27" i="54"/>
  <c r="N41" i="53"/>
  <c r="N41" i="68" s="1"/>
  <c r="N84" i="68" s="1"/>
  <c r="N41" i="54"/>
  <c r="N31" i="53"/>
  <c r="N31" i="68" s="1"/>
  <c r="N74" i="68" s="1"/>
  <c r="N31" i="54"/>
  <c r="N16" i="53"/>
  <c r="N16" i="68" s="1"/>
  <c r="N59" i="68" s="1"/>
  <c r="N16" i="54"/>
  <c r="W39" i="52"/>
  <c r="U39" i="53"/>
  <c r="S39" i="68" s="1"/>
  <c r="S82" i="68" s="1"/>
  <c r="U39" i="54"/>
  <c r="W35" i="52"/>
  <c r="U35" i="53"/>
  <c r="S35" i="68" s="1"/>
  <c r="S78" i="68" s="1"/>
  <c r="U35" i="54"/>
  <c r="W14" i="52"/>
  <c r="U14" i="53"/>
  <c r="S14" i="68" s="1"/>
  <c r="S57" i="68" s="1"/>
  <c r="U14" i="54"/>
  <c r="W38" i="52"/>
  <c r="U38" i="53"/>
  <c r="S38" i="68" s="1"/>
  <c r="S81" i="68" s="1"/>
  <c r="U38" i="54"/>
  <c r="W9" i="52"/>
  <c r="U9" i="53"/>
  <c r="S9" i="68" s="1"/>
  <c r="S52" i="68" s="1"/>
  <c r="U9" i="54"/>
  <c r="T37" i="53"/>
  <c r="R37" i="68" s="1"/>
  <c r="R80" i="68" s="1"/>
  <c r="T37" i="54"/>
  <c r="T33" i="53"/>
  <c r="R33" i="68" s="1"/>
  <c r="R76" i="68" s="1"/>
  <c r="T33" i="54"/>
  <c r="T12" i="53"/>
  <c r="R12" i="68" s="1"/>
  <c r="R55" i="68" s="1"/>
  <c r="T12" i="54"/>
  <c r="T36" i="53"/>
  <c r="R36" i="68" s="1"/>
  <c r="R79" i="68" s="1"/>
  <c r="T36" i="54"/>
  <c r="W36" i="54" s="1"/>
  <c r="T9" i="53"/>
  <c r="R9" i="68" s="1"/>
  <c r="R52" i="68" s="1"/>
  <c r="T9" i="54"/>
  <c r="R33" i="53"/>
  <c r="S33" i="53" s="1"/>
  <c r="S33" i="52"/>
  <c r="R33" i="54"/>
  <c r="S33" i="54" s="1"/>
  <c r="R41" i="53"/>
  <c r="S41" i="53" s="1"/>
  <c r="S41" i="52"/>
  <c r="R41" i="54"/>
  <c r="S41" i="54" s="1"/>
  <c r="R35" i="53"/>
  <c r="S35" i="53" s="1"/>
  <c r="S35" i="52"/>
  <c r="R35" i="54"/>
  <c r="S35" i="54" s="1"/>
  <c r="S46" i="54"/>
  <c r="S46" i="53"/>
  <c r="S46" i="52"/>
  <c r="S46" i="51"/>
  <c r="N57" i="47"/>
  <c r="N55" i="50"/>
  <c r="N55" i="49"/>
  <c r="N55" i="48"/>
  <c r="N54" i="49"/>
  <c r="N54" i="50"/>
  <c r="N54" i="48"/>
  <c r="V18" i="53"/>
  <c r="V18" i="54"/>
  <c r="V35" i="53"/>
  <c r="V35" i="54"/>
  <c r="V41" i="53"/>
  <c r="V41" i="54"/>
  <c r="V14" i="53"/>
  <c r="V14" i="54"/>
  <c r="V40" i="53"/>
  <c r="V40" i="54"/>
  <c r="V22" i="53"/>
  <c r="V22" i="54"/>
  <c r="V5" i="53"/>
  <c r="V44" i="52"/>
  <c r="V5" i="54"/>
  <c r="V16" i="53"/>
  <c r="V16" i="54"/>
  <c r="V15" i="53"/>
  <c r="T15" i="68" s="1"/>
  <c r="T58" i="68" s="1"/>
  <c r="V15" i="54"/>
  <c r="L48" i="51"/>
  <c r="N30" i="53"/>
  <c r="N30" i="68" s="1"/>
  <c r="N73" i="68" s="1"/>
  <c r="N30" i="54"/>
  <c r="N26" i="53"/>
  <c r="N26" i="68" s="1"/>
  <c r="N69" i="68" s="1"/>
  <c r="N26" i="54"/>
  <c r="N23" i="53"/>
  <c r="N23" i="68" s="1"/>
  <c r="N66" i="68" s="1"/>
  <c r="N23" i="54"/>
  <c r="N38" i="53"/>
  <c r="N38" i="68" s="1"/>
  <c r="N81" i="68" s="1"/>
  <c r="N38" i="54"/>
  <c r="N32" i="53"/>
  <c r="N32" i="68" s="1"/>
  <c r="N75" i="68" s="1"/>
  <c r="N32" i="54"/>
  <c r="N37" i="53"/>
  <c r="N37" i="68" s="1"/>
  <c r="N80" i="68" s="1"/>
  <c r="N37" i="54"/>
  <c r="N11" i="53"/>
  <c r="N11" i="68" s="1"/>
  <c r="N54" i="68" s="1"/>
  <c r="N11" i="54"/>
  <c r="N21" i="53"/>
  <c r="N21" i="68" s="1"/>
  <c r="N64" i="68" s="1"/>
  <c r="N21" i="54"/>
  <c r="N8" i="53"/>
  <c r="N8" i="68" s="1"/>
  <c r="N51" i="68" s="1"/>
  <c r="N8" i="54"/>
  <c r="W20" i="52"/>
  <c r="U20" i="53"/>
  <c r="S20" i="68" s="1"/>
  <c r="S63" i="68" s="1"/>
  <c r="U20" i="54"/>
  <c r="W23" i="52"/>
  <c r="U23" i="53"/>
  <c r="S23" i="68" s="1"/>
  <c r="S66" i="68" s="1"/>
  <c r="U23" i="54"/>
  <c r="W32" i="52"/>
  <c r="U32" i="53"/>
  <c r="S32" i="68" s="1"/>
  <c r="S75" i="68" s="1"/>
  <c r="U32" i="54"/>
  <c r="W30" i="52"/>
  <c r="U30" i="53"/>
  <c r="S30" i="68" s="1"/>
  <c r="S73" i="68" s="1"/>
  <c r="U30" i="54"/>
  <c r="W28" i="52"/>
  <c r="U28" i="53"/>
  <c r="S28" i="68" s="1"/>
  <c r="S71" i="68" s="1"/>
  <c r="U28" i="54"/>
  <c r="W26" i="52"/>
  <c r="U26" i="53"/>
  <c r="S26" i="68" s="1"/>
  <c r="S69" i="68" s="1"/>
  <c r="U26" i="54"/>
  <c r="W24" i="52"/>
  <c r="U24" i="53"/>
  <c r="S24" i="68" s="1"/>
  <c r="S67" i="68" s="1"/>
  <c r="U24" i="54"/>
  <c r="W41" i="52"/>
  <c r="U41" i="53"/>
  <c r="S41" i="68" s="1"/>
  <c r="S84" i="68" s="1"/>
  <c r="U41" i="54"/>
  <c r="W7" i="52"/>
  <c r="U7" i="53"/>
  <c r="S7" i="68" s="1"/>
  <c r="S50" i="68" s="1"/>
  <c r="I9" i="70" s="1"/>
  <c r="U7" i="54"/>
  <c r="W11" i="52"/>
  <c r="U11" i="53"/>
  <c r="S11" i="68" s="1"/>
  <c r="S54" i="68" s="1"/>
  <c r="U11" i="54"/>
  <c r="T21" i="53"/>
  <c r="T21" i="54"/>
  <c r="T18" i="53"/>
  <c r="T18" i="54"/>
  <c r="T30" i="53"/>
  <c r="W30" i="53" s="1"/>
  <c r="T30" i="54"/>
  <c r="W30" i="54" s="1"/>
  <c r="T28" i="53"/>
  <c r="T28" i="54"/>
  <c r="T26" i="53"/>
  <c r="W26" i="53" s="1"/>
  <c r="T26" i="54"/>
  <c r="T24" i="53"/>
  <c r="T24" i="54"/>
  <c r="T41" i="53"/>
  <c r="W41" i="53" s="1"/>
  <c r="T41" i="54"/>
  <c r="W41" i="54" s="1"/>
  <c r="T39" i="53"/>
  <c r="T39" i="54"/>
  <c r="T7" i="53"/>
  <c r="T7" i="54"/>
  <c r="T11" i="53"/>
  <c r="T11" i="54"/>
  <c r="W11" i="54" s="1"/>
  <c r="R14" i="53"/>
  <c r="S14" i="53" s="1"/>
  <c r="S14" i="52"/>
  <c r="R14" i="54"/>
  <c r="S14" i="54" s="1"/>
  <c r="R17" i="53"/>
  <c r="S17" i="53" s="1"/>
  <c r="S17" i="52"/>
  <c r="R17" i="54"/>
  <c r="S17" i="54" s="1"/>
  <c r="R29" i="53"/>
  <c r="S29" i="53" s="1"/>
  <c r="S29" i="52"/>
  <c r="R29" i="54"/>
  <c r="S29" i="54" s="1"/>
  <c r="R38" i="53"/>
  <c r="S38" i="53" s="1"/>
  <c r="S38" i="52"/>
  <c r="R38" i="54"/>
  <c r="S38" i="54" s="1"/>
  <c r="R40" i="53"/>
  <c r="S40" i="53" s="1"/>
  <c r="S40" i="52"/>
  <c r="R40" i="54"/>
  <c r="S40" i="54" s="1"/>
  <c r="R34" i="53"/>
  <c r="S34" i="53" s="1"/>
  <c r="S34" i="52"/>
  <c r="R34" i="54"/>
  <c r="S34" i="54" s="1"/>
  <c r="R36" i="53"/>
  <c r="S36" i="53" s="1"/>
  <c r="S36" i="52"/>
  <c r="R36" i="54"/>
  <c r="S36" i="54" s="1"/>
  <c r="R30" i="53"/>
  <c r="S30" i="53" s="1"/>
  <c r="S30" i="52"/>
  <c r="R30" i="54"/>
  <c r="S30" i="54" s="1"/>
  <c r="R7" i="53"/>
  <c r="S7" i="53" s="1"/>
  <c r="S7" i="52"/>
  <c r="R7" i="54"/>
  <c r="S7" i="54" s="1"/>
  <c r="R10" i="53"/>
  <c r="S10" i="53" s="1"/>
  <c r="S10" i="52"/>
  <c r="R10" i="54"/>
  <c r="S10" i="54" s="1"/>
  <c r="V39" i="53"/>
  <c r="T39" i="68" s="1"/>
  <c r="T82" i="68" s="1"/>
  <c r="V39" i="54"/>
  <c r="V28" i="53"/>
  <c r="W28" i="53" s="1"/>
  <c r="V28" i="54"/>
  <c r="V27" i="53"/>
  <c r="T27" i="68" s="1"/>
  <c r="T70" i="68" s="1"/>
  <c r="V27" i="54"/>
  <c r="V9" i="53"/>
  <c r="T9" i="68" s="1"/>
  <c r="T52" i="68" s="1"/>
  <c r="V9" i="54"/>
  <c r="N36" i="53"/>
  <c r="N36" i="68" s="1"/>
  <c r="N79" i="68" s="1"/>
  <c r="N36" i="54"/>
  <c r="N14" i="53"/>
  <c r="N14" i="68" s="1"/>
  <c r="N57" i="68" s="1"/>
  <c r="N14" i="54"/>
  <c r="N6" i="53"/>
  <c r="N6" i="68" s="1"/>
  <c r="N49" i="68" s="1"/>
  <c r="N6" i="54"/>
  <c r="N58" i="47"/>
  <c r="N56" i="50"/>
  <c r="N56" i="49"/>
  <c r="N56" i="48"/>
  <c r="L46" i="54"/>
  <c r="L46" i="53"/>
  <c r="L46" i="51"/>
  <c r="L46" i="52"/>
  <c r="L49" i="52" s="1"/>
  <c r="L48" i="52" s="1"/>
  <c r="V29" i="53"/>
  <c r="T29" i="68" s="1"/>
  <c r="T72" i="68" s="1"/>
  <c r="V29" i="54"/>
  <c r="V19" i="53"/>
  <c r="T19" i="68" s="1"/>
  <c r="T62" i="68" s="1"/>
  <c r="V19" i="54"/>
  <c r="V12" i="53"/>
  <c r="T12" i="68" s="1"/>
  <c r="T55" i="68" s="1"/>
  <c r="V12" i="54"/>
  <c r="V42" i="53"/>
  <c r="T42" i="68" s="1"/>
  <c r="T85" i="68" s="1"/>
  <c r="V42" i="54"/>
  <c r="V24" i="53"/>
  <c r="T24" i="68" s="1"/>
  <c r="T67" i="68" s="1"/>
  <c r="V24" i="54"/>
  <c r="V33" i="53"/>
  <c r="T33" i="68" s="1"/>
  <c r="T76" i="68" s="1"/>
  <c r="V33" i="54"/>
  <c r="V6" i="53"/>
  <c r="T6" i="68" s="1"/>
  <c r="T49" i="68" s="1"/>
  <c r="V6" i="54"/>
  <c r="V7" i="53"/>
  <c r="T7" i="68" s="1"/>
  <c r="T50" i="68" s="1"/>
  <c r="V7" i="54"/>
  <c r="V17" i="53"/>
  <c r="T17" i="68" s="1"/>
  <c r="T60" i="68" s="1"/>
  <c r="V17" i="54"/>
  <c r="N33" i="53"/>
  <c r="N33" i="68" s="1"/>
  <c r="N76" i="68" s="1"/>
  <c r="N33" i="54"/>
  <c r="N24" i="53"/>
  <c r="N24" i="68" s="1"/>
  <c r="N67" i="68" s="1"/>
  <c r="N24" i="54"/>
  <c r="N29" i="53"/>
  <c r="N29" i="68" s="1"/>
  <c r="N72" i="68" s="1"/>
  <c r="N29" i="54"/>
  <c r="N18" i="53"/>
  <c r="N18" i="68" s="1"/>
  <c r="N61" i="68" s="1"/>
  <c r="N18" i="54"/>
  <c r="N22" i="53"/>
  <c r="N22" i="68" s="1"/>
  <c r="N65" i="68" s="1"/>
  <c r="N22" i="54"/>
  <c r="N35" i="53"/>
  <c r="N35" i="68" s="1"/>
  <c r="N78" i="68" s="1"/>
  <c r="N35" i="54"/>
  <c r="N28" i="53"/>
  <c r="N28" i="68" s="1"/>
  <c r="N71" i="68" s="1"/>
  <c r="N28" i="54"/>
  <c r="N13" i="53"/>
  <c r="N13" i="68" s="1"/>
  <c r="N56" i="68" s="1"/>
  <c r="N13" i="54"/>
  <c r="N5" i="53"/>
  <c r="N44" i="52"/>
  <c r="N5" i="54"/>
  <c r="N10" i="53"/>
  <c r="N10" i="68" s="1"/>
  <c r="N53" i="68" s="1"/>
  <c r="N10" i="54"/>
  <c r="W18" i="52"/>
  <c r="U18" i="53"/>
  <c r="S18" i="68" s="1"/>
  <c r="S61" i="68" s="1"/>
  <c r="U18" i="54"/>
  <c r="W21" i="52"/>
  <c r="U21" i="53"/>
  <c r="S21" i="68" s="1"/>
  <c r="S64" i="68" s="1"/>
  <c r="U21" i="54"/>
  <c r="W15" i="52"/>
  <c r="U15" i="53"/>
  <c r="S15" i="68" s="1"/>
  <c r="S58" i="68" s="1"/>
  <c r="U15" i="54"/>
  <c r="W13" i="52"/>
  <c r="U13" i="53"/>
  <c r="S13" i="68" s="1"/>
  <c r="S56" i="68" s="1"/>
  <c r="U13" i="54"/>
  <c r="W31" i="52"/>
  <c r="U31" i="53"/>
  <c r="S31" i="68" s="1"/>
  <c r="S74" i="68" s="1"/>
  <c r="U31" i="54"/>
  <c r="W29" i="52"/>
  <c r="U29" i="53"/>
  <c r="S29" i="68" s="1"/>
  <c r="S72" i="68" s="1"/>
  <c r="U29" i="54"/>
  <c r="W27" i="52"/>
  <c r="U27" i="53"/>
  <c r="S27" i="68" s="1"/>
  <c r="S70" i="68" s="1"/>
  <c r="U27" i="54"/>
  <c r="W25" i="52"/>
  <c r="U25" i="53"/>
  <c r="S25" i="68" s="1"/>
  <c r="S68" i="68" s="1"/>
  <c r="U25" i="54"/>
  <c r="W8" i="52"/>
  <c r="U8" i="53"/>
  <c r="S8" i="68" s="1"/>
  <c r="S51" i="68" s="1"/>
  <c r="U8" i="54"/>
  <c r="W16" i="52"/>
  <c r="U16" i="53"/>
  <c r="S16" i="68" s="1"/>
  <c r="S59" i="68" s="1"/>
  <c r="U16" i="54"/>
  <c r="T19" i="53"/>
  <c r="T19" i="54"/>
  <c r="W19" i="54" s="1"/>
  <c r="T15" i="53"/>
  <c r="T15" i="54"/>
  <c r="W15" i="54" s="1"/>
  <c r="T13" i="53"/>
  <c r="T13" i="54"/>
  <c r="W13" i="54" s="1"/>
  <c r="T31" i="53"/>
  <c r="T31" i="54"/>
  <c r="W31" i="54" s="1"/>
  <c r="T29" i="53"/>
  <c r="T29" i="54"/>
  <c r="T27" i="53"/>
  <c r="T27" i="54"/>
  <c r="W27" i="54" s="1"/>
  <c r="T25" i="53"/>
  <c r="T25" i="54"/>
  <c r="W25" i="54" s="1"/>
  <c r="T23" i="53"/>
  <c r="W23" i="53" s="1"/>
  <c r="T23" i="54"/>
  <c r="W23" i="54" s="1"/>
  <c r="T8" i="53"/>
  <c r="T8" i="54"/>
  <c r="T16" i="53"/>
  <c r="T16" i="54"/>
  <c r="R42" i="53"/>
  <c r="S42" i="53" s="1"/>
  <c r="S42" i="52"/>
  <c r="R42" i="54"/>
  <c r="S42" i="54" s="1"/>
  <c r="R32" i="53"/>
  <c r="S32" i="53" s="1"/>
  <c r="S32" i="52"/>
  <c r="R32" i="54"/>
  <c r="S32" i="54" s="1"/>
  <c r="R12" i="53"/>
  <c r="S12" i="53" s="1"/>
  <c r="S12" i="52"/>
  <c r="R12" i="54"/>
  <c r="S12" i="54" s="1"/>
  <c r="R22" i="53"/>
  <c r="S22" i="53" s="1"/>
  <c r="S22" i="52"/>
  <c r="R22" i="54"/>
  <c r="S22" i="54" s="1"/>
  <c r="R24" i="53"/>
  <c r="S24" i="53" s="1"/>
  <c r="S24" i="52"/>
  <c r="R24" i="54"/>
  <c r="S24" i="54" s="1"/>
  <c r="R18" i="53"/>
  <c r="S18" i="53" s="1"/>
  <c r="S18" i="52"/>
  <c r="R18" i="54"/>
  <c r="S18" i="54" s="1"/>
  <c r="R20" i="53"/>
  <c r="S20" i="53" s="1"/>
  <c r="S20" i="52"/>
  <c r="R20" i="54"/>
  <c r="S20" i="54" s="1"/>
  <c r="R13" i="53"/>
  <c r="S13" i="53" s="1"/>
  <c r="S13" i="52"/>
  <c r="R13" i="54"/>
  <c r="S13" i="54" s="1"/>
  <c r="R9" i="53"/>
  <c r="S9" i="53" s="1"/>
  <c r="S9" i="52"/>
  <c r="R9" i="54"/>
  <c r="S9" i="54" s="1"/>
  <c r="R16" i="53"/>
  <c r="S16" i="53" s="1"/>
  <c r="S16" i="52"/>
  <c r="R16" i="54"/>
  <c r="S16" i="54" s="1"/>
  <c r="D35" i="5"/>
  <c r="Q45" i="64" s="1"/>
  <c r="I7" i="70" l="1"/>
  <c r="I11" i="70"/>
  <c r="N44" i="53"/>
  <c r="X6" i="69"/>
  <c r="AH16" i="50"/>
  <c r="AH20" i="50"/>
  <c r="AH27" i="50"/>
  <c r="AH38" i="50"/>
  <c r="AH5" i="50"/>
  <c r="AH53" i="48"/>
  <c r="AH58" i="48" s="1"/>
  <c r="AH20" i="63" s="1"/>
  <c r="AH25" i="50"/>
  <c r="AH43" i="50"/>
  <c r="AH32" i="63"/>
  <c r="AH32" i="50"/>
  <c r="AH30" i="50"/>
  <c r="AH40" i="50"/>
  <c r="AH18" i="50"/>
  <c r="AH47" i="50"/>
  <c r="W38" i="50"/>
  <c r="W25" i="50"/>
  <c r="W23" i="50"/>
  <c r="W17" i="50"/>
  <c r="W46" i="50"/>
  <c r="W18" i="50"/>
  <c r="W41" i="50"/>
  <c r="W5" i="50"/>
  <c r="W53" i="48"/>
  <c r="W58" i="48" s="1"/>
  <c r="W38" i="63" s="1"/>
  <c r="W42" i="50"/>
  <c r="W29" i="50"/>
  <c r="W31" i="50"/>
  <c r="W47" i="63"/>
  <c r="W47" i="50"/>
  <c r="AC35" i="50"/>
  <c r="AD35" i="50" s="1"/>
  <c r="AD35" i="48"/>
  <c r="AC24" i="50"/>
  <c r="AD24" i="50" s="1"/>
  <c r="AD24" i="48"/>
  <c r="AD6" i="48"/>
  <c r="AC6" i="50"/>
  <c r="AD6" i="50" s="1"/>
  <c r="AD22" i="48"/>
  <c r="AC22" i="50"/>
  <c r="AD22" i="50" s="1"/>
  <c r="AD20" i="48"/>
  <c r="AC20" i="50"/>
  <c r="AD20" i="50" s="1"/>
  <c r="AD16" i="48"/>
  <c r="AC16" i="50"/>
  <c r="AD16" i="50" s="1"/>
  <c r="AD10" i="48"/>
  <c r="AC10" i="50"/>
  <c r="AD10" i="50" s="1"/>
  <c r="AD37" i="48"/>
  <c r="AC37" i="50"/>
  <c r="AD37" i="50" s="1"/>
  <c r="AD13" i="48"/>
  <c r="AC13" i="50"/>
  <c r="AD13" i="50" s="1"/>
  <c r="AC44" i="50"/>
  <c r="AD44" i="50" s="1"/>
  <c r="AD44" i="48"/>
  <c r="AC12" i="50"/>
  <c r="AD12" i="50" s="1"/>
  <c r="AD12" i="48"/>
  <c r="O34" i="50"/>
  <c r="O10" i="50"/>
  <c r="O41" i="50"/>
  <c r="O38" i="50"/>
  <c r="O39" i="50"/>
  <c r="O14" i="50"/>
  <c r="O45" i="50"/>
  <c r="O49" i="50"/>
  <c r="O6" i="50"/>
  <c r="O50" i="50"/>
  <c r="O32" i="50"/>
  <c r="O19" i="50"/>
  <c r="M25" i="68"/>
  <c r="M68" i="68" s="1"/>
  <c r="M25" i="64"/>
  <c r="M25" i="54"/>
  <c r="M25" i="53"/>
  <c r="M38" i="68"/>
  <c r="M81" i="68" s="1"/>
  <c r="M38" i="64"/>
  <c r="M38" i="54"/>
  <c r="M38" i="53"/>
  <c r="M17" i="68"/>
  <c r="M60" i="68" s="1"/>
  <c r="M17" i="64"/>
  <c r="M17" i="54"/>
  <c r="M17" i="53"/>
  <c r="M34" i="68"/>
  <c r="M77" i="68" s="1"/>
  <c r="M34" i="64"/>
  <c r="M34" i="54"/>
  <c r="M34" i="53"/>
  <c r="M19" i="68"/>
  <c r="M62" i="68" s="1"/>
  <c r="M19" i="64"/>
  <c r="M19" i="54"/>
  <c r="M19" i="53"/>
  <c r="M16" i="68"/>
  <c r="M59" i="68" s="1"/>
  <c r="M16" i="64"/>
  <c r="M16" i="54"/>
  <c r="M16" i="53"/>
  <c r="M20" i="68"/>
  <c r="M63" i="68" s="1"/>
  <c r="M20" i="64"/>
  <c r="M20" i="54"/>
  <c r="M20" i="53"/>
  <c r="M11" i="68"/>
  <c r="M54" i="68" s="1"/>
  <c r="M11" i="64"/>
  <c r="M11" i="54"/>
  <c r="M11" i="53"/>
  <c r="M15" i="68"/>
  <c r="M58" i="68" s="1"/>
  <c r="M15" i="64"/>
  <c r="M15" i="53"/>
  <c r="M15" i="54"/>
  <c r="T5" i="68"/>
  <c r="T48" i="68" s="1"/>
  <c r="V5" i="64"/>
  <c r="T41" i="68"/>
  <c r="T84" i="68" s="1"/>
  <c r="V41" i="64"/>
  <c r="P42" i="50"/>
  <c r="P12" i="50"/>
  <c r="P16" i="50"/>
  <c r="P46" i="50"/>
  <c r="P18" i="50"/>
  <c r="P21" i="50"/>
  <c r="P29" i="50"/>
  <c r="P15" i="50"/>
  <c r="P47" i="50"/>
  <c r="P7" i="50"/>
  <c r="P22" i="50"/>
  <c r="P48" i="50"/>
  <c r="Q21" i="50"/>
  <c r="Q19" i="50"/>
  <c r="Q25" i="50"/>
  <c r="Q27" i="50"/>
  <c r="Q46" i="50"/>
  <c r="Q13" i="50"/>
  <c r="Q7" i="50"/>
  <c r="Q20" i="50"/>
  <c r="Q15" i="50"/>
  <c r="Q38" i="50"/>
  <c r="Q16" i="50"/>
  <c r="Q30" i="50"/>
  <c r="X13" i="50"/>
  <c r="X48" i="50"/>
  <c r="X43" i="50"/>
  <c r="X17" i="50"/>
  <c r="X36" i="50"/>
  <c r="X44" i="50"/>
  <c r="X35" i="50"/>
  <c r="X21" i="50"/>
  <c r="X50" i="50"/>
  <c r="X47" i="50"/>
  <c r="X49" i="50"/>
  <c r="L32" i="50"/>
  <c r="L42" i="63"/>
  <c r="L42" i="50"/>
  <c r="L27" i="63"/>
  <c r="L27" i="50"/>
  <c r="L36" i="50"/>
  <c r="L12" i="50"/>
  <c r="L5" i="63"/>
  <c r="L5" i="50"/>
  <c r="L53" i="48"/>
  <c r="L58" i="48" s="1"/>
  <c r="L32" i="63" s="1"/>
  <c r="L9" i="63"/>
  <c r="L9" i="50"/>
  <c r="L28" i="63"/>
  <c r="L28" i="50"/>
  <c r="L26" i="63"/>
  <c r="L26" i="50"/>
  <c r="L45" i="63"/>
  <c r="L45" i="50"/>
  <c r="L8" i="63"/>
  <c r="L8" i="50"/>
  <c r="L15" i="63"/>
  <c r="L15" i="50"/>
  <c r="Y54" i="63"/>
  <c r="Y58" i="63" s="1"/>
  <c r="Y54" i="50"/>
  <c r="Y54" i="49"/>
  <c r="Y58" i="49" s="1"/>
  <c r="Y54" i="48"/>
  <c r="T11" i="68"/>
  <c r="T54" i="68" s="1"/>
  <c r="V11" i="64"/>
  <c r="T37" i="68"/>
  <c r="T80" i="68" s="1"/>
  <c r="V37" i="64"/>
  <c r="T34" i="68"/>
  <c r="T77" i="68" s="1"/>
  <c r="V34" i="64"/>
  <c r="X8" i="69"/>
  <c r="M36" i="48"/>
  <c r="M25" i="48"/>
  <c r="M32" i="48"/>
  <c r="M10" i="48"/>
  <c r="M12" i="48"/>
  <c r="M39" i="48"/>
  <c r="M49" i="48"/>
  <c r="M45" i="48"/>
  <c r="M51" i="48"/>
  <c r="M33" i="48"/>
  <c r="M23" i="48"/>
  <c r="M13" i="48"/>
  <c r="M22" i="48"/>
  <c r="M26" i="48"/>
  <c r="M14" i="48"/>
  <c r="M31" i="48"/>
  <c r="M9" i="48"/>
  <c r="M15" i="48"/>
  <c r="M5" i="48"/>
  <c r="M20" i="48"/>
  <c r="M21" i="48"/>
  <c r="M46" i="48"/>
  <c r="M17" i="48"/>
  <c r="M48" i="48"/>
  <c r="M50" i="48"/>
  <c r="M8" i="48"/>
  <c r="M6" i="48"/>
  <c r="M38" i="48"/>
  <c r="M42" i="48"/>
  <c r="M37" i="48"/>
  <c r="M47" i="48"/>
  <c r="M18" i="48"/>
  <c r="M11" i="48"/>
  <c r="M16" i="48"/>
  <c r="M7" i="48"/>
  <c r="M29" i="48"/>
  <c r="M19" i="48"/>
  <c r="M44" i="48"/>
  <c r="M41" i="48"/>
  <c r="M43" i="48"/>
  <c r="M28" i="48"/>
  <c r="R10" i="50"/>
  <c r="R29" i="50"/>
  <c r="R33" i="50"/>
  <c r="R49" i="50"/>
  <c r="R53" i="48"/>
  <c r="R5" i="50"/>
  <c r="R12" i="50"/>
  <c r="R26" i="50"/>
  <c r="R27" i="50"/>
  <c r="R35" i="50"/>
  <c r="R22" i="50"/>
  <c r="R23" i="50"/>
  <c r="W9" i="64"/>
  <c r="M10" i="70"/>
  <c r="R40" i="68"/>
  <c r="R83" i="68" s="1"/>
  <c r="T40" i="64"/>
  <c r="R18" i="68"/>
  <c r="R61" i="68" s="1"/>
  <c r="T18" i="64"/>
  <c r="R24" i="68"/>
  <c r="R67" i="68" s="1"/>
  <c r="T24" i="64"/>
  <c r="W24" i="64" s="1"/>
  <c r="R11" i="68"/>
  <c r="R54" i="68" s="1"/>
  <c r="T11" i="64"/>
  <c r="W11" i="64" s="1"/>
  <c r="R6" i="68"/>
  <c r="R49" i="68" s="1"/>
  <c r="H7" i="70" s="1"/>
  <c r="T6" i="64"/>
  <c r="W6" i="64" s="1"/>
  <c r="R31" i="68"/>
  <c r="R74" i="68" s="1"/>
  <c r="T31" i="64"/>
  <c r="R23" i="68"/>
  <c r="R66" i="68" s="1"/>
  <c r="T23" i="64"/>
  <c r="W23" i="64" s="1"/>
  <c r="M27" i="48"/>
  <c r="M24" i="48"/>
  <c r="AI26" i="50"/>
  <c r="AI25" i="50"/>
  <c r="AI19" i="50"/>
  <c r="AI42" i="50"/>
  <c r="AI27" i="50"/>
  <c r="AI37" i="50"/>
  <c r="AI40" i="50"/>
  <c r="AI28" i="50"/>
  <c r="AI10" i="50"/>
  <c r="AI22" i="50"/>
  <c r="AI9" i="50"/>
  <c r="AI20" i="50"/>
  <c r="W34" i="64"/>
  <c r="N44" i="64"/>
  <c r="Q38" i="68"/>
  <c r="Q81" i="68" s="1"/>
  <c r="R38" i="64"/>
  <c r="S38" i="64" s="1"/>
  <c r="Q12" i="68"/>
  <c r="Q55" i="68" s="1"/>
  <c r="R12" i="64"/>
  <c r="S12" i="64" s="1"/>
  <c r="Q20" i="68"/>
  <c r="Q63" i="68" s="1"/>
  <c r="R20" i="64"/>
  <c r="S20" i="64" s="1"/>
  <c r="Q17" i="68"/>
  <c r="Q60" i="68" s="1"/>
  <c r="R17" i="64"/>
  <c r="S17" i="64" s="1"/>
  <c r="Q30" i="68"/>
  <c r="Q73" i="68" s="1"/>
  <c r="R30" i="64"/>
  <c r="S30" i="64" s="1"/>
  <c r="Q28" i="68"/>
  <c r="Q71" i="68" s="1"/>
  <c r="R28" i="64"/>
  <c r="S28" i="64" s="1"/>
  <c r="Q35" i="68"/>
  <c r="Q78" i="68" s="1"/>
  <c r="R35" i="64"/>
  <c r="S35" i="64" s="1"/>
  <c r="Q31" i="68"/>
  <c r="Q74" i="68" s="1"/>
  <c r="W16" i="54"/>
  <c r="O11" i="69"/>
  <c r="O9" i="69"/>
  <c r="AH12" i="63"/>
  <c r="AH12" i="50"/>
  <c r="AH45" i="63"/>
  <c r="AH45" i="50"/>
  <c r="AH15" i="63"/>
  <c r="AH15" i="50"/>
  <c r="AH21" i="63"/>
  <c r="AH21" i="50"/>
  <c r="AH34" i="63"/>
  <c r="AH34" i="50"/>
  <c r="AH46" i="63"/>
  <c r="AH46" i="50"/>
  <c r="AH49" i="63"/>
  <c r="AH49" i="50"/>
  <c r="AH7" i="63"/>
  <c r="AH7" i="50"/>
  <c r="AH28" i="63"/>
  <c r="AH28" i="50"/>
  <c r="AH8" i="63"/>
  <c r="AH8" i="50"/>
  <c r="AH9" i="63"/>
  <c r="AH9" i="50"/>
  <c r="AH26" i="63"/>
  <c r="AH26" i="50"/>
  <c r="W40" i="63"/>
  <c r="W40" i="50"/>
  <c r="W11" i="63"/>
  <c r="W11" i="50"/>
  <c r="W44" i="63"/>
  <c r="W44" i="49"/>
  <c r="V44" i="67" s="1"/>
  <c r="V96" i="67" s="1"/>
  <c r="W44" i="50"/>
  <c r="W8" i="63"/>
  <c r="W8" i="50"/>
  <c r="V8" i="67" s="1"/>
  <c r="V60" i="67" s="1"/>
  <c r="W8" i="49"/>
  <c r="W10" i="63"/>
  <c r="W10" i="50"/>
  <c r="V10" i="67" s="1"/>
  <c r="V62" i="67" s="1"/>
  <c r="W10" i="49"/>
  <c r="W33" i="63"/>
  <c r="W33" i="50"/>
  <c r="V33" i="67" s="1"/>
  <c r="V85" i="67" s="1"/>
  <c r="W33" i="49"/>
  <c r="W16" i="63"/>
  <c r="W16" i="50"/>
  <c r="W34" i="63"/>
  <c r="W34" i="49"/>
  <c r="V34" i="67" s="1"/>
  <c r="V86" i="67" s="1"/>
  <c r="W34" i="50"/>
  <c r="W6" i="63"/>
  <c r="W6" i="50"/>
  <c r="W39" i="63"/>
  <c r="W39" i="50"/>
  <c r="V9" i="67"/>
  <c r="V61" i="67" s="1"/>
  <c r="W9" i="63"/>
  <c r="W9" i="50"/>
  <c r="W9" i="49"/>
  <c r="AD27" i="48"/>
  <c r="AC27" i="50"/>
  <c r="AD27" i="50" s="1"/>
  <c r="AD21" i="48"/>
  <c r="AC21" i="50"/>
  <c r="AD21" i="50" s="1"/>
  <c r="AD49" i="48"/>
  <c r="AC49" i="50"/>
  <c r="AD49" i="50" s="1"/>
  <c r="AC28" i="50"/>
  <c r="AD28" i="50" s="1"/>
  <c r="AD28" i="48"/>
  <c r="AD51" i="48"/>
  <c r="AC51" i="50"/>
  <c r="AD51" i="50" s="1"/>
  <c r="AD11" i="48"/>
  <c r="AC11" i="50"/>
  <c r="AD11" i="50" s="1"/>
  <c r="AD48" i="48"/>
  <c r="AC48" i="50"/>
  <c r="AD48" i="50" s="1"/>
  <c r="AD50" i="48"/>
  <c r="AC50" i="50"/>
  <c r="AD50" i="50" s="1"/>
  <c r="AD39" i="48"/>
  <c r="AC39" i="50"/>
  <c r="AD39" i="50" s="1"/>
  <c r="AD45" i="48"/>
  <c r="AC45" i="50"/>
  <c r="AD45" i="50" s="1"/>
  <c r="AD43" i="48"/>
  <c r="AC43" i="50"/>
  <c r="AD43" i="50" s="1"/>
  <c r="AD14" i="48"/>
  <c r="AC14" i="50"/>
  <c r="AD14" i="50" s="1"/>
  <c r="O26" i="50"/>
  <c r="O35" i="50"/>
  <c r="O29" i="50"/>
  <c r="O27" i="50"/>
  <c r="O12" i="50"/>
  <c r="O44" i="50"/>
  <c r="O43" i="50"/>
  <c r="O30" i="50"/>
  <c r="O8" i="50"/>
  <c r="O22" i="50"/>
  <c r="O9" i="50"/>
  <c r="O7" i="50"/>
  <c r="M36" i="54"/>
  <c r="M36" i="64"/>
  <c r="M36" i="53"/>
  <c r="M36" i="68" s="1"/>
  <c r="M79" i="68" s="1"/>
  <c r="M14" i="64"/>
  <c r="M14" i="53"/>
  <c r="M14" i="68" s="1"/>
  <c r="M57" i="68" s="1"/>
  <c r="M14" i="54"/>
  <c r="M40" i="64"/>
  <c r="M40" i="54"/>
  <c r="M40" i="53"/>
  <c r="M40" i="68" s="1"/>
  <c r="M83" i="68" s="1"/>
  <c r="M21" i="53"/>
  <c r="M21" i="64"/>
  <c r="M21" i="54"/>
  <c r="M21" i="68" s="1"/>
  <c r="M64" i="68" s="1"/>
  <c r="M39" i="54"/>
  <c r="M39" i="64"/>
  <c r="M39" i="53"/>
  <c r="M39" i="68" s="1"/>
  <c r="M82" i="68" s="1"/>
  <c r="M22" i="64"/>
  <c r="M22" i="54"/>
  <c r="M22" i="53"/>
  <c r="M22" i="68" s="1"/>
  <c r="M65" i="68" s="1"/>
  <c r="M28" i="64"/>
  <c r="M28" i="54"/>
  <c r="M28" i="53"/>
  <c r="M28" i="68" s="1"/>
  <c r="M71" i="68" s="1"/>
  <c r="M23" i="64"/>
  <c r="M23" i="54"/>
  <c r="M23" i="53"/>
  <c r="M23" i="68" s="1"/>
  <c r="M66" i="68" s="1"/>
  <c r="M42" i="64"/>
  <c r="M42" i="53"/>
  <c r="M42" i="68" s="1"/>
  <c r="M85" i="68" s="1"/>
  <c r="M42" i="54"/>
  <c r="M13" i="64"/>
  <c r="M13" i="53"/>
  <c r="M13" i="68" s="1"/>
  <c r="M56" i="68" s="1"/>
  <c r="M13" i="54"/>
  <c r="T22" i="68"/>
  <c r="T65" i="68" s="1"/>
  <c r="V22" i="64"/>
  <c r="T35" i="68"/>
  <c r="T78" i="68" s="1"/>
  <c r="V35" i="64"/>
  <c r="P27" i="50"/>
  <c r="P25" i="50"/>
  <c r="P11" i="50"/>
  <c r="P35" i="50"/>
  <c r="P31" i="50"/>
  <c r="P30" i="50"/>
  <c r="P36" i="50"/>
  <c r="P28" i="50"/>
  <c r="P37" i="50"/>
  <c r="P9" i="50"/>
  <c r="P8" i="50"/>
  <c r="P40" i="50"/>
  <c r="Z5" i="67"/>
  <c r="Z57" i="67" s="1"/>
  <c r="P7" i="69" s="1"/>
  <c r="AA53" i="49"/>
  <c r="P9" i="69"/>
  <c r="AA53" i="63"/>
  <c r="Q9" i="50"/>
  <c r="Q23" i="50"/>
  <c r="Q17" i="50"/>
  <c r="Q18" i="50"/>
  <c r="Q44" i="50"/>
  <c r="Q36" i="50"/>
  <c r="Q45" i="50"/>
  <c r="Q31" i="50"/>
  <c r="Q33" i="50"/>
  <c r="Q11" i="50"/>
  <c r="Q41" i="50"/>
  <c r="X25" i="50"/>
  <c r="X15" i="50"/>
  <c r="X20" i="50"/>
  <c r="X38" i="50"/>
  <c r="X37" i="50"/>
  <c r="X46" i="50"/>
  <c r="X45" i="50"/>
  <c r="X31" i="50"/>
  <c r="X34" i="50"/>
  <c r="X18" i="50"/>
  <c r="X14" i="50"/>
  <c r="X10" i="50"/>
  <c r="L17" i="63"/>
  <c r="L17" i="50"/>
  <c r="L46" i="63"/>
  <c r="L46" i="50"/>
  <c r="L49" i="63"/>
  <c r="L49" i="50"/>
  <c r="L10" i="63"/>
  <c r="L10" i="50"/>
  <c r="L31" i="63"/>
  <c r="L31" i="50"/>
  <c r="L14" i="63"/>
  <c r="L14" i="50"/>
  <c r="L6" i="63"/>
  <c r="L6" i="50"/>
  <c r="L51" i="63"/>
  <c r="L51" i="50"/>
  <c r="L41" i="63"/>
  <c r="L41" i="50"/>
  <c r="L38" i="63"/>
  <c r="L38" i="50"/>
  <c r="L19" i="63"/>
  <c r="L19" i="50"/>
  <c r="L22" i="63"/>
  <c r="L22" i="50"/>
  <c r="V54" i="63"/>
  <c r="V58" i="63" s="1"/>
  <c r="V54" i="50"/>
  <c r="V54" i="48"/>
  <c r="V54" i="49"/>
  <c r="V58" i="49" s="1"/>
  <c r="O26" i="52"/>
  <c r="O12" i="52"/>
  <c r="O42" i="52"/>
  <c r="O35" i="52"/>
  <c r="O9" i="52"/>
  <c r="O5" i="52"/>
  <c r="O38" i="52"/>
  <c r="O40" i="52"/>
  <c r="O18" i="52"/>
  <c r="O36" i="52"/>
  <c r="O23" i="52"/>
  <c r="O17" i="52"/>
  <c r="O19" i="52"/>
  <c r="O11" i="52"/>
  <c r="O7" i="52"/>
  <c r="O41" i="52"/>
  <c r="O21" i="52"/>
  <c r="O13" i="52"/>
  <c r="O29" i="52"/>
  <c r="O32" i="52"/>
  <c r="O14" i="52"/>
  <c r="O39" i="52"/>
  <c r="O15" i="52"/>
  <c r="O16" i="52"/>
  <c r="O8" i="52"/>
  <c r="O28" i="52"/>
  <c r="O22" i="52"/>
  <c r="O24" i="52"/>
  <c r="O37" i="52"/>
  <c r="O20" i="52"/>
  <c r="O30" i="52"/>
  <c r="O31" i="52"/>
  <c r="O27" i="52"/>
  <c r="O6" i="52"/>
  <c r="O25" i="52"/>
  <c r="O33" i="52"/>
  <c r="O10" i="52"/>
  <c r="O34" i="52"/>
  <c r="W5" i="64"/>
  <c r="U44" i="64"/>
  <c r="T10" i="68"/>
  <c r="T53" i="68" s="1"/>
  <c r="V10" i="64"/>
  <c r="T31" i="68"/>
  <c r="T74" i="68" s="1"/>
  <c r="V31" i="64"/>
  <c r="P16" i="52"/>
  <c r="P8" i="52"/>
  <c r="P19" i="52"/>
  <c r="P25" i="52"/>
  <c r="P23" i="52"/>
  <c r="P12" i="52"/>
  <c r="P27" i="52"/>
  <c r="P33" i="52"/>
  <c r="P28" i="52"/>
  <c r="P14" i="52"/>
  <c r="P10" i="52"/>
  <c r="P15" i="52"/>
  <c r="P22" i="52"/>
  <c r="P26" i="52"/>
  <c r="P11" i="52"/>
  <c r="P7" i="52"/>
  <c r="P35" i="52"/>
  <c r="P41" i="52"/>
  <c r="P39" i="52"/>
  <c r="P29" i="52"/>
  <c r="P24" i="52"/>
  <c r="P13" i="52"/>
  <c r="P34" i="52"/>
  <c r="P18" i="52"/>
  <c r="P6" i="52"/>
  <c r="P20" i="52"/>
  <c r="P9" i="52"/>
  <c r="P5" i="52"/>
  <c r="P21" i="52"/>
  <c r="P31" i="52"/>
  <c r="P32" i="52"/>
  <c r="P38" i="52"/>
  <c r="P17" i="52"/>
  <c r="P37" i="52"/>
  <c r="P36" i="52"/>
  <c r="P30" i="52"/>
  <c r="P42" i="52"/>
  <c r="P40" i="52"/>
  <c r="R47" i="50"/>
  <c r="R39" i="50"/>
  <c r="R18" i="50"/>
  <c r="R19" i="50"/>
  <c r="R46" i="50"/>
  <c r="R21" i="50"/>
  <c r="R25" i="50"/>
  <c r="R34" i="50"/>
  <c r="R13" i="50"/>
  <c r="R40" i="50"/>
  <c r="R8" i="50"/>
  <c r="R15" i="50"/>
  <c r="T28" i="68"/>
  <c r="T71" i="68" s="1"/>
  <c r="M6" i="70"/>
  <c r="U53" i="48"/>
  <c r="U58" i="48" s="1"/>
  <c r="U5" i="50"/>
  <c r="Y60" i="47"/>
  <c r="R20" i="68"/>
  <c r="R63" i="68" s="1"/>
  <c r="T20" i="64"/>
  <c r="R30" i="68"/>
  <c r="R73" i="68" s="1"/>
  <c r="T30" i="64"/>
  <c r="W30" i="64" s="1"/>
  <c r="R41" i="68"/>
  <c r="R84" i="68" s="1"/>
  <c r="T41" i="64"/>
  <c r="W41" i="64" s="1"/>
  <c r="R35" i="68"/>
  <c r="R78" i="68" s="1"/>
  <c r="T35" i="64"/>
  <c r="W35" i="64" s="1"/>
  <c r="R19" i="68"/>
  <c r="R62" i="68" s="1"/>
  <c r="T19" i="64"/>
  <c r="W19" i="64" s="1"/>
  <c r="R29" i="68"/>
  <c r="R72" i="68" s="1"/>
  <c r="T29" i="64"/>
  <c r="W29" i="64" s="1"/>
  <c r="R8" i="68"/>
  <c r="R51" i="68" s="1"/>
  <c r="T8" i="64"/>
  <c r="W8" i="64" s="1"/>
  <c r="Q8" i="68"/>
  <c r="Q51" i="68" s="1"/>
  <c r="M40" i="48"/>
  <c r="M30" i="48"/>
  <c r="AI17" i="50"/>
  <c r="AI38" i="50"/>
  <c r="AI13" i="50"/>
  <c r="AI41" i="50"/>
  <c r="AI36" i="50"/>
  <c r="AI16" i="50"/>
  <c r="AI6" i="50"/>
  <c r="AI23" i="50"/>
  <c r="AI32" i="50"/>
  <c r="AI31" i="50"/>
  <c r="AI14" i="50"/>
  <c r="Q19" i="68"/>
  <c r="Q62" i="68" s="1"/>
  <c r="N5" i="68"/>
  <c r="N48" i="68" s="1"/>
  <c r="Q7" i="68"/>
  <c r="Q50" i="68" s="1"/>
  <c r="R7" i="64"/>
  <c r="S7" i="64" s="1"/>
  <c r="Q22" i="68"/>
  <c r="Q65" i="68" s="1"/>
  <c r="R22" i="64"/>
  <c r="S22" i="64" s="1"/>
  <c r="Q13" i="68"/>
  <c r="Q56" i="68" s="1"/>
  <c r="R13" i="64"/>
  <c r="S13" i="64" s="1"/>
  <c r="Q29" i="68"/>
  <c r="Q72" i="68" s="1"/>
  <c r="R29" i="64"/>
  <c r="S29" i="64" s="1"/>
  <c r="Q10" i="68"/>
  <c r="Q53" i="68" s="1"/>
  <c r="R10" i="64"/>
  <c r="S10" i="64" s="1"/>
  <c r="Q41" i="68"/>
  <c r="Q84" i="68" s="1"/>
  <c r="R41" i="64"/>
  <c r="S41" i="64" s="1"/>
  <c r="Q5" i="68"/>
  <c r="Q48" i="68" s="1"/>
  <c r="R5" i="64"/>
  <c r="R14" i="68"/>
  <c r="R57" i="68" s="1"/>
  <c r="T14" i="64"/>
  <c r="Q26" i="68"/>
  <c r="Q69" i="68" s="1"/>
  <c r="Q25" i="68"/>
  <c r="Q68" i="68" s="1"/>
  <c r="Z53" i="63"/>
  <c r="AH36" i="63"/>
  <c r="AH36" i="49"/>
  <c r="AD36" i="67" s="1"/>
  <c r="AD88" i="67" s="1"/>
  <c r="AH36" i="50"/>
  <c r="AH51" i="63"/>
  <c r="AH51" i="50"/>
  <c r="AH22" i="63"/>
  <c r="AH22" i="50"/>
  <c r="AH35" i="63"/>
  <c r="AH35" i="50"/>
  <c r="AH13" i="63"/>
  <c r="AH13" i="50"/>
  <c r="AH50" i="63"/>
  <c r="AH50" i="50"/>
  <c r="AH29" i="63"/>
  <c r="AH29" i="50"/>
  <c r="AH48" i="63"/>
  <c r="AH48" i="50"/>
  <c r="AH31" i="63"/>
  <c r="AH31" i="50"/>
  <c r="AH10" i="63"/>
  <c r="AH10" i="50"/>
  <c r="AH10" i="49"/>
  <c r="AD10" i="67" s="1"/>
  <c r="AD62" i="67" s="1"/>
  <c r="AH41" i="63"/>
  <c r="AH41" i="50"/>
  <c r="W22" i="63"/>
  <c r="W22" i="50"/>
  <c r="W19" i="63"/>
  <c r="W19" i="50"/>
  <c r="W21" i="63"/>
  <c r="W21" i="49"/>
  <c r="V21" i="67" s="1"/>
  <c r="V73" i="67" s="1"/>
  <c r="W21" i="50"/>
  <c r="W28" i="63"/>
  <c r="W28" i="49"/>
  <c r="V28" i="67" s="1"/>
  <c r="V80" i="67" s="1"/>
  <c r="W28" i="50"/>
  <c r="W24" i="63"/>
  <c r="W24" i="49"/>
  <c r="V24" i="67" s="1"/>
  <c r="V76" i="67" s="1"/>
  <c r="W24" i="50"/>
  <c r="W26" i="63"/>
  <c r="W26" i="49"/>
  <c r="V26" i="67" s="1"/>
  <c r="V78" i="67" s="1"/>
  <c r="W26" i="50"/>
  <c r="W45" i="63"/>
  <c r="W45" i="49"/>
  <c r="V45" i="67" s="1"/>
  <c r="V97" i="67" s="1"/>
  <c r="W45" i="50"/>
  <c r="W12" i="63"/>
  <c r="W12" i="50"/>
  <c r="W7" i="63"/>
  <c r="W7" i="49"/>
  <c r="V7" i="67" s="1"/>
  <c r="V59" i="67" s="1"/>
  <c r="W7" i="50"/>
  <c r="W30" i="63"/>
  <c r="W30" i="50"/>
  <c r="W50" i="63"/>
  <c r="W50" i="50"/>
  <c r="W20" i="63"/>
  <c r="W20" i="50"/>
  <c r="AD36" i="48"/>
  <c r="AC36" i="50"/>
  <c r="AD36" i="50" s="1"/>
  <c r="AD18" i="48"/>
  <c r="AC18" i="50"/>
  <c r="AD18" i="50" s="1"/>
  <c r="AD23" i="48"/>
  <c r="AC23" i="50"/>
  <c r="AD23" i="50" s="1"/>
  <c r="AC32" i="50"/>
  <c r="AD32" i="50" s="1"/>
  <c r="AD32" i="48"/>
  <c r="AD29" i="48"/>
  <c r="AC29" i="50"/>
  <c r="AD29" i="50" s="1"/>
  <c r="AC8" i="50"/>
  <c r="AD8" i="50" s="1"/>
  <c r="AD8" i="48"/>
  <c r="AD47" i="48"/>
  <c r="AC47" i="50"/>
  <c r="AD47" i="50" s="1"/>
  <c r="AD31" i="48"/>
  <c r="AC31" i="50"/>
  <c r="AD31" i="50" s="1"/>
  <c r="AD25" i="48"/>
  <c r="AC25" i="50"/>
  <c r="AD25" i="50" s="1"/>
  <c r="AD41" i="48"/>
  <c r="AC41" i="50"/>
  <c r="AD41" i="50" s="1"/>
  <c r="AD9" i="48"/>
  <c r="AC9" i="50"/>
  <c r="AD9" i="50" s="1"/>
  <c r="AD7" i="48"/>
  <c r="AC7" i="50"/>
  <c r="AD7" i="50" s="1"/>
  <c r="O25" i="50"/>
  <c r="O36" i="50"/>
  <c r="O20" i="50"/>
  <c r="O37" i="50"/>
  <c r="O15" i="50"/>
  <c r="O16" i="50"/>
  <c r="O28" i="50"/>
  <c r="O47" i="50"/>
  <c r="O13" i="50"/>
  <c r="O51" i="50"/>
  <c r="O40" i="50"/>
  <c r="O23" i="50"/>
  <c r="S53" i="48"/>
  <c r="M29" i="68"/>
  <c r="M72" i="68" s="1"/>
  <c r="M29" i="64"/>
  <c r="M29" i="53"/>
  <c r="M29" i="54"/>
  <c r="M35" i="68"/>
  <c r="M78" i="68" s="1"/>
  <c r="M35" i="64"/>
  <c r="M35" i="54"/>
  <c r="M35" i="53"/>
  <c r="M7" i="68"/>
  <c r="M50" i="68" s="1"/>
  <c r="M7" i="64"/>
  <c r="M7" i="54"/>
  <c r="M7" i="53"/>
  <c r="M37" i="54"/>
  <c r="M37" i="64"/>
  <c r="M37" i="53"/>
  <c r="M37" i="68" s="1"/>
  <c r="M80" i="68" s="1"/>
  <c r="M5" i="64"/>
  <c r="M5" i="53"/>
  <c r="M44" i="52"/>
  <c r="M5" i="54"/>
  <c r="M24" i="64"/>
  <c r="M24" i="54"/>
  <c r="M24" i="53"/>
  <c r="M24" i="68" s="1"/>
  <c r="M67" i="68" s="1"/>
  <c r="M31" i="64"/>
  <c r="M31" i="54"/>
  <c r="M31" i="53"/>
  <c r="M31" i="68" s="1"/>
  <c r="M74" i="68" s="1"/>
  <c r="M12" i="64"/>
  <c r="M12" i="54"/>
  <c r="M12" i="53"/>
  <c r="M12" i="68" s="1"/>
  <c r="M55" i="68" s="1"/>
  <c r="M33" i="64"/>
  <c r="M33" i="54"/>
  <c r="M33" i="53"/>
  <c r="M33" i="68" s="1"/>
  <c r="M76" i="68" s="1"/>
  <c r="M26" i="64"/>
  <c r="M26" i="53"/>
  <c r="M26" i="68" s="1"/>
  <c r="M69" i="68" s="1"/>
  <c r="M26" i="54"/>
  <c r="T40" i="68"/>
  <c r="T83" i="68" s="1"/>
  <c r="V40" i="64"/>
  <c r="T18" i="68"/>
  <c r="T61" i="68" s="1"/>
  <c r="V18" i="64"/>
  <c r="P41" i="50"/>
  <c r="P14" i="50"/>
  <c r="P34" i="50"/>
  <c r="P13" i="50"/>
  <c r="P17" i="50"/>
  <c r="P23" i="50"/>
  <c r="P44" i="50"/>
  <c r="P26" i="50"/>
  <c r="P32" i="50"/>
  <c r="P20" i="50"/>
  <c r="P24" i="50"/>
  <c r="P11" i="69"/>
  <c r="Q49" i="50"/>
  <c r="Q37" i="63"/>
  <c r="Q37" i="50"/>
  <c r="Q40" i="63"/>
  <c r="Q40" i="50"/>
  <c r="Q24" i="50"/>
  <c r="Q39" i="50"/>
  <c r="Q5" i="63"/>
  <c r="Q5" i="50"/>
  <c r="Q53" i="48"/>
  <c r="Q58" i="48" s="1"/>
  <c r="Q25" i="63" s="1"/>
  <c r="Q28" i="63"/>
  <c r="Q28" i="50"/>
  <c r="Q34" i="63"/>
  <c r="Q34" i="50"/>
  <c r="Q14" i="63"/>
  <c r="Q14" i="50"/>
  <c r="Q42" i="50"/>
  <c r="Q8" i="63"/>
  <c r="Q8" i="50"/>
  <c r="Q6" i="63"/>
  <c r="Q6" i="50"/>
  <c r="X27" i="50"/>
  <c r="X40" i="50"/>
  <c r="X11" i="50"/>
  <c r="X9" i="50"/>
  <c r="X8" i="50"/>
  <c r="X7" i="50"/>
  <c r="X6" i="50"/>
  <c r="X12" i="50"/>
  <c r="X42" i="50"/>
  <c r="X33" i="50"/>
  <c r="X29" i="50"/>
  <c r="X26" i="50"/>
  <c r="L33" i="63"/>
  <c r="L33" i="50"/>
  <c r="L21" i="63"/>
  <c r="L21" i="50"/>
  <c r="L7" i="63"/>
  <c r="L7" i="50"/>
  <c r="L43" i="63"/>
  <c r="L43" i="50"/>
  <c r="L44" i="63"/>
  <c r="L44" i="50"/>
  <c r="L13" i="63"/>
  <c r="L13" i="50"/>
  <c r="L48" i="63"/>
  <c r="L48" i="50"/>
  <c r="L11" i="63"/>
  <c r="L11" i="50"/>
  <c r="L20" i="63"/>
  <c r="L20" i="50"/>
  <c r="L47" i="63"/>
  <c r="L47" i="50"/>
  <c r="L16" i="63"/>
  <c r="L16" i="50"/>
  <c r="L18" i="63"/>
  <c r="L18" i="50"/>
  <c r="Z10" i="52"/>
  <c r="Z6" i="52"/>
  <c r="Z22" i="52"/>
  <c r="Z28" i="52"/>
  <c r="Z42" i="52"/>
  <c r="Z32" i="52"/>
  <c r="Z30" i="52"/>
  <c r="Z36" i="52"/>
  <c r="Z41" i="52"/>
  <c r="Z16" i="52"/>
  <c r="Z12" i="52"/>
  <c r="Z35" i="52"/>
  <c r="Z39" i="52"/>
  <c r="Z9" i="52"/>
  <c r="Z5" i="52"/>
  <c r="Z38" i="52"/>
  <c r="Z17" i="52"/>
  <c r="Z19" i="52"/>
  <c r="Z21" i="52"/>
  <c r="Z23" i="52"/>
  <c r="Z25" i="52"/>
  <c r="Z34" i="52"/>
  <c r="Z8" i="52"/>
  <c r="Z14" i="52"/>
  <c r="Z37" i="52"/>
  <c r="Z40" i="52"/>
  <c r="Z33" i="52"/>
  <c r="Z18" i="52"/>
  <c r="Z29" i="52"/>
  <c r="Z31" i="52"/>
  <c r="Z20" i="52"/>
  <c r="Z11" i="52"/>
  <c r="Z26" i="52"/>
  <c r="Z24" i="52"/>
  <c r="Z7" i="52"/>
  <c r="Z15" i="52"/>
  <c r="Z27" i="52"/>
  <c r="Z13" i="52"/>
  <c r="T20" i="68"/>
  <c r="T63" i="68" s="1"/>
  <c r="V20" i="64"/>
  <c r="T13" i="68"/>
  <c r="T56" i="68" s="1"/>
  <c r="V13" i="64"/>
  <c r="R31" i="50"/>
  <c r="R50" i="50"/>
  <c r="R32" i="50"/>
  <c r="R9" i="50"/>
  <c r="R43" i="50"/>
  <c r="R30" i="50"/>
  <c r="R51" i="50"/>
  <c r="R36" i="50"/>
  <c r="R20" i="50"/>
  <c r="R41" i="50"/>
  <c r="R24" i="50"/>
  <c r="R28" i="50"/>
  <c r="R32" i="68"/>
  <c r="R75" i="68" s="1"/>
  <c r="T32" i="64"/>
  <c r="R10" i="68"/>
  <c r="R53" i="68" s="1"/>
  <c r="T10" i="64"/>
  <c r="W10" i="64" s="1"/>
  <c r="R28" i="68"/>
  <c r="R71" i="68" s="1"/>
  <c r="T28" i="64"/>
  <c r="W28" i="64" s="1"/>
  <c r="R39" i="68"/>
  <c r="R82" i="68" s="1"/>
  <c r="T39" i="64"/>
  <c r="W39" i="64" s="1"/>
  <c r="R42" i="68"/>
  <c r="R85" i="68" s="1"/>
  <c r="T42" i="64"/>
  <c r="W42" i="64" s="1"/>
  <c r="R15" i="68"/>
  <c r="R58" i="68" s="1"/>
  <c r="T15" i="64"/>
  <c r="W15" i="64" s="1"/>
  <c r="R27" i="68"/>
  <c r="R70" i="68" s="1"/>
  <c r="T27" i="64"/>
  <c r="W27" i="64" s="1"/>
  <c r="R16" i="68"/>
  <c r="R59" i="68" s="1"/>
  <c r="T16" i="64"/>
  <c r="M35" i="48"/>
  <c r="AI21" i="63"/>
  <c r="AI21" i="50"/>
  <c r="AI7" i="63"/>
  <c r="AI7" i="50"/>
  <c r="AI34" i="50"/>
  <c r="AI47" i="50"/>
  <c r="AI35" i="63"/>
  <c r="AI35" i="50"/>
  <c r="AI15" i="63"/>
  <c r="AI15" i="50"/>
  <c r="AI18" i="63"/>
  <c r="AI18" i="50"/>
  <c r="AI5" i="63"/>
  <c r="AI5" i="50"/>
  <c r="AI53" i="48"/>
  <c r="AI58" i="48" s="1"/>
  <c r="AI19" i="63" s="1"/>
  <c r="AI29" i="63"/>
  <c r="AI29" i="50"/>
  <c r="AI48" i="63"/>
  <c r="AI48" i="50"/>
  <c r="AI50" i="63"/>
  <c r="AI50" i="50"/>
  <c r="AI46" i="50"/>
  <c r="X10" i="69"/>
  <c r="W12" i="64"/>
  <c r="Q36" i="68"/>
  <c r="Q79" i="68" s="1"/>
  <c r="R36" i="64"/>
  <c r="S36" i="64" s="1"/>
  <c r="Q42" i="68"/>
  <c r="Q85" i="68" s="1"/>
  <c r="R42" i="64"/>
  <c r="S42" i="64" s="1"/>
  <c r="Q24" i="68"/>
  <c r="Q67" i="68" s="1"/>
  <c r="R24" i="64"/>
  <c r="S24" i="64" s="1"/>
  <c r="Q9" i="68"/>
  <c r="Q52" i="68" s="1"/>
  <c r="R9" i="64"/>
  <c r="S9" i="64" s="1"/>
  <c r="Q40" i="68"/>
  <c r="Q83" i="68" s="1"/>
  <c r="R40" i="64"/>
  <c r="S40" i="64" s="1"/>
  <c r="Q33" i="68"/>
  <c r="Q76" i="68" s="1"/>
  <c r="R33" i="64"/>
  <c r="S33" i="64" s="1"/>
  <c r="Q39" i="68"/>
  <c r="Q82" i="68" s="1"/>
  <c r="R39" i="64"/>
  <c r="S39" i="64" s="1"/>
  <c r="Q11" i="68"/>
  <c r="Q54" i="68" s="1"/>
  <c r="R11" i="64"/>
  <c r="S11" i="64" s="1"/>
  <c r="Q21" i="68"/>
  <c r="Q64" i="68" s="1"/>
  <c r="W36" i="64"/>
  <c r="W19" i="53"/>
  <c r="Y5" i="67"/>
  <c r="Y57" i="67" s="1"/>
  <c r="O7" i="69" s="1"/>
  <c r="Z53" i="49"/>
  <c r="AH33" i="63"/>
  <c r="AH33" i="50"/>
  <c r="AH17" i="63"/>
  <c r="AH17" i="50"/>
  <c r="AH24" i="63"/>
  <c r="AH24" i="50"/>
  <c r="AH44" i="63"/>
  <c r="AH44" i="49"/>
  <c r="AD44" i="67" s="1"/>
  <c r="AD96" i="67" s="1"/>
  <c r="AH44" i="50"/>
  <c r="AH14" i="63"/>
  <c r="AH14" i="50"/>
  <c r="AH6" i="63"/>
  <c r="AH6" i="50"/>
  <c r="AH11" i="63"/>
  <c r="AH11" i="50"/>
  <c r="AH19" i="63"/>
  <c r="AH19" i="50"/>
  <c r="AH37" i="63"/>
  <c r="AH37" i="50"/>
  <c r="AH42" i="63"/>
  <c r="AH42" i="50"/>
  <c r="AH39" i="63"/>
  <c r="AH39" i="50"/>
  <c r="AH23" i="63"/>
  <c r="AH23" i="50"/>
  <c r="W32" i="63"/>
  <c r="W32" i="50"/>
  <c r="V32" i="67" s="1"/>
  <c r="V84" i="67" s="1"/>
  <c r="W32" i="49"/>
  <c r="W48" i="63"/>
  <c r="W48" i="50"/>
  <c r="W43" i="63"/>
  <c r="W43" i="49"/>
  <c r="V43" i="67" s="1"/>
  <c r="V95" i="67" s="1"/>
  <c r="W43" i="50"/>
  <c r="W51" i="63"/>
  <c r="W51" i="49"/>
  <c r="V51" i="67" s="1"/>
  <c r="V103" i="67" s="1"/>
  <c r="W51" i="50"/>
  <c r="W36" i="63"/>
  <c r="W36" i="50"/>
  <c r="W36" i="49"/>
  <c r="V36" i="67" s="1"/>
  <c r="V88" i="67" s="1"/>
  <c r="W27" i="63"/>
  <c r="W27" i="50"/>
  <c r="W27" i="49"/>
  <c r="V27" i="67" s="1"/>
  <c r="V79" i="67" s="1"/>
  <c r="W37" i="63"/>
  <c r="W37" i="50"/>
  <c r="W49" i="63"/>
  <c r="W49" i="50"/>
  <c r="V15" i="67"/>
  <c r="V67" i="67" s="1"/>
  <c r="W15" i="63"/>
  <c r="W15" i="49"/>
  <c r="W15" i="50"/>
  <c r="W14" i="63"/>
  <c r="W14" i="50"/>
  <c r="W13" i="63"/>
  <c r="W13" i="50"/>
  <c r="W35" i="63"/>
  <c r="W35" i="50"/>
  <c r="AD17" i="48"/>
  <c r="AC17" i="50"/>
  <c r="AD17" i="50" s="1"/>
  <c r="AD19" i="48"/>
  <c r="AC19" i="50"/>
  <c r="AD19" i="50" s="1"/>
  <c r="AD34" i="48"/>
  <c r="AC34" i="50"/>
  <c r="AD34" i="50" s="1"/>
  <c r="AC26" i="50"/>
  <c r="AD26" i="50" s="1"/>
  <c r="AD26" i="48"/>
  <c r="AC26" i="49"/>
  <c r="AD26" i="49" s="1"/>
  <c r="AC15" i="50"/>
  <c r="AD15" i="50" s="1"/>
  <c r="AC15" i="49"/>
  <c r="AD15" i="49" s="1"/>
  <c r="AD15" i="48"/>
  <c r="AC33" i="63"/>
  <c r="AD33" i="63" s="1"/>
  <c r="AC33" i="50"/>
  <c r="AD33" i="50" s="1"/>
  <c r="AD33" i="48"/>
  <c r="AC42" i="63"/>
  <c r="AD42" i="63" s="1"/>
  <c r="AD42" i="48"/>
  <c r="AC42" i="50"/>
  <c r="AD42" i="50" s="1"/>
  <c r="AC46" i="63"/>
  <c r="AD46" i="63" s="1"/>
  <c r="AD46" i="48"/>
  <c r="AC46" i="50"/>
  <c r="AD46" i="50" s="1"/>
  <c r="AC46" i="49"/>
  <c r="AD46" i="49" s="1"/>
  <c r="AC53" i="48"/>
  <c r="AC58" i="48" s="1"/>
  <c r="AC10" i="63" s="1"/>
  <c r="AD10" i="63" s="1"/>
  <c r="AC5" i="49"/>
  <c r="AD5" i="49" s="1"/>
  <c r="AC5" i="50"/>
  <c r="AD5" i="48"/>
  <c r="AC38" i="63"/>
  <c r="AD38" i="63" s="1"/>
  <c r="AD38" i="48"/>
  <c r="AC38" i="50"/>
  <c r="AD38" i="50" s="1"/>
  <c r="AC38" i="49"/>
  <c r="AD38" i="49" s="1"/>
  <c r="AC40" i="63"/>
  <c r="AD40" i="63" s="1"/>
  <c r="AC40" i="50"/>
  <c r="AD40" i="50" s="1"/>
  <c r="AD40" i="48"/>
  <c r="AD30" i="48"/>
  <c r="AC30" i="50"/>
  <c r="AD30" i="50" s="1"/>
  <c r="O5" i="50"/>
  <c r="O53" i="48"/>
  <c r="O58" i="48" s="1"/>
  <c r="O10" i="63" s="1"/>
  <c r="O42" i="50"/>
  <c r="O33" i="50"/>
  <c r="O48" i="50"/>
  <c r="O11" i="63"/>
  <c r="O11" i="50"/>
  <c r="O31" i="50"/>
  <c r="O21" i="50"/>
  <c r="O21" i="49"/>
  <c r="O21" i="67" s="1"/>
  <c r="O73" i="67" s="1"/>
  <c r="O18" i="50"/>
  <c r="O18" i="49"/>
  <c r="O18" i="67" s="1"/>
  <c r="O70" i="67" s="1"/>
  <c r="O24" i="50"/>
  <c r="O24" i="49"/>
  <c r="O24" i="67" s="1"/>
  <c r="O76" i="67" s="1"/>
  <c r="O46" i="50"/>
  <c r="O17" i="50"/>
  <c r="M10" i="54"/>
  <c r="M10" i="68"/>
  <c r="M53" i="68" s="1"/>
  <c r="M10" i="64"/>
  <c r="M10" i="53"/>
  <c r="M41" i="68"/>
  <c r="M84" i="68" s="1"/>
  <c r="M41" i="64"/>
  <c r="M41" i="54"/>
  <c r="M41" i="53"/>
  <c r="M9" i="68"/>
  <c r="M52" i="68" s="1"/>
  <c r="M9" i="64"/>
  <c r="M9" i="54"/>
  <c r="M9" i="53"/>
  <c r="M30" i="53"/>
  <c r="M30" i="68"/>
  <c r="M73" i="68" s="1"/>
  <c r="M30" i="64"/>
  <c r="M30" i="54"/>
  <c r="M27" i="54"/>
  <c r="M27" i="68"/>
  <c r="M70" i="68" s="1"/>
  <c r="M27" i="64"/>
  <c r="M27" i="53"/>
  <c r="M6" i="68"/>
  <c r="M49" i="68" s="1"/>
  <c r="M6" i="64"/>
  <c r="M6" i="54"/>
  <c r="M6" i="53"/>
  <c r="M18" i="68"/>
  <c r="M61" i="68" s="1"/>
  <c r="M18" i="64"/>
  <c r="M18" i="53"/>
  <c r="M18" i="54"/>
  <c r="M8" i="68"/>
  <c r="M51" i="68" s="1"/>
  <c r="M8" i="64"/>
  <c r="M8" i="54"/>
  <c r="M8" i="53"/>
  <c r="M32" i="68"/>
  <c r="M75" i="68" s="1"/>
  <c r="M32" i="64"/>
  <c r="M32" i="54"/>
  <c r="M32" i="53"/>
  <c r="T16" i="68"/>
  <c r="T59" i="68" s="1"/>
  <c r="V16" i="64"/>
  <c r="T14" i="68"/>
  <c r="T57" i="68" s="1"/>
  <c r="V14" i="64"/>
  <c r="P50" i="63"/>
  <c r="P50" i="50"/>
  <c r="P39" i="63"/>
  <c r="P39" i="50"/>
  <c r="P33" i="63"/>
  <c r="P33" i="50"/>
  <c r="P43" i="50"/>
  <c r="P38" i="63"/>
  <c r="P38" i="50"/>
  <c r="P5" i="63"/>
  <c r="P5" i="50"/>
  <c r="P53" i="48"/>
  <c r="P58" i="48" s="1"/>
  <c r="P6" i="63"/>
  <c r="P6" i="50"/>
  <c r="P10" i="63"/>
  <c r="P10" i="50"/>
  <c r="P19" i="63"/>
  <c r="P19" i="50"/>
  <c r="P49" i="63"/>
  <c r="P49" i="50"/>
  <c r="P51" i="63"/>
  <c r="P51" i="50"/>
  <c r="P45" i="63"/>
  <c r="P45" i="49"/>
  <c r="P45" i="67" s="1"/>
  <c r="P97" i="67" s="1"/>
  <c r="P45" i="50"/>
  <c r="Q12" i="63"/>
  <c r="Q12" i="50"/>
  <c r="Q43" i="63"/>
  <c r="Q43" i="50"/>
  <c r="Q50" i="63"/>
  <c r="Q50" i="50"/>
  <c r="Q26" i="63"/>
  <c r="Q26" i="50"/>
  <c r="Q35" i="63"/>
  <c r="Q35" i="50"/>
  <c r="Q29" i="63"/>
  <c r="Q29" i="50"/>
  <c r="Q47" i="50"/>
  <c r="Q47" i="63"/>
  <c r="Q22" i="63"/>
  <c r="Q22" i="50"/>
  <c r="Q10" i="63"/>
  <c r="Q10" i="50"/>
  <c r="Q48" i="63"/>
  <c r="Q48" i="50"/>
  <c r="Q32" i="63"/>
  <c r="Q32" i="50"/>
  <c r="Q51" i="63"/>
  <c r="Q51" i="50"/>
  <c r="X32" i="50"/>
  <c r="X41" i="50"/>
  <c r="X5" i="63"/>
  <c r="X53" i="48"/>
  <c r="X58" i="48" s="1"/>
  <c r="X5" i="50"/>
  <c r="X28" i="63"/>
  <c r="X28" i="50"/>
  <c r="X24" i="63"/>
  <c r="X24" i="49"/>
  <c r="W24" i="67" s="1"/>
  <c r="W76" i="67" s="1"/>
  <c r="X24" i="50"/>
  <c r="X23" i="63"/>
  <c r="X23" i="50"/>
  <c r="X19" i="63"/>
  <c r="X19" i="50"/>
  <c r="X30" i="63"/>
  <c r="X30" i="50"/>
  <c r="W16" i="67"/>
  <c r="W68" i="67" s="1"/>
  <c r="X16" i="63"/>
  <c r="X16" i="49"/>
  <c r="X16" i="50"/>
  <c r="X22" i="63"/>
  <c r="X22" i="50"/>
  <c r="X39" i="63"/>
  <c r="X39" i="50"/>
  <c r="X51" i="63"/>
  <c r="X51" i="50"/>
  <c r="L39" i="63"/>
  <c r="L39" i="50"/>
  <c r="L23" i="63"/>
  <c r="L23" i="50"/>
  <c r="L37" i="63"/>
  <c r="L37" i="50"/>
  <c r="L25" i="63"/>
  <c r="L25" i="50"/>
  <c r="L30" i="63"/>
  <c r="L30" i="50"/>
  <c r="L29" i="63"/>
  <c r="L29" i="50"/>
  <c r="L50" i="63"/>
  <c r="L50" i="50"/>
  <c r="L24" i="63"/>
  <c r="L24" i="50"/>
  <c r="L35" i="63"/>
  <c r="L35" i="50"/>
  <c r="L40" i="63"/>
  <c r="L40" i="50"/>
  <c r="L34" i="63"/>
  <c r="L34" i="50"/>
  <c r="V47" i="48"/>
  <c r="V37" i="48"/>
  <c r="V17" i="48"/>
  <c r="V39" i="48"/>
  <c r="V42" i="48"/>
  <c r="V28" i="48"/>
  <c r="V15" i="48"/>
  <c r="V31" i="48"/>
  <c r="V13" i="48"/>
  <c r="V41" i="48"/>
  <c r="V8" i="48"/>
  <c r="V51" i="48"/>
  <c r="V6" i="48"/>
  <c r="V35" i="48"/>
  <c r="V20" i="48"/>
  <c r="V23" i="48"/>
  <c r="V7" i="48"/>
  <c r="V14" i="48"/>
  <c r="V46" i="48"/>
  <c r="V44" i="48"/>
  <c r="V30" i="48"/>
  <c r="V11" i="48"/>
  <c r="V34" i="48"/>
  <c r="V40" i="48"/>
  <c r="V25" i="48"/>
  <c r="V12" i="48"/>
  <c r="V26" i="48"/>
  <c r="V10" i="48"/>
  <c r="V36" i="48"/>
  <c r="V5" i="48"/>
  <c r="V48" i="48"/>
  <c r="V27" i="48"/>
  <c r="V32" i="48"/>
  <c r="V9" i="48"/>
  <c r="V24" i="48"/>
  <c r="V21" i="48"/>
  <c r="V33" i="48"/>
  <c r="V22" i="48"/>
  <c r="V50" i="48"/>
  <c r="V38" i="48"/>
  <c r="V19" i="48"/>
  <c r="V49" i="48"/>
  <c r="V29" i="48"/>
  <c r="V16" i="48"/>
  <c r="V45" i="48"/>
  <c r="V43" i="48"/>
  <c r="V18" i="48"/>
  <c r="W37" i="64"/>
  <c r="T25" i="68"/>
  <c r="T68" i="68" s="1"/>
  <c r="V25" i="64"/>
  <c r="T38" i="68"/>
  <c r="T81" i="68" s="1"/>
  <c r="V38" i="64"/>
  <c r="W38" i="64" s="1"/>
  <c r="T32" i="68"/>
  <c r="T75" i="68" s="1"/>
  <c r="V32" i="64"/>
  <c r="R17" i="50"/>
  <c r="R42" i="50"/>
  <c r="R45" i="50"/>
  <c r="R44" i="50"/>
  <c r="R6" i="50"/>
  <c r="R16" i="50"/>
  <c r="R14" i="50"/>
  <c r="R11" i="50"/>
  <c r="R48" i="50"/>
  <c r="R37" i="50"/>
  <c r="R7" i="50"/>
  <c r="R38" i="50"/>
  <c r="M8" i="70"/>
  <c r="U25" i="49"/>
  <c r="T25" i="67" s="1"/>
  <c r="T77" i="67" s="1"/>
  <c r="U25" i="50"/>
  <c r="R17" i="68"/>
  <c r="R60" i="68" s="1"/>
  <c r="T17" i="64"/>
  <c r="W17" i="64" s="1"/>
  <c r="R21" i="68"/>
  <c r="R64" i="68" s="1"/>
  <c r="T21" i="64"/>
  <c r="W21" i="64" s="1"/>
  <c r="R26" i="68"/>
  <c r="R69" i="68" s="1"/>
  <c r="T26" i="64"/>
  <c r="W26" i="64" s="1"/>
  <c r="R7" i="68"/>
  <c r="R50" i="68" s="1"/>
  <c r="T7" i="64"/>
  <c r="W7" i="64" s="1"/>
  <c r="R22" i="68"/>
  <c r="R65" i="68" s="1"/>
  <c r="T22" i="64"/>
  <c r="W22" i="64" s="1"/>
  <c r="R13" i="68"/>
  <c r="R56" i="68" s="1"/>
  <c r="T13" i="64"/>
  <c r="W13" i="64" s="1"/>
  <c r="R25" i="68"/>
  <c r="R68" i="68" s="1"/>
  <c r="T25" i="64"/>
  <c r="W25" i="64" s="1"/>
  <c r="M34" i="48"/>
  <c r="AI44" i="63"/>
  <c r="AI44" i="50"/>
  <c r="AI45" i="63"/>
  <c r="AI45" i="50"/>
  <c r="AI12" i="63"/>
  <c r="AI12" i="50"/>
  <c r="AI24" i="63"/>
  <c r="AI24" i="49"/>
  <c r="AE24" i="67" s="1"/>
  <c r="AE76" i="67" s="1"/>
  <c r="AI24" i="50"/>
  <c r="AI33" i="63"/>
  <c r="AI33" i="50"/>
  <c r="AI11" i="63"/>
  <c r="AI11" i="50"/>
  <c r="AI49" i="63"/>
  <c r="AI49" i="50"/>
  <c r="AI43" i="63"/>
  <c r="AI43" i="50"/>
  <c r="AI8" i="63"/>
  <c r="AI8" i="50"/>
  <c r="AI39" i="63"/>
  <c r="AI39" i="50"/>
  <c r="AI51" i="63"/>
  <c r="AI51" i="50"/>
  <c r="AI30" i="63"/>
  <c r="AI30" i="50"/>
  <c r="Q6" i="68"/>
  <c r="Q49" i="68" s="1"/>
  <c r="Q27" i="68"/>
  <c r="Q70" i="68" s="1"/>
  <c r="Q14" i="68"/>
  <c r="Q57" i="68" s="1"/>
  <c r="R14" i="64"/>
  <c r="S14" i="64" s="1"/>
  <c r="Q32" i="68"/>
  <c r="Q75" i="68" s="1"/>
  <c r="R32" i="64"/>
  <c r="S32" i="64" s="1"/>
  <c r="Q18" i="68"/>
  <c r="Q61" i="68" s="1"/>
  <c r="R18" i="64"/>
  <c r="S18" i="64" s="1"/>
  <c r="Q16" i="68"/>
  <c r="Q59" i="68" s="1"/>
  <c r="R16" i="64"/>
  <c r="S16" i="64" s="1"/>
  <c r="Q34" i="68"/>
  <c r="Q77" i="68" s="1"/>
  <c r="R34" i="64"/>
  <c r="S34" i="64" s="1"/>
  <c r="Q15" i="68"/>
  <c r="Q58" i="68" s="1"/>
  <c r="R15" i="64"/>
  <c r="S15" i="64" s="1"/>
  <c r="Q37" i="68"/>
  <c r="Q80" i="68" s="1"/>
  <c r="R37" i="64"/>
  <c r="S37" i="64" s="1"/>
  <c r="Q23" i="68"/>
  <c r="Q66" i="68" s="1"/>
  <c r="L48" i="53"/>
  <c r="L48" i="64"/>
  <c r="AQ12" i="63"/>
  <c r="W31" i="53"/>
  <c r="W15" i="53"/>
  <c r="W12" i="53"/>
  <c r="W40" i="53"/>
  <c r="W36" i="53"/>
  <c r="W10" i="54"/>
  <c r="W40" i="54"/>
  <c r="W32" i="54"/>
  <c r="W14" i="53"/>
  <c r="W7" i="54"/>
  <c r="W26" i="54"/>
  <c r="W21" i="54"/>
  <c r="W16" i="53"/>
  <c r="W21" i="53"/>
  <c r="L49" i="51"/>
  <c r="L11" i="52" s="1"/>
  <c r="W20" i="53"/>
  <c r="W33" i="54"/>
  <c r="W6" i="53"/>
  <c r="W22" i="53"/>
  <c r="W42" i="53"/>
  <c r="W35" i="53"/>
  <c r="W27" i="53"/>
  <c r="W24" i="53"/>
  <c r="N58" i="49"/>
  <c r="W33" i="53"/>
  <c r="W20" i="54"/>
  <c r="W17" i="54"/>
  <c r="W44" i="52"/>
  <c r="S5" i="53"/>
  <c r="S44" i="53" s="1"/>
  <c r="R44" i="53"/>
  <c r="W38" i="54"/>
  <c r="W34" i="54"/>
  <c r="Q45" i="54"/>
  <c r="Q45" i="53"/>
  <c r="Q45" i="52"/>
  <c r="Q45" i="51"/>
  <c r="L19" i="52"/>
  <c r="W8" i="54"/>
  <c r="W29" i="54"/>
  <c r="V44" i="54"/>
  <c r="W39" i="54"/>
  <c r="W24" i="54"/>
  <c r="W28" i="54"/>
  <c r="W18" i="54"/>
  <c r="W7" i="53"/>
  <c r="W9" i="54"/>
  <c r="W12" i="54"/>
  <c r="W37" i="54"/>
  <c r="W10" i="53"/>
  <c r="W17" i="53"/>
  <c r="U44" i="54"/>
  <c r="W32" i="53"/>
  <c r="S5" i="54"/>
  <c r="S44" i="54" s="1"/>
  <c r="R44" i="54"/>
  <c r="T44" i="54"/>
  <c r="W5" i="54"/>
  <c r="W38" i="53"/>
  <c r="W34" i="53"/>
  <c r="U44" i="53"/>
  <c r="S44" i="52"/>
  <c r="W5" i="53"/>
  <c r="T44" i="53"/>
  <c r="W8" i="53"/>
  <c r="W25" i="53"/>
  <c r="W29" i="53"/>
  <c r="W13" i="53"/>
  <c r="W11" i="53"/>
  <c r="W39" i="53"/>
  <c r="W18" i="53"/>
  <c r="V44" i="53"/>
  <c r="W9" i="53"/>
  <c r="W37" i="53"/>
  <c r="W6" i="54"/>
  <c r="W22" i="54"/>
  <c r="W42" i="54"/>
  <c r="W35" i="54"/>
  <c r="N44" i="54"/>
  <c r="W14" i="54"/>
  <c r="D46" i="5"/>
  <c r="AB45" i="64" s="1"/>
  <c r="X49" i="64" s="1"/>
  <c r="D10" i="5"/>
  <c r="T56" i="47" s="1"/>
  <c r="T54" i="63" s="1"/>
  <c r="L5" i="52" l="1"/>
  <c r="V45" i="50"/>
  <c r="V19" i="50"/>
  <c r="V33" i="50"/>
  <c r="V32" i="50"/>
  <c r="V36" i="50"/>
  <c r="V25" i="50"/>
  <c r="V30" i="50"/>
  <c r="V7" i="50"/>
  <c r="V6" i="50"/>
  <c r="V13" i="50"/>
  <c r="V42" i="50"/>
  <c r="V47" i="50"/>
  <c r="X8" i="49"/>
  <c r="W8" i="67" s="1"/>
  <c r="W60" i="67" s="1"/>
  <c r="X43" i="49"/>
  <c r="W43" i="67" s="1"/>
  <c r="W95" i="67" s="1"/>
  <c r="X15" i="49"/>
  <c r="W15" i="67" s="1"/>
  <c r="W67" i="67" s="1"/>
  <c r="X48" i="49"/>
  <c r="W48" i="67" s="1"/>
  <c r="W100" i="67" s="1"/>
  <c r="X27" i="49"/>
  <c r="W27" i="67" s="1"/>
  <c r="W79" i="67" s="1"/>
  <c r="X26" i="49"/>
  <c r="W26" i="67" s="1"/>
  <c r="W78" i="67" s="1"/>
  <c r="X33" i="49"/>
  <c r="W33" i="67" s="1"/>
  <c r="W85" i="67" s="1"/>
  <c r="X44" i="49"/>
  <c r="W44" i="67" s="1"/>
  <c r="W96" i="67" s="1"/>
  <c r="X28" i="49"/>
  <c r="W28" i="67" s="1"/>
  <c r="W80" i="67" s="1"/>
  <c r="X34" i="49"/>
  <c r="W34" i="67" s="1"/>
  <c r="W86" i="67" s="1"/>
  <c r="X46" i="49"/>
  <c r="W46" i="67" s="1"/>
  <c r="W98" i="67" s="1"/>
  <c r="X23" i="49"/>
  <c r="W23" i="67" s="1"/>
  <c r="W75" i="67" s="1"/>
  <c r="X51" i="49"/>
  <c r="W51" i="67" s="1"/>
  <c r="W103" i="67" s="1"/>
  <c r="X45" i="49"/>
  <c r="W45" i="67" s="1"/>
  <c r="W97" i="67" s="1"/>
  <c r="X21" i="49"/>
  <c r="W21" i="67" s="1"/>
  <c r="W73" i="67" s="1"/>
  <c r="X13" i="49"/>
  <c r="W13" i="67" s="1"/>
  <c r="W65" i="67" s="1"/>
  <c r="X7" i="49"/>
  <c r="W7" i="67" s="1"/>
  <c r="W59" i="67" s="1"/>
  <c r="X5" i="49"/>
  <c r="X31" i="49"/>
  <c r="W31" i="67" s="1"/>
  <c r="W83" i="67" s="1"/>
  <c r="X40" i="49"/>
  <c r="W40" i="67" s="1"/>
  <c r="W92" i="67" s="1"/>
  <c r="X49" i="49"/>
  <c r="W49" i="67" s="1"/>
  <c r="W101" i="67" s="1"/>
  <c r="X11" i="49"/>
  <c r="W11" i="67" s="1"/>
  <c r="W63" i="67" s="1"/>
  <c r="X10" i="49"/>
  <c r="W10" i="67" s="1"/>
  <c r="W62" i="67" s="1"/>
  <c r="X9" i="49"/>
  <c r="W9" i="67" s="1"/>
  <c r="W61" i="67" s="1"/>
  <c r="X41" i="49"/>
  <c r="W41" i="67" s="1"/>
  <c r="W93" i="67" s="1"/>
  <c r="X39" i="49"/>
  <c r="W39" i="67" s="1"/>
  <c r="W91" i="67" s="1"/>
  <c r="X36" i="49"/>
  <c r="W36" i="67" s="1"/>
  <c r="W88" i="67" s="1"/>
  <c r="X22" i="49"/>
  <c r="W22" i="67" s="1"/>
  <c r="W74" i="67" s="1"/>
  <c r="X12" i="49"/>
  <c r="W12" i="67" s="1"/>
  <c r="W64" i="67" s="1"/>
  <c r="X6" i="49"/>
  <c r="W6" i="67" s="1"/>
  <c r="W58" i="67" s="1"/>
  <c r="X29" i="49"/>
  <c r="W29" i="67" s="1"/>
  <c r="W81" i="67" s="1"/>
  <c r="X32" i="49"/>
  <c r="W32" i="67" s="1"/>
  <c r="W84" i="67" s="1"/>
  <c r="X20" i="49"/>
  <c r="W20" i="67" s="1"/>
  <c r="W72" i="67" s="1"/>
  <c r="X47" i="49"/>
  <c r="W47" i="67" s="1"/>
  <c r="W99" i="67" s="1"/>
  <c r="X30" i="49"/>
  <c r="W30" i="67" s="1"/>
  <c r="W82" i="67" s="1"/>
  <c r="X19" i="49"/>
  <c r="W19" i="67" s="1"/>
  <c r="W71" i="67" s="1"/>
  <c r="X14" i="49"/>
  <c r="W14" i="67" s="1"/>
  <c r="W66" i="67" s="1"/>
  <c r="X37" i="49"/>
  <c r="W37" i="67" s="1"/>
  <c r="W89" i="67" s="1"/>
  <c r="X25" i="49"/>
  <c r="W25" i="67" s="1"/>
  <c r="W77" i="67" s="1"/>
  <c r="X41" i="63"/>
  <c r="P40" i="49"/>
  <c r="P40" i="67" s="1"/>
  <c r="P92" i="67" s="1"/>
  <c r="P46" i="49"/>
  <c r="P46" i="67" s="1"/>
  <c r="P98" i="67" s="1"/>
  <c r="P9" i="49"/>
  <c r="P9" i="67" s="1"/>
  <c r="P61" i="67" s="1"/>
  <c r="P44" i="49"/>
  <c r="P44" i="67" s="1"/>
  <c r="P96" i="67" s="1"/>
  <c r="P12" i="49"/>
  <c r="P12" i="67" s="1"/>
  <c r="P64" i="67" s="1"/>
  <c r="P5" i="49"/>
  <c r="P43" i="49"/>
  <c r="P43" i="67" s="1"/>
  <c r="P95" i="67" s="1"/>
  <c r="P7" i="49"/>
  <c r="P7" i="67" s="1"/>
  <c r="P59" i="67" s="1"/>
  <c r="P10" i="49"/>
  <c r="P10" i="67" s="1"/>
  <c r="P62" i="67" s="1"/>
  <c r="P25" i="49"/>
  <c r="P25" i="67" s="1"/>
  <c r="P77" i="67" s="1"/>
  <c r="P19" i="49"/>
  <c r="P19" i="67" s="1"/>
  <c r="P71" i="67" s="1"/>
  <c r="P23" i="49"/>
  <c r="P17" i="49"/>
  <c r="P17" i="67" s="1"/>
  <c r="P69" i="67" s="1"/>
  <c r="P49" i="49"/>
  <c r="P49" i="67" s="1"/>
  <c r="P101" i="67" s="1"/>
  <c r="P41" i="49"/>
  <c r="P41" i="67" s="1"/>
  <c r="P93" i="67" s="1"/>
  <c r="P26" i="49"/>
  <c r="P36" i="49"/>
  <c r="P36" i="67" s="1"/>
  <c r="P88" i="67" s="1"/>
  <c r="P42" i="49"/>
  <c r="P42" i="67" s="1"/>
  <c r="P94" i="67" s="1"/>
  <c r="P31" i="49"/>
  <c r="P31" i="67" s="1"/>
  <c r="P83" i="67" s="1"/>
  <c r="P24" i="49"/>
  <c r="P32" i="49"/>
  <c r="P32" i="67" s="1"/>
  <c r="P84" i="67" s="1"/>
  <c r="P48" i="49"/>
  <c r="P48" i="67" s="1"/>
  <c r="P100" i="67" s="1"/>
  <c r="P33" i="49"/>
  <c r="P33" i="67" s="1"/>
  <c r="P85" i="67" s="1"/>
  <c r="P18" i="49"/>
  <c r="P18" i="67" s="1"/>
  <c r="P70" i="67" s="1"/>
  <c r="P8" i="49"/>
  <c r="P8" i="67" s="1"/>
  <c r="P60" i="67" s="1"/>
  <c r="P37" i="49"/>
  <c r="P37" i="67" s="1"/>
  <c r="P89" i="67" s="1"/>
  <c r="P28" i="49"/>
  <c r="P14" i="49"/>
  <c r="P14" i="67" s="1"/>
  <c r="P66" i="67" s="1"/>
  <c r="P30" i="49"/>
  <c r="P30" i="67" s="1"/>
  <c r="P82" i="67" s="1"/>
  <c r="P38" i="49"/>
  <c r="P38" i="67" s="1"/>
  <c r="P90" i="67" s="1"/>
  <c r="P22" i="49"/>
  <c r="P21" i="49"/>
  <c r="P11" i="49"/>
  <c r="P11" i="67" s="1"/>
  <c r="P63" i="67" s="1"/>
  <c r="P29" i="49"/>
  <c r="P39" i="49"/>
  <c r="P39" i="67" s="1"/>
  <c r="P91" i="67" s="1"/>
  <c r="P27" i="49"/>
  <c r="P50" i="49"/>
  <c r="P50" i="67" s="1"/>
  <c r="P102" i="67" s="1"/>
  <c r="P13" i="49"/>
  <c r="P13" i="67" s="1"/>
  <c r="P65" i="67" s="1"/>
  <c r="P51" i="49"/>
  <c r="P51" i="67" s="1"/>
  <c r="P103" i="67" s="1"/>
  <c r="P16" i="49"/>
  <c r="P16" i="67" s="1"/>
  <c r="P68" i="67" s="1"/>
  <c r="P6" i="49"/>
  <c r="P6" i="67" s="1"/>
  <c r="P58" i="67" s="1"/>
  <c r="P34" i="49"/>
  <c r="P34" i="67" s="1"/>
  <c r="P86" i="67" s="1"/>
  <c r="P35" i="49"/>
  <c r="P35" i="67" s="1"/>
  <c r="P87" i="67" s="1"/>
  <c r="P20" i="49"/>
  <c r="P20" i="67" s="1"/>
  <c r="P72" i="67" s="1"/>
  <c r="P47" i="49"/>
  <c r="P47" i="67" s="1"/>
  <c r="P99" i="67" s="1"/>
  <c r="P15" i="49"/>
  <c r="P15" i="67" s="1"/>
  <c r="P67" i="67" s="1"/>
  <c r="F11" i="69" s="1"/>
  <c r="P43" i="63"/>
  <c r="O17" i="63"/>
  <c r="O48" i="63"/>
  <c r="O33" i="63"/>
  <c r="O5" i="63"/>
  <c r="AC30" i="63"/>
  <c r="AD30" i="63" s="1"/>
  <c r="AC40" i="49"/>
  <c r="AD53" i="48"/>
  <c r="AC5" i="63"/>
  <c r="AA15" i="67"/>
  <c r="AA67" i="67" s="1"/>
  <c r="AC26" i="63"/>
  <c r="AD26" i="63" s="1"/>
  <c r="AC34" i="63"/>
  <c r="AD34" i="63" s="1"/>
  <c r="AC19" i="63"/>
  <c r="AD19" i="63" s="1"/>
  <c r="AC17" i="63"/>
  <c r="AD17" i="63" s="1"/>
  <c r="T44" i="64"/>
  <c r="G7" i="70"/>
  <c r="G13" i="70" s="1"/>
  <c r="AI46" i="63"/>
  <c r="AI53" i="50"/>
  <c r="AI18" i="49"/>
  <c r="AE18" i="67" s="1"/>
  <c r="AE70" i="67" s="1"/>
  <c r="AI35" i="49"/>
  <c r="AE35" i="67" s="1"/>
  <c r="AE87" i="67" s="1"/>
  <c r="AI47" i="63"/>
  <c r="W16" i="64"/>
  <c r="Z15" i="64"/>
  <c r="AA15" i="64" s="1"/>
  <c r="AA15" i="52"/>
  <c r="Z15" i="53"/>
  <c r="AA15" i="53" s="1"/>
  <c r="Z15" i="54"/>
  <c r="AA15" i="54" s="1"/>
  <c r="Z11" i="64"/>
  <c r="AA11" i="64" s="1"/>
  <c r="Z11" i="54"/>
  <c r="AA11" i="54" s="1"/>
  <c r="AA11" i="52"/>
  <c r="Z11" i="53"/>
  <c r="AA11" i="53" s="1"/>
  <c r="Z18" i="64"/>
  <c r="AA18" i="64" s="1"/>
  <c r="Z18" i="53"/>
  <c r="AA18" i="53" s="1"/>
  <c r="Z18" i="54"/>
  <c r="AA18" i="54" s="1"/>
  <c r="AA18" i="52"/>
  <c r="Z14" i="64"/>
  <c r="AA14" i="64" s="1"/>
  <c r="Z14" i="54"/>
  <c r="AA14" i="54" s="1"/>
  <c r="AA14" i="52"/>
  <c r="Z14" i="53"/>
  <c r="AA14" i="53" s="1"/>
  <c r="Z23" i="64"/>
  <c r="AA23" i="64" s="1"/>
  <c r="Z23" i="54"/>
  <c r="AA23" i="54" s="1"/>
  <c r="AA23" i="52"/>
  <c r="Z23" i="53"/>
  <c r="AA23" i="53" s="1"/>
  <c r="Z38" i="64"/>
  <c r="AA38" i="64" s="1"/>
  <c r="Z38" i="54"/>
  <c r="AA38" i="54" s="1"/>
  <c r="AA38" i="52"/>
  <c r="Z38" i="53"/>
  <c r="AA38" i="53" s="1"/>
  <c r="Z35" i="64"/>
  <c r="AA35" i="64" s="1"/>
  <c r="AA35" i="52"/>
  <c r="Z35" i="53"/>
  <c r="AA35" i="53" s="1"/>
  <c r="Z35" i="54"/>
  <c r="AA35" i="54" s="1"/>
  <c r="Z36" i="64"/>
  <c r="AA36" i="64" s="1"/>
  <c r="AA36" i="52"/>
  <c r="Z36" i="54"/>
  <c r="AA36" i="54" s="1"/>
  <c r="Z36" i="53"/>
  <c r="AA36" i="53" s="1"/>
  <c r="Z28" i="64"/>
  <c r="AA28" i="64" s="1"/>
  <c r="AA28" i="52"/>
  <c r="Z28" i="54"/>
  <c r="AA28" i="54" s="1"/>
  <c r="Z28" i="53"/>
  <c r="AA28" i="53" s="1"/>
  <c r="X29" i="63"/>
  <c r="X7" i="63"/>
  <c r="X40" i="63"/>
  <c r="Q42" i="63"/>
  <c r="Q53" i="50"/>
  <c r="Q39" i="63"/>
  <c r="Q49" i="63"/>
  <c r="P24" i="63"/>
  <c r="P26" i="63"/>
  <c r="P14" i="63"/>
  <c r="M44" i="64"/>
  <c r="O13" i="49"/>
  <c r="O13" i="67" s="1"/>
  <c r="O65" i="67" s="1"/>
  <c r="O28" i="63"/>
  <c r="O20" i="49"/>
  <c r="O20" i="67" s="1"/>
  <c r="O72" i="67" s="1"/>
  <c r="O36" i="63"/>
  <c r="AC7" i="63"/>
  <c r="AD7" i="63" s="1"/>
  <c r="AC9" i="49"/>
  <c r="AC41" i="49"/>
  <c r="AC31" i="49"/>
  <c r="AC8" i="63"/>
  <c r="AD8" i="63" s="1"/>
  <c r="W14" i="64"/>
  <c r="D9" i="70"/>
  <c r="D7" i="70"/>
  <c r="D11" i="70"/>
  <c r="AI23" i="63"/>
  <c r="AI41" i="63"/>
  <c r="M40" i="50"/>
  <c r="Y19" i="48"/>
  <c r="Y51" i="48"/>
  <c r="Y44" i="48"/>
  <c r="Y20" i="48"/>
  <c r="Y9" i="48"/>
  <c r="Y7" i="48"/>
  <c r="Y34" i="48"/>
  <c r="Y46" i="48"/>
  <c r="Y22" i="48"/>
  <c r="Y21" i="48"/>
  <c r="Y32" i="48"/>
  <c r="Y33" i="48"/>
  <c r="Y14" i="48"/>
  <c r="Y17" i="48"/>
  <c r="Y31" i="48"/>
  <c r="Y18" i="48"/>
  <c r="Y38" i="48"/>
  <c r="Y16" i="48"/>
  <c r="Y41" i="48"/>
  <c r="Y45" i="48"/>
  <c r="Y43" i="48"/>
  <c r="Y24" i="48"/>
  <c r="Y48" i="48"/>
  <c r="Y35" i="48"/>
  <c r="Y8" i="48"/>
  <c r="Y11" i="48"/>
  <c r="Y11" i="50" s="1"/>
  <c r="Y26" i="48"/>
  <c r="Y15" i="48"/>
  <c r="Y15" i="50" s="1"/>
  <c r="Y13" i="48"/>
  <c r="Y23" i="48"/>
  <c r="Y39" i="48"/>
  <c r="Y42" i="48"/>
  <c r="Y28" i="48"/>
  <c r="Y27" i="48"/>
  <c r="Y30" i="48"/>
  <c r="Y36" i="48"/>
  <c r="Y5" i="48"/>
  <c r="Y6" i="48"/>
  <c r="Y25" i="48"/>
  <c r="Y25" i="50" s="1"/>
  <c r="AB25" i="50" s="1"/>
  <c r="Y12" i="48"/>
  <c r="Y10" i="48"/>
  <c r="Y10" i="50" s="1"/>
  <c r="Y37" i="48"/>
  <c r="Y40" i="48"/>
  <c r="Y49" i="48"/>
  <c r="Y49" i="50" s="1"/>
  <c r="Y50" i="48"/>
  <c r="Y47" i="48"/>
  <c r="Y29" i="48"/>
  <c r="P40" i="68"/>
  <c r="P83" i="68" s="1"/>
  <c r="P40" i="64"/>
  <c r="P40" i="54"/>
  <c r="P40" i="53"/>
  <c r="P37" i="68"/>
  <c r="P80" i="68" s="1"/>
  <c r="P37" i="64"/>
  <c r="P37" i="53"/>
  <c r="P37" i="54"/>
  <c r="P31" i="68"/>
  <c r="P74" i="68" s="1"/>
  <c r="P31" i="64"/>
  <c r="P31" i="53"/>
  <c r="P31" i="54"/>
  <c r="P20" i="68"/>
  <c r="P63" i="68" s="1"/>
  <c r="P20" i="64"/>
  <c r="P20" i="54"/>
  <c r="P20" i="53"/>
  <c r="P13" i="68"/>
  <c r="P56" i="68" s="1"/>
  <c r="P13" i="64"/>
  <c r="P13" i="53"/>
  <c r="P13" i="54"/>
  <c r="P41" i="68"/>
  <c r="P84" i="68" s="1"/>
  <c r="P41" i="64"/>
  <c r="P41" i="53"/>
  <c r="P41" i="54"/>
  <c r="P26" i="68"/>
  <c r="P69" i="68" s="1"/>
  <c r="P26" i="64"/>
  <c r="P26" i="53"/>
  <c r="P26" i="54"/>
  <c r="P14" i="68"/>
  <c r="P57" i="68" s="1"/>
  <c r="P14" i="64"/>
  <c r="P14" i="53"/>
  <c r="P14" i="54"/>
  <c r="P12" i="68"/>
  <c r="P55" i="68" s="1"/>
  <c r="P12" i="64"/>
  <c r="P12" i="53"/>
  <c r="P12" i="54"/>
  <c r="P8" i="68"/>
  <c r="P51" i="68" s="1"/>
  <c r="P8" i="64"/>
  <c r="P8" i="53"/>
  <c r="P8" i="54"/>
  <c r="O25" i="64"/>
  <c r="O25" i="53"/>
  <c r="O25" i="68" s="1"/>
  <c r="O68" i="68" s="1"/>
  <c r="O25" i="54"/>
  <c r="O30" i="64"/>
  <c r="O30" i="53"/>
  <c r="O30" i="68" s="1"/>
  <c r="O73" i="68" s="1"/>
  <c r="O30" i="54"/>
  <c r="O22" i="64"/>
  <c r="O22" i="54"/>
  <c r="O22" i="53"/>
  <c r="O22" i="68" s="1"/>
  <c r="O65" i="68" s="1"/>
  <c r="O15" i="53"/>
  <c r="O15" i="64"/>
  <c r="O15" i="54"/>
  <c r="O15" i="68" s="1"/>
  <c r="O58" i="68" s="1"/>
  <c r="O29" i="64"/>
  <c r="O29" i="53"/>
  <c r="O29" i="68" s="1"/>
  <c r="O72" i="68" s="1"/>
  <c r="O29" i="54"/>
  <c r="O7" i="64"/>
  <c r="O7" i="54"/>
  <c r="O7" i="53"/>
  <c r="O7" i="68" s="1"/>
  <c r="O50" i="68" s="1"/>
  <c r="O23" i="64"/>
  <c r="O23" i="53"/>
  <c r="O23" i="68" s="1"/>
  <c r="O66" i="68" s="1"/>
  <c r="O23" i="54"/>
  <c r="O38" i="64"/>
  <c r="O38" i="53"/>
  <c r="O38" i="68" s="1"/>
  <c r="O81" i="68" s="1"/>
  <c r="O38" i="54"/>
  <c r="O42" i="64"/>
  <c r="O42" i="53"/>
  <c r="O42" i="68" s="1"/>
  <c r="O85" i="68" s="1"/>
  <c r="O42" i="54"/>
  <c r="X10" i="63"/>
  <c r="X45" i="63"/>
  <c r="X15" i="63"/>
  <c r="Q33" i="63"/>
  <c r="Q44" i="63"/>
  <c r="Q9" i="63"/>
  <c r="P37" i="63"/>
  <c r="P30" i="63"/>
  <c r="P25" i="63"/>
  <c r="O22" i="63"/>
  <c r="O8" i="63"/>
  <c r="O30" i="63"/>
  <c r="O27" i="63"/>
  <c r="O29" i="63"/>
  <c r="AC43" i="63"/>
  <c r="AD43" i="63" s="1"/>
  <c r="AC28" i="63"/>
  <c r="AD28" i="63" s="1"/>
  <c r="AI9" i="63"/>
  <c r="AI40" i="63"/>
  <c r="AI37" i="63"/>
  <c r="AI27" i="63"/>
  <c r="AI26" i="63"/>
  <c r="M44" i="50"/>
  <c r="M16" i="50"/>
  <c r="M37" i="50"/>
  <c r="M8" i="50"/>
  <c r="M46" i="50"/>
  <c r="M15" i="50"/>
  <c r="M26" i="50"/>
  <c r="M33" i="50"/>
  <c r="M39" i="50"/>
  <c r="M25" i="50"/>
  <c r="L53" i="50"/>
  <c r="L12" i="63"/>
  <c r="X44" i="63"/>
  <c r="X13" i="63"/>
  <c r="Q15" i="63"/>
  <c r="Q46" i="63"/>
  <c r="Q21" i="63"/>
  <c r="P7" i="63"/>
  <c r="P46" i="63"/>
  <c r="O19" i="63"/>
  <c r="O32" i="63"/>
  <c r="O14" i="49"/>
  <c r="O14" i="67" s="1"/>
  <c r="O66" i="67" s="1"/>
  <c r="O39" i="63"/>
  <c r="O38" i="63"/>
  <c r="O41" i="63"/>
  <c r="AC12" i="63"/>
  <c r="AD12" i="63" s="1"/>
  <c r="AC13" i="49"/>
  <c r="AC20" i="63"/>
  <c r="AD20" i="63" s="1"/>
  <c r="W47" i="49"/>
  <c r="V47" i="67" s="1"/>
  <c r="V99" i="67" s="1"/>
  <c r="W31" i="63"/>
  <c r="AH43" i="63"/>
  <c r="H11" i="70"/>
  <c r="M34" i="50"/>
  <c r="V16" i="50"/>
  <c r="V38" i="50"/>
  <c r="AB38" i="48"/>
  <c r="V21" i="50"/>
  <c r="AB21" i="48"/>
  <c r="V27" i="50"/>
  <c r="AB10" i="48"/>
  <c r="V10" i="50"/>
  <c r="V40" i="50"/>
  <c r="V44" i="50"/>
  <c r="V23" i="50"/>
  <c r="V51" i="50"/>
  <c r="V31" i="50"/>
  <c r="V39" i="50"/>
  <c r="P53" i="50"/>
  <c r="O23" i="49"/>
  <c r="O23" i="67" s="1"/>
  <c r="O75" i="67" s="1"/>
  <c r="O19" i="49"/>
  <c r="O19" i="67" s="1"/>
  <c r="O71" i="67" s="1"/>
  <c r="O34" i="49"/>
  <c r="O34" i="67" s="1"/>
  <c r="O86" i="67" s="1"/>
  <c r="O46" i="49"/>
  <c r="O46" i="67" s="1"/>
  <c r="O98" i="67" s="1"/>
  <c r="O12" i="49"/>
  <c r="O12" i="67" s="1"/>
  <c r="O64" i="67" s="1"/>
  <c r="O49" i="49"/>
  <c r="O49" i="67" s="1"/>
  <c r="O101" i="67" s="1"/>
  <c r="O40" i="49"/>
  <c r="O40" i="67" s="1"/>
  <c r="O92" i="67" s="1"/>
  <c r="O50" i="49"/>
  <c r="O50" i="67" s="1"/>
  <c r="O102" i="67" s="1"/>
  <c r="O25" i="49"/>
  <c r="O25" i="67" s="1"/>
  <c r="O77" i="67" s="1"/>
  <c r="O35" i="49"/>
  <c r="O35" i="67" s="1"/>
  <c r="O87" i="67" s="1"/>
  <c r="O42" i="49"/>
  <c r="O42" i="67" s="1"/>
  <c r="O94" i="67" s="1"/>
  <c r="O7" i="49"/>
  <c r="O7" i="67" s="1"/>
  <c r="O59" i="67" s="1"/>
  <c r="O22" i="49"/>
  <c r="O22" i="67" s="1"/>
  <c r="O74" i="67" s="1"/>
  <c r="O48" i="49"/>
  <c r="O48" i="67" s="1"/>
  <c r="O100" i="67" s="1"/>
  <c r="O45" i="49"/>
  <c r="O45" i="67" s="1"/>
  <c r="O97" i="67" s="1"/>
  <c r="O16" i="49"/>
  <c r="O16" i="67" s="1"/>
  <c r="O68" i="67" s="1"/>
  <c r="O39" i="49"/>
  <c r="O39" i="67" s="1"/>
  <c r="O91" i="67" s="1"/>
  <c r="O15" i="49"/>
  <c r="O15" i="67" s="1"/>
  <c r="O67" i="67" s="1"/>
  <c r="O28" i="49"/>
  <c r="O28" i="67" s="1"/>
  <c r="O80" i="67" s="1"/>
  <c r="O43" i="49"/>
  <c r="O43" i="67" s="1"/>
  <c r="O95" i="67" s="1"/>
  <c r="O17" i="49"/>
  <c r="O17" i="67" s="1"/>
  <c r="O69" i="67" s="1"/>
  <c r="O44" i="49"/>
  <c r="O44" i="67" s="1"/>
  <c r="O96" i="67" s="1"/>
  <c r="O27" i="49"/>
  <c r="O27" i="67" s="1"/>
  <c r="O79" i="67" s="1"/>
  <c r="O31" i="49"/>
  <c r="O31" i="67" s="1"/>
  <c r="O83" i="67" s="1"/>
  <c r="O37" i="49"/>
  <c r="O37" i="67" s="1"/>
  <c r="O89" i="67" s="1"/>
  <c r="O26" i="49"/>
  <c r="O26" i="67" s="1"/>
  <c r="O78" i="67" s="1"/>
  <c r="O51" i="49"/>
  <c r="O51" i="67" s="1"/>
  <c r="O103" i="67" s="1"/>
  <c r="O36" i="49"/>
  <c r="O36" i="67" s="1"/>
  <c r="O88" i="67" s="1"/>
  <c r="O9" i="49"/>
  <c r="O9" i="67" s="1"/>
  <c r="O61" i="67" s="1"/>
  <c r="O11" i="49"/>
  <c r="O11" i="67" s="1"/>
  <c r="O63" i="67" s="1"/>
  <c r="AD5" i="50"/>
  <c r="AD53" i="50" s="1"/>
  <c r="AC53" i="50"/>
  <c r="AA5" i="67"/>
  <c r="AA57" i="67" s="1"/>
  <c r="AA26" i="67"/>
  <c r="AA78" i="67" s="1"/>
  <c r="Z7" i="64"/>
  <c r="AA7" i="64" s="1"/>
  <c r="Z7" i="54"/>
  <c r="AA7" i="54" s="1"/>
  <c r="AA7" i="52"/>
  <c r="Z7" i="53"/>
  <c r="AA7" i="53" s="1"/>
  <c r="Z20" i="64"/>
  <c r="AA20" i="64" s="1"/>
  <c r="AA20" i="52"/>
  <c r="Z20" i="53"/>
  <c r="AA20" i="53" s="1"/>
  <c r="Z20" i="54"/>
  <c r="AA20" i="54" s="1"/>
  <c r="Z33" i="64"/>
  <c r="AA33" i="64" s="1"/>
  <c r="Z33" i="53"/>
  <c r="AA33" i="53" s="1"/>
  <c r="Z33" i="54"/>
  <c r="AA33" i="54" s="1"/>
  <c r="AA33" i="52"/>
  <c r="Z8" i="64"/>
  <c r="AA8" i="64" s="1"/>
  <c r="AA8" i="52"/>
  <c r="Z8" i="53"/>
  <c r="AA8" i="53" s="1"/>
  <c r="Z8" i="54"/>
  <c r="AA8" i="54" s="1"/>
  <c r="Z21" i="64"/>
  <c r="AA21" i="64" s="1"/>
  <c r="AA21" i="52"/>
  <c r="Z21" i="53"/>
  <c r="AA21" i="53" s="1"/>
  <c r="Z21" i="54"/>
  <c r="AA21" i="54" s="1"/>
  <c r="Z5" i="64"/>
  <c r="Z44" i="52"/>
  <c r="AA5" i="52"/>
  <c r="Z5" i="53"/>
  <c r="Z5" i="54"/>
  <c r="Z12" i="64"/>
  <c r="AA12" i="64" s="1"/>
  <c r="AA12" i="52"/>
  <c r="Z12" i="53"/>
  <c r="AA12" i="53" s="1"/>
  <c r="Z12" i="54"/>
  <c r="AA12" i="54" s="1"/>
  <c r="Z30" i="64"/>
  <c r="AA30" i="64" s="1"/>
  <c r="Z30" i="53"/>
  <c r="AA30" i="53" s="1"/>
  <c r="AA30" i="52"/>
  <c r="Z30" i="54"/>
  <c r="AA30" i="54" s="1"/>
  <c r="Z22" i="64"/>
  <c r="AA22" i="64" s="1"/>
  <c r="Z22" i="53"/>
  <c r="AA22" i="53" s="1"/>
  <c r="AA22" i="52"/>
  <c r="Z22" i="54"/>
  <c r="AA22" i="54" s="1"/>
  <c r="X26" i="63"/>
  <c r="X6" i="63"/>
  <c r="X53" i="63" s="1"/>
  <c r="X11" i="63"/>
  <c r="P32" i="63"/>
  <c r="P23" i="63"/>
  <c r="P34" i="63"/>
  <c r="M44" i="54"/>
  <c r="M5" i="68"/>
  <c r="M48" i="68" s="1"/>
  <c r="O51" i="63"/>
  <c r="O13" i="63"/>
  <c r="O47" i="63"/>
  <c r="O37" i="63"/>
  <c r="O20" i="63"/>
  <c r="AC9" i="63"/>
  <c r="AD9" i="63" s="1"/>
  <c r="AC29" i="63"/>
  <c r="AD29" i="63" s="1"/>
  <c r="AC32" i="49"/>
  <c r="AI32" i="63"/>
  <c r="AI36" i="63"/>
  <c r="AI17" i="63"/>
  <c r="U53" i="50"/>
  <c r="P42" i="64"/>
  <c r="P42" i="53"/>
  <c r="P42" i="68" s="1"/>
  <c r="P85" i="68" s="1"/>
  <c r="P42" i="54"/>
  <c r="P17" i="64"/>
  <c r="P17" i="53"/>
  <c r="P17" i="68" s="1"/>
  <c r="P60" i="68" s="1"/>
  <c r="P17" i="54"/>
  <c r="P21" i="64"/>
  <c r="P21" i="54"/>
  <c r="P21" i="68" s="1"/>
  <c r="P64" i="68" s="1"/>
  <c r="P21" i="53"/>
  <c r="P6" i="64"/>
  <c r="P6" i="53"/>
  <c r="P6" i="68" s="1"/>
  <c r="P49" i="68" s="1"/>
  <c r="P6" i="54"/>
  <c r="P24" i="64"/>
  <c r="P24" i="53"/>
  <c r="P24" i="68" s="1"/>
  <c r="P67" i="68" s="1"/>
  <c r="P24" i="54"/>
  <c r="P35" i="64"/>
  <c r="P35" i="53"/>
  <c r="P35" i="68" s="1"/>
  <c r="P78" i="68" s="1"/>
  <c r="P35" i="54"/>
  <c r="P22" i="64"/>
  <c r="P22" i="53"/>
  <c r="P22" i="68" s="1"/>
  <c r="P65" i="68" s="1"/>
  <c r="P22" i="54"/>
  <c r="P28" i="64"/>
  <c r="P28" i="53"/>
  <c r="P28" i="68" s="1"/>
  <c r="P71" i="68" s="1"/>
  <c r="P28" i="54"/>
  <c r="P23" i="64"/>
  <c r="P23" i="53"/>
  <c r="P23" i="68" s="1"/>
  <c r="P66" i="68" s="1"/>
  <c r="P23" i="54"/>
  <c r="P16" i="64"/>
  <c r="P16" i="53"/>
  <c r="P16" i="68" s="1"/>
  <c r="P59" i="68" s="1"/>
  <c r="P16" i="54"/>
  <c r="O34" i="64"/>
  <c r="O34" i="53"/>
  <c r="O34" i="68" s="1"/>
  <c r="O77" i="68" s="1"/>
  <c r="O34" i="54"/>
  <c r="O6" i="64"/>
  <c r="O6" i="54"/>
  <c r="O6" i="68" s="1"/>
  <c r="O49" i="68" s="1"/>
  <c r="O6" i="53"/>
  <c r="O20" i="64"/>
  <c r="O20" i="54"/>
  <c r="O20" i="68" s="1"/>
  <c r="O63" i="68" s="1"/>
  <c r="O20" i="53"/>
  <c r="O28" i="64"/>
  <c r="O28" i="53"/>
  <c r="O28" i="68" s="1"/>
  <c r="O71" i="68" s="1"/>
  <c r="O28" i="54"/>
  <c r="O39" i="64"/>
  <c r="O39" i="53"/>
  <c r="O39" i="68" s="1"/>
  <c r="O82" i="68" s="1"/>
  <c r="O39" i="54"/>
  <c r="O13" i="64"/>
  <c r="O13" i="53"/>
  <c r="O13" i="68" s="1"/>
  <c r="O56" i="68" s="1"/>
  <c r="O13" i="54"/>
  <c r="O11" i="64"/>
  <c r="O11" i="54"/>
  <c r="O11" i="68" s="1"/>
  <c r="O54" i="68" s="1"/>
  <c r="O11" i="53"/>
  <c r="O36" i="64"/>
  <c r="O36" i="53"/>
  <c r="O36" i="68" s="1"/>
  <c r="O79" i="68" s="1"/>
  <c r="O36" i="54"/>
  <c r="O5" i="64"/>
  <c r="O5" i="53"/>
  <c r="O5" i="54"/>
  <c r="O44" i="52"/>
  <c r="O12" i="53"/>
  <c r="O12" i="68"/>
  <c r="O55" i="68" s="1"/>
  <c r="O12" i="64"/>
  <c r="O12" i="54"/>
  <c r="X18" i="49"/>
  <c r="W18" i="67" s="1"/>
  <c r="W70" i="67" s="1"/>
  <c r="X31" i="63"/>
  <c r="X38" i="49"/>
  <c r="W38" i="67" s="1"/>
  <c r="W90" i="67" s="1"/>
  <c r="X20" i="63"/>
  <c r="Q11" i="63"/>
  <c r="Q36" i="63"/>
  <c r="Q23" i="63"/>
  <c r="P9" i="63"/>
  <c r="P36" i="63"/>
  <c r="P11" i="63"/>
  <c r="O9" i="63"/>
  <c r="O12" i="63"/>
  <c r="AC14" i="49"/>
  <c r="AC43" i="49"/>
  <c r="AC45" i="63"/>
  <c r="AD45" i="63" s="1"/>
  <c r="AC39" i="63"/>
  <c r="AD39" i="63" s="1"/>
  <c r="AC50" i="63"/>
  <c r="AD50" i="63" s="1"/>
  <c r="AC48" i="63"/>
  <c r="AD48" i="63" s="1"/>
  <c r="AC11" i="49"/>
  <c r="AC28" i="49"/>
  <c r="AC49" i="63"/>
  <c r="AD49" i="63" s="1"/>
  <c r="AC21" i="63"/>
  <c r="AD21" i="63" s="1"/>
  <c r="AC27" i="63"/>
  <c r="AD27" i="63" s="1"/>
  <c r="AI20" i="63"/>
  <c r="AI28" i="63"/>
  <c r="AI25" i="63"/>
  <c r="W40" i="64"/>
  <c r="R53" i="50"/>
  <c r="M28" i="50"/>
  <c r="M19" i="50"/>
  <c r="M11" i="50"/>
  <c r="M42" i="50"/>
  <c r="M50" i="50"/>
  <c r="M21" i="50"/>
  <c r="M9" i="50"/>
  <c r="M22" i="50"/>
  <c r="M51" i="50"/>
  <c r="M12" i="50"/>
  <c r="M36" i="50"/>
  <c r="X50" i="49"/>
  <c r="W50" i="67" s="1"/>
  <c r="W102" i="67" s="1"/>
  <c r="X21" i="63"/>
  <c r="X35" i="63"/>
  <c r="X48" i="63"/>
  <c r="Q38" i="63"/>
  <c r="Q13" i="63"/>
  <c r="Q19" i="63"/>
  <c r="P29" i="63"/>
  <c r="P18" i="63"/>
  <c r="P42" i="63"/>
  <c r="V44" i="64"/>
  <c r="O6" i="49"/>
  <c r="O6" i="67" s="1"/>
  <c r="O58" i="67" s="1"/>
  <c r="O45" i="63"/>
  <c r="O14" i="63"/>
  <c r="AC44" i="63"/>
  <c r="AD44" i="63" s="1"/>
  <c r="AC16" i="49"/>
  <c r="AC22" i="63"/>
  <c r="AD22" i="63" s="1"/>
  <c r="AC6" i="63"/>
  <c r="AD6" i="63" s="1"/>
  <c r="AC24" i="63"/>
  <c r="AD24" i="63" s="1"/>
  <c r="AC35" i="63"/>
  <c r="AD35" i="63" s="1"/>
  <c r="W30" i="49"/>
  <c r="V30" i="67" s="1"/>
  <c r="V82" i="67" s="1"/>
  <c r="W37" i="49"/>
  <c r="V37" i="67" s="1"/>
  <c r="V89" i="67" s="1"/>
  <c r="W41" i="49"/>
  <c r="V41" i="67" s="1"/>
  <c r="V93" i="67" s="1"/>
  <c r="W14" i="49"/>
  <c r="V14" i="67" s="1"/>
  <c r="V66" i="67" s="1"/>
  <c r="W19" i="49"/>
  <c r="V19" i="67" s="1"/>
  <c r="V71" i="67" s="1"/>
  <c r="W31" i="49"/>
  <c r="V31" i="67" s="1"/>
  <c r="V83" i="67" s="1"/>
  <c r="W22" i="49"/>
  <c r="V22" i="67" s="1"/>
  <c r="V74" i="67" s="1"/>
  <c r="W29" i="49"/>
  <c r="V29" i="67" s="1"/>
  <c r="V81" i="67" s="1"/>
  <c r="W40" i="49"/>
  <c r="V40" i="67" s="1"/>
  <c r="V92" i="67" s="1"/>
  <c r="W6" i="49"/>
  <c r="V6" i="67" s="1"/>
  <c r="V58" i="67" s="1"/>
  <c r="W50" i="49"/>
  <c r="V50" i="67" s="1"/>
  <c r="V102" i="67" s="1"/>
  <c r="W25" i="49"/>
  <c r="V25" i="67" s="1"/>
  <c r="V77" i="67" s="1"/>
  <c r="W12" i="49"/>
  <c r="V12" i="67" s="1"/>
  <c r="V64" i="67" s="1"/>
  <c r="W49" i="49"/>
  <c r="V49" i="67" s="1"/>
  <c r="V101" i="67" s="1"/>
  <c r="W38" i="49"/>
  <c r="V38" i="67" s="1"/>
  <c r="V90" i="67" s="1"/>
  <c r="W35" i="49"/>
  <c r="V35" i="67" s="1"/>
  <c r="V87" i="67" s="1"/>
  <c r="W5" i="49"/>
  <c r="W39" i="49"/>
  <c r="V39" i="67" s="1"/>
  <c r="V91" i="67" s="1"/>
  <c r="W13" i="49"/>
  <c r="V13" i="67" s="1"/>
  <c r="V65" i="67" s="1"/>
  <c r="W11" i="49"/>
  <c r="V11" i="67" s="1"/>
  <c r="V63" i="67" s="1"/>
  <c r="W16" i="49"/>
  <c r="V16" i="67" s="1"/>
  <c r="V68" i="67" s="1"/>
  <c r="L11" i="69" s="1"/>
  <c r="W20" i="49"/>
  <c r="V20" i="67" s="1"/>
  <c r="V72" i="67" s="1"/>
  <c r="W48" i="49"/>
  <c r="V48" i="67" s="1"/>
  <c r="V100" i="67" s="1"/>
  <c r="W18" i="49"/>
  <c r="V18" i="67" s="1"/>
  <c r="V70" i="67" s="1"/>
  <c r="W46" i="49"/>
  <c r="V46" i="67" s="1"/>
  <c r="V98" i="67" s="1"/>
  <c r="W17" i="49"/>
  <c r="V17" i="67" s="1"/>
  <c r="V69" i="67" s="1"/>
  <c r="W23" i="49"/>
  <c r="V23" i="67" s="1"/>
  <c r="V75" i="67" s="1"/>
  <c r="W25" i="63"/>
  <c r="AH34" i="49"/>
  <c r="AD34" i="67" s="1"/>
  <c r="AD86" i="67" s="1"/>
  <c r="AH42" i="49"/>
  <c r="AD42" i="67" s="1"/>
  <c r="AD94" i="67" s="1"/>
  <c r="AH25" i="49"/>
  <c r="AD25" i="67" s="1"/>
  <c r="AD77" i="67" s="1"/>
  <c r="AH5" i="49"/>
  <c r="AH45" i="49"/>
  <c r="AD45" i="67" s="1"/>
  <c r="AD97" i="67" s="1"/>
  <c r="AH15" i="49"/>
  <c r="AD15" i="67" s="1"/>
  <c r="AD67" i="67" s="1"/>
  <c r="AH50" i="49"/>
  <c r="AD50" i="67" s="1"/>
  <c r="AD102" i="67" s="1"/>
  <c r="AH17" i="49"/>
  <c r="AD17" i="67" s="1"/>
  <c r="AD69" i="67" s="1"/>
  <c r="AH23" i="49"/>
  <c r="AD23" i="67" s="1"/>
  <c r="AD75" i="67" s="1"/>
  <c r="AH21" i="49"/>
  <c r="AD21" i="67" s="1"/>
  <c r="AD73" i="67" s="1"/>
  <c r="AH32" i="49"/>
  <c r="AD32" i="67" s="1"/>
  <c r="AD84" i="67" s="1"/>
  <c r="AH30" i="49"/>
  <c r="AD30" i="67" s="1"/>
  <c r="AD82" i="67" s="1"/>
  <c r="AH9" i="49"/>
  <c r="AD9" i="67" s="1"/>
  <c r="AD61" i="67" s="1"/>
  <c r="AH22" i="49"/>
  <c r="AD22" i="67" s="1"/>
  <c r="AD74" i="67" s="1"/>
  <c r="AH35" i="49"/>
  <c r="AD35" i="67" s="1"/>
  <c r="AD87" i="67" s="1"/>
  <c r="AH7" i="49"/>
  <c r="AD7" i="67" s="1"/>
  <c r="AD59" i="67" s="1"/>
  <c r="AH33" i="49"/>
  <c r="AD33" i="67" s="1"/>
  <c r="AD85" i="67" s="1"/>
  <c r="AH47" i="49"/>
  <c r="AD47" i="67" s="1"/>
  <c r="AD99" i="67" s="1"/>
  <c r="AH41" i="49"/>
  <c r="AD41" i="67" s="1"/>
  <c r="AD93" i="67" s="1"/>
  <c r="AH49" i="49"/>
  <c r="AD49" i="67" s="1"/>
  <c r="AD101" i="67" s="1"/>
  <c r="AH19" i="49"/>
  <c r="AD19" i="67" s="1"/>
  <c r="AD71" i="67" s="1"/>
  <c r="AH20" i="49"/>
  <c r="AD20" i="67" s="1"/>
  <c r="AD72" i="67" s="1"/>
  <c r="AH39" i="49"/>
  <c r="AD39" i="67" s="1"/>
  <c r="AD91" i="67" s="1"/>
  <c r="AH13" i="49"/>
  <c r="AD13" i="67" s="1"/>
  <c r="AD65" i="67" s="1"/>
  <c r="AH31" i="49"/>
  <c r="AD31" i="67" s="1"/>
  <c r="AD83" i="67" s="1"/>
  <c r="AH27" i="49"/>
  <c r="AD27" i="67" s="1"/>
  <c r="AD79" i="67" s="1"/>
  <c r="AH12" i="49"/>
  <c r="AD12" i="67" s="1"/>
  <c r="AD64" i="67" s="1"/>
  <c r="AH24" i="49"/>
  <c r="AD24" i="67" s="1"/>
  <c r="AD76" i="67" s="1"/>
  <c r="AH6" i="49"/>
  <c r="AD6" i="67" s="1"/>
  <c r="AD58" i="67" s="1"/>
  <c r="AH46" i="49"/>
  <c r="AD46" i="67" s="1"/>
  <c r="AD98" i="67" s="1"/>
  <c r="AH37" i="49"/>
  <c r="AD37" i="67" s="1"/>
  <c r="AD89" i="67" s="1"/>
  <c r="AH38" i="49"/>
  <c r="AD38" i="67" s="1"/>
  <c r="AD90" i="67" s="1"/>
  <c r="AH16" i="49"/>
  <c r="AD16" i="67" s="1"/>
  <c r="AD68" i="67" s="1"/>
  <c r="AH8" i="49"/>
  <c r="AD8" i="67" s="1"/>
  <c r="AD60" i="67" s="1"/>
  <c r="AH51" i="49"/>
  <c r="AD51" i="67" s="1"/>
  <c r="AD103" i="67" s="1"/>
  <c r="AH29" i="49"/>
  <c r="AD29" i="67" s="1"/>
  <c r="AD81" i="67" s="1"/>
  <c r="AH43" i="49"/>
  <c r="AD43" i="67" s="1"/>
  <c r="AD95" i="67" s="1"/>
  <c r="AH28" i="49"/>
  <c r="AD28" i="67" s="1"/>
  <c r="AD80" i="67" s="1"/>
  <c r="AH26" i="49"/>
  <c r="AD26" i="67" s="1"/>
  <c r="AD78" i="67" s="1"/>
  <c r="AH14" i="49"/>
  <c r="AD14" i="67" s="1"/>
  <c r="AD66" i="67" s="1"/>
  <c r="AH48" i="49"/>
  <c r="AD48" i="67" s="1"/>
  <c r="AD100" i="67" s="1"/>
  <c r="AH11" i="49"/>
  <c r="AD11" i="67" s="1"/>
  <c r="AD63" i="67" s="1"/>
  <c r="AH27" i="63"/>
  <c r="P13" i="69"/>
  <c r="O13" i="69"/>
  <c r="H9" i="70"/>
  <c r="H14" i="70" s="1"/>
  <c r="L14" i="52"/>
  <c r="D15" i="70"/>
  <c r="I15" i="70"/>
  <c r="H15" i="70"/>
  <c r="V18" i="50"/>
  <c r="V29" i="50"/>
  <c r="V50" i="50"/>
  <c r="V24" i="50"/>
  <c r="V48" i="50"/>
  <c r="AB26" i="48"/>
  <c r="V26" i="50"/>
  <c r="V34" i="50"/>
  <c r="V46" i="50"/>
  <c r="AB46" i="48"/>
  <c r="V20" i="50"/>
  <c r="V8" i="50"/>
  <c r="V15" i="50"/>
  <c r="AB15" i="48"/>
  <c r="V17" i="50"/>
  <c r="C9" i="70"/>
  <c r="C15" i="70" s="1"/>
  <c r="O31" i="63"/>
  <c r="O33" i="49"/>
  <c r="O33" i="67" s="1"/>
  <c r="O85" i="67" s="1"/>
  <c r="O53" i="50"/>
  <c r="AA46" i="67"/>
  <c r="AA98" i="67" s="1"/>
  <c r="L9" i="69"/>
  <c r="L14" i="69" s="1"/>
  <c r="O14" i="69"/>
  <c r="P14" i="69"/>
  <c r="W32" i="64"/>
  <c r="Z13" i="64"/>
  <c r="AA13" i="64" s="1"/>
  <c r="AA13" i="52"/>
  <c r="Z13" i="53"/>
  <c r="AA13" i="53" s="1"/>
  <c r="Z13" i="54"/>
  <c r="AA13" i="54" s="1"/>
  <c r="Z24" i="64"/>
  <c r="AA24" i="64" s="1"/>
  <c r="AA24" i="52"/>
  <c r="Z24" i="53"/>
  <c r="AA24" i="53" s="1"/>
  <c r="Z24" i="54"/>
  <c r="AA24" i="54" s="1"/>
  <c r="Z31" i="64"/>
  <c r="AA31" i="64" s="1"/>
  <c r="Z31" i="53"/>
  <c r="AA31" i="53" s="1"/>
  <c r="Z31" i="54"/>
  <c r="AA31" i="54" s="1"/>
  <c r="AA31" i="52"/>
  <c r="Z40" i="64"/>
  <c r="AA40" i="64" s="1"/>
  <c r="AA40" i="52"/>
  <c r="Z40" i="53"/>
  <c r="AA40" i="53" s="1"/>
  <c r="Z40" i="54"/>
  <c r="AA40" i="54" s="1"/>
  <c r="Z34" i="64"/>
  <c r="AA34" i="64" s="1"/>
  <c r="AA34" i="52"/>
  <c r="Z34" i="53"/>
  <c r="AA34" i="53" s="1"/>
  <c r="Z34" i="54"/>
  <c r="AA34" i="54" s="1"/>
  <c r="Z19" i="64"/>
  <c r="AA19" i="64" s="1"/>
  <c r="AA19" i="52"/>
  <c r="Z19" i="53"/>
  <c r="AA19" i="53" s="1"/>
  <c r="Z19" i="54"/>
  <c r="AA19" i="54" s="1"/>
  <c r="Z9" i="64"/>
  <c r="AA9" i="64" s="1"/>
  <c r="AA9" i="52"/>
  <c r="Z9" i="53"/>
  <c r="AA9" i="53" s="1"/>
  <c r="Z9" i="54"/>
  <c r="AA9" i="54" s="1"/>
  <c r="V16" i="68"/>
  <c r="V59" i="68" s="1"/>
  <c r="Z16" i="64"/>
  <c r="AA16" i="64" s="1"/>
  <c r="Z16" i="53"/>
  <c r="AA16" i="53" s="1"/>
  <c r="Z16" i="54"/>
  <c r="AA16" i="54" s="1"/>
  <c r="AA16" i="52"/>
  <c r="Z32" i="64"/>
  <c r="AA32" i="64" s="1"/>
  <c r="Z32" i="54"/>
  <c r="AA32" i="54" s="1"/>
  <c r="AA32" i="52"/>
  <c r="Z32" i="53"/>
  <c r="AA32" i="53" s="1"/>
  <c r="Z6" i="64"/>
  <c r="AA6" i="64" s="1"/>
  <c r="Z6" i="54"/>
  <c r="AA6" i="54" s="1"/>
  <c r="AA6" i="52"/>
  <c r="Z6" i="53"/>
  <c r="AA6" i="53" s="1"/>
  <c r="X42" i="49"/>
  <c r="W42" i="67" s="1"/>
  <c r="W94" i="67" s="1"/>
  <c r="X12" i="63"/>
  <c r="X9" i="63"/>
  <c r="P20" i="63"/>
  <c r="P44" i="63"/>
  <c r="P13" i="63"/>
  <c r="O40" i="63"/>
  <c r="O15" i="63"/>
  <c r="AC41" i="63"/>
  <c r="AD41" i="63" s="1"/>
  <c r="AC25" i="63"/>
  <c r="AD25" i="63" s="1"/>
  <c r="AC29" i="49"/>
  <c r="AC32" i="63"/>
  <c r="AD32" i="63" s="1"/>
  <c r="AC23" i="63"/>
  <c r="AD23" i="63" s="1"/>
  <c r="AC18" i="63"/>
  <c r="AD18" i="63" s="1"/>
  <c r="AC36" i="63"/>
  <c r="AD36" i="63" s="1"/>
  <c r="S5" i="64"/>
  <c r="S44" i="64" s="1"/>
  <c r="R44" i="64"/>
  <c r="AI31" i="63"/>
  <c r="AI16" i="63"/>
  <c r="AI38" i="63"/>
  <c r="W20" i="64"/>
  <c r="U46" i="49"/>
  <c r="T46" i="67" s="1"/>
  <c r="T98" i="67" s="1"/>
  <c r="U46" i="63"/>
  <c r="U38" i="63"/>
  <c r="U30" i="63"/>
  <c r="U22" i="63"/>
  <c r="U14" i="63"/>
  <c r="U6" i="63"/>
  <c r="U45" i="63"/>
  <c r="U37" i="63"/>
  <c r="U29" i="63"/>
  <c r="U21" i="63"/>
  <c r="U13" i="63"/>
  <c r="U5" i="63"/>
  <c r="U23" i="49"/>
  <c r="T23" i="67" s="1"/>
  <c r="T75" i="67" s="1"/>
  <c r="U43" i="49"/>
  <c r="T43" i="67" s="1"/>
  <c r="T95" i="67" s="1"/>
  <c r="U8" i="49"/>
  <c r="T8" i="67" s="1"/>
  <c r="T60" i="67" s="1"/>
  <c r="U10" i="49"/>
  <c r="T10" i="67" s="1"/>
  <c r="T62" i="67" s="1"/>
  <c r="U49" i="49"/>
  <c r="T49" i="67" s="1"/>
  <c r="T101" i="67" s="1"/>
  <c r="U29" i="49"/>
  <c r="T29" i="67" s="1"/>
  <c r="T81" i="67" s="1"/>
  <c r="U21" i="49"/>
  <c r="U31" i="49"/>
  <c r="T31" i="67" s="1"/>
  <c r="T83" i="67" s="1"/>
  <c r="U11" i="49"/>
  <c r="T11" i="67" s="1"/>
  <c r="T63" i="67" s="1"/>
  <c r="U16" i="49"/>
  <c r="T16" i="67" s="1"/>
  <c r="T68" i="67" s="1"/>
  <c r="U44" i="63"/>
  <c r="U36" i="63"/>
  <c r="U28" i="63"/>
  <c r="U20" i="63"/>
  <c r="U12" i="63"/>
  <c r="U51" i="63"/>
  <c r="U43" i="63"/>
  <c r="U35" i="63"/>
  <c r="U27" i="63"/>
  <c r="U19" i="63"/>
  <c r="U11" i="63"/>
  <c r="U51" i="49"/>
  <c r="T51" i="67" s="1"/>
  <c r="T103" i="67" s="1"/>
  <c r="U20" i="49"/>
  <c r="T20" i="67" s="1"/>
  <c r="T72" i="67" s="1"/>
  <c r="U27" i="49"/>
  <c r="U30" i="49"/>
  <c r="T30" i="67" s="1"/>
  <c r="T82" i="67" s="1"/>
  <c r="U41" i="49"/>
  <c r="T41" i="67" s="1"/>
  <c r="T93" i="67" s="1"/>
  <c r="U5" i="49"/>
  <c r="U50" i="49"/>
  <c r="T50" i="67" s="1"/>
  <c r="T102" i="67" s="1"/>
  <c r="U22" i="49"/>
  <c r="T22" i="67" s="1"/>
  <c r="T74" i="67" s="1"/>
  <c r="U19" i="49"/>
  <c r="T19" i="67" s="1"/>
  <c r="T71" i="67" s="1"/>
  <c r="U42" i="49"/>
  <c r="T42" i="67" s="1"/>
  <c r="T94" i="67" s="1"/>
  <c r="U50" i="63"/>
  <c r="U42" i="63"/>
  <c r="U34" i="63"/>
  <c r="U26" i="63"/>
  <c r="U18" i="63"/>
  <c r="U10" i="63"/>
  <c r="U49" i="63"/>
  <c r="U41" i="63"/>
  <c r="U33" i="63"/>
  <c r="U25" i="63"/>
  <c r="U17" i="63"/>
  <c r="U9" i="63"/>
  <c r="U40" i="49"/>
  <c r="T40" i="67" s="1"/>
  <c r="T92" i="67" s="1"/>
  <c r="U17" i="49"/>
  <c r="T17" i="67" s="1"/>
  <c r="T69" i="67" s="1"/>
  <c r="U28" i="49"/>
  <c r="T28" i="67" s="1"/>
  <c r="T80" i="67" s="1"/>
  <c r="U45" i="49"/>
  <c r="T45" i="67" s="1"/>
  <c r="T97" i="67" s="1"/>
  <c r="U47" i="49"/>
  <c r="T47" i="67" s="1"/>
  <c r="T99" i="67" s="1"/>
  <c r="U7" i="49"/>
  <c r="T7" i="67" s="1"/>
  <c r="T59" i="67" s="1"/>
  <c r="U13" i="49"/>
  <c r="T13" i="67" s="1"/>
  <c r="T65" i="67" s="1"/>
  <c r="U38" i="49"/>
  <c r="T38" i="67" s="1"/>
  <c r="T90" i="67" s="1"/>
  <c r="U35" i="49"/>
  <c r="T35" i="67" s="1"/>
  <c r="T87" i="67" s="1"/>
  <c r="U37" i="49"/>
  <c r="T37" i="67" s="1"/>
  <c r="T89" i="67" s="1"/>
  <c r="U39" i="49"/>
  <c r="T39" i="67" s="1"/>
  <c r="T91" i="67" s="1"/>
  <c r="U15" i="49"/>
  <c r="T15" i="67" s="1"/>
  <c r="T67" i="67" s="1"/>
  <c r="U44" i="49"/>
  <c r="T44" i="67" s="1"/>
  <c r="T96" i="67" s="1"/>
  <c r="U14" i="49"/>
  <c r="T14" i="67" s="1"/>
  <c r="T66" i="67" s="1"/>
  <c r="U6" i="49"/>
  <c r="T6" i="67" s="1"/>
  <c r="T58" i="67" s="1"/>
  <c r="U48" i="63"/>
  <c r="U40" i="63"/>
  <c r="U32" i="63"/>
  <c r="U24" i="63"/>
  <c r="U16" i="63"/>
  <c r="U8" i="63"/>
  <c r="U47" i="63"/>
  <c r="U39" i="63"/>
  <c r="U31" i="63"/>
  <c r="U23" i="63"/>
  <c r="U15" i="63"/>
  <c r="U7" i="63"/>
  <c r="U24" i="49"/>
  <c r="T24" i="67" s="1"/>
  <c r="T76" i="67" s="1"/>
  <c r="U36" i="49"/>
  <c r="T36" i="67" s="1"/>
  <c r="T88" i="67" s="1"/>
  <c r="U12" i="49"/>
  <c r="T12" i="67" s="1"/>
  <c r="T64" i="67" s="1"/>
  <c r="U18" i="49"/>
  <c r="T18" i="67" s="1"/>
  <c r="T70" i="67" s="1"/>
  <c r="U26" i="49"/>
  <c r="T26" i="67" s="1"/>
  <c r="T78" i="67" s="1"/>
  <c r="U34" i="49"/>
  <c r="T34" i="67" s="1"/>
  <c r="T86" i="67" s="1"/>
  <c r="U9" i="49"/>
  <c r="T9" i="67" s="1"/>
  <c r="T61" i="67" s="1"/>
  <c r="U33" i="49"/>
  <c r="T33" i="67" s="1"/>
  <c r="T85" i="67" s="1"/>
  <c r="U32" i="49"/>
  <c r="T32" i="67" s="1"/>
  <c r="T84" i="67" s="1"/>
  <c r="U48" i="49"/>
  <c r="T48" i="67" s="1"/>
  <c r="T100" i="67" s="1"/>
  <c r="P30" i="64"/>
  <c r="P30" i="53"/>
  <c r="P30" i="54"/>
  <c r="P30" i="68" s="1"/>
  <c r="P73" i="68" s="1"/>
  <c r="P38" i="64"/>
  <c r="P38" i="53"/>
  <c r="P38" i="54"/>
  <c r="P38" i="68" s="1"/>
  <c r="P81" i="68" s="1"/>
  <c r="P5" i="64"/>
  <c r="P5" i="54"/>
  <c r="P5" i="53"/>
  <c r="P5" i="68" s="1"/>
  <c r="P48" i="68" s="1"/>
  <c r="P44" i="52"/>
  <c r="P18" i="64"/>
  <c r="P18" i="53"/>
  <c r="P18" i="68" s="1"/>
  <c r="P61" i="68" s="1"/>
  <c r="P18" i="54"/>
  <c r="P29" i="64"/>
  <c r="P29" i="53"/>
  <c r="P29" i="68" s="1"/>
  <c r="P72" i="68" s="1"/>
  <c r="P29" i="54"/>
  <c r="P7" i="64"/>
  <c r="P7" i="53"/>
  <c r="P7" i="68" s="1"/>
  <c r="P50" i="68" s="1"/>
  <c r="P7" i="54"/>
  <c r="P15" i="64"/>
  <c r="P15" i="54"/>
  <c r="P15" i="53"/>
  <c r="P15" i="68" s="1"/>
  <c r="P58" i="68" s="1"/>
  <c r="P33" i="64"/>
  <c r="P33" i="53"/>
  <c r="P33" i="68" s="1"/>
  <c r="P76" i="68" s="1"/>
  <c r="P33" i="54"/>
  <c r="P25" i="64"/>
  <c r="P25" i="53"/>
  <c r="P25" i="68" s="1"/>
  <c r="P68" i="68" s="1"/>
  <c r="P25" i="54"/>
  <c r="O10" i="64"/>
  <c r="O10" i="54"/>
  <c r="O10" i="53"/>
  <c r="O10" i="68" s="1"/>
  <c r="O53" i="68" s="1"/>
  <c r="O27" i="64"/>
  <c r="O27" i="53"/>
  <c r="O27" i="68" s="1"/>
  <c r="O70" i="68" s="1"/>
  <c r="O27" i="54"/>
  <c r="O37" i="64"/>
  <c r="O37" i="54"/>
  <c r="O37" i="53"/>
  <c r="O37" i="68" s="1"/>
  <c r="O80" i="68" s="1"/>
  <c r="O8" i="64"/>
  <c r="O8" i="54"/>
  <c r="O8" i="53"/>
  <c r="O8" i="68" s="1"/>
  <c r="O51" i="68" s="1"/>
  <c r="O14" i="64"/>
  <c r="O14" i="54"/>
  <c r="O14" i="53"/>
  <c r="O14" i="68" s="1"/>
  <c r="O57" i="68" s="1"/>
  <c r="O21" i="64"/>
  <c r="O21" i="54"/>
  <c r="O21" i="53"/>
  <c r="O21" i="68" s="1"/>
  <c r="O64" i="68" s="1"/>
  <c r="O19" i="64"/>
  <c r="O19" i="53"/>
  <c r="O19" i="68" s="1"/>
  <c r="O62" i="68" s="1"/>
  <c r="O19" i="54"/>
  <c r="O18" i="64"/>
  <c r="O18" i="53"/>
  <c r="O18" i="68" s="1"/>
  <c r="O61" i="68" s="1"/>
  <c r="O18" i="54"/>
  <c r="O9" i="64"/>
  <c r="O9" i="54"/>
  <c r="O9" i="53"/>
  <c r="O9" i="68" s="1"/>
  <c r="O52" i="68" s="1"/>
  <c r="O26" i="64"/>
  <c r="O26" i="54"/>
  <c r="O26" i="53"/>
  <c r="O26" i="68" s="1"/>
  <c r="O69" i="68" s="1"/>
  <c r="X34" i="63"/>
  <c r="X37" i="63"/>
  <c r="X38" i="63"/>
  <c r="Q41" i="63"/>
  <c r="Q45" i="63"/>
  <c r="Q17" i="63"/>
  <c r="P8" i="63"/>
  <c r="P53" i="63" s="1"/>
  <c r="P35" i="63"/>
  <c r="O7" i="63"/>
  <c r="O44" i="63"/>
  <c r="O26" i="63"/>
  <c r="AC11" i="63"/>
  <c r="AD11" i="63" s="1"/>
  <c r="AC51" i="49"/>
  <c r="AC49" i="49"/>
  <c r="AI10" i="63"/>
  <c r="M24" i="50"/>
  <c r="S58" i="48"/>
  <c r="R58" i="48"/>
  <c r="M43" i="50"/>
  <c r="M29" i="50"/>
  <c r="M18" i="50"/>
  <c r="M38" i="50"/>
  <c r="M48" i="50"/>
  <c r="M20" i="50"/>
  <c r="M31" i="50"/>
  <c r="M13" i="50"/>
  <c r="M45" i="50"/>
  <c r="M10" i="50"/>
  <c r="O15" i="69"/>
  <c r="P15" i="69"/>
  <c r="X47" i="63"/>
  <c r="X50" i="63"/>
  <c r="X17" i="49"/>
  <c r="W17" i="67" s="1"/>
  <c r="W69" i="67" s="1"/>
  <c r="X43" i="63"/>
  <c r="Q16" i="63"/>
  <c r="Q7" i="63"/>
  <c r="Q53" i="63" s="1"/>
  <c r="P22" i="63"/>
  <c r="P15" i="63"/>
  <c r="P12" i="63"/>
  <c r="J9" i="70"/>
  <c r="J15" i="70" s="1"/>
  <c r="J11" i="70"/>
  <c r="J7" i="70"/>
  <c r="J13" i="70" s="1"/>
  <c r="O32" i="49"/>
  <c r="O32" i="67" s="1"/>
  <c r="O84" i="67" s="1"/>
  <c r="O49" i="63"/>
  <c r="O41" i="49"/>
  <c r="O41" i="67" s="1"/>
  <c r="O93" i="67" s="1"/>
  <c r="AC12" i="49"/>
  <c r="AC44" i="49"/>
  <c r="AC13" i="63"/>
  <c r="AD13" i="63" s="1"/>
  <c r="AC37" i="63"/>
  <c r="AD37" i="63" s="1"/>
  <c r="W42" i="49"/>
  <c r="V42" i="67" s="1"/>
  <c r="V94" i="67" s="1"/>
  <c r="W53" i="50"/>
  <c r="W41" i="63"/>
  <c r="W18" i="63"/>
  <c r="W46" i="63"/>
  <c r="W17" i="63"/>
  <c r="W23" i="63"/>
  <c r="AH18" i="49"/>
  <c r="AD18" i="67" s="1"/>
  <c r="AD70" i="67" s="1"/>
  <c r="AH40" i="49"/>
  <c r="AD40" i="67" s="1"/>
  <c r="AD92" i="67" s="1"/>
  <c r="AH30" i="63"/>
  <c r="AH53" i="50"/>
  <c r="AH38" i="63"/>
  <c r="AB27" i="48"/>
  <c r="L42" i="52"/>
  <c r="V43" i="50"/>
  <c r="AB49" i="48"/>
  <c r="V49" i="50"/>
  <c r="V22" i="50"/>
  <c r="V9" i="50"/>
  <c r="V5" i="63"/>
  <c r="V5" i="50"/>
  <c r="V53" i="48"/>
  <c r="V58" i="48" s="1"/>
  <c r="V38" i="49" s="1"/>
  <c r="V12" i="63"/>
  <c r="V12" i="50"/>
  <c r="V11" i="50"/>
  <c r="AB11" i="48"/>
  <c r="V14" i="50"/>
  <c r="AB14" i="48"/>
  <c r="V35" i="50"/>
  <c r="V41" i="63"/>
  <c r="V41" i="50"/>
  <c r="AB41" i="48"/>
  <c r="V28" i="63"/>
  <c r="V28" i="50"/>
  <c r="AB28" i="48"/>
  <c r="V37" i="63"/>
  <c r="V37" i="50"/>
  <c r="X53" i="50"/>
  <c r="X32" i="63"/>
  <c r="O46" i="63"/>
  <c r="O24" i="63"/>
  <c r="O18" i="63"/>
  <c r="O21" i="63"/>
  <c r="O42" i="63"/>
  <c r="O5" i="49"/>
  <c r="AA38" i="67"/>
  <c r="AA90" i="67" s="1"/>
  <c r="AC48" i="49"/>
  <c r="AC39" i="49"/>
  <c r="AC17" i="49"/>
  <c r="AC30" i="49"/>
  <c r="AC23" i="49"/>
  <c r="AC18" i="49"/>
  <c r="AC50" i="49"/>
  <c r="AC21" i="49"/>
  <c r="AC6" i="49"/>
  <c r="AC36" i="49"/>
  <c r="AC34" i="49"/>
  <c r="AC42" i="49"/>
  <c r="AC25" i="49"/>
  <c r="AC27" i="49"/>
  <c r="AC35" i="49"/>
  <c r="AC19" i="49"/>
  <c r="AC24" i="49"/>
  <c r="AC37" i="49"/>
  <c r="AC10" i="49"/>
  <c r="AC47" i="49"/>
  <c r="AC33" i="49"/>
  <c r="AC15" i="63"/>
  <c r="AD15" i="63" s="1"/>
  <c r="AI22" i="49"/>
  <c r="AE22" i="67" s="1"/>
  <c r="AE74" i="67" s="1"/>
  <c r="AI13" i="49"/>
  <c r="AE13" i="67" s="1"/>
  <c r="AE65" i="67" s="1"/>
  <c r="AI28" i="49"/>
  <c r="AE28" i="67" s="1"/>
  <c r="AE80" i="67" s="1"/>
  <c r="AI36" i="49"/>
  <c r="AE36" i="67" s="1"/>
  <c r="AE88" i="67" s="1"/>
  <c r="AI10" i="49"/>
  <c r="AE10" i="67" s="1"/>
  <c r="AE62" i="67" s="1"/>
  <c r="AI38" i="49"/>
  <c r="AE38" i="67" s="1"/>
  <c r="AE90" i="67" s="1"/>
  <c r="AI5" i="49"/>
  <c r="AI49" i="49"/>
  <c r="AE49" i="67" s="1"/>
  <c r="AE101" i="67" s="1"/>
  <c r="AI14" i="49"/>
  <c r="AE14" i="67" s="1"/>
  <c r="AE66" i="67" s="1"/>
  <c r="AI21" i="49"/>
  <c r="AE21" i="67" s="1"/>
  <c r="AE73" i="67" s="1"/>
  <c r="AI6" i="49"/>
  <c r="AE6" i="67" s="1"/>
  <c r="AE58" i="67" s="1"/>
  <c r="AI9" i="49"/>
  <c r="AE9" i="67" s="1"/>
  <c r="AE61" i="67" s="1"/>
  <c r="AI50" i="49"/>
  <c r="AE50" i="67" s="1"/>
  <c r="AE102" i="67" s="1"/>
  <c r="AI47" i="49"/>
  <c r="AE47" i="67" s="1"/>
  <c r="AE99" i="67" s="1"/>
  <c r="AI19" i="49"/>
  <c r="AE19" i="67" s="1"/>
  <c r="AE71" i="67" s="1"/>
  <c r="AI42" i="49"/>
  <c r="AE42" i="67" s="1"/>
  <c r="AE94" i="67" s="1"/>
  <c r="AI33" i="49"/>
  <c r="AE33" i="67" s="1"/>
  <c r="AE85" i="67" s="1"/>
  <c r="AI8" i="49"/>
  <c r="AE8" i="67" s="1"/>
  <c r="AE60" i="67" s="1"/>
  <c r="AI25" i="49"/>
  <c r="AE25" i="67" s="1"/>
  <c r="AE77" i="67" s="1"/>
  <c r="AI51" i="49"/>
  <c r="AE51" i="67" s="1"/>
  <c r="AE103" i="67" s="1"/>
  <c r="AI32" i="49"/>
  <c r="AE32" i="67" s="1"/>
  <c r="AE84" i="67" s="1"/>
  <c r="AI43" i="49"/>
  <c r="AE43" i="67" s="1"/>
  <c r="AE95" i="67" s="1"/>
  <c r="AI12" i="49"/>
  <c r="AE12" i="67" s="1"/>
  <c r="AE64" i="67" s="1"/>
  <c r="AI16" i="49"/>
  <c r="AE16" i="67" s="1"/>
  <c r="AE68" i="67" s="1"/>
  <c r="AI41" i="49"/>
  <c r="AE41" i="67" s="1"/>
  <c r="AE93" i="67" s="1"/>
  <c r="AI48" i="49"/>
  <c r="AE48" i="67" s="1"/>
  <c r="AE100" i="67" s="1"/>
  <c r="AI29" i="49"/>
  <c r="AE29" i="67" s="1"/>
  <c r="AE81" i="67" s="1"/>
  <c r="AI26" i="49"/>
  <c r="AE26" i="67" s="1"/>
  <c r="AE78" i="67" s="1"/>
  <c r="AI31" i="49"/>
  <c r="AE31" i="67" s="1"/>
  <c r="AE83" i="67" s="1"/>
  <c r="AI7" i="49"/>
  <c r="AE7" i="67" s="1"/>
  <c r="AE59" i="67" s="1"/>
  <c r="AI44" i="49"/>
  <c r="AE44" i="67" s="1"/>
  <c r="AE96" i="67" s="1"/>
  <c r="AI20" i="49"/>
  <c r="AE20" i="67" s="1"/>
  <c r="AE72" i="67" s="1"/>
  <c r="AI40" i="49"/>
  <c r="AE40" i="67" s="1"/>
  <c r="AE92" i="67" s="1"/>
  <c r="AI23" i="49"/>
  <c r="AE23" i="67" s="1"/>
  <c r="AE75" i="67" s="1"/>
  <c r="AI11" i="49"/>
  <c r="AE11" i="67" s="1"/>
  <c r="AE63" i="67" s="1"/>
  <c r="AI34" i="49"/>
  <c r="AE34" i="67" s="1"/>
  <c r="AE86" i="67" s="1"/>
  <c r="AI45" i="49"/>
  <c r="AE45" i="67" s="1"/>
  <c r="AE97" i="67" s="1"/>
  <c r="AI30" i="49"/>
  <c r="AE30" i="67" s="1"/>
  <c r="AE82" i="67" s="1"/>
  <c r="AI39" i="49"/>
  <c r="AE39" i="67" s="1"/>
  <c r="AE91" i="67" s="1"/>
  <c r="AI17" i="49"/>
  <c r="AE17" i="67" s="1"/>
  <c r="AE69" i="67" s="1"/>
  <c r="AI46" i="49"/>
  <c r="AE46" i="67" s="1"/>
  <c r="AE98" i="67" s="1"/>
  <c r="AI15" i="49"/>
  <c r="AE15" i="67" s="1"/>
  <c r="AE67" i="67" s="1"/>
  <c r="AI34" i="63"/>
  <c r="M35" i="50"/>
  <c r="Z27" i="64"/>
  <c r="AA27" i="64" s="1"/>
  <c r="Z27" i="54"/>
  <c r="AA27" i="54" s="1"/>
  <c r="AA27" i="52"/>
  <c r="Z27" i="53"/>
  <c r="AA27" i="53" s="1"/>
  <c r="Z26" i="64"/>
  <c r="AA26" i="64" s="1"/>
  <c r="Z26" i="53"/>
  <c r="AA26" i="53" s="1"/>
  <c r="Z26" i="54"/>
  <c r="AA26" i="54" s="1"/>
  <c r="AA26" i="52"/>
  <c r="Z29" i="64"/>
  <c r="AA29" i="64" s="1"/>
  <c r="Z29" i="54"/>
  <c r="AA29" i="54" s="1"/>
  <c r="AA29" i="52"/>
  <c r="Z29" i="53"/>
  <c r="AA29" i="53" s="1"/>
  <c r="Z37" i="64"/>
  <c r="AA37" i="64" s="1"/>
  <c r="AA37" i="52"/>
  <c r="Z37" i="53"/>
  <c r="AA37" i="53" s="1"/>
  <c r="Z37" i="54"/>
  <c r="AA37" i="54" s="1"/>
  <c r="Z25" i="64"/>
  <c r="AA25" i="64" s="1"/>
  <c r="Z25" i="53"/>
  <c r="AA25" i="53" s="1"/>
  <c r="Z25" i="54"/>
  <c r="AA25" i="54" s="1"/>
  <c r="AA25" i="52"/>
  <c r="Z17" i="64"/>
  <c r="AA17" i="64" s="1"/>
  <c r="Z17" i="53"/>
  <c r="AA17" i="53" s="1"/>
  <c r="Z17" i="54"/>
  <c r="AA17" i="54" s="1"/>
  <c r="AA17" i="52"/>
  <c r="Z39" i="64"/>
  <c r="AA39" i="64" s="1"/>
  <c r="Z39" i="54"/>
  <c r="AA39" i="54" s="1"/>
  <c r="AA39" i="52"/>
  <c r="Z39" i="53"/>
  <c r="AA39" i="53" s="1"/>
  <c r="Z41" i="64"/>
  <c r="AA41" i="64" s="1"/>
  <c r="Z41" i="53"/>
  <c r="AA41" i="53" s="1"/>
  <c r="AA41" i="52"/>
  <c r="Z41" i="54"/>
  <c r="AA41" i="54" s="1"/>
  <c r="Z42" i="64"/>
  <c r="AA42" i="64" s="1"/>
  <c r="AA42" i="52"/>
  <c r="Z42" i="53"/>
  <c r="AA42" i="53" s="1"/>
  <c r="Z42" i="54"/>
  <c r="AA42" i="54" s="1"/>
  <c r="Z10" i="64"/>
  <c r="AA10" i="64" s="1"/>
  <c r="AA10" i="52"/>
  <c r="Z10" i="53"/>
  <c r="AA10" i="53" s="1"/>
  <c r="Z10" i="54"/>
  <c r="AA10" i="54" s="1"/>
  <c r="X33" i="63"/>
  <c r="X42" i="63"/>
  <c r="X8" i="63"/>
  <c r="X27" i="63"/>
  <c r="Q49" i="49"/>
  <c r="Q49" i="67" s="1"/>
  <c r="Q101" i="67" s="1"/>
  <c r="Q43" i="49"/>
  <c r="Q43" i="67" s="1"/>
  <c r="Q95" i="67" s="1"/>
  <c r="Q6" i="49"/>
  <c r="Q6" i="67" s="1"/>
  <c r="Q58" i="67" s="1"/>
  <c r="Q42" i="49"/>
  <c r="Q42" i="67" s="1"/>
  <c r="Q94" i="67" s="1"/>
  <c r="Q12" i="49"/>
  <c r="Q12" i="67" s="1"/>
  <c r="Q64" i="67" s="1"/>
  <c r="Q10" i="49"/>
  <c r="Q10" i="67" s="1"/>
  <c r="Q62" i="67" s="1"/>
  <c r="Q46" i="49"/>
  <c r="Q46" i="67" s="1"/>
  <c r="Q98" i="67" s="1"/>
  <c r="Q48" i="49"/>
  <c r="Q48" i="67" s="1"/>
  <c r="Q100" i="67" s="1"/>
  <c r="Q20" i="49"/>
  <c r="Q20" i="67" s="1"/>
  <c r="Q72" i="67" s="1"/>
  <c r="Q34" i="49"/>
  <c r="Q34" i="67" s="1"/>
  <c r="Q86" i="67" s="1"/>
  <c r="Q36" i="49"/>
  <c r="Q36" i="67" s="1"/>
  <c r="Q88" i="67" s="1"/>
  <c r="Q40" i="49"/>
  <c r="Q40" i="67" s="1"/>
  <c r="Q92" i="67" s="1"/>
  <c r="Q24" i="49"/>
  <c r="Q24" i="67" s="1"/>
  <c r="Q76" i="67" s="1"/>
  <c r="Q23" i="49"/>
  <c r="Q23" i="67" s="1"/>
  <c r="Q75" i="67" s="1"/>
  <c r="Q51" i="49"/>
  <c r="Q51" i="67" s="1"/>
  <c r="Q103" i="67" s="1"/>
  <c r="Q16" i="49"/>
  <c r="Q16" i="67" s="1"/>
  <c r="Q68" i="67" s="1"/>
  <c r="Q31" i="49"/>
  <c r="Q31" i="67" s="1"/>
  <c r="Q83" i="67" s="1"/>
  <c r="Q28" i="49"/>
  <c r="Q28" i="67" s="1"/>
  <c r="Q80" i="67" s="1"/>
  <c r="Q41" i="49"/>
  <c r="Q41" i="67" s="1"/>
  <c r="Q93" i="67" s="1"/>
  <c r="Q33" i="49"/>
  <c r="Q33" i="67" s="1"/>
  <c r="Q85" i="67" s="1"/>
  <c r="Q29" i="49"/>
  <c r="Q29" i="67" s="1"/>
  <c r="Q81" i="67" s="1"/>
  <c r="Q44" i="49"/>
  <c r="Q44" i="67" s="1"/>
  <c r="Q96" i="67" s="1"/>
  <c r="Q17" i="49"/>
  <c r="Q17" i="67" s="1"/>
  <c r="Q69" i="67" s="1"/>
  <c r="Q21" i="49"/>
  <c r="Q21" i="67" s="1"/>
  <c r="Q73" i="67" s="1"/>
  <c r="Q47" i="49"/>
  <c r="Q47" i="67" s="1"/>
  <c r="Q99" i="67" s="1"/>
  <c r="Q8" i="49"/>
  <c r="Q8" i="67" s="1"/>
  <c r="Q60" i="67" s="1"/>
  <c r="Q13" i="49"/>
  <c r="Q13" i="67" s="1"/>
  <c r="Q65" i="67" s="1"/>
  <c r="Q14" i="49"/>
  <c r="Q14" i="67" s="1"/>
  <c r="Q66" i="67" s="1"/>
  <c r="Q32" i="49"/>
  <c r="Q32" i="67" s="1"/>
  <c r="Q84" i="67" s="1"/>
  <c r="Q35" i="49"/>
  <c r="Q35" i="67" s="1"/>
  <c r="Q87" i="67" s="1"/>
  <c r="Q27" i="49"/>
  <c r="Q27" i="67" s="1"/>
  <c r="Q79" i="67" s="1"/>
  <c r="Q25" i="49"/>
  <c r="Q25" i="67" s="1"/>
  <c r="Q77" i="67" s="1"/>
  <c r="Q45" i="49"/>
  <c r="Q45" i="67" s="1"/>
  <c r="Q97" i="67" s="1"/>
  <c r="Q30" i="49"/>
  <c r="Q30" i="67" s="1"/>
  <c r="Q82" i="67" s="1"/>
  <c r="Q9" i="49"/>
  <c r="Q9" i="67" s="1"/>
  <c r="Q61" i="67" s="1"/>
  <c r="Q38" i="49"/>
  <c r="Q38" i="67" s="1"/>
  <c r="Q90" i="67" s="1"/>
  <c r="Q5" i="49"/>
  <c r="Q19" i="49"/>
  <c r="Q19" i="67" s="1"/>
  <c r="Q71" i="67" s="1"/>
  <c r="Q11" i="49"/>
  <c r="Q11" i="67" s="1"/>
  <c r="Q63" i="67" s="1"/>
  <c r="Q39" i="49"/>
  <c r="Q39" i="67" s="1"/>
  <c r="Q91" i="67" s="1"/>
  <c r="Q15" i="49"/>
  <c r="Q15" i="67" s="1"/>
  <c r="Q67" i="67" s="1"/>
  <c r="Q18" i="49"/>
  <c r="Q18" i="67" s="1"/>
  <c r="Q70" i="67" s="1"/>
  <c r="Q26" i="49"/>
  <c r="Q26" i="67" s="1"/>
  <c r="Q78" i="67" s="1"/>
  <c r="Q50" i="49"/>
  <c r="Q50" i="67" s="1"/>
  <c r="Q102" i="67" s="1"/>
  <c r="Q22" i="49"/>
  <c r="Q22" i="67" s="1"/>
  <c r="Q74" i="67" s="1"/>
  <c r="Q7" i="49"/>
  <c r="Q7" i="67" s="1"/>
  <c r="Q59" i="67" s="1"/>
  <c r="Q37" i="49"/>
  <c r="Q37" i="67" s="1"/>
  <c r="Q89" i="67" s="1"/>
  <c r="Q24" i="63"/>
  <c r="P17" i="63"/>
  <c r="P41" i="63"/>
  <c r="M44" i="53"/>
  <c r="O23" i="63"/>
  <c r="O47" i="49"/>
  <c r="O47" i="67" s="1"/>
  <c r="O99" i="67" s="1"/>
  <c r="O16" i="63"/>
  <c r="O25" i="63"/>
  <c r="AC7" i="49"/>
  <c r="AC31" i="63"/>
  <c r="AD31" i="63" s="1"/>
  <c r="AC47" i="63"/>
  <c r="AD47" i="63" s="1"/>
  <c r="AC8" i="49"/>
  <c r="G9" i="70"/>
  <c r="G15" i="70" s="1"/>
  <c r="G11" i="70"/>
  <c r="AI14" i="63"/>
  <c r="AI6" i="63"/>
  <c r="AI53" i="63" s="1"/>
  <c r="AI13" i="63"/>
  <c r="M30" i="50"/>
  <c r="I13" i="70"/>
  <c r="H13" i="70"/>
  <c r="D13" i="70"/>
  <c r="P36" i="68"/>
  <c r="P79" i="68" s="1"/>
  <c r="P36" i="64"/>
  <c r="P36" i="53"/>
  <c r="P36" i="54"/>
  <c r="P32" i="68"/>
  <c r="P75" i="68" s="1"/>
  <c r="P32" i="64"/>
  <c r="P32" i="53"/>
  <c r="P32" i="54"/>
  <c r="P9" i="68"/>
  <c r="P52" i="68" s="1"/>
  <c r="P9" i="64"/>
  <c r="P9" i="53"/>
  <c r="P9" i="54"/>
  <c r="P34" i="68"/>
  <c r="P77" i="68" s="1"/>
  <c r="P34" i="64"/>
  <c r="P34" i="54"/>
  <c r="P34" i="53"/>
  <c r="P39" i="68"/>
  <c r="P82" i="68" s="1"/>
  <c r="P39" i="64"/>
  <c r="P39" i="53"/>
  <c r="P39" i="54"/>
  <c r="P11" i="68"/>
  <c r="P54" i="68" s="1"/>
  <c r="P11" i="64"/>
  <c r="P11" i="53"/>
  <c r="P11" i="54"/>
  <c r="P10" i="68"/>
  <c r="P53" i="68" s="1"/>
  <c r="P10" i="64"/>
  <c r="P10" i="54"/>
  <c r="P10" i="53"/>
  <c r="P27" i="68"/>
  <c r="P70" i="68" s="1"/>
  <c r="P27" i="64"/>
  <c r="P27" i="53"/>
  <c r="P27" i="54"/>
  <c r="P19" i="68"/>
  <c r="P62" i="68" s="1"/>
  <c r="P19" i="64"/>
  <c r="P19" i="53"/>
  <c r="P19" i="54"/>
  <c r="O33" i="68"/>
  <c r="O76" i="68" s="1"/>
  <c r="O33" i="64"/>
  <c r="O33" i="53"/>
  <c r="O33" i="54"/>
  <c r="O31" i="68"/>
  <c r="O74" i="68" s="1"/>
  <c r="O31" i="64"/>
  <c r="O31" i="53"/>
  <c r="O31" i="54"/>
  <c r="O24" i="68"/>
  <c r="O67" i="68" s="1"/>
  <c r="O24" i="64"/>
  <c r="O24" i="54"/>
  <c r="O24" i="53"/>
  <c r="O16" i="68"/>
  <c r="O59" i="68" s="1"/>
  <c r="O16" i="64"/>
  <c r="O16" i="53"/>
  <c r="O16" i="54"/>
  <c r="O32" i="68"/>
  <c r="O75" i="68" s="1"/>
  <c r="O32" i="64"/>
  <c r="O32" i="53"/>
  <c r="O32" i="54"/>
  <c r="O41" i="68"/>
  <c r="O84" i="68" s="1"/>
  <c r="O41" i="64"/>
  <c r="O41" i="54"/>
  <c r="O41" i="53"/>
  <c r="O17" i="68"/>
  <c r="O60" i="68" s="1"/>
  <c r="O17" i="64"/>
  <c r="O17" i="53"/>
  <c r="O17" i="54"/>
  <c r="O40" i="68"/>
  <c r="O83" i="68" s="1"/>
  <c r="O40" i="64"/>
  <c r="O40" i="54"/>
  <c r="O40" i="53"/>
  <c r="O35" i="68"/>
  <c r="O78" i="68" s="1"/>
  <c r="O35" i="64"/>
  <c r="O35" i="53"/>
  <c r="O35" i="54"/>
  <c r="X14" i="63"/>
  <c r="X18" i="63"/>
  <c r="X46" i="63"/>
  <c r="X25" i="63"/>
  <c r="Q31" i="63"/>
  <c r="Q18" i="63"/>
  <c r="P40" i="63"/>
  <c r="P28" i="63"/>
  <c r="P31" i="63"/>
  <c r="P27" i="63"/>
  <c r="O8" i="49"/>
  <c r="O8" i="67" s="1"/>
  <c r="O60" i="67" s="1"/>
  <c r="O30" i="49"/>
  <c r="O30" i="67" s="1"/>
  <c r="O82" i="67" s="1"/>
  <c r="O43" i="63"/>
  <c r="O29" i="49"/>
  <c r="O29" i="67" s="1"/>
  <c r="O81" i="67" s="1"/>
  <c r="O35" i="63"/>
  <c r="AC14" i="63"/>
  <c r="AD14" i="63" s="1"/>
  <c r="AC45" i="49"/>
  <c r="AC51" i="63"/>
  <c r="AD51" i="63" s="1"/>
  <c r="AI22" i="63"/>
  <c r="AI37" i="49"/>
  <c r="AE37" i="67" s="1"/>
  <c r="AE89" i="67" s="1"/>
  <c r="AI27" i="49"/>
  <c r="AE27" i="67" s="1"/>
  <c r="AE79" i="67" s="1"/>
  <c r="AI42" i="63"/>
  <c r="M27" i="50"/>
  <c r="W31" i="64"/>
  <c r="W18" i="64"/>
  <c r="W44" i="64" s="1"/>
  <c r="I14" i="70"/>
  <c r="D14" i="70"/>
  <c r="J14" i="70"/>
  <c r="M41" i="50"/>
  <c r="M7" i="50"/>
  <c r="M47" i="50"/>
  <c r="M6" i="50"/>
  <c r="M17" i="50"/>
  <c r="M53" i="48"/>
  <c r="M58" i="48" s="1"/>
  <c r="M37" i="63" s="1"/>
  <c r="M5" i="50"/>
  <c r="M14" i="50"/>
  <c r="M23" i="50"/>
  <c r="M49" i="50"/>
  <c r="M32" i="50"/>
  <c r="L18" i="49"/>
  <c r="L18" i="67" s="1"/>
  <c r="L70" i="67" s="1"/>
  <c r="L20" i="49"/>
  <c r="L20" i="67" s="1"/>
  <c r="L72" i="67" s="1"/>
  <c r="L33" i="49"/>
  <c r="L33" i="67" s="1"/>
  <c r="L85" i="67" s="1"/>
  <c r="L8" i="49"/>
  <c r="L8" i="67" s="1"/>
  <c r="L60" i="67" s="1"/>
  <c r="L10" i="49"/>
  <c r="L10" i="67" s="1"/>
  <c r="L62" i="67" s="1"/>
  <c r="L44" i="49"/>
  <c r="L44" i="67" s="1"/>
  <c r="L96" i="67" s="1"/>
  <c r="L26" i="49"/>
  <c r="L26" i="67" s="1"/>
  <c r="L78" i="67" s="1"/>
  <c r="L21" i="49"/>
  <c r="L21" i="67" s="1"/>
  <c r="L73" i="67" s="1"/>
  <c r="L40" i="49"/>
  <c r="L40" i="67" s="1"/>
  <c r="L92" i="67" s="1"/>
  <c r="L22" i="49"/>
  <c r="L22" i="67" s="1"/>
  <c r="L74" i="67" s="1"/>
  <c r="L30" i="49"/>
  <c r="L30" i="67" s="1"/>
  <c r="L82" i="67" s="1"/>
  <c r="L9" i="49"/>
  <c r="L9" i="67" s="1"/>
  <c r="L61" i="67" s="1"/>
  <c r="L27" i="49"/>
  <c r="L27" i="67" s="1"/>
  <c r="L79" i="67" s="1"/>
  <c r="L48" i="49"/>
  <c r="L48" i="67" s="1"/>
  <c r="L100" i="67" s="1"/>
  <c r="L47" i="49"/>
  <c r="L47" i="67" s="1"/>
  <c r="L99" i="67" s="1"/>
  <c r="L36" i="49"/>
  <c r="L36" i="67" s="1"/>
  <c r="L88" i="67" s="1"/>
  <c r="L12" i="49"/>
  <c r="L12" i="67" s="1"/>
  <c r="L64" i="67" s="1"/>
  <c r="L24" i="49"/>
  <c r="L24" i="67" s="1"/>
  <c r="L76" i="67" s="1"/>
  <c r="L25" i="49"/>
  <c r="L25" i="67" s="1"/>
  <c r="L77" i="67" s="1"/>
  <c r="L43" i="49"/>
  <c r="L43" i="67" s="1"/>
  <c r="L95" i="67" s="1"/>
  <c r="L6" i="49"/>
  <c r="L6" i="67" s="1"/>
  <c r="L58" i="67" s="1"/>
  <c r="L46" i="49"/>
  <c r="L46" i="67" s="1"/>
  <c r="L98" i="67" s="1"/>
  <c r="L13" i="49"/>
  <c r="L13" i="67" s="1"/>
  <c r="L65" i="67" s="1"/>
  <c r="L39" i="49"/>
  <c r="L39" i="67" s="1"/>
  <c r="L91" i="67" s="1"/>
  <c r="L42" i="49"/>
  <c r="L42" i="67" s="1"/>
  <c r="L94" i="67" s="1"/>
  <c r="L15" i="49"/>
  <c r="L15" i="67" s="1"/>
  <c r="L67" i="67" s="1"/>
  <c r="L45" i="49"/>
  <c r="L45" i="67" s="1"/>
  <c r="L97" i="67" s="1"/>
  <c r="L7" i="49"/>
  <c r="L7" i="67" s="1"/>
  <c r="L59" i="67" s="1"/>
  <c r="L11" i="49"/>
  <c r="L11" i="67" s="1"/>
  <c r="L63" i="67" s="1"/>
  <c r="L37" i="49"/>
  <c r="L37" i="67" s="1"/>
  <c r="L89" i="67" s="1"/>
  <c r="L29" i="49"/>
  <c r="L29" i="67" s="1"/>
  <c r="L81" i="67" s="1"/>
  <c r="L28" i="49"/>
  <c r="L28" i="67" s="1"/>
  <c r="L80" i="67" s="1"/>
  <c r="L17" i="49"/>
  <c r="L17" i="67" s="1"/>
  <c r="L69" i="67" s="1"/>
  <c r="L34" i="49"/>
  <c r="L34" i="67" s="1"/>
  <c r="L86" i="67" s="1"/>
  <c r="L35" i="49"/>
  <c r="L35" i="67" s="1"/>
  <c r="L87" i="67" s="1"/>
  <c r="L19" i="49"/>
  <c r="L19" i="67" s="1"/>
  <c r="L71" i="67" s="1"/>
  <c r="L38" i="49"/>
  <c r="L38" i="67" s="1"/>
  <c r="L90" i="67" s="1"/>
  <c r="L50" i="49"/>
  <c r="L50" i="67" s="1"/>
  <c r="L102" i="67" s="1"/>
  <c r="L49" i="49"/>
  <c r="L49" i="67" s="1"/>
  <c r="L101" i="67" s="1"/>
  <c r="L32" i="49"/>
  <c r="L32" i="67" s="1"/>
  <c r="L84" i="67" s="1"/>
  <c r="L16" i="49"/>
  <c r="L16" i="67" s="1"/>
  <c r="L68" i="67" s="1"/>
  <c r="L31" i="49"/>
  <c r="L31" i="67" s="1"/>
  <c r="L83" i="67" s="1"/>
  <c r="L5" i="49"/>
  <c r="L41" i="49"/>
  <c r="L41" i="67" s="1"/>
  <c r="L93" i="67" s="1"/>
  <c r="L51" i="49"/>
  <c r="L51" i="67" s="1"/>
  <c r="L103" i="67" s="1"/>
  <c r="L14" i="49"/>
  <c r="L14" i="67" s="1"/>
  <c r="L66" i="67" s="1"/>
  <c r="L23" i="49"/>
  <c r="L23" i="67" s="1"/>
  <c r="L75" i="67" s="1"/>
  <c r="L36" i="63"/>
  <c r="L53" i="63" s="1"/>
  <c r="X49" i="63"/>
  <c r="X35" i="49"/>
  <c r="W35" i="67" s="1"/>
  <c r="W87" i="67" s="1"/>
  <c r="X36" i="63"/>
  <c r="X17" i="63"/>
  <c r="Q30" i="63"/>
  <c r="Q20" i="63"/>
  <c r="Q27" i="63"/>
  <c r="P48" i="63"/>
  <c r="P47" i="63"/>
  <c r="P21" i="63"/>
  <c r="P16" i="63"/>
  <c r="O50" i="63"/>
  <c r="O6" i="63"/>
  <c r="O38" i="49"/>
  <c r="O38" i="67" s="1"/>
  <c r="O90" i="67" s="1"/>
  <c r="O10" i="49"/>
  <c r="O10" i="67" s="1"/>
  <c r="O62" i="67" s="1"/>
  <c r="O34" i="63"/>
  <c r="AC16" i="63"/>
  <c r="AD16" i="63" s="1"/>
  <c r="AC20" i="49"/>
  <c r="AC22" i="49"/>
  <c r="W29" i="63"/>
  <c r="W42" i="63"/>
  <c r="W5" i="63"/>
  <c r="W53" i="63" s="1"/>
  <c r="AH47" i="63"/>
  <c r="AH18" i="63"/>
  <c r="AH40" i="63"/>
  <c r="AH25" i="63"/>
  <c r="AH5" i="63"/>
  <c r="AH16" i="63"/>
  <c r="L22" i="52"/>
  <c r="L17" i="52"/>
  <c r="L17" i="64" s="1"/>
  <c r="Q17" i="64" s="1"/>
  <c r="L12" i="52"/>
  <c r="L32" i="52"/>
  <c r="L32" i="64" s="1"/>
  <c r="Q32" i="64" s="1"/>
  <c r="L9" i="52"/>
  <c r="L9" i="64" s="1"/>
  <c r="Q9" i="64" s="1"/>
  <c r="L21" i="52"/>
  <c r="L21" i="64" s="1"/>
  <c r="Q21" i="64" s="1"/>
  <c r="L31" i="52"/>
  <c r="L27" i="52"/>
  <c r="L27" i="64" s="1"/>
  <c r="Q27" i="64" s="1"/>
  <c r="L23" i="52"/>
  <c r="L23" i="64" s="1"/>
  <c r="Q23" i="64" s="1"/>
  <c r="L16" i="52"/>
  <c r="L16" i="53" s="1"/>
  <c r="Q16" i="53" s="1"/>
  <c r="L28" i="52"/>
  <c r="L33" i="52"/>
  <c r="L33" i="64" s="1"/>
  <c r="Q33" i="64" s="1"/>
  <c r="L29" i="52"/>
  <c r="L29" i="64" s="1"/>
  <c r="Q29" i="64" s="1"/>
  <c r="L25" i="52"/>
  <c r="L25" i="54" s="1"/>
  <c r="Q25" i="54" s="1"/>
  <c r="L8" i="52"/>
  <c r="L11" i="64"/>
  <c r="L31" i="64"/>
  <c r="Q31" i="64" s="1"/>
  <c r="L16" i="64"/>
  <c r="Q16" i="64" s="1"/>
  <c r="L14" i="64"/>
  <c r="Q14" i="64" s="1"/>
  <c r="L28" i="64"/>
  <c r="Q28" i="64" s="1"/>
  <c r="L8" i="64"/>
  <c r="Q8" i="64" s="1"/>
  <c r="L22" i="64"/>
  <c r="Q22" i="64" s="1"/>
  <c r="L25" i="64"/>
  <c r="Q25" i="64" s="1"/>
  <c r="L19" i="64"/>
  <c r="L12" i="64"/>
  <c r="Q12" i="64" s="1"/>
  <c r="L42" i="64"/>
  <c r="Q42" i="64" s="1"/>
  <c r="L5" i="64"/>
  <c r="L37" i="52"/>
  <c r="Q37" i="52" s="1"/>
  <c r="AB37" i="52" s="1"/>
  <c r="L34" i="52"/>
  <c r="L40" i="52"/>
  <c r="L40" i="53" s="1"/>
  <c r="Q40" i="53" s="1"/>
  <c r="L30" i="52"/>
  <c r="L30" i="53" s="1"/>
  <c r="Q30" i="53" s="1"/>
  <c r="L36" i="52"/>
  <c r="L36" i="53" s="1"/>
  <c r="Q36" i="53" s="1"/>
  <c r="L26" i="52"/>
  <c r="Q26" i="52" s="1"/>
  <c r="AB26" i="52" s="1"/>
  <c r="L15" i="52"/>
  <c r="L15" i="54" s="1"/>
  <c r="Q15" i="54" s="1"/>
  <c r="L6" i="52"/>
  <c r="L6" i="53" s="1"/>
  <c r="Q6" i="53" s="1"/>
  <c r="L10" i="52"/>
  <c r="Q10" i="52" s="1"/>
  <c r="AB10" i="52" s="1"/>
  <c r="L38" i="52"/>
  <c r="L35" i="52"/>
  <c r="Q35" i="52" s="1"/>
  <c r="AB35" i="52" s="1"/>
  <c r="L18" i="52"/>
  <c r="L18" i="54" s="1"/>
  <c r="Q18" i="54" s="1"/>
  <c r="L24" i="52"/>
  <c r="Q24" i="52" s="1"/>
  <c r="AB24" i="52" s="1"/>
  <c r="L13" i="52"/>
  <c r="L20" i="52"/>
  <c r="L20" i="54" s="1"/>
  <c r="Q20" i="54" s="1"/>
  <c r="L41" i="52"/>
  <c r="L41" i="53" s="1"/>
  <c r="Q41" i="53" s="1"/>
  <c r="L39" i="52"/>
  <c r="L39" i="54" s="1"/>
  <c r="Q39" i="54" s="1"/>
  <c r="L7" i="52"/>
  <c r="Q7" i="52" s="1"/>
  <c r="AB7" i="52" s="1"/>
  <c r="AQ13" i="63"/>
  <c r="W44" i="53"/>
  <c r="L24" i="53"/>
  <c r="Q24" i="53" s="1"/>
  <c r="L24" i="54"/>
  <c r="Q24" i="54" s="1"/>
  <c r="L39" i="53"/>
  <c r="Q39" i="53" s="1"/>
  <c r="L11" i="53"/>
  <c r="Q11" i="53" s="1"/>
  <c r="L11" i="54"/>
  <c r="Q11" i="54" s="1"/>
  <c r="Q11" i="52"/>
  <c r="AB11" i="52" s="1"/>
  <c r="W44" i="54"/>
  <c r="Q30" i="52"/>
  <c r="AB30" i="52" s="1"/>
  <c r="T54" i="49"/>
  <c r="T54" i="50"/>
  <c r="T54" i="48"/>
  <c r="AB45" i="54"/>
  <c r="AB45" i="53"/>
  <c r="X49" i="53" s="1"/>
  <c r="AB45" i="51"/>
  <c r="AB45" i="52"/>
  <c r="L28" i="53"/>
  <c r="Q28" i="53" s="1"/>
  <c r="L28" i="54"/>
  <c r="Q28" i="54" s="1"/>
  <c r="Q28" i="52"/>
  <c r="AB28" i="52" s="1"/>
  <c r="L21" i="53"/>
  <c r="Q21" i="53" s="1"/>
  <c r="Q21" i="52"/>
  <c r="AB21" i="52" s="1"/>
  <c r="L33" i="53"/>
  <c r="Q33" i="53" s="1"/>
  <c r="Q33" i="52"/>
  <c r="AB33" i="52" s="1"/>
  <c r="L31" i="53"/>
  <c r="Q31" i="53" s="1"/>
  <c r="Q31" i="52"/>
  <c r="AB31" i="52" s="1"/>
  <c r="L31" i="54"/>
  <c r="Q31" i="54" s="1"/>
  <c r="L29" i="53"/>
  <c r="Q29" i="53" s="1"/>
  <c r="L29" i="54"/>
  <c r="Q29" i="54" s="1"/>
  <c r="L27" i="54"/>
  <c r="Q27" i="54" s="1"/>
  <c r="Q27" i="52"/>
  <c r="AB27" i="52" s="1"/>
  <c r="L25" i="53"/>
  <c r="Q25" i="53" s="1"/>
  <c r="L23" i="53"/>
  <c r="Q23" i="53" s="1"/>
  <c r="L23" i="54"/>
  <c r="Q23" i="54" s="1"/>
  <c r="L8" i="53"/>
  <c r="Q8" i="53" s="1"/>
  <c r="L8" i="54"/>
  <c r="Q8" i="54" s="1"/>
  <c r="Q8" i="52"/>
  <c r="AB8" i="52" s="1"/>
  <c r="Q16" i="52"/>
  <c r="AB16" i="52" s="1"/>
  <c r="L37" i="53"/>
  <c r="Q37" i="53" s="1"/>
  <c r="L40" i="54"/>
  <c r="Q40" i="54" s="1"/>
  <c r="Q40" i="52"/>
  <c r="AB40" i="52" s="1"/>
  <c r="L36" i="54"/>
  <c r="Q36" i="54" s="1"/>
  <c r="Q36" i="52"/>
  <c r="AB36" i="52" s="1"/>
  <c r="L15" i="53"/>
  <c r="Q15" i="53" s="1"/>
  <c r="L10" i="53"/>
  <c r="Q10" i="53" s="1"/>
  <c r="L10" i="54"/>
  <c r="Q10" i="54" s="1"/>
  <c r="L22" i="53"/>
  <c r="Q22" i="53" s="1"/>
  <c r="L22" i="54"/>
  <c r="Q22" i="54" s="1"/>
  <c r="Q22" i="52"/>
  <c r="AB22" i="52" s="1"/>
  <c r="L19" i="53"/>
  <c r="Q19" i="53" s="1"/>
  <c r="L19" i="54"/>
  <c r="Q19" i="54" s="1"/>
  <c r="Q19" i="52"/>
  <c r="AB19" i="52" s="1"/>
  <c r="L17" i="53"/>
  <c r="Q17" i="53" s="1"/>
  <c r="L17" i="54"/>
  <c r="Q17" i="54" s="1"/>
  <c r="Q17" i="52"/>
  <c r="AB17" i="52" s="1"/>
  <c r="L14" i="53"/>
  <c r="Q14" i="53" s="1"/>
  <c r="Q14" i="52"/>
  <c r="AB14" i="52" s="1"/>
  <c r="L14" i="54"/>
  <c r="Q14" i="54" s="1"/>
  <c r="L12" i="53"/>
  <c r="Q12" i="53" s="1"/>
  <c r="L12" i="54"/>
  <c r="Q12" i="54" s="1"/>
  <c r="Q12" i="52"/>
  <c r="AB12" i="52" s="1"/>
  <c r="L42" i="53"/>
  <c r="Q42" i="53" s="1"/>
  <c r="L42" i="54"/>
  <c r="Q42" i="54" s="1"/>
  <c r="Q42" i="52"/>
  <c r="AB42" i="52" s="1"/>
  <c r="Q32" i="52"/>
  <c r="AB32" i="52" s="1"/>
  <c r="L32" i="54"/>
  <c r="Q32" i="54" s="1"/>
  <c r="L5" i="53"/>
  <c r="L5" i="54"/>
  <c r="Q5" i="52"/>
  <c r="L9" i="53"/>
  <c r="Q9" i="53" s="1"/>
  <c r="L9" i="54"/>
  <c r="Q9" i="54" s="1"/>
  <c r="Q9" i="52"/>
  <c r="AB9" i="52" s="1"/>
  <c r="F35" i="5"/>
  <c r="Q47" i="64" s="1"/>
  <c r="E35" i="5"/>
  <c r="Q46" i="64" s="1"/>
  <c r="E10" i="5"/>
  <c r="T55" i="63" s="1"/>
  <c r="F10" i="5"/>
  <c r="T56" i="63" s="1"/>
  <c r="D47" i="5"/>
  <c r="D29" i="5"/>
  <c r="C14" i="70" l="1"/>
  <c r="L15" i="69"/>
  <c r="U38" i="67"/>
  <c r="U90" i="67" s="1"/>
  <c r="F11" i="70"/>
  <c r="F7" i="70"/>
  <c r="F13" i="70" s="1"/>
  <c r="F9" i="70"/>
  <c r="L16" i="54"/>
  <c r="Q16" i="54" s="1"/>
  <c r="Q25" i="52"/>
  <c r="AB25" i="52" s="1"/>
  <c r="L20" i="53"/>
  <c r="Q20" i="53" s="1"/>
  <c r="L35" i="53"/>
  <c r="Q35" i="53" s="1"/>
  <c r="Q15" i="52"/>
  <c r="AB15" i="52" s="1"/>
  <c r="L37" i="54"/>
  <c r="Q37" i="54" s="1"/>
  <c r="Q23" i="52"/>
  <c r="AB23" i="52" s="1"/>
  <c r="Q29" i="52"/>
  <c r="AB29" i="52" s="1"/>
  <c r="L21" i="54"/>
  <c r="Q21" i="54" s="1"/>
  <c r="Q39" i="52"/>
  <c r="AB39" i="52" s="1"/>
  <c r="Q19" i="64"/>
  <c r="Q11" i="64"/>
  <c r="AH53" i="63"/>
  <c r="AD22" i="49"/>
  <c r="AA22" i="67"/>
  <c r="AA74" i="67" s="1"/>
  <c r="L53" i="49"/>
  <c r="L5" i="67"/>
  <c r="L57" i="67" s="1"/>
  <c r="B7" i="69" s="1"/>
  <c r="B13" i="69" s="1"/>
  <c r="M32" i="63"/>
  <c r="M49" i="63"/>
  <c r="M53" i="50"/>
  <c r="M6" i="63"/>
  <c r="G14" i="70"/>
  <c r="AD8" i="49"/>
  <c r="AA8" i="67"/>
  <c r="AA60" i="67" s="1"/>
  <c r="V42" i="68"/>
  <c r="V85" i="68" s="1"/>
  <c r="V25" i="68"/>
  <c r="V68" i="68" s="1"/>
  <c r="V27" i="68"/>
  <c r="V70" i="68" s="1"/>
  <c r="AI53" i="49"/>
  <c r="AE5" i="67"/>
  <c r="AE57" i="67" s="1"/>
  <c r="U7" i="69" s="1"/>
  <c r="U13" i="69" s="1"/>
  <c r="AD33" i="49"/>
  <c r="AA33" i="67"/>
  <c r="AA85" i="67" s="1"/>
  <c r="AD24" i="49"/>
  <c r="AA24" i="67"/>
  <c r="AA76" i="67" s="1"/>
  <c r="AD25" i="49"/>
  <c r="AA25" i="67"/>
  <c r="AA77" i="67" s="1"/>
  <c r="AD6" i="49"/>
  <c r="AA6" i="67"/>
  <c r="AA58" i="67" s="1"/>
  <c r="AC53" i="49"/>
  <c r="AD23" i="49"/>
  <c r="AA23" i="67"/>
  <c r="AA75" i="67" s="1"/>
  <c r="AD48" i="49"/>
  <c r="AA48" i="67"/>
  <c r="AA100" i="67" s="1"/>
  <c r="V53" i="50"/>
  <c r="V9" i="63"/>
  <c r="V23" i="49"/>
  <c r="U23" i="67" s="1"/>
  <c r="U75" i="67" s="1"/>
  <c r="M13" i="49"/>
  <c r="M13" i="67" s="1"/>
  <c r="M65" i="67" s="1"/>
  <c r="M31" i="63"/>
  <c r="M29" i="63"/>
  <c r="M24" i="63"/>
  <c r="AD51" i="49"/>
  <c r="AA51" i="67"/>
  <c r="AA103" i="67" s="1"/>
  <c r="P44" i="64"/>
  <c r="V6" i="68"/>
  <c r="V49" i="68" s="1"/>
  <c r="V19" i="68"/>
  <c r="V62" i="68" s="1"/>
  <c r="V24" i="68"/>
  <c r="V67" i="68" s="1"/>
  <c r="V34" i="63"/>
  <c r="V26" i="63"/>
  <c r="V18" i="63"/>
  <c r="M12" i="63"/>
  <c r="M42" i="63"/>
  <c r="AD11" i="49"/>
  <c r="AA11" i="67"/>
  <c r="AA63" i="67" s="1"/>
  <c r="O44" i="54"/>
  <c r="AD32" i="49"/>
  <c r="AA32" i="67"/>
  <c r="AA84" i="67" s="1"/>
  <c r="C11" i="70"/>
  <c r="C7" i="70"/>
  <c r="C13" i="70" s="1"/>
  <c r="AA5" i="54"/>
  <c r="AA44" i="54" s="1"/>
  <c r="Z44" i="54"/>
  <c r="AA5" i="64"/>
  <c r="AA44" i="64" s="1"/>
  <c r="Z44" i="64"/>
  <c r="V33" i="68"/>
  <c r="V76" i="68" s="1"/>
  <c r="E9" i="69"/>
  <c r="E11" i="69"/>
  <c r="V31" i="63"/>
  <c r="V40" i="63"/>
  <c r="V10" i="63"/>
  <c r="V27" i="63"/>
  <c r="V21" i="63"/>
  <c r="V38" i="63"/>
  <c r="M26" i="63"/>
  <c r="AB50" i="48"/>
  <c r="Y50" i="50"/>
  <c r="AB50" i="50" s="1"/>
  <c r="AB10" i="50"/>
  <c r="AB5" i="48"/>
  <c r="Y5" i="50"/>
  <c r="Y53" i="48"/>
  <c r="Y58" i="48" s="1"/>
  <c r="Y28" i="49"/>
  <c r="X28" i="67" s="1"/>
  <c r="X80" i="67" s="1"/>
  <c r="Y28" i="50"/>
  <c r="AB28" i="50" s="1"/>
  <c r="Y13" i="49"/>
  <c r="X13" i="67" s="1"/>
  <c r="X65" i="67" s="1"/>
  <c r="Y13" i="50"/>
  <c r="AB13" i="50" s="1"/>
  <c r="Y8" i="50"/>
  <c r="AB8" i="50" s="1"/>
  <c r="Y8" i="49"/>
  <c r="AB8" i="48"/>
  <c r="Y43" i="50"/>
  <c r="AB43" i="50" s="1"/>
  <c r="Y43" i="49"/>
  <c r="X43" i="67" s="1"/>
  <c r="X95" i="67" s="1"/>
  <c r="AB43" i="48"/>
  <c r="Y38" i="50"/>
  <c r="AB38" i="50" s="1"/>
  <c r="Y38" i="49"/>
  <c r="Y14" i="50"/>
  <c r="AB14" i="50" s="1"/>
  <c r="Y14" i="49"/>
  <c r="Y22" i="50"/>
  <c r="AB22" i="50" s="1"/>
  <c r="Y22" i="49"/>
  <c r="AB22" i="48"/>
  <c r="AB9" i="48"/>
  <c r="Y9" i="49"/>
  <c r="X9" i="67" s="1"/>
  <c r="X61" i="67" s="1"/>
  <c r="Y9" i="50"/>
  <c r="AB9" i="50" s="1"/>
  <c r="AB19" i="48"/>
  <c r="Y19" i="49"/>
  <c r="Y19" i="50"/>
  <c r="AB19" i="50" s="1"/>
  <c r="AD41" i="49"/>
  <c r="AA41" i="67"/>
  <c r="AA93" i="67" s="1"/>
  <c r="V35" i="68"/>
  <c r="V78" i="68" s="1"/>
  <c r="V18" i="68"/>
  <c r="V61" i="68" s="1"/>
  <c r="AD5" i="63"/>
  <c r="AD53" i="63" s="1"/>
  <c r="AC53" i="63"/>
  <c r="O53" i="63"/>
  <c r="M9" i="69"/>
  <c r="M11" i="69"/>
  <c r="V47" i="63"/>
  <c r="V30" i="63"/>
  <c r="V25" i="63"/>
  <c r="V36" i="63"/>
  <c r="V32" i="63"/>
  <c r="V44" i="49"/>
  <c r="AD20" i="49"/>
  <c r="AA20" i="67"/>
  <c r="AA72" i="67" s="1"/>
  <c r="B11" i="69"/>
  <c r="B9" i="69"/>
  <c r="M36" i="49"/>
  <c r="M36" i="67" s="1"/>
  <c r="M88" i="67" s="1"/>
  <c r="M11" i="49"/>
  <c r="M11" i="67" s="1"/>
  <c r="M63" i="67" s="1"/>
  <c r="M43" i="49"/>
  <c r="M43" i="67" s="1"/>
  <c r="M95" i="67" s="1"/>
  <c r="M19" i="49"/>
  <c r="M19" i="67" s="1"/>
  <c r="M71" i="67" s="1"/>
  <c r="M7" i="49"/>
  <c r="M7" i="67" s="1"/>
  <c r="M59" i="67" s="1"/>
  <c r="M12" i="49"/>
  <c r="M12" i="67" s="1"/>
  <c r="M64" i="67" s="1"/>
  <c r="M27" i="49"/>
  <c r="M27" i="67" s="1"/>
  <c r="M79" i="67" s="1"/>
  <c r="M5" i="49"/>
  <c r="M39" i="49"/>
  <c r="M39" i="67" s="1"/>
  <c r="M91" i="67" s="1"/>
  <c r="M33" i="49"/>
  <c r="M33" i="67" s="1"/>
  <c r="M85" i="67" s="1"/>
  <c r="M41" i="49"/>
  <c r="M41" i="67" s="1"/>
  <c r="M93" i="67" s="1"/>
  <c r="M16" i="49"/>
  <c r="M16" i="67" s="1"/>
  <c r="M68" i="67" s="1"/>
  <c r="M34" i="49"/>
  <c r="M34" i="67" s="1"/>
  <c r="M86" i="67" s="1"/>
  <c r="M46" i="49"/>
  <c r="M46" i="67" s="1"/>
  <c r="M98" i="67" s="1"/>
  <c r="M6" i="49"/>
  <c r="M6" i="67" s="1"/>
  <c r="M58" i="67" s="1"/>
  <c r="M44" i="49"/>
  <c r="M44" i="67" s="1"/>
  <c r="M96" i="67" s="1"/>
  <c r="M40" i="49"/>
  <c r="M40" i="67" s="1"/>
  <c r="M92" i="67" s="1"/>
  <c r="M47" i="49"/>
  <c r="M47" i="67" s="1"/>
  <c r="M99" i="67" s="1"/>
  <c r="M26" i="49"/>
  <c r="M26" i="67" s="1"/>
  <c r="M78" i="67" s="1"/>
  <c r="M20" i="49"/>
  <c r="M20" i="67" s="1"/>
  <c r="M72" i="67" s="1"/>
  <c r="M51" i="49"/>
  <c r="M51" i="67" s="1"/>
  <c r="M103" i="67" s="1"/>
  <c r="M8" i="49"/>
  <c r="M8" i="67" s="1"/>
  <c r="M60" i="67" s="1"/>
  <c r="M29" i="49"/>
  <c r="M29" i="67" s="1"/>
  <c r="M81" i="67" s="1"/>
  <c r="M50" i="49"/>
  <c r="M50" i="67" s="1"/>
  <c r="M102" i="67" s="1"/>
  <c r="M35" i="49"/>
  <c r="M35" i="67" s="1"/>
  <c r="M87" i="67" s="1"/>
  <c r="M17" i="49"/>
  <c r="M17" i="67" s="1"/>
  <c r="M69" i="67" s="1"/>
  <c r="M9" i="49"/>
  <c r="M9" i="67" s="1"/>
  <c r="M61" i="67" s="1"/>
  <c r="M48" i="49"/>
  <c r="M48" i="67" s="1"/>
  <c r="M100" i="67" s="1"/>
  <c r="M30" i="49"/>
  <c r="M30" i="67" s="1"/>
  <c r="M82" i="67" s="1"/>
  <c r="M18" i="49"/>
  <c r="M18" i="67" s="1"/>
  <c r="M70" i="67" s="1"/>
  <c r="M31" i="49"/>
  <c r="M31" i="67" s="1"/>
  <c r="M83" i="67" s="1"/>
  <c r="M24" i="49"/>
  <c r="M24" i="67" s="1"/>
  <c r="M76" i="67" s="1"/>
  <c r="M32" i="49"/>
  <c r="M32" i="67" s="1"/>
  <c r="M84" i="67" s="1"/>
  <c r="M10" i="49"/>
  <c r="M10" i="67" s="1"/>
  <c r="M62" i="67" s="1"/>
  <c r="M45" i="49"/>
  <c r="M45" i="67" s="1"/>
  <c r="M97" i="67" s="1"/>
  <c r="M14" i="49"/>
  <c r="M14" i="67" s="1"/>
  <c r="M66" i="67" s="1"/>
  <c r="M37" i="49"/>
  <c r="M37" i="67" s="1"/>
  <c r="M89" i="67" s="1"/>
  <c r="M15" i="49"/>
  <c r="M15" i="67" s="1"/>
  <c r="M67" i="67" s="1"/>
  <c r="M23" i="49"/>
  <c r="M23" i="67" s="1"/>
  <c r="M75" i="67" s="1"/>
  <c r="M42" i="49"/>
  <c r="M42" i="67" s="1"/>
  <c r="M94" i="67" s="1"/>
  <c r="M25" i="49"/>
  <c r="M25" i="67" s="1"/>
  <c r="M77" i="67" s="1"/>
  <c r="M28" i="49"/>
  <c r="M28" i="67" s="1"/>
  <c r="M80" i="67" s="1"/>
  <c r="M17" i="63"/>
  <c r="M41" i="63"/>
  <c r="M30" i="63"/>
  <c r="V41" i="68"/>
  <c r="V84" i="68" s="1"/>
  <c r="V37" i="68"/>
  <c r="V80" i="68" s="1"/>
  <c r="U9" i="69"/>
  <c r="U11" i="69"/>
  <c r="AD47" i="49"/>
  <c r="AA47" i="67"/>
  <c r="AA99" i="67" s="1"/>
  <c r="AD19" i="49"/>
  <c r="AA19" i="67"/>
  <c r="AA71" i="67" s="1"/>
  <c r="AD42" i="49"/>
  <c r="AA42" i="67"/>
  <c r="AA94" i="67" s="1"/>
  <c r="AD21" i="49"/>
  <c r="AA21" i="67"/>
  <c r="AA73" i="67" s="1"/>
  <c r="AD30" i="49"/>
  <c r="AA30" i="67"/>
  <c r="AA82" i="67" s="1"/>
  <c r="AD44" i="49"/>
  <c r="AA44" i="67"/>
  <c r="AA96" i="67" s="1"/>
  <c r="M45" i="63"/>
  <c r="M13" i="63"/>
  <c r="M38" i="49"/>
  <c r="M38" i="67" s="1"/>
  <c r="M90" i="67" s="1"/>
  <c r="M18" i="63"/>
  <c r="R10" i="63"/>
  <c r="R49" i="63"/>
  <c r="R12" i="63"/>
  <c r="R23" i="63"/>
  <c r="R21" i="63"/>
  <c r="R25" i="63"/>
  <c r="R34" i="63"/>
  <c r="R13" i="63"/>
  <c r="R40" i="63"/>
  <c r="R8" i="63"/>
  <c r="R15" i="63"/>
  <c r="R50" i="63"/>
  <c r="R43" i="63"/>
  <c r="R51" i="63"/>
  <c r="R35" i="49"/>
  <c r="R35" i="67" s="1"/>
  <c r="R87" i="67" s="1"/>
  <c r="R31" i="49"/>
  <c r="R31" i="67" s="1"/>
  <c r="R83" i="67" s="1"/>
  <c r="R29" i="49"/>
  <c r="R36" i="49"/>
  <c r="R36" i="67" s="1"/>
  <c r="R88" i="67" s="1"/>
  <c r="R47" i="49"/>
  <c r="R47" i="67" s="1"/>
  <c r="R99" i="67" s="1"/>
  <c r="R25" i="49"/>
  <c r="R25" i="67" s="1"/>
  <c r="R77" i="67" s="1"/>
  <c r="R33" i="49"/>
  <c r="R33" i="67" s="1"/>
  <c r="R85" i="67" s="1"/>
  <c r="R6" i="49"/>
  <c r="R6" i="67" s="1"/>
  <c r="R58" i="67" s="1"/>
  <c r="R24" i="49"/>
  <c r="R48" i="49"/>
  <c r="R48" i="67" s="1"/>
  <c r="R100" i="67" s="1"/>
  <c r="R7" i="49"/>
  <c r="R7" i="67" s="1"/>
  <c r="R59" i="67" s="1"/>
  <c r="R16" i="49"/>
  <c r="R16" i="67" s="1"/>
  <c r="R68" i="67" s="1"/>
  <c r="R51" i="49"/>
  <c r="R51" i="67" s="1"/>
  <c r="R103" i="67" s="1"/>
  <c r="R22" i="63"/>
  <c r="R39" i="63"/>
  <c r="R18" i="63"/>
  <c r="R19" i="63"/>
  <c r="R28" i="63"/>
  <c r="R40" i="49"/>
  <c r="R40" i="67" s="1"/>
  <c r="R92" i="67" s="1"/>
  <c r="R10" i="49"/>
  <c r="R10" i="67" s="1"/>
  <c r="R62" i="67" s="1"/>
  <c r="R13" i="49"/>
  <c r="R13" i="67" s="1"/>
  <c r="R65" i="67" s="1"/>
  <c r="H9" i="69" s="1"/>
  <c r="R21" i="49"/>
  <c r="R50" i="49"/>
  <c r="R50" i="67" s="1"/>
  <c r="R102" i="67" s="1"/>
  <c r="R11" i="49"/>
  <c r="R11" i="67" s="1"/>
  <c r="R63" i="67" s="1"/>
  <c r="R39" i="49"/>
  <c r="R39" i="67" s="1"/>
  <c r="R91" i="67" s="1"/>
  <c r="R42" i="49"/>
  <c r="R42" i="67" s="1"/>
  <c r="R94" i="67" s="1"/>
  <c r="R49" i="49"/>
  <c r="R49" i="67" s="1"/>
  <c r="R101" i="67" s="1"/>
  <c r="R15" i="49"/>
  <c r="R15" i="67" s="1"/>
  <c r="R67" i="67" s="1"/>
  <c r="H11" i="69" s="1"/>
  <c r="R38" i="49"/>
  <c r="R38" i="67" s="1"/>
  <c r="R90" i="67" s="1"/>
  <c r="R26" i="49"/>
  <c r="R30" i="49"/>
  <c r="R30" i="67" s="1"/>
  <c r="R82" i="67" s="1"/>
  <c r="R19" i="49"/>
  <c r="R19" i="67" s="1"/>
  <c r="R71" i="67" s="1"/>
  <c r="R44" i="49"/>
  <c r="R44" i="67" s="1"/>
  <c r="R96" i="67" s="1"/>
  <c r="R46" i="49"/>
  <c r="R46" i="67" s="1"/>
  <c r="R98" i="67" s="1"/>
  <c r="R27" i="63"/>
  <c r="R35" i="63"/>
  <c r="R47" i="63"/>
  <c r="R46" i="63"/>
  <c r="R24" i="63"/>
  <c r="R17" i="63"/>
  <c r="R6" i="63"/>
  <c r="R16" i="63"/>
  <c r="R14" i="63"/>
  <c r="R11" i="63"/>
  <c r="R37" i="63"/>
  <c r="R7" i="63"/>
  <c r="R38" i="63"/>
  <c r="R23" i="49"/>
  <c r="R17" i="49"/>
  <c r="R17" i="67" s="1"/>
  <c r="R69" i="67" s="1"/>
  <c r="R9" i="49"/>
  <c r="R9" i="67" s="1"/>
  <c r="R61" i="67" s="1"/>
  <c r="R34" i="49"/>
  <c r="R34" i="67" s="1"/>
  <c r="R86" i="67" s="1"/>
  <c r="R41" i="49"/>
  <c r="R41" i="67" s="1"/>
  <c r="R93" i="67" s="1"/>
  <c r="R37" i="49"/>
  <c r="R37" i="67" s="1"/>
  <c r="R89" i="67" s="1"/>
  <c r="R29" i="63"/>
  <c r="R33" i="63"/>
  <c r="R5" i="63"/>
  <c r="R26" i="63"/>
  <c r="R31" i="63"/>
  <c r="R32" i="63"/>
  <c r="R9" i="63"/>
  <c r="R30" i="63"/>
  <c r="R36" i="63"/>
  <c r="R20" i="63"/>
  <c r="R41" i="63"/>
  <c r="R42" i="63"/>
  <c r="R45" i="63"/>
  <c r="R44" i="63"/>
  <c r="R48" i="63"/>
  <c r="R32" i="49"/>
  <c r="R32" i="67" s="1"/>
  <c r="R84" i="67" s="1"/>
  <c r="R28" i="49"/>
  <c r="R14" i="49"/>
  <c r="R14" i="67" s="1"/>
  <c r="R66" i="67" s="1"/>
  <c r="R18" i="49"/>
  <c r="R18" i="67" s="1"/>
  <c r="R70" i="67" s="1"/>
  <c r="R20" i="49"/>
  <c r="R20" i="67" s="1"/>
  <c r="R72" i="67" s="1"/>
  <c r="R12" i="49"/>
  <c r="R12" i="67" s="1"/>
  <c r="R64" i="67" s="1"/>
  <c r="R45" i="49"/>
  <c r="R45" i="67" s="1"/>
  <c r="R97" i="67" s="1"/>
  <c r="R27" i="49"/>
  <c r="R22" i="49"/>
  <c r="R43" i="49"/>
  <c r="R43" i="67" s="1"/>
  <c r="R95" i="67" s="1"/>
  <c r="R8" i="49"/>
  <c r="R8" i="67" s="1"/>
  <c r="R60" i="67" s="1"/>
  <c r="R5" i="49"/>
  <c r="AD29" i="49"/>
  <c r="AA29" i="67"/>
  <c r="AA81" i="67" s="1"/>
  <c r="V32" i="68"/>
  <c r="V75" i="68" s="1"/>
  <c r="V34" i="68"/>
  <c r="V77" i="68" s="1"/>
  <c r="V13" i="68"/>
  <c r="V56" i="68" s="1"/>
  <c r="V8" i="63"/>
  <c r="V20" i="63"/>
  <c r="V46" i="63"/>
  <c r="V29" i="63"/>
  <c r="T9" i="69"/>
  <c r="T11" i="69"/>
  <c r="M36" i="63"/>
  <c r="M21" i="49"/>
  <c r="M21" i="67" s="1"/>
  <c r="M73" i="67" s="1"/>
  <c r="M50" i="63"/>
  <c r="M28" i="63"/>
  <c r="AD43" i="49"/>
  <c r="AA43" i="67"/>
  <c r="AA95" i="67" s="1"/>
  <c r="O44" i="53"/>
  <c r="V22" i="68"/>
  <c r="V65" i="68" s="1"/>
  <c r="AA5" i="53"/>
  <c r="AA44" i="53" s="1"/>
  <c r="Z44" i="53"/>
  <c r="V5" i="68"/>
  <c r="V48" i="68" s="1"/>
  <c r="V20" i="68"/>
  <c r="V63" i="68" s="1"/>
  <c r="V39" i="63"/>
  <c r="V44" i="63"/>
  <c r="AD13" i="49"/>
  <c r="AA13" i="67"/>
  <c r="AA65" i="67" s="1"/>
  <c r="M33" i="63"/>
  <c r="M8" i="63"/>
  <c r="AB49" i="50"/>
  <c r="Y12" i="50"/>
  <c r="AB12" i="50" s="1"/>
  <c r="AB12" i="48"/>
  <c r="Y36" i="50"/>
  <c r="AB36" i="50" s="1"/>
  <c r="Y36" i="49"/>
  <c r="Y42" i="50"/>
  <c r="AB42" i="50" s="1"/>
  <c r="Y42" i="49"/>
  <c r="AB42" i="48"/>
  <c r="AB15" i="50"/>
  <c r="Y35" i="50"/>
  <c r="AB35" i="50" s="1"/>
  <c r="AB35" i="48"/>
  <c r="Y35" i="49"/>
  <c r="Y45" i="49"/>
  <c r="Y45" i="50"/>
  <c r="AB45" i="50" s="1"/>
  <c r="AB45" i="48"/>
  <c r="AB18" i="48"/>
  <c r="Y18" i="49"/>
  <c r="Y18" i="50"/>
  <c r="AB18" i="50" s="1"/>
  <c r="Y33" i="49"/>
  <c r="AB33" i="48"/>
  <c r="Y33" i="50"/>
  <c r="AB33" i="50" s="1"/>
  <c r="Y46" i="49"/>
  <c r="X46" i="67" s="1"/>
  <c r="X98" i="67" s="1"/>
  <c r="Y46" i="50"/>
  <c r="AB46" i="50" s="1"/>
  <c r="AB20" i="48"/>
  <c r="Y20" i="50"/>
  <c r="AB20" i="50" s="1"/>
  <c r="AD9" i="49"/>
  <c r="AA9" i="67"/>
  <c r="AA61" i="67" s="1"/>
  <c r="V38" i="68"/>
  <c r="V81" i="68" s="1"/>
  <c r="V11" i="68"/>
  <c r="V54" i="68" s="1"/>
  <c r="P5" i="67"/>
  <c r="P57" i="67" s="1"/>
  <c r="P53" i="49"/>
  <c r="W5" i="67"/>
  <c r="W57" i="67" s="1"/>
  <c r="M7" i="69" s="1"/>
  <c r="M13" i="69" s="1"/>
  <c r="X53" i="49"/>
  <c r="V7" i="63"/>
  <c r="V45" i="63"/>
  <c r="V34" i="49"/>
  <c r="U34" i="67" s="1"/>
  <c r="U86" i="67" s="1"/>
  <c r="V40" i="49"/>
  <c r="U40" i="67" s="1"/>
  <c r="U92" i="67" s="1"/>
  <c r="Q20" i="52"/>
  <c r="AB20" i="52" s="1"/>
  <c r="M14" i="63"/>
  <c r="M5" i="63"/>
  <c r="M7" i="63"/>
  <c r="AD45" i="49"/>
  <c r="AA45" i="67"/>
  <c r="AA97" i="67" s="1"/>
  <c r="G9" i="69"/>
  <c r="G11" i="69"/>
  <c r="Q5" i="67"/>
  <c r="Q57" i="67" s="1"/>
  <c r="G7" i="69" s="1"/>
  <c r="G13" i="69" s="1"/>
  <c r="Q53" i="49"/>
  <c r="V39" i="68"/>
  <c r="V82" i="68" s="1"/>
  <c r="V29" i="68"/>
  <c r="V72" i="68" s="1"/>
  <c r="M35" i="63"/>
  <c r="AD10" i="49"/>
  <c r="AA10" i="67"/>
  <c r="AA62" i="67" s="1"/>
  <c r="AD35" i="49"/>
  <c r="AA35" i="67"/>
  <c r="AA87" i="67" s="1"/>
  <c r="AD34" i="49"/>
  <c r="AA34" i="67"/>
  <c r="AA86" i="67" s="1"/>
  <c r="AD50" i="49"/>
  <c r="AA50" i="67"/>
  <c r="AA102" i="67" s="1"/>
  <c r="AD17" i="49"/>
  <c r="AA17" i="67"/>
  <c r="AA69" i="67" s="1"/>
  <c r="O5" i="67"/>
  <c r="O57" i="67" s="1"/>
  <c r="E7" i="69" s="1"/>
  <c r="E13" i="69" s="1"/>
  <c r="O53" i="49"/>
  <c r="V35" i="63"/>
  <c r="V14" i="63"/>
  <c r="V11" i="63"/>
  <c r="V43" i="63"/>
  <c r="AD12" i="49"/>
  <c r="AA12" i="67"/>
  <c r="AA64" i="67" s="1"/>
  <c r="M10" i="63"/>
  <c r="M48" i="63"/>
  <c r="M38" i="63"/>
  <c r="S29" i="63"/>
  <c r="S33" i="63"/>
  <c r="S5" i="63"/>
  <c r="S26" i="63"/>
  <c r="S31" i="63"/>
  <c r="S32" i="63"/>
  <c r="S9" i="63"/>
  <c r="S30" i="63"/>
  <c r="S36" i="63"/>
  <c r="S20" i="63"/>
  <c r="S41" i="63"/>
  <c r="S38" i="49"/>
  <c r="S22" i="49"/>
  <c r="S15" i="49"/>
  <c r="S34" i="49"/>
  <c r="S19" i="49"/>
  <c r="S14" i="49"/>
  <c r="S9" i="49"/>
  <c r="S25" i="49"/>
  <c r="S28" i="49"/>
  <c r="S44" i="49"/>
  <c r="S5" i="49"/>
  <c r="S29" i="49"/>
  <c r="S36" i="49"/>
  <c r="S21" i="49"/>
  <c r="S31" i="49"/>
  <c r="S10" i="63"/>
  <c r="S12" i="63"/>
  <c r="S23" i="63"/>
  <c r="S47" i="63"/>
  <c r="S46" i="63"/>
  <c r="S21" i="63"/>
  <c r="S25" i="63"/>
  <c r="S34" i="63"/>
  <c r="S13" i="63"/>
  <c r="S40" i="63"/>
  <c r="S8" i="63"/>
  <c r="S15" i="63"/>
  <c r="S32" i="49"/>
  <c r="S8" i="49"/>
  <c r="S39" i="49"/>
  <c r="S45" i="49"/>
  <c r="S27" i="49"/>
  <c r="S26" i="49"/>
  <c r="S20" i="49"/>
  <c r="S48" i="49"/>
  <c r="S10" i="49"/>
  <c r="S46" i="49"/>
  <c r="S40" i="49"/>
  <c r="S18" i="49"/>
  <c r="S50" i="49"/>
  <c r="S22" i="63"/>
  <c r="S39" i="63"/>
  <c r="S18" i="63"/>
  <c r="S19" i="63"/>
  <c r="S28" i="63"/>
  <c r="S42" i="63"/>
  <c r="S45" i="63"/>
  <c r="S44" i="63"/>
  <c r="S48" i="63"/>
  <c r="S41" i="49"/>
  <c r="S24" i="49"/>
  <c r="S33" i="49"/>
  <c r="S16" i="49"/>
  <c r="S49" i="49"/>
  <c r="S35" i="49"/>
  <c r="S43" i="49"/>
  <c r="S47" i="49"/>
  <c r="S49" i="63"/>
  <c r="S27" i="63"/>
  <c r="S35" i="63"/>
  <c r="S50" i="63"/>
  <c r="S43" i="63"/>
  <c r="S51" i="63"/>
  <c r="S24" i="63"/>
  <c r="S17" i="63"/>
  <c r="S6" i="63"/>
  <c r="S16" i="63"/>
  <c r="S14" i="63"/>
  <c r="S11" i="63"/>
  <c r="S37" i="63"/>
  <c r="S7" i="63"/>
  <c r="S38" i="63"/>
  <c r="S37" i="49"/>
  <c r="S7" i="49"/>
  <c r="S42" i="49"/>
  <c r="S11" i="49"/>
  <c r="S51" i="49"/>
  <c r="S13" i="49"/>
  <c r="S30" i="49"/>
  <c r="S23" i="49"/>
  <c r="S12" i="49"/>
  <c r="S6" i="49"/>
  <c r="S17" i="49"/>
  <c r="P44" i="53"/>
  <c r="T27" i="67"/>
  <c r="T79" i="67" s="1"/>
  <c r="U53" i="63"/>
  <c r="V40" i="68"/>
  <c r="V83" i="68" s="1"/>
  <c r="V17" i="63"/>
  <c r="V15" i="63"/>
  <c r="V24" i="49"/>
  <c r="V50" i="63"/>
  <c r="W53" i="49"/>
  <c r="V5" i="67"/>
  <c r="V57" i="67" s="1"/>
  <c r="L7" i="69" s="1"/>
  <c r="L13" i="69" s="1"/>
  <c r="M22" i="49"/>
  <c r="M22" i="67" s="1"/>
  <c r="M74" i="67" s="1"/>
  <c r="M9" i="63"/>
  <c r="M21" i="63"/>
  <c r="M19" i="63"/>
  <c r="AD14" i="49"/>
  <c r="AA14" i="67"/>
  <c r="AA66" i="67" s="1"/>
  <c r="O44" i="64"/>
  <c r="V30" i="68"/>
  <c r="V73" i="68" s="1"/>
  <c r="AA44" i="52"/>
  <c r="V21" i="68"/>
  <c r="V64" i="68" s="1"/>
  <c r="V7" i="68"/>
  <c r="V50" i="68" s="1"/>
  <c r="V23" i="63"/>
  <c r="M34" i="63"/>
  <c r="M39" i="63"/>
  <c r="M46" i="63"/>
  <c r="M44" i="63"/>
  <c r="Y29" i="50"/>
  <c r="AB29" i="50" s="1"/>
  <c r="AB29" i="48"/>
  <c r="Y40" i="50"/>
  <c r="AB40" i="50" s="1"/>
  <c r="AB40" i="48"/>
  <c r="AB30" i="48"/>
  <c r="Y30" i="50"/>
  <c r="AB30" i="50" s="1"/>
  <c r="AB39" i="48"/>
  <c r="Y39" i="49"/>
  <c r="Y39" i="50"/>
  <c r="AB39" i="50" s="1"/>
  <c r="Y26" i="49"/>
  <c r="X26" i="67" s="1"/>
  <c r="X78" i="67" s="1"/>
  <c r="Y26" i="50"/>
  <c r="AB26" i="50" s="1"/>
  <c r="Y48" i="50"/>
  <c r="AB48" i="50" s="1"/>
  <c r="AB48" i="48"/>
  <c r="Y48" i="49"/>
  <c r="X48" i="67" s="1"/>
  <c r="X100" i="67" s="1"/>
  <c r="Y41" i="49"/>
  <c r="Y41" i="50"/>
  <c r="AB41" i="50" s="1"/>
  <c r="AB31" i="48"/>
  <c r="Y31" i="49"/>
  <c r="X31" i="67" s="1"/>
  <c r="X83" i="67" s="1"/>
  <c r="Y31" i="50"/>
  <c r="AB31" i="50" s="1"/>
  <c r="AB32" i="48"/>
  <c r="Y32" i="50"/>
  <c r="AB32" i="50" s="1"/>
  <c r="Y34" i="50"/>
  <c r="AB34" i="50" s="1"/>
  <c r="AB34" i="48"/>
  <c r="Y44" i="49"/>
  <c r="AB44" i="48"/>
  <c r="Y44" i="50"/>
  <c r="AB44" i="50" s="1"/>
  <c r="M40" i="63"/>
  <c r="V28" i="68"/>
  <c r="V71" i="68" s="1"/>
  <c r="V23" i="68"/>
  <c r="V66" i="68" s="1"/>
  <c r="V15" i="68"/>
  <c r="V58" i="68" s="1"/>
  <c r="AD40" i="49"/>
  <c r="AA40" i="67"/>
  <c r="AA92" i="67" s="1"/>
  <c r="AB13" i="48"/>
  <c r="V6" i="63"/>
  <c r="V53" i="63" s="1"/>
  <c r="AB25" i="48"/>
  <c r="V19" i="63"/>
  <c r="V39" i="49"/>
  <c r="M49" i="49"/>
  <c r="M49" i="67" s="1"/>
  <c r="M101" i="67" s="1"/>
  <c r="M23" i="63"/>
  <c r="M47" i="63"/>
  <c r="M27" i="63"/>
  <c r="AD7" i="49"/>
  <c r="AA7" i="67"/>
  <c r="AA59" i="67" s="1"/>
  <c r="Q7" i="69" s="1"/>
  <c r="Q13" i="69" s="1"/>
  <c r="V10" i="68"/>
  <c r="V53" i="68" s="1"/>
  <c r="V17" i="68"/>
  <c r="V60" i="68" s="1"/>
  <c r="V26" i="68"/>
  <c r="V69" i="68" s="1"/>
  <c r="AD37" i="49"/>
  <c r="AA37" i="67"/>
  <c r="AA89" i="67" s="1"/>
  <c r="AD27" i="49"/>
  <c r="AA27" i="67"/>
  <c r="AA79" i="67" s="1"/>
  <c r="AD36" i="49"/>
  <c r="AA36" i="67"/>
  <c r="AA88" i="67" s="1"/>
  <c r="AD18" i="49"/>
  <c r="AA18" i="67"/>
  <c r="AA70" i="67" s="1"/>
  <c r="AD39" i="49"/>
  <c r="AA39" i="67"/>
  <c r="AA91" i="67" s="1"/>
  <c r="V36" i="49"/>
  <c r="V12" i="49"/>
  <c r="U12" i="67" s="1"/>
  <c r="U64" i="67" s="1"/>
  <c r="V18" i="49"/>
  <c r="V42" i="49"/>
  <c r="V48" i="49"/>
  <c r="V7" i="49"/>
  <c r="V45" i="49"/>
  <c r="V43" i="49"/>
  <c r="V10" i="49"/>
  <c r="U10" i="67" s="1"/>
  <c r="U62" i="67" s="1"/>
  <c r="V25" i="49"/>
  <c r="V26" i="49"/>
  <c r="V19" i="49"/>
  <c r="V31" i="49"/>
  <c r="V17" i="49"/>
  <c r="V11" i="49"/>
  <c r="U11" i="67" s="1"/>
  <c r="U63" i="67" s="1"/>
  <c r="V21" i="49"/>
  <c r="U21" i="67" s="1"/>
  <c r="U73" i="67" s="1"/>
  <c r="V14" i="49"/>
  <c r="V49" i="49"/>
  <c r="U49" i="67" s="1"/>
  <c r="U101" i="67" s="1"/>
  <c r="V29" i="49"/>
  <c r="U29" i="67" s="1"/>
  <c r="U81" i="67" s="1"/>
  <c r="V13" i="49"/>
  <c r="V30" i="49"/>
  <c r="U30" i="67" s="1"/>
  <c r="U82" i="67" s="1"/>
  <c r="V35" i="49"/>
  <c r="V22" i="49"/>
  <c r="V47" i="49"/>
  <c r="V9" i="49"/>
  <c r="V5" i="49"/>
  <c r="V15" i="49"/>
  <c r="U15" i="67" s="1"/>
  <c r="U67" i="67" s="1"/>
  <c r="V28" i="49"/>
  <c r="V8" i="49"/>
  <c r="V6" i="49"/>
  <c r="U6" i="67" s="1"/>
  <c r="U58" i="67" s="1"/>
  <c r="V50" i="49"/>
  <c r="U50" i="67" s="1"/>
  <c r="U102" i="67" s="1"/>
  <c r="V46" i="49"/>
  <c r="V33" i="49"/>
  <c r="V37" i="49"/>
  <c r="U37" i="67" s="1"/>
  <c r="U89" i="67" s="1"/>
  <c r="V41" i="49"/>
  <c r="V22" i="63"/>
  <c r="V49" i="63"/>
  <c r="M20" i="63"/>
  <c r="M43" i="63"/>
  <c r="AD49" i="49"/>
  <c r="AA49" i="67"/>
  <c r="AA101" i="67" s="1"/>
  <c r="P44" i="54"/>
  <c r="J11" i="69"/>
  <c r="J9" i="69"/>
  <c r="T5" i="67"/>
  <c r="T57" i="67" s="1"/>
  <c r="J7" i="69" s="1"/>
  <c r="J13" i="69" s="1"/>
  <c r="U53" i="49"/>
  <c r="T21" i="67"/>
  <c r="T73" i="67" s="1"/>
  <c r="V9" i="68"/>
  <c r="V52" i="68" s="1"/>
  <c r="V31" i="68"/>
  <c r="V74" i="68" s="1"/>
  <c r="V20" i="49"/>
  <c r="U20" i="67" s="1"/>
  <c r="U72" i="67" s="1"/>
  <c r="V48" i="63"/>
  <c r="V24" i="63"/>
  <c r="AD5" i="67"/>
  <c r="AD57" i="67" s="1"/>
  <c r="T7" i="69" s="1"/>
  <c r="T13" i="69" s="1"/>
  <c r="AH53" i="49"/>
  <c r="AD16" i="49"/>
  <c r="AA16" i="67"/>
  <c r="AA68" i="67" s="1"/>
  <c r="M51" i="63"/>
  <c r="M22" i="63"/>
  <c r="M11" i="63"/>
  <c r="AD28" i="49"/>
  <c r="AA28" i="67"/>
  <c r="AA80" i="67" s="1"/>
  <c r="O5" i="68"/>
  <c r="O48" i="68" s="1"/>
  <c r="V12" i="68"/>
  <c r="V55" i="68" s="1"/>
  <c r="V8" i="68"/>
  <c r="V51" i="68" s="1"/>
  <c r="V51" i="63"/>
  <c r="V27" i="49"/>
  <c r="U27" i="67" s="1"/>
  <c r="U79" i="67" s="1"/>
  <c r="V16" i="63"/>
  <c r="M25" i="63"/>
  <c r="M15" i="63"/>
  <c r="M16" i="63"/>
  <c r="Y47" i="50"/>
  <c r="AB47" i="50" s="1"/>
  <c r="AB47" i="48"/>
  <c r="Y37" i="50"/>
  <c r="AB37" i="50" s="1"/>
  <c r="AB37" i="48"/>
  <c r="Y6" i="50"/>
  <c r="AB6" i="50" s="1"/>
  <c r="AB6" i="48"/>
  <c r="Y27" i="49"/>
  <c r="X27" i="67" s="1"/>
  <c r="X79" i="67" s="1"/>
  <c r="Y27" i="50"/>
  <c r="AB27" i="50" s="1"/>
  <c r="Y23" i="50"/>
  <c r="AB23" i="50" s="1"/>
  <c r="AB23" i="48"/>
  <c r="AB11" i="50"/>
  <c r="AB24" i="48"/>
  <c r="Y24" i="49"/>
  <c r="X24" i="67" s="1"/>
  <c r="X76" i="67" s="1"/>
  <c r="Y24" i="50"/>
  <c r="AB24" i="50" s="1"/>
  <c r="Y16" i="50"/>
  <c r="AB16" i="50" s="1"/>
  <c r="AB16" i="48"/>
  <c r="Y16" i="49"/>
  <c r="Y17" i="49"/>
  <c r="Y17" i="50"/>
  <c r="AB17" i="50" s="1"/>
  <c r="AB17" i="48"/>
  <c r="Y21" i="49"/>
  <c r="X21" i="67" s="1"/>
  <c r="X73" i="67" s="1"/>
  <c r="Y21" i="50"/>
  <c r="AB21" i="50" s="1"/>
  <c r="Y7" i="49"/>
  <c r="X7" i="67" s="1"/>
  <c r="X59" i="67" s="1"/>
  <c r="Y7" i="50"/>
  <c r="AB7" i="50" s="1"/>
  <c r="AB7" i="48"/>
  <c r="Y51" i="49"/>
  <c r="Y51" i="50"/>
  <c r="AB51" i="50" s="1"/>
  <c r="AB51" i="48"/>
  <c r="AD31" i="49"/>
  <c r="AA31" i="67"/>
  <c r="AA83" i="67" s="1"/>
  <c r="V36" i="68"/>
  <c r="V79" i="68" s="1"/>
  <c r="V14" i="68"/>
  <c r="V57" i="68" s="1"/>
  <c r="Q9" i="69"/>
  <c r="Q11" i="69"/>
  <c r="V42" i="63"/>
  <c r="V13" i="63"/>
  <c r="AB36" i="48"/>
  <c r="V32" i="49"/>
  <c r="U32" i="67" s="1"/>
  <c r="U84" i="67" s="1"/>
  <c r="V33" i="63"/>
  <c r="V51" i="49"/>
  <c r="V16" i="49"/>
  <c r="L32" i="53"/>
  <c r="Q32" i="53" s="1"/>
  <c r="L27" i="53"/>
  <c r="Q27" i="53" s="1"/>
  <c r="L33" i="54"/>
  <c r="Q33" i="54" s="1"/>
  <c r="Q6" i="52"/>
  <c r="AB6" i="52" s="1"/>
  <c r="L30" i="54"/>
  <c r="Q30" i="54" s="1"/>
  <c r="Q18" i="52"/>
  <c r="AB18" i="52" s="1"/>
  <c r="L6" i="54"/>
  <c r="Q6" i="54" s="1"/>
  <c r="L18" i="53"/>
  <c r="Q18" i="53" s="1"/>
  <c r="L41" i="54"/>
  <c r="Q41" i="54" s="1"/>
  <c r="L5" i="68"/>
  <c r="L48" i="68" s="1"/>
  <c r="L35" i="54"/>
  <c r="Q35" i="54" s="1"/>
  <c r="Q41" i="52"/>
  <c r="AB41" i="52" s="1"/>
  <c r="X41" i="54" s="1"/>
  <c r="L13" i="64"/>
  <c r="Q13" i="64" s="1"/>
  <c r="L38" i="64"/>
  <c r="Q38" i="64" s="1"/>
  <c r="L26" i="64"/>
  <c r="Q26" i="64" s="1"/>
  <c r="L34" i="64"/>
  <c r="Q34" i="64" s="1"/>
  <c r="L25" i="68"/>
  <c r="L68" i="68" s="1"/>
  <c r="L27" i="68"/>
  <c r="L70" i="68" s="1"/>
  <c r="L21" i="68"/>
  <c r="L64" i="68" s="1"/>
  <c r="L26" i="53"/>
  <c r="Q26" i="53" s="1"/>
  <c r="Q34" i="52"/>
  <c r="AB34" i="52" s="1"/>
  <c r="Q13" i="52"/>
  <c r="AB13" i="52" s="1"/>
  <c r="Q38" i="52"/>
  <c r="AB38" i="52" s="1"/>
  <c r="X38" i="54" s="1"/>
  <c r="L39" i="64"/>
  <c r="Q39" i="64" s="1"/>
  <c r="L39" i="68"/>
  <c r="L82" i="68" s="1"/>
  <c r="L24" i="68"/>
  <c r="L67" i="68" s="1"/>
  <c r="L24" i="64"/>
  <c r="Q24" i="64" s="1"/>
  <c r="L10" i="68"/>
  <c r="L53" i="68" s="1"/>
  <c r="L10" i="64"/>
  <c r="Q10" i="64" s="1"/>
  <c r="L36" i="64"/>
  <c r="Q36" i="64" s="1"/>
  <c r="L36" i="68"/>
  <c r="L79" i="68" s="1"/>
  <c r="L37" i="64"/>
  <c r="Q37" i="64" s="1"/>
  <c r="L37" i="68"/>
  <c r="L80" i="68" s="1"/>
  <c r="Q5" i="64"/>
  <c r="L42" i="68"/>
  <c r="L85" i="68" s="1"/>
  <c r="L17" i="68"/>
  <c r="L60" i="68" s="1"/>
  <c r="L8" i="68"/>
  <c r="L51" i="68" s="1"/>
  <c r="L33" i="68"/>
  <c r="L76" i="68" s="1"/>
  <c r="L16" i="68"/>
  <c r="L59" i="68" s="1"/>
  <c r="L7" i="64"/>
  <c r="Q7" i="64" s="1"/>
  <c r="L34" i="54"/>
  <c r="Q34" i="54" s="1"/>
  <c r="L7" i="54"/>
  <c r="Q7" i="54" s="1"/>
  <c r="L13" i="54"/>
  <c r="Q13" i="54" s="1"/>
  <c r="L38" i="54"/>
  <c r="Q38" i="54" s="1"/>
  <c r="L41" i="64"/>
  <c r="Q41" i="64" s="1"/>
  <c r="L18" i="64"/>
  <c r="Q18" i="64" s="1"/>
  <c r="L18" i="68"/>
  <c r="L61" i="68" s="1"/>
  <c r="L6" i="68"/>
  <c r="L49" i="68" s="1"/>
  <c r="L6" i="64"/>
  <c r="Q6" i="64" s="1"/>
  <c r="L30" i="68"/>
  <c r="L73" i="68" s="1"/>
  <c r="L30" i="64"/>
  <c r="Q30" i="64" s="1"/>
  <c r="L9" i="68"/>
  <c r="L52" i="68" s="1"/>
  <c r="L19" i="68"/>
  <c r="L62" i="68" s="1"/>
  <c r="L29" i="68"/>
  <c r="L72" i="68" s="1"/>
  <c r="L23" i="68"/>
  <c r="L66" i="68" s="1"/>
  <c r="L11" i="68"/>
  <c r="L54" i="68" s="1"/>
  <c r="L44" i="52"/>
  <c r="L26" i="54"/>
  <c r="Q26" i="54" s="1"/>
  <c r="L34" i="53"/>
  <c r="Q34" i="53" s="1"/>
  <c r="L7" i="53"/>
  <c r="Q7" i="53" s="1"/>
  <c r="L13" i="53"/>
  <c r="Q13" i="53" s="1"/>
  <c r="L38" i="53"/>
  <c r="Q38" i="53" s="1"/>
  <c r="L20" i="64"/>
  <c r="Q20" i="64" s="1"/>
  <c r="L20" i="68"/>
  <c r="L63" i="68" s="1"/>
  <c r="L35" i="64"/>
  <c r="Q35" i="64" s="1"/>
  <c r="L35" i="68"/>
  <c r="L78" i="68" s="1"/>
  <c r="L15" i="68"/>
  <c r="L58" i="68" s="1"/>
  <c r="L15" i="64"/>
  <c r="Q15" i="64" s="1"/>
  <c r="L40" i="68"/>
  <c r="L83" i="68" s="1"/>
  <c r="L40" i="64"/>
  <c r="Q40" i="64" s="1"/>
  <c r="L32" i="68"/>
  <c r="L75" i="68" s="1"/>
  <c r="L12" i="68"/>
  <c r="L55" i="68" s="1"/>
  <c r="L22" i="68"/>
  <c r="L65" i="68" s="1"/>
  <c r="L28" i="68"/>
  <c r="L71" i="68" s="1"/>
  <c r="L14" i="68"/>
  <c r="L57" i="68" s="1"/>
  <c r="L31" i="68"/>
  <c r="L74" i="68" s="1"/>
  <c r="AQ14" i="63"/>
  <c r="Q5" i="53"/>
  <c r="X27" i="54"/>
  <c r="X34" i="54"/>
  <c r="X18" i="54"/>
  <c r="X16" i="54"/>
  <c r="Q47" i="54"/>
  <c r="Q47" i="53"/>
  <c r="Q47" i="51"/>
  <c r="Q47" i="52"/>
  <c r="AB5" i="52"/>
  <c r="X30" i="54"/>
  <c r="X39" i="54"/>
  <c r="X24" i="54"/>
  <c r="AM56" i="47"/>
  <c r="AM54" i="50"/>
  <c r="AM54" i="48"/>
  <c r="Q46" i="54"/>
  <c r="Q46" i="53"/>
  <c r="Q46" i="52"/>
  <c r="Q46" i="51"/>
  <c r="X42" i="54"/>
  <c r="X19" i="54"/>
  <c r="X15" i="54"/>
  <c r="X25" i="54"/>
  <c r="X21" i="54"/>
  <c r="T58" i="47"/>
  <c r="T56" i="50"/>
  <c r="T56" i="49"/>
  <c r="T56" i="48"/>
  <c r="X9" i="54"/>
  <c r="Q5" i="54"/>
  <c r="X32" i="54"/>
  <c r="X40" i="54"/>
  <c r="X37" i="54"/>
  <c r="X23" i="54"/>
  <c r="X7" i="54"/>
  <c r="X13" i="54"/>
  <c r="X17" i="54"/>
  <c r="X10" i="54"/>
  <c r="X33" i="54"/>
  <c r="T57" i="47"/>
  <c r="T55" i="50"/>
  <c r="T55" i="49"/>
  <c r="T55" i="48"/>
  <c r="X12" i="54"/>
  <c r="X14" i="54"/>
  <c r="X22" i="54"/>
  <c r="X36" i="54"/>
  <c r="X8" i="54"/>
  <c r="X29" i="54"/>
  <c r="X31" i="54"/>
  <c r="X28" i="54"/>
  <c r="X6" i="54"/>
  <c r="X26" i="54"/>
  <c r="X11" i="54"/>
  <c r="X20" i="54"/>
  <c r="X35" i="54"/>
  <c r="E42" i="5"/>
  <c r="X46" i="64" s="1"/>
  <c r="E21" i="5"/>
  <c r="AE55" i="63" s="1"/>
  <c r="AO54" i="63" s="1"/>
  <c r="F47" i="5"/>
  <c r="F29" i="5"/>
  <c r="AM56" i="63" s="1"/>
  <c r="F46" i="5"/>
  <c r="AB47" i="64" s="1"/>
  <c r="U51" i="67" l="1"/>
  <c r="U103" i="67" s="1"/>
  <c r="AB51" i="49"/>
  <c r="E9" i="70"/>
  <c r="E7" i="70"/>
  <c r="E13" i="70" s="1"/>
  <c r="E11" i="70"/>
  <c r="AB41" i="49"/>
  <c r="U41" i="67"/>
  <c r="U93" i="67" s="1"/>
  <c r="U22" i="67"/>
  <c r="U74" i="67" s="1"/>
  <c r="AB22" i="49"/>
  <c r="AB26" i="49"/>
  <c r="U26" i="67"/>
  <c r="U78" i="67" s="1"/>
  <c r="U45" i="67"/>
  <c r="U97" i="67" s="1"/>
  <c r="AB45" i="49"/>
  <c r="U18" i="67"/>
  <c r="U70" i="67" s="1"/>
  <c r="AB18" i="49"/>
  <c r="X41" i="67"/>
  <c r="X93" i="67" s="1"/>
  <c r="X33" i="67"/>
  <c r="X85" i="67" s="1"/>
  <c r="X42" i="67"/>
  <c r="X94" i="67" s="1"/>
  <c r="T14" i="69"/>
  <c r="T15" i="69"/>
  <c r="C11" i="69"/>
  <c r="C9" i="69"/>
  <c r="X22" i="67"/>
  <c r="X74" i="67" s="1"/>
  <c r="X38" i="67"/>
  <c r="X90" i="67" s="1"/>
  <c r="Y43" i="63"/>
  <c r="AB43" i="63" s="1"/>
  <c r="Y27" i="63"/>
  <c r="AB27" i="63" s="1"/>
  <c r="Y11" i="63"/>
  <c r="AB11" i="63" s="1"/>
  <c r="Y42" i="63"/>
  <c r="AB42" i="63" s="1"/>
  <c r="Y26" i="63"/>
  <c r="AB26" i="63" s="1"/>
  <c r="Y10" i="63"/>
  <c r="AB10" i="63" s="1"/>
  <c r="Y45" i="63"/>
  <c r="AB45" i="63" s="1"/>
  <c r="Y29" i="63"/>
  <c r="AB29" i="63" s="1"/>
  <c r="Y13" i="63"/>
  <c r="AB13" i="63" s="1"/>
  <c r="Y44" i="63"/>
  <c r="AB44" i="63" s="1"/>
  <c r="Y28" i="63"/>
  <c r="AB28" i="63" s="1"/>
  <c r="Y8" i="63"/>
  <c r="AB8" i="63" s="1"/>
  <c r="Y12" i="49"/>
  <c r="Y23" i="49"/>
  <c r="Y5" i="49"/>
  <c r="Y32" i="49"/>
  <c r="Y47" i="49"/>
  <c r="X47" i="67" s="1"/>
  <c r="X99" i="67" s="1"/>
  <c r="Y39" i="63"/>
  <c r="AB39" i="63" s="1"/>
  <c r="Y23" i="63"/>
  <c r="AB23" i="63" s="1"/>
  <c r="Y7" i="63"/>
  <c r="AB7" i="63" s="1"/>
  <c r="Y38" i="63"/>
  <c r="AB38" i="63" s="1"/>
  <c r="Y22" i="63"/>
  <c r="AB22" i="63" s="1"/>
  <c r="Y6" i="63"/>
  <c r="AB6" i="63" s="1"/>
  <c r="Y41" i="63"/>
  <c r="AB41" i="63" s="1"/>
  <c r="Y25" i="63"/>
  <c r="AB25" i="63" s="1"/>
  <c r="Y9" i="63"/>
  <c r="AB9" i="63" s="1"/>
  <c r="Y40" i="63"/>
  <c r="AB40" i="63" s="1"/>
  <c r="Y24" i="63"/>
  <c r="AB24" i="63" s="1"/>
  <c r="Y37" i="49"/>
  <c r="Y30" i="49"/>
  <c r="Y25" i="49"/>
  <c r="X25" i="67" s="1"/>
  <c r="X77" i="67" s="1"/>
  <c r="Y40" i="49"/>
  <c r="Y11" i="49"/>
  <c r="Y10" i="49"/>
  <c r="Y51" i="63"/>
  <c r="AB51" i="63" s="1"/>
  <c r="Y35" i="63"/>
  <c r="AB35" i="63" s="1"/>
  <c r="Y19" i="63"/>
  <c r="AB19" i="63" s="1"/>
  <c r="Y50" i="63"/>
  <c r="AB50" i="63" s="1"/>
  <c r="Y34" i="63"/>
  <c r="AB34" i="63" s="1"/>
  <c r="Y18" i="63"/>
  <c r="AB18" i="63" s="1"/>
  <c r="Y20" i="63"/>
  <c r="AB20" i="63" s="1"/>
  <c r="Y37" i="63"/>
  <c r="AB37" i="63" s="1"/>
  <c r="Y21" i="63"/>
  <c r="AB21" i="63" s="1"/>
  <c r="Y5" i="63"/>
  <c r="Y36" i="63"/>
  <c r="AB36" i="63" s="1"/>
  <c r="Y16" i="63"/>
  <c r="AB16" i="63" s="1"/>
  <c r="Y47" i="63"/>
  <c r="AB47" i="63" s="1"/>
  <c r="Y31" i="63"/>
  <c r="AB31" i="63" s="1"/>
  <c r="Y15" i="63"/>
  <c r="AB15" i="63" s="1"/>
  <c r="Y46" i="63"/>
  <c r="AB46" i="63" s="1"/>
  <c r="Y30" i="63"/>
  <c r="AB30" i="63" s="1"/>
  <c r="Y14" i="63"/>
  <c r="AB14" i="63" s="1"/>
  <c r="Y49" i="63"/>
  <c r="AB49" i="63" s="1"/>
  <c r="Y33" i="63"/>
  <c r="AB33" i="63" s="1"/>
  <c r="Y17" i="63"/>
  <c r="AB17" i="63" s="1"/>
  <c r="Y48" i="63"/>
  <c r="AB48" i="63" s="1"/>
  <c r="Y32" i="63"/>
  <c r="AB32" i="63" s="1"/>
  <c r="Y12" i="63"/>
  <c r="AB12" i="63" s="1"/>
  <c r="Y6" i="49"/>
  <c r="X6" i="67" s="1"/>
  <c r="X58" i="67" s="1"/>
  <c r="Y29" i="49"/>
  <c r="Y15" i="49"/>
  <c r="Y50" i="49"/>
  <c r="Y20" i="49"/>
  <c r="Y34" i="49"/>
  <c r="Y49" i="49"/>
  <c r="U5" i="67"/>
  <c r="U57" i="67" s="1"/>
  <c r="V53" i="49"/>
  <c r="U35" i="67"/>
  <c r="U87" i="67" s="1"/>
  <c r="AB35" i="49"/>
  <c r="U17" i="67"/>
  <c r="U69" i="67" s="1"/>
  <c r="AB17" i="49"/>
  <c r="U25" i="67"/>
  <c r="U77" i="67" s="1"/>
  <c r="U7" i="67"/>
  <c r="U59" i="67" s="1"/>
  <c r="AB7" i="49"/>
  <c r="S53" i="63"/>
  <c r="F9" i="69"/>
  <c r="F7" i="69"/>
  <c r="F13" i="69" s="1"/>
  <c r="H14" i="69"/>
  <c r="H15" i="69"/>
  <c r="M15" i="69"/>
  <c r="M14" i="69"/>
  <c r="Y53" i="50"/>
  <c r="AB5" i="50"/>
  <c r="AB53" i="50" s="1"/>
  <c r="X51" i="67"/>
  <c r="X103" i="67" s="1"/>
  <c r="X17" i="67"/>
  <c r="X69" i="67" s="1"/>
  <c r="U33" i="67"/>
  <c r="U85" i="67" s="1"/>
  <c r="AB33" i="49"/>
  <c r="U8" i="67"/>
  <c r="U60" i="67" s="1"/>
  <c r="AB8" i="49"/>
  <c r="AB9" i="49"/>
  <c r="U9" i="67"/>
  <c r="U61" i="67" s="1"/>
  <c r="U14" i="67"/>
  <c r="U66" i="67" s="1"/>
  <c r="AB14" i="49"/>
  <c r="AB31" i="49"/>
  <c r="U31" i="67"/>
  <c r="U83" i="67" s="1"/>
  <c r="AB48" i="49"/>
  <c r="U48" i="67"/>
  <c r="U100" i="67" s="1"/>
  <c r="AB36" i="49"/>
  <c r="U36" i="67"/>
  <c r="U88" i="67" s="1"/>
  <c r="AB39" i="49"/>
  <c r="U39" i="67"/>
  <c r="U91" i="67" s="1"/>
  <c r="AB24" i="49"/>
  <c r="U24" i="67"/>
  <c r="U76" i="67" s="1"/>
  <c r="S53" i="49"/>
  <c r="X18" i="67"/>
  <c r="X70" i="67" s="1"/>
  <c r="X45" i="67"/>
  <c r="X97" i="67" s="1"/>
  <c r="X36" i="67"/>
  <c r="X88" i="67" s="1"/>
  <c r="R5" i="67"/>
  <c r="R57" i="67" s="1"/>
  <c r="H7" i="69" s="1"/>
  <c r="H13" i="69" s="1"/>
  <c r="R53" i="49"/>
  <c r="S58" i="49" s="1"/>
  <c r="R53" i="63"/>
  <c r="S58" i="63" s="1"/>
  <c r="U14" i="69"/>
  <c r="U15" i="69"/>
  <c r="M5" i="67"/>
  <c r="M57" i="67" s="1"/>
  <c r="C7" i="69" s="1"/>
  <c r="C13" i="69" s="1"/>
  <c r="M53" i="49"/>
  <c r="B14" i="69"/>
  <c r="B15" i="69"/>
  <c r="AB44" i="49"/>
  <c r="U44" i="67"/>
  <c r="U96" i="67" s="1"/>
  <c r="X19" i="67"/>
  <c r="X71" i="67" s="1"/>
  <c r="X14" i="67"/>
  <c r="X66" i="67" s="1"/>
  <c r="X8" i="67"/>
  <c r="X60" i="67" s="1"/>
  <c r="AB53" i="48"/>
  <c r="E15" i="69"/>
  <c r="E14" i="69"/>
  <c r="U16" i="67"/>
  <c r="U68" i="67" s="1"/>
  <c r="K11" i="69" s="1"/>
  <c r="AB16" i="49"/>
  <c r="Q14" i="69"/>
  <c r="Q15" i="69"/>
  <c r="X16" i="67"/>
  <c r="X68" i="67" s="1"/>
  <c r="AB21" i="49"/>
  <c r="J14" i="69"/>
  <c r="J15" i="69"/>
  <c r="AB46" i="49"/>
  <c r="U46" i="67"/>
  <c r="U98" i="67" s="1"/>
  <c r="U28" i="67"/>
  <c r="U80" i="67" s="1"/>
  <c r="AB28" i="49"/>
  <c r="AB47" i="49"/>
  <c r="U47" i="67"/>
  <c r="U99" i="67" s="1"/>
  <c r="U13" i="67"/>
  <c r="U65" i="67" s="1"/>
  <c r="AB13" i="49"/>
  <c r="U19" i="67"/>
  <c r="U71" i="67" s="1"/>
  <c r="AB19" i="49"/>
  <c r="U43" i="67"/>
  <c r="U95" i="67" s="1"/>
  <c r="AB43" i="49"/>
  <c r="AB42" i="49"/>
  <c r="U42" i="67"/>
  <c r="U94" i="67" s="1"/>
  <c r="X44" i="67"/>
  <c r="X96" i="67" s="1"/>
  <c r="X39" i="67"/>
  <c r="X91" i="67" s="1"/>
  <c r="AB27" i="49"/>
  <c r="G15" i="69"/>
  <c r="G14" i="69"/>
  <c r="M53" i="63"/>
  <c r="X35" i="67"/>
  <c r="X87" i="67" s="1"/>
  <c r="L9" i="70"/>
  <c r="L11" i="70"/>
  <c r="L7" i="70"/>
  <c r="L13" i="70" s="1"/>
  <c r="AD53" i="49"/>
  <c r="F15" i="70"/>
  <c r="F14" i="70"/>
  <c r="AB38" i="49"/>
  <c r="L41" i="68"/>
  <c r="L84" i="68" s="1"/>
  <c r="L44" i="53"/>
  <c r="L13" i="68"/>
  <c r="L56" i="68" s="1"/>
  <c r="Q44" i="52"/>
  <c r="Q44" i="64"/>
  <c r="L26" i="68"/>
  <c r="L69" i="68" s="1"/>
  <c r="L44" i="64"/>
  <c r="L7" i="68"/>
  <c r="L50" i="68" s="1"/>
  <c r="L34" i="68"/>
  <c r="L77" i="68" s="1"/>
  <c r="L44" i="54"/>
  <c r="AM54" i="49"/>
  <c r="AM54" i="63"/>
  <c r="L38" i="68"/>
  <c r="L81" i="68" s="1"/>
  <c r="Y24" i="54"/>
  <c r="AB24" i="54" s="1"/>
  <c r="Y27" i="54"/>
  <c r="AB27" i="54" s="1"/>
  <c r="S19" i="72" s="1"/>
  <c r="Y14" i="54"/>
  <c r="AB14" i="54" s="1"/>
  <c r="Y21" i="54"/>
  <c r="AB21" i="54" s="1"/>
  <c r="S12" i="72" s="1"/>
  <c r="Y11" i="54"/>
  <c r="AB11" i="54" s="1"/>
  <c r="S9" i="72" s="1"/>
  <c r="Y36" i="54"/>
  <c r="AB36" i="54" s="1"/>
  <c r="S27" i="72" s="1"/>
  <c r="Y12" i="54"/>
  <c r="AB12" i="54" s="1"/>
  <c r="S11" i="72" s="1"/>
  <c r="Y23" i="54"/>
  <c r="AB23" i="54" s="1"/>
  <c r="S14" i="72" s="1"/>
  <c r="Y25" i="54"/>
  <c r="AB25" i="54" s="1"/>
  <c r="S17" i="72" s="1"/>
  <c r="Y39" i="54"/>
  <c r="AB39" i="54" s="1"/>
  <c r="S31" i="72" s="1"/>
  <c r="Y16" i="54"/>
  <c r="AB16" i="54" s="1"/>
  <c r="S8" i="72" s="1"/>
  <c r="Y18" i="54"/>
  <c r="AB18" i="54" s="1"/>
  <c r="Y28" i="54"/>
  <c r="AB28" i="54" s="1"/>
  <c r="Y7" i="54"/>
  <c r="AB7" i="54" s="1"/>
  <c r="Y42" i="54"/>
  <c r="AB42" i="54" s="1"/>
  <c r="S33" i="72" s="1"/>
  <c r="Y26" i="54"/>
  <c r="AB26" i="54" s="1"/>
  <c r="S18" i="72" s="1"/>
  <c r="Y33" i="54"/>
  <c r="AB33" i="54" s="1"/>
  <c r="Y38" i="54"/>
  <c r="AB38" i="54" s="1"/>
  <c r="S29" i="72" s="1"/>
  <c r="Y37" i="54"/>
  <c r="AB37" i="54" s="1"/>
  <c r="S28" i="72" s="1"/>
  <c r="Y15" i="54"/>
  <c r="AB15" i="54" s="1"/>
  <c r="Y30" i="54"/>
  <c r="AB30" i="54" s="1"/>
  <c r="S23" i="72" s="1"/>
  <c r="Y41" i="54"/>
  <c r="AB41" i="54" s="1"/>
  <c r="S32" i="72" s="1"/>
  <c r="Y17" i="54"/>
  <c r="AB17" i="54" s="1"/>
  <c r="S10" i="72" s="1"/>
  <c r="Y32" i="54"/>
  <c r="AB32" i="54" s="1"/>
  <c r="Y31" i="54"/>
  <c r="AB31" i="54" s="1"/>
  <c r="S24" i="72" s="1"/>
  <c r="Y35" i="54"/>
  <c r="AB35" i="54" s="1"/>
  <c r="Y29" i="54"/>
  <c r="AB29" i="54" s="1"/>
  <c r="S22" i="72" s="1"/>
  <c r="Y20" i="54"/>
  <c r="AB20" i="54" s="1"/>
  <c r="Y6" i="54"/>
  <c r="AB6" i="54" s="1"/>
  <c r="Y8" i="54"/>
  <c r="AB8" i="54" s="1"/>
  <c r="S5" i="72" s="1"/>
  <c r="Y22" i="54"/>
  <c r="AB22" i="54" s="1"/>
  <c r="S13" i="72" s="1"/>
  <c r="Y10" i="54"/>
  <c r="AB10" i="54" s="1"/>
  <c r="S7" i="72" s="1"/>
  <c r="Y13" i="54"/>
  <c r="AB13" i="54" s="1"/>
  <c r="Y40" i="54"/>
  <c r="AB40" i="54" s="1"/>
  <c r="S30" i="72" s="1"/>
  <c r="Y9" i="54"/>
  <c r="AB9" i="54" s="1"/>
  <c r="S6" i="72" s="1"/>
  <c r="Y19" i="54"/>
  <c r="AB19" i="54" s="1"/>
  <c r="Y34" i="54"/>
  <c r="AB34" i="54" s="1"/>
  <c r="Q44" i="54"/>
  <c r="Q44" i="53"/>
  <c r="AM58" i="47"/>
  <c r="AM56" i="50"/>
  <c r="AM56" i="49"/>
  <c r="AM56" i="48"/>
  <c r="X46" i="54"/>
  <c r="X46" i="53"/>
  <c r="X46" i="52"/>
  <c r="X49" i="52" s="1"/>
  <c r="X5" i="53" s="1"/>
  <c r="X46" i="51"/>
  <c r="AB44" i="52"/>
  <c r="X5" i="54"/>
  <c r="AB47" i="54"/>
  <c r="AB47" i="52"/>
  <c r="AB47" i="53"/>
  <c r="AB47" i="51"/>
  <c r="AE57" i="47"/>
  <c r="AE55" i="50"/>
  <c r="AE55" i="49"/>
  <c r="AO54" i="49" s="1"/>
  <c r="AE55" i="48"/>
  <c r="E43" i="5"/>
  <c r="Y46" i="64" s="1"/>
  <c r="E23" i="5"/>
  <c r="AG55" i="63" s="1"/>
  <c r="G11" i="72" l="1"/>
  <c r="G6" i="72"/>
  <c r="S25" i="72"/>
  <c r="S15" i="72"/>
  <c r="S20" i="72"/>
  <c r="S16" i="72"/>
  <c r="S21" i="72"/>
  <c r="S26" i="72"/>
  <c r="S38" i="50"/>
  <c r="S38" i="67" s="1"/>
  <c r="S90" i="67" s="1"/>
  <c r="S49" i="50"/>
  <c r="S49" i="67" s="1"/>
  <c r="S101" i="67" s="1"/>
  <c r="S37" i="50"/>
  <c r="S37" i="67" s="1"/>
  <c r="S89" i="67" s="1"/>
  <c r="S7" i="50"/>
  <c r="S7" i="67" s="1"/>
  <c r="S59" i="67" s="1"/>
  <c r="S31" i="50"/>
  <c r="S31" i="67" s="1"/>
  <c r="S83" i="67" s="1"/>
  <c r="S14" i="50"/>
  <c r="S14" i="67" s="1"/>
  <c r="S66" i="67" s="1"/>
  <c r="S45" i="50"/>
  <c r="S45" i="67" s="1"/>
  <c r="S97" i="67" s="1"/>
  <c r="S6" i="50"/>
  <c r="S6" i="67" s="1"/>
  <c r="S58" i="67" s="1"/>
  <c r="S12" i="50"/>
  <c r="S12" i="67" s="1"/>
  <c r="S64" i="67" s="1"/>
  <c r="S50" i="50"/>
  <c r="S50" i="67" s="1"/>
  <c r="S102" i="67" s="1"/>
  <c r="S11" i="50"/>
  <c r="S11" i="67" s="1"/>
  <c r="S63" i="67" s="1"/>
  <c r="S47" i="50"/>
  <c r="S47" i="67" s="1"/>
  <c r="S99" i="67" s="1"/>
  <c r="S48" i="50"/>
  <c r="S48" i="67" s="1"/>
  <c r="S100" i="67" s="1"/>
  <c r="S43" i="50"/>
  <c r="S43" i="67" s="1"/>
  <c r="S95" i="67" s="1"/>
  <c r="S15" i="50"/>
  <c r="S15" i="67" s="1"/>
  <c r="S67" i="67" s="1"/>
  <c r="I11" i="69" s="1"/>
  <c r="S10" i="50"/>
  <c r="S10" i="67" s="1"/>
  <c r="S62" i="67" s="1"/>
  <c r="S30" i="50"/>
  <c r="S30" i="67" s="1"/>
  <c r="S82" i="67" s="1"/>
  <c r="S41" i="50"/>
  <c r="S41" i="67" s="1"/>
  <c r="S93" i="67" s="1"/>
  <c r="S13" i="50"/>
  <c r="S13" i="67" s="1"/>
  <c r="S65" i="67" s="1"/>
  <c r="S32" i="50"/>
  <c r="S32" i="67" s="1"/>
  <c r="S84" i="67" s="1"/>
  <c r="S46" i="50"/>
  <c r="S46" i="67" s="1"/>
  <c r="S98" i="67" s="1"/>
  <c r="S22" i="50"/>
  <c r="S22" i="67" s="1"/>
  <c r="S74" i="67" s="1"/>
  <c r="S23" i="50"/>
  <c r="S23" i="67" s="1"/>
  <c r="S75" i="67" s="1"/>
  <c r="S51" i="50"/>
  <c r="S51" i="67" s="1"/>
  <c r="S103" i="67" s="1"/>
  <c r="S29" i="50"/>
  <c r="S29" i="67" s="1"/>
  <c r="S81" i="67" s="1"/>
  <c r="S33" i="50"/>
  <c r="S33" i="67" s="1"/>
  <c r="S85" i="67" s="1"/>
  <c r="S5" i="50"/>
  <c r="S40" i="50"/>
  <c r="S40" i="67" s="1"/>
  <c r="S92" i="67" s="1"/>
  <c r="S26" i="50"/>
  <c r="S26" i="67" s="1"/>
  <c r="S78" i="67" s="1"/>
  <c r="S27" i="50"/>
  <c r="S27" i="67" s="1"/>
  <c r="S79" i="67" s="1"/>
  <c r="S21" i="50"/>
  <c r="S21" i="67" s="1"/>
  <c r="S73" i="67" s="1"/>
  <c r="S8" i="50"/>
  <c r="S8" i="67" s="1"/>
  <c r="S60" i="67" s="1"/>
  <c r="S19" i="50"/>
  <c r="S19" i="67" s="1"/>
  <c r="S71" i="67" s="1"/>
  <c r="S34" i="50"/>
  <c r="S34" i="67" s="1"/>
  <c r="S86" i="67" s="1"/>
  <c r="S25" i="50"/>
  <c r="S25" i="67" s="1"/>
  <c r="S77" i="67" s="1"/>
  <c r="S42" i="50"/>
  <c r="S42" i="67" s="1"/>
  <c r="S94" i="67" s="1"/>
  <c r="S44" i="50"/>
  <c r="S44" i="67" s="1"/>
  <c r="S96" i="67" s="1"/>
  <c r="S35" i="50"/>
  <c r="S35" i="67" s="1"/>
  <c r="S87" i="67" s="1"/>
  <c r="S24" i="50"/>
  <c r="S24" i="67" s="1"/>
  <c r="S76" i="67" s="1"/>
  <c r="S28" i="50"/>
  <c r="S28" i="67" s="1"/>
  <c r="S80" i="67" s="1"/>
  <c r="S17" i="50"/>
  <c r="S17" i="67" s="1"/>
  <c r="S69" i="67" s="1"/>
  <c r="S18" i="50"/>
  <c r="S18" i="67" s="1"/>
  <c r="S70" i="67" s="1"/>
  <c r="S9" i="50"/>
  <c r="S9" i="67" s="1"/>
  <c r="S61" i="67" s="1"/>
  <c r="S16" i="50"/>
  <c r="S16" i="67" s="1"/>
  <c r="S68" i="67" s="1"/>
  <c r="S39" i="50"/>
  <c r="S39" i="67" s="1"/>
  <c r="S91" i="67" s="1"/>
  <c r="S36" i="50"/>
  <c r="S36" i="67" s="1"/>
  <c r="S88" i="67" s="1"/>
  <c r="S20" i="50"/>
  <c r="S20" i="67" s="1"/>
  <c r="S72" i="67" s="1"/>
  <c r="AB49" i="49"/>
  <c r="X49" i="67"/>
  <c r="X101" i="67" s="1"/>
  <c r="AB15" i="49"/>
  <c r="X15" i="67"/>
  <c r="X67" i="67" s="1"/>
  <c r="N9" i="69" s="1"/>
  <c r="AB11" i="49"/>
  <c r="X11" i="67"/>
  <c r="X63" i="67" s="1"/>
  <c r="X37" i="67"/>
  <c r="X89" i="67" s="1"/>
  <c r="AB37" i="49"/>
  <c r="X12" i="67"/>
  <c r="X64" i="67" s="1"/>
  <c r="AB12" i="49"/>
  <c r="E15" i="70"/>
  <c r="E14" i="70"/>
  <c r="F14" i="69"/>
  <c r="F15" i="69"/>
  <c r="AB25" i="49"/>
  <c r="AB34" i="49"/>
  <c r="X34" i="67"/>
  <c r="X86" i="67" s="1"/>
  <c r="X29" i="67"/>
  <c r="X81" i="67" s="1"/>
  <c r="AB29" i="49"/>
  <c r="Y53" i="63"/>
  <c r="AB5" i="63"/>
  <c r="AB53" i="63" s="1"/>
  <c r="AB40" i="49"/>
  <c r="X40" i="67"/>
  <c r="X92" i="67" s="1"/>
  <c r="AB32" i="49"/>
  <c r="X32" i="67"/>
  <c r="X84" i="67" s="1"/>
  <c r="X20" i="67"/>
  <c r="X72" i="67" s="1"/>
  <c r="AB20" i="49"/>
  <c r="N11" i="69"/>
  <c r="X5" i="67"/>
  <c r="X57" i="67" s="1"/>
  <c r="Y53" i="49"/>
  <c r="AB5" i="49"/>
  <c r="K9" i="69"/>
  <c r="L15" i="70"/>
  <c r="L14" i="70"/>
  <c r="K7" i="69"/>
  <c r="K13" i="69" s="1"/>
  <c r="X50" i="67"/>
  <c r="X102" i="67" s="1"/>
  <c r="AB50" i="49"/>
  <c r="X10" i="67"/>
  <c r="X62" i="67" s="1"/>
  <c r="AB10" i="49"/>
  <c r="AB30" i="49"/>
  <c r="X30" i="67"/>
  <c r="X82" i="67" s="1"/>
  <c r="AB23" i="49"/>
  <c r="X23" i="67"/>
  <c r="X75" i="67" s="1"/>
  <c r="C14" i="69"/>
  <c r="C15" i="69"/>
  <c r="AB6" i="49"/>
  <c r="B7" i="70"/>
  <c r="B13" i="70" s="1"/>
  <c r="B11" i="70"/>
  <c r="U5" i="68"/>
  <c r="U48" i="68" s="1"/>
  <c r="X7" i="64"/>
  <c r="Y7" i="64" s="1"/>
  <c r="X42" i="64"/>
  <c r="Y42" i="64" s="1"/>
  <c r="X36" i="64"/>
  <c r="Y36" i="64" s="1"/>
  <c r="X6" i="64"/>
  <c r="Y6" i="64" s="1"/>
  <c r="X32" i="64"/>
  <c r="Y32" i="64" s="1"/>
  <c r="X20" i="64"/>
  <c r="Y20" i="64" s="1"/>
  <c r="X22" i="64"/>
  <c r="Y22" i="64" s="1"/>
  <c r="X41" i="64"/>
  <c r="Y41" i="64" s="1"/>
  <c r="X28" i="64"/>
  <c r="Y28" i="64" s="1"/>
  <c r="X39" i="64"/>
  <c r="Y39" i="64" s="1"/>
  <c r="X9" i="64"/>
  <c r="Y9" i="64" s="1"/>
  <c r="X16" i="64"/>
  <c r="Y16" i="64" s="1"/>
  <c r="X30" i="64"/>
  <c r="Y30" i="64" s="1"/>
  <c r="X14" i="64"/>
  <c r="Y14" i="64" s="1"/>
  <c r="X21" i="64"/>
  <c r="Y21" i="64" s="1"/>
  <c r="X26" i="64"/>
  <c r="Y26" i="64" s="1"/>
  <c r="X17" i="64"/>
  <c r="Y17" i="64" s="1"/>
  <c r="X8" i="64"/>
  <c r="Y8" i="64" s="1"/>
  <c r="X15" i="64"/>
  <c r="Y15" i="64" s="1"/>
  <c r="X27" i="64"/>
  <c r="Y27" i="64" s="1"/>
  <c r="X19" i="64"/>
  <c r="Y19" i="64" s="1"/>
  <c r="X25" i="64"/>
  <c r="Y25" i="64" s="1"/>
  <c r="X24" i="64"/>
  <c r="Y24" i="64" s="1"/>
  <c r="X33" i="64"/>
  <c r="Y33" i="64" s="1"/>
  <c r="X31" i="64"/>
  <c r="Y31" i="64" s="1"/>
  <c r="X23" i="64"/>
  <c r="Y23" i="64" s="1"/>
  <c r="X11" i="64"/>
  <c r="Y11" i="64" s="1"/>
  <c r="X35" i="64"/>
  <c r="Y35" i="64" s="1"/>
  <c r="X40" i="64"/>
  <c r="Y40" i="64" s="1"/>
  <c r="X12" i="64"/>
  <c r="Y12" i="64" s="1"/>
  <c r="X18" i="64"/>
  <c r="Y18" i="64" s="1"/>
  <c r="X37" i="64"/>
  <c r="Y37" i="64" s="1"/>
  <c r="X29" i="64"/>
  <c r="Y29" i="64" s="1"/>
  <c r="X10" i="64"/>
  <c r="Y10" i="64" s="1"/>
  <c r="X38" i="64"/>
  <c r="Y38" i="64" s="1"/>
  <c r="X13" i="64"/>
  <c r="Y13" i="64" s="1"/>
  <c r="X34" i="64"/>
  <c r="Y34" i="64" s="1"/>
  <c r="X5" i="64"/>
  <c r="B9" i="70"/>
  <c r="Y5" i="54"/>
  <c r="X44" i="54"/>
  <c r="X27" i="53"/>
  <c r="X30" i="53"/>
  <c r="X39" i="53"/>
  <c r="X24" i="53"/>
  <c r="X7" i="53"/>
  <c r="X13" i="53"/>
  <c r="X38" i="53"/>
  <c r="X10" i="53"/>
  <c r="X33" i="53"/>
  <c r="X12" i="53"/>
  <c r="X22" i="53"/>
  <c r="X36" i="53"/>
  <c r="X8" i="53"/>
  <c r="X37" i="53"/>
  <c r="X34" i="53"/>
  <c r="X41" i="53"/>
  <c r="X18" i="53"/>
  <c r="X16" i="53"/>
  <c r="X19" i="53"/>
  <c r="X25" i="53"/>
  <c r="X9" i="53"/>
  <c r="X32" i="53"/>
  <c r="X40" i="53"/>
  <c r="X31" i="53"/>
  <c r="X6" i="53"/>
  <c r="X23" i="53"/>
  <c r="X17" i="53"/>
  <c r="X14" i="53"/>
  <c r="X11" i="53"/>
  <c r="X20" i="53"/>
  <c r="X35" i="53"/>
  <c r="X42" i="53"/>
  <c r="X15" i="53"/>
  <c r="X21" i="53"/>
  <c r="X29" i="53"/>
  <c r="X28" i="53"/>
  <c r="X26" i="53"/>
  <c r="AG57" i="47"/>
  <c r="AG55" i="50"/>
  <c r="AG55" i="49"/>
  <c r="AG55" i="48"/>
  <c r="Y46" i="54"/>
  <c r="Y46" i="53"/>
  <c r="Y46" i="52"/>
  <c r="Y46" i="51"/>
  <c r="Y5" i="53"/>
  <c r="E47" i="5"/>
  <c r="E46" i="5"/>
  <c r="AB46" i="64" s="1"/>
  <c r="E29" i="5"/>
  <c r="AM55" i="63" s="1"/>
  <c r="N7" i="69" l="1"/>
  <c r="N13" i="69" s="1"/>
  <c r="I9" i="69"/>
  <c r="N15" i="69"/>
  <c r="N14" i="69"/>
  <c r="S53" i="50"/>
  <c r="S5" i="67"/>
  <c r="S57" i="67" s="1"/>
  <c r="I7" i="69" s="1"/>
  <c r="I13" i="69" s="1"/>
  <c r="AB53" i="49"/>
  <c r="K14" i="69"/>
  <c r="K15" i="69"/>
  <c r="Y15" i="53"/>
  <c r="AB15" i="53" s="1"/>
  <c r="U15" i="68"/>
  <c r="U58" i="68" s="1"/>
  <c r="Y9" i="53"/>
  <c r="AB9" i="53" s="1"/>
  <c r="U9" i="68"/>
  <c r="U52" i="68" s="1"/>
  <c r="Y7" i="53"/>
  <c r="AB7" i="53" s="1"/>
  <c r="AJ7" i="64" s="1"/>
  <c r="U7" i="68"/>
  <c r="U50" i="68" s="1"/>
  <c r="Y26" i="53"/>
  <c r="AB26" i="53" s="1"/>
  <c r="U26" i="68"/>
  <c r="U69" i="68" s="1"/>
  <c r="Y6" i="53"/>
  <c r="AB6" i="53" s="1"/>
  <c r="U6" i="68"/>
  <c r="U49" i="68" s="1"/>
  <c r="Y8" i="53"/>
  <c r="AB8" i="53" s="1"/>
  <c r="U8" i="68"/>
  <c r="U51" i="68" s="1"/>
  <c r="Y27" i="53"/>
  <c r="AB27" i="53" s="1"/>
  <c r="U27" i="68"/>
  <c r="U70" i="68" s="1"/>
  <c r="Y28" i="53"/>
  <c r="AB28" i="53" s="1"/>
  <c r="AJ28" i="64" s="1"/>
  <c r="U28" i="68"/>
  <c r="U71" i="68" s="1"/>
  <c r="Y42" i="53"/>
  <c r="AB42" i="53" s="1"/>
  <c r="U42" i="68"/>
  <c r="U85" i="68" s="1"/>
  <c r="Y14" i="53"/>
  <c r="AB14" i="53" s="1"/>
  <c r="U14" i="68"/>
  <c r="U57" i="68" s="1"/>
  <c r="Y31" i="53"/>
  <c r="AB31" i="53" s="1"/>
  <c r="U31" i="68"/>
  <c r="U74" i="68" s="1"/>
  <c r="Y25" i="53"/>
  <c r="AB25" i="53" s="1"/>
  <c r="U25" i="68"/>
  <c r="U68" i="68" s="1"/>
  <c r="Y41" i="53"/>
  <c r="AB41" i="53" s="1"/>
  <c r="U41" i="68"/>
  <c r="U84" i="68" s="1"/>
  <c r="Y36" i="53"/>
  <c r="AB36" i="53" s="1"/>
  <c r="U36" i="68"/>
  <c r="U79" i="68" s="1"/>
  <c r="Y10" i="53"/>
  <c r="AB10" i="53" s="1"/>
  <c r="U10" i="68"/>
  <c r="U53" i="68" s="1"/>
  <c r="Y24" i="53"/>
  <c r="AB24" i="53" s="1"/>
  <c r="U24" i="68"/>
  <c r="U67" i="68" s="1"/>
  <c r="Y29" i="53"/>
  <c r="AB29" i="53" s="1"/>
  <c r="U29" i="68"/>
  <c r="U72" i="68" s="1"/>
  <c r="Y35" i="53"/>
  <c r="AB35" i="53" s="1"/>
  <c r="AJ35" i="64" s="1"/>
  <c r="U35" i="68"/>
  <c r="U78" i="68" s="1"/>
  <c r="Y17" i="53"/>
  <c r="AB17" i="53" s="1"/>
  <c r="U17" i="68"/>
  <c r="U60" i="68" s="1"/>
  <c r="Y40" i="53"/>
  <c r="AB40" i="53" s="1"/>
  <c r="U40" i="68"/>
  <c r="U83" i="68" s="1"/>
  <c r="Y19" i="53"/>
  <c r="AB19" i="53" s="1"/>
  <c r="AJ19" i="64" s="1"/>
  <c r="U19" i="68"/>
  <c r="U62" i="68" s="1"/>
  <c r="Y34" i="53"/>
  <c r="AB34" i="53" s="1"/>
  <c r="AJ34" i="64" s="1"/>
  <c r="U34" i="68"/>
  <c r="U77" i="68" s="1"/>
  <c r="Y22" i="53"/>
  <c r="AB22" i="53" s="1"/>
  <c r="U22" i="68"/>
  <c r="U65" i="68" s="1"/>
  <c r="Y38" i="53"/>
  <c r="AB38" i="53" s="1"/>
  <c r="U38" i="68"/>
  <c r="U81" i="68" s="1"/>
  <c r="Y39" i="53"/>
  <c r="AB39" i="53" s="1"/>
  <c r="U39" i="68"/>
  <c r="U82" i="68" s="1"/>
  <c r="Y11" i="53"/>
  <c r="AB11" i="53" s="1"/>
  <c r="U11" i="68"/>
  <c r="U54" i="68" s="1"/>
  <c r="Y18" i="53"/>
  <c r="AB18" i="53" s="1"/>
  <c r="AJ18" i="64" s="1"/>
  <c r="U18" i="68"/>
  <c r="U61" i="68" s="1"/>
  <c r="Y33" i="53"/>
  <c r="AB33" i="53" s="1"/>
  <c r="U33" i="68"/>
  <c r="U76" i="68" s="1"/>
  <c r="Y21" i="53"/>
  <c r="AB21" i="53" s="1"/>
  <c r="U21" i="68"/>
  <c r="U64" i="68" s="1"/>
  <c r="Y20" i="53"/>
  <c r="AB20" i="53" s="1"/>
  <c r="AJ20" i="64" s="1"/>
  <c r="U20" i="68"/>
  <c r="U63" i="68" s="1"/>
  <c r="Y23" i="53"/>
  <c r="AB23" i="53" s="1"/>
  <c r="U23" i="68"/>
  <c r="U66" i="68" s="1"/>
  <c r="Y32" i="53"/>
  <c r="AB32" i="53" s="1"/>
  <c r="AJ32" i="64" s="1"/>
  <c r="U32" i="68"/>
  <c r="U75" i="68" s="1"/>
  <c r="Y16" i="53"/>
  <c r="AB16" i="53" s="1"/>
  <c r="U16" i="68"/>
  <c r="U59" i="68" s="1"/>
  <c r="Y37" i="53"/>
  <c r="AB37" i="53" s="1"/>
  <c r="U37" i="68"/>
  <c r="U80" i="68" s="1"/>
  <c r="Y12" i="53"/>
  <c r="AB12" i="53" s="1"/>
  <c r="U12" i="68"/>
  <c r="U55" i="68" s="1"/>
  <c r="Y13" i="53"/>
  <c r="AB13" i="53" s="1"/>
  <c r="U13" i="68"/>
  <c r="U56" i="68" s="1"/>
  <c r="Y30" i="53"/>
  <c r="AB30" i="53" s="1"/>
  <c r="U30" i="68"/>
  <c r="U73" i="68" s="1"/>
  <c r="B14" i="70"/>
  <c r="B15" i="70"/>
  <c r="Y5" i="64"/>
  <c r="Y44" i="64" s="1"/>
  <c r="X44" i="64"/>
  <c r="AB5" i="53"/>
  <c r="AM57" i="47"/>
  <c r="AM55" i="50"/>
  <c r="AM55" i="49"/>
  <c r="AM55" i="48"/>
  <c r="AB46" i="54"/>
  <c r="AB46" i="53"/>
  <c r="AB46" i="52"/>
  <c r="AB46" i="51"/>
  <c r="X44" i="53"/>
  <c r="Y44" i="54"/>
  <c r="AB5" i="54"/>
  <c r="G10" i="72" l="1"/>
  <c r="G5" i="72"/>
  <c r="I14" i="69"/>
  <c r="I15" i="69"/>
  <c r="Y44" i="53"/>
  <c r="AB44" i="53"/>
  <c r="AA114" i="58"/>
  <c r="AA283" i="57"/>
  <c r="AG283" i="57" s="1"/>
  <c r="AA289" i="57"/>
  <c r="AG289" i="57" s="1"/>
  <c r="AA118" i="58"/>
  <c r="AA282" i="57"/>
  <c r="AG282" i="57" s="1"/>
  <c r="AA110" i="58"/>
  <c r="AA284" i="57"/>
  <c r="AG284" i="57" s="1"/>
  <c r="AA120" i="58"/>
  <c r="AA279" i="57"/>
  <c r="AG279" i="57" s="1"/>
  <c r="AA113" i="58"/>
  <c r="AA288" i="57"/>
  <c r="AG288" i="57" s="1"/>
  <c r="AA119" i="58"/>
  <c r="AJ13" i="64"/>
  <c r="AA290" i="57"/>
  <c r="AG290" i="57" s="1"/>
  <c r="AA291" i="57"/>
  <c r="AG291" i="57" s="1"/>
  <c r="AA280" i="57"/>
  <c r="AG280" i="57" s="1"/>
  <c r="AA117" i="58"/>
  <c r="AA107" i="58"/>
  <c r="AA281" i="57"/>
  <c r="AG281" i="57" s="1"/>
  <c r="AA108" i="58"/>
  <c r="AA285" i="57"/>
  <c r="AG285" i="57" s="1"/>
  <c r="AA286" i="57"/>
  <c r="AG286" i="57" s="1"/>
  <c r="AA111" i="58"/>
  <c r="AA109" i="58"/>
  <c r="AA115" i="58"/>
  <c r="AA112" i="58"/>
  <c r="AA116" i="58"/>
  <c r="AA278" i="57"/>
  <c r="AG278" i="57" s="1"/>
  <c r="AA287" i="57"/>
  <c r="AG287" i="57" s="1"/>
  <c r="AA343" i="57"/>
  <c r="AJ37" i="64"/>
  <c r="AA345" i="57"/>
  <c r="AA344" i="57"/>
  <c r="AA342" i="57"/>
  <c r="AJ33" i="64"/>
  <c r="AA257" i="57"/>
  <c r="AA256" i="57"/>
  <c r="AA259" i="57"/>
  <c r="AA243" i="57"/>
  <c r="AA242" i="57"/>
  <c r="AA241" i="57"/>
  <c r="AA244" i="57"/>
  <c r="AJ11" i="64"/>
  <c r="AA92" i="58"/>
  <c r="AA249" i="57"/>
  <c r="AA248" i="57"/>
  <c r="AA258" i="57"/>
  <c r="AA254" i="57"/>
  <c r="AA251" i="57"/>
  <c r="AA262" i="57"/>
  <c r="AA236" i="57"/>
  <c r="AA260" i="57"/>
  <c r="AA247" i="57"/>
  <c r="AA245" i="57"/>
  <c r="AA252" i="57"/>
  <c r="AA239" i="57"/>
  <c r="AA237" i="57"/>
  <c r="AA255" i="57"/>
  <c r="AA261" i="57"/>
  <c r="AA263" i="57"/>
  <c r="AA246" i="57"/>
  <c r="AA250" i="57"/>
  <c r="AA253" i="57"/>
  <c r="AA238" i="57"/>
  <c r="AA240" i="57"/>
  <c r="AA339" i="57"/>
  <c r="AA341" i="57"/>
  <c r="AJ38" i="64"/>
  <c r="AA338" i="57"/>
  <c r="AA340" i="57"/>
  <c r="AJ40" i="64"/>
  <c r="AA163" i="58"/>
  <c r="AA159" i="58"/>
  <c r="AA155" i="58"/>
  <c r="AA151" i="58"/>
  <c r="AA333" i="57"/>
  <c r="AG333" i="57" s="1"/>
  <c r="AA336" i="57"/>
  <c r="AG336" i="57" s="1"/>
  <c r="AA320" i="57"/>
  <c r="AG320" i="57" s="1"/>
  <c r="AA323" i="57"/>
  <c r="AG323" i="57" s="1"/>
  <c r="AA326" i="57"/>
  <c r="AG326" i="57" s="1"/>
  <c r="AA166" i="58"/>
  <c r="AA162" i="58"/>
  <c r="AA158" i="58"/>
  <c r="AA154" i="58"/>
  <c r="AA150" i="58"/>
  <c r="AA329" i="57"/>
  <c r="AG329" i="57" s="1"/>
  <c r="AA332" i="57"/>
  <c r="AG332" i="57" s="1"/>
  <c r="AA335" i="57"/>
  <c r="AG335" i="57" s="1"/>
  <c r="AA322" i="57"/>
  <c r="AG322" i="57" s="1"/>
  <c r="AA165" i="58"/>
  <c r="AA157" i="58"/>
  <c r="AA153" i="58"/>
  <c r="AA149" i="58"/>
  <c r="AA328" i="57"/>
  <c r="AG328" i="57" s="1"/>
  <c r="AA331" i="57"/>
  <c r="AG331" i="57" s="1"/>
  <c r="AA334" i="57"/>
  <c r="AG334" i="57" s="1"/>
  <c r="AJ24" i="64"/>
  <c r="AA161" i="58"/>
  <c r="AA325" i="57"/>
  <c r="AG325" i="57" s="1"/>
  <c r="AA160" i="58"/>
  <c r="AA321" i="57"/>
  <c r="AG321" i="57" s="1"/>
  <c r="AA324" i="57"/>
  <c r="AG324" i="57" s="1"/>
  <c r="AA327" i="57"/>
  <c r="AG327" i="57" s="1"/>
  <c r="AA156" i="58"/>
  <c r="AA337" i="57"/>
  <c r="AG337" i="57" s="1"/>
  <c r="AA152" i="58"/>
  <c r="AA164" i="58"/>
  <c r="AA330" i="57"/>
  <c r="AG330" i="57" s="1"/>
  <c r="AA348" i="57"/>
  <c r="AA346" i="57"/>
  <c r="AJ36" i="64"/>
  <c r="AA349" i="57"/>
  <c r="AA347" i="57"/>
  <c r="AJ25" i="64"/>
  <c r="AA131" i="58"/>
  <c r="AA127" i="58"/>
  <c r="AA123" i="58"/>
  <c r="AA301" i="57"/>
  <c r="AG301" i="57" s="1"/>
  <c r="AA300" i="57"/>
  <c r="AG300" i="57" s="1"/>
  <c r="AA299" i="57"/>
  <c r="AG299" i="57" s="1"/>
  <c r="AA294" i="57"/>
  <c r="AG294" i="57" s="1"/>
  <c r="AA134" i="58"/>
  <c r="AA130" i="58"/>
  <c r="AA126" i="58"/>
  <c r="AA122" i="58"/>
  <c r="AA297" i="57"/>
  <c r="AG297" i="57" s="1"/>
  <c r="AA296" i="57"/>
  <c r="AG296" i="57" s="1"/>
  <c r="AA295" i="57"/>
  <c r="AG295" i="57" s="1"/>
  <c r="AA125" i="58"/>
  <c r="AA293" i="57"/>
  <c r="AG293" i="57" s="1"/>
  <c r="AA302" i="57"/>
  <c r="AG302" i="57" s="1"/>
  <c r="AA133" i="58"/>
  <c r="AA129" i="58"/>
  <c r="AA121" i="58"/>
  <c r="AA292" i="57"/>
  <c r="AG292" i="57" s="1"/>
  <c r="AA132" i="58"/>
  <c r="AA304" i="57"/>
  <c r="AG304" i="57" s="1"/>
  <c r="AA128" i="58"/>
  <c r="AA303" i="57"/>
  <c r="AG303" i="57" s="1"/>
  <c r="AA124" i="58"/>
  <c r="AA298" i="57"/>
  <c r="AG298" i="57" s="1"/>
  <c r="AA305" i="57"/>
  <c r="AG305" i="57" s="1"/>
  <c r="AJ14" i="64"/>
  <c r="AJ8" i="64"/>
  <c r="AJ26" i="64"/>
  <c r="AJ9" i="64"/>
  <c r="K11" i="70"/>
  <c r="M11" i="70" s="1"/>
  <c r="K7" i="70"/>
  <c r="K9" i="70"/>
  <c r="AJ30" i="64"/>
  <c r="AA105" i="58"/>
  <c r="AA101" i="58"/>
  <c r="AA97" i="58"/>
  <c r="AA93" i="58"/>
  <c r="AA265" i="57"/>
  <c r="AG265" i="57" s="1"/>
  <c r="AA264" i="57"/>
  <c r="AG264" i="57" s="1"/>
  <c r="AA274" i="57"/>
  <c r="AG274" i="57" s="1"/>
  <c r="AA103" i="58"/>
  <c r="AA99" i="58"/>
  <c r="AA95" i="58"/>
  <c r="AA273" i="57"/>
  <c r="AG273" i="57" s="1"/>
  <c r="AA272" i="57"/>
  <c r="AG272" i="57" s="1"/>
  <c r="AA271" i="57"/>
  <c r="AG271" i="57" s="1"/>
  <c r="AA266" i="57"/>
  <c r="AG266" i="57" s="1"/>
  <c r="AA102" i="58"/>
  <c r="AA94" i="58"/>
  <c r="AA268" i="57"/>
  <c r="AG268" i="57" s="1"/>
  <c r="AJ12" i="64"/>
  <c r="AA100" i="58"/>
  <c r="AA277" i="57"/>
  <c r="AG277" i="57" s="1"/>
  <c r="AA275" i="57"/>
  <c r="AG275" i="57" s="1"/>
  <c r="AA104" i="58"/>
  <c r="AA276" i="57"/>
  <c r="AG276" i="57" s="1"/>
  <c r="AA106" i="58"/>
  <c r="AA98" i="58"/>
  <c r="AA269" i="57"/>
  <c r="AG269" i="57" s="1"/>
  <c r="AA267" i="57"/>
  <c r="AG267" i="57" s="1"/>
  <c r="AA96" i="58"/>
  <c r="AA270" i="57"/>
  <c r="AG270" i="57" s="1"/>
  <c r="AJ16" i="64"/>
  <c r="AJ23" i="64"/>
  <c r="AJ21" i="64"/>
  <c r="AA175" i="58"/>
  <c r="AA168" i="58"/>
  <c r="AA178" i="58"/>
  <c r="AA176" i="58"/>
  <c r="AA177" i="58"/>
  <c r="AA172" i="58"/>
  <c r="AA416" i="57"/>
  <c r="AA409" i="57"/>
  <c r="AA393" i="57"/>
  <c r="AA377" i="57"/>
  <c r="AA361" i="57"/>
  <c r="AA417" i="57"/>
  <c r="AA400" i="57"/>
  <c r="AA384" i="57"/>
  <c r="AA368" i="57"/>
  <c r="AA352" i="57"/>
  <c r="AA411" i="57"/>
  <c r="AA395" i="57"/>
  <c r="AA379" i="57"/>
  <c r="AA363" i="57"/>
  <c r="AA419" i="57"/>
  <c r="AA354" i="57"/>
  <c r="AA366" i="57"/>
  <c r="AA394" i="57"/>
  <c r="AA406" i="57"/>
  <c r="AA427" i="57"/>
  <c r="AG427" i="57" s="1"/>
  <c r="AA167" i="58"/>
  <c r="AA428" i="57"/>
  <c r="AG428" i="57" s="1"/>
  <c r="AA170" i="58"/>
  <c r="AA425" i="57"/>
  <c r="AG425" i="57" s="1"/>
  <c r="AA169" i="58"/>
  <c r="AA418" i="57"/>
  <c r="AA401" i="57"/>
  <c r="AA385" i="57"/>
  <c r="AA369" i="57"/>
  <c r="AA353" i="57"/>
  <c r="AA408" i="57"/>
  <c r="AA392" i="57"/>
  <c r="AA376" i="57"/>
  <c r="AA360" i="57"/>
  <c r="AA403" i="57"/>
  <c r="AA387" i="57"/>
  <c r="AA371" i="57"/>
  <c r="AA355" i="57"/>
  <c r="AA386" i="57"/>
  <c r="AA398" i="57"/>
  <c r="AA362" i="57"/>
  <c r="AA374" i="57"/>
  <c r="AJ39" i="64"/>
  <c r="AA426" i="57"/>
  <c r="AG426" i="57" s="1"/>
  <c r="AA430" i="57"/>
  <c r="AG430" i="57" s="1"/>
  <c r="AA422" i="57"/>
  <c r="AG422" i="57" s="1"/>
  <c r="AA420" i="57"/>
  <c r="AA397" i="57"/>
  <c r="AA365" i="57"/>
  <c r="AA404" i="57"/>
  <c r="AA372" i="57"/>
  <c r="AA415" i="57"/>
  <c r="AA383" i="57"/>
  <c r="AA351" i="57"/>
  <c r="AA382" i="57"/>
  <c r="AA359" i="57"/>
  <c r="AA431" i="57"/>
  <c r="AG431" i="57" s="1"/>
  <c r="AA432" i="57"/>
  <c r="AG432" i="57" s="1"/>
  <c r="AA429" i="57"/>
  <c r="AG429" i="57" s="1"/>
  <c r="AA389" i="57"/>
  <c r="AA357" i="57"/>
  <c r="AA396" i="57"/>
  <c r="AA364" i="57"/>
  <c r="AA407" i="57"/>
  <c r="AA375" i="57"/>
  <c r="AA402" i="57"/>
  <c r="AA350" i="57"/>
  <c r="AA390" i="57"/>
  <c r="AA174" i="58"/>
  <c r="AA412" i="57"/>
  <c r="AA378" i="57"/>
  <c r="AA423" i="57"/>
  <c r="AG423" i="57" s="1"/>
  <c r="AA424" i="57"/>
  <c r="AG424" i="57" s="1"/>
  <c r="AA421" i="57"/>
  <c r="AG421" i="57" s="1"/>
  <c r="AA413" i="57"/>
  <c r="AA381" i="57"/>
  <c r="AA388" i="57"/>
  <c r="AA356" i="57"/>
  <c r="AA399" i="57"/>
  <c r="AA367" i="57"/>
  <c r="AA370" i="57"/>
  <c r="AA410" i="57"/>
  <c r="AA358" i="57"/>
  <c r="AA171" i="58"/>
  <c r="AA173" i="58"/>
  <c r="AA405" i="57"/>
  <c r="AA373" i="57"/>
  <c r="AA380" i="57"/>
  <c r="AA391" i="57"/>
  <c r="AA414" i="57"/>
  <c r="AJ22" i="64"/>
  <c r="AJ17" i="64"/>
  <c r="AJ29" i="64"/>
  <c r="AJ10" i="64"/>
  <c r="AJ41" i="64"/>
  <c r="AA439" i="57"/>
  <c r="AA433" i="57"/>
  <c r="AA435" i="57"/>
  <c r="AA444" i="57"/>
  <c r="AA434" i="57"/>
  <c r="AA442" i="57"/>
  <c r="AA437" i="57"/>
  <c r="AA440" i="57"/>
  <c r="AA443" i="57"/>
  <c r="AA436" i="57"/>
  <c r="AA438" i="57"/>
  <c r="AA441" i="57"/>
  <c r="AJ31" i="64"/>
  <c r="AJ42" i="64"/>
  <c r="AJ27" i="64"/>
  <c r="AA183" i="57"/>
  <c r="AA59" i="57"/>
  <c r="AA43" i="57"/>
  <c r="AA182" i="57"/>
  <c r="AA58" i="57"/>
  <c r="AA42" i="57"/>
  <c r="AA185" i="57"/>
  <c r="AA191" i="57"/>
  <c r="AA147" i="57"/>
  <c r="AA39" i="57"/>
  <c r="AA150" i="57"/>
  <c r="AA46" i="57"/>
  <c r="AA157" i="57"/>
  <c r="AA57" i="57"/>
  <c r="AA41" i="57"/>
  <c r="AA156" i="57"/>
  <c r="AA56" i="57"/>
  <c r="AA40" i="57"/>
  <c r="AA75" i="58"/>
  <c r="AA187" i="57"/>
  <c r="AA55" i="57"/>
  <c r="AA190" i="57"/>
  <c r="AA146" i="57"/>
  <c r="AA38" i="57"/>
  <c r="AA153" i="57"/>
  <c r="AA53" i="57"/>
  <c r="AA192" i="57"/>
  <c r="AA152" i="57"/>
  <c r="AA52" i="57"/>
  <c r="AA155" i="57"/>
  <c r="AA51" i="57"/>
  <c r="AA186" i="57"/>
  <c r="AA54" i="57"/>
  <c r="AA193" i="57"/>
  <c r="AA149" i="57"/>
  <c r="AA49" i="57"/>
  <c r="AA188" i="57"/>
  <c r="AA148" i="57"/>
  <c r="AA48" i="57"/>
  <c r="AA47" i="57"/>
  <c r="AA61" i="57"/>
  <c r="AA44" i="57"/>
  <c r="AA154" i="57"/>
  <c r="AA45" i="57"/>
  <c r="AA189" i="57"/>
  <c r="AA60" i="57"/>
  <c r="AA50" i="57"/>
  <c r="AA184" i="57"/>
  <c r="AA151" i="57"/>
  <c r="G9" i="62"/>
  <c r="I9" i="62" s="1"/>
  <c r="AA74" i="58"/>
  <c r="AA76" i="58"/>
  <c r="AJ6" i="64"/>
  <c r="AA220" i="57"/>
  <c r="AG220" i="57" s="1"/>
  <c r="AA218" i="57"/>
  <c r="AG218" i="57" s="1"/>
  <c r="AA219" i="57"/>
  <c r="AG219" i="57" s="1"/>
  <c r="G14" i="62"/>
  <c r="I14" i="62" s="1"/>
  <c r="AA146" i="58"/>
  <c r="AA142" i="58"/>
  <c r="AA138" i="58"/>
  <c r="AA317" i="57"/>
  <c r="AG317" i="57" s="1"/>
  <c r="AA312" i="57"/>
  <c r="AG312" i="57" s="1"/>
  <c r="AA311" i="57"/>
  <c r="AG311" i="57" s="1"/>
  <c r="AA314" i="57"/>
  <c r="AG314" i="57" s="1"/>
  <c r="AA147" i="58"/>
  <c r="AA141" i="58"/>
  <c r="AA136" i="58"/>
  <c r="AA316" i="57"/>
  <c r="AG316" i="57" s="1"/>
  <c r="AA307" i="57"/>
  <c r="AG307" i="57" s="1"/>
  <c r="AA143" i="58"/>
  <c r="AA145" i="58"/>
  <c r="AA140" i="58"/>
  <c r="AA135" i="58"/>
  <c r="AA308" i="57"/>
  <c r="AG308" i="57" s="1"/>
  <c r="AA306" i="57"/>
  <c r="AA144" i="58"/>
  <c r="AA139" i="58"/>
  <c r="AA313" i="57"/>
  <c r="AG313" i="57" s="1"/>
  <c r="AA319" i="57"/>
  <c r="AG319" i="57" s="1"/>
  <c r="AA318" i="57"/>
  <c r="AG318" i="57" s="1"/>
  <c r="AA148" i="58"/>
  <c r="AA309" i="57"/>
  <c r="AG309" i="57" s="1"/>
  <c r="AA315" i="57"/>
  <c r="AG315" i="57" s="1"/>
  <c r="AA137" i="58"/>
  <c r="AA310" i="57"/>
  <c r="AG310" i="57" s="1"/>
  <c r="AJ15" i="64"/>
  <c r="AJ5" i="64"/>
  <c r="G8" i="62"/>
  <c r="I8" i="62" s="1"/>
  <c r="G13" i="62"/>
  <c r="I13" i="62" s="1"/>
  <c r="AA234" i="57"/>
  <c r="AG234" i="57" s="1"/>
  <c r="AA233" i="57"/>
  <c r="AG233" i="57" s="1"/>
  <c r="AA235" i="57"/>
  <c r="AG235" i="57" s="1"/>
  <c r="AA91" i="58"/>
  <c r="AA90" i="58"/>
  <c r="AA89" i="58"/>
  <c r="AB44" i="54"/>
  <c r="AA215" i="57"/>
  <c r="AA211" i="57"/>
  <c r="AA207" i="57"/>
  <c r="AA179" i="57"/>
  <c r="AA175" i="57"/>
  <c r="AA171" i="57"/>
  <c r="AA107" i="57"/>
  <c r="AA103" i="57"/>
  <c r="AA99" i="57"/>
  <c r="AA95" i="57"/>
  <c r="AA91" i="57"/>
  <c r="AA87" i="57"/>
  <c r="AA214" i="57"/>
  <c r="AA210" i="57"/>
  <c r="AA206" i="57"/>
  <c r="AA178" i="57"/>
  <c r="AA174" i="57"/>
  <c r="AA170" i="57"/>
  <c r="AA106" i="57"/>
  <c r="AA102" i="57"/>
  <c r="AA98" i="57"/>
  <c r="AA94" i="57"/>
  <c r="AA90" i="57"/>
  <c r="AA86" i="57"/>
  <c r="AA217" i="57"/>
  <c r="AA213" i="57"/>
  <c r="AA209" i="57"/>
  <c r="AA181" i="57"/>
  <c r="AA177" i="57"/>
  <c r="AA173" i="57"/>
  <c r="AA109" i="57"/>
  <c r="AA105" i="57"/>
  <c r="AA101" i="57"/>
  <c r="AA97" i="57"/>
  <c r="AA93" i="57"/>
  <c r="AA89" i="57"/>
  <c r="AA216" i="57"/>
  <c r="AA212" i="57"/>
  <c r="AA208" i="57"/>
  <c r="AA180" i="57"/>
  <c r="AA176" i="57"/>
  <c r="AA172" i="57"/>
  <c r="AA108" i="57"/>
  <c r="AA104" i="57"/>
  <c r="AA100" i="57"/>
  <c r="AA96" i="57"/>
  <c r="AA92" i="57"/>
  <c r="AA88" i="57"/>
  <c r="AG347" i="57" l="1"/>
  <c r="L347" i="61"/>
  <c r="O347" i="61" s="1"/>
  <c r="AG263" i="57"/>
  <c r="L263" i="61"/>
  <c r="O263" i="61" s="1"/>
  <c r="L260" i="61"/>
  <c r="O260" i="61" s="1"/>
  <c r="AG260" i="57"/>
  <c r="AG242" i="57"/>
  <c r="L242" i="61"/>
  <c r="O242" i="61" s="1"/>
  <c r="L257" i="61"/>
  <c r="O257" i="61" s="1"/>
  <c r="AG257" i="57"/>
  <c r="L184" i="61"/>
  <c r="O184" i="61" s="1"/>
  <c r="AG184" i="57"/>
  <c r="L187" i="61"/>
  <c r="O187" i="61" s="1"/>
  <c r="AG187" i="57"/>
  <c r="AG435" i="57"/>
  <c r="L435" i="61"/>
  <c r="O435" i="61" s="1"/>
  <c r="L410" i="61"/>
  <c r="O410" i="61" s="1"/>
  <c r="AG410" i="57"/>
  <c r="AG402" i="57"/>
  <c r="L402" i="61"/>
  <c r="O402" i="61" s="1"/>
  <c r="AG351" i="57"/>
  <c r="L351" i="61"/>
  <c r="O351" i="61" s="1"/>
  <c r="L355" i="61"/>
  <c r="O355" i="61" s="1"/>
  <c r="AG355" i="57"/>
  <c r="AG394" i="57"/>
  <c r="L394" i="61"/>
  <c r="O394" i="61" s="1"/>
  <c r="L409" i="61"/>
  <c r="O409" i="61" s="1"/>
  <c r="AG409" i="57"/>
  <c r="L253" i="61"/>
  <c r="O253" i="61" s="1"/>
  <c r="AG253" i="57"/>
  <c r="AG252" i="57"/>
  <c r="L252" i="61"/>
  <c r="O252" i="61" s="1"/>
  <c r="AG258" i="57"/>
  <c r="L258" i="61"/>
  <c r="O258" i="61" s="1"/>
  <c r="L243" i="61"/>
  <c r="O243" i="61" s="1"/>
  <c r="AG243" i="57"/>
  <c r="AG52" i="57"/>
  <c r="L52" i="61"/>
  <c r="O52" i="61" s="1"/>
  <c r="AG413" i="57"/>
  <c r="L413" i="61"/>
  <c r="O413" i="61" s="1"/>
  <c r="AG378" i="57"/>
  <c r="L378" i="61"/>
  <c r="O378" i="61" s="1"/>
  <c r="AG364" i="57"/>
  <c r="L364" i="61"/>
  <c r="O364" i="61" s="1"/>
  <c r="AG382" i="57"/>
  <c r="L382" i="61"/>
  <c r="O382" i="61" s="1"/>
  <c r="AG420" i="57"/>
  <c r="L430" i="61"/>
  <c r="O430" i="61" s="1"/>
  <c r="L427" i="61"/>
  <c r="O427" i="61" s="1"/>
  <c r="L428" i="61"/>
  <c r="O428" i="61" s="1"/>
  <c r="L429" i="61"/>
  <c r="O429" i="61" s="1"/>
  <c r="L426" i="61"/>
  <c r="O426" i="61" s="1"/>
  <c r="L423" i="61"/>
  <c r="O423" i="61" s="1"/>
  <c r="L432" i="61"/>
  <c r="O432" i="61" s="1"/>
  <c r="L425" i="61"/>
  <c r="O425" i="61" s="1"/>
  <c r="L422" i="61"/>
  <c r="O422" i="61" s="1"/>
  <c r="L424" i="61"/>
  <c r="O424" i="61" s="1"/>
  <c r="L431" i="61"/>
  <c r="O431" i="61" s="1"/>
  <c r="L420" i="61"/>
  <c r="O420" i="61" s="1"/>
  <c r="L421" i="61"/>
  <c r="O421" i="61" s="1"/>
  <c r="L403" i="61"/>
  <c r="O403" i="61" s="1"/>
  <c r="AG403" i="57"/>
  <c r="AG400" i="57"/>
  <c r="L400" i="61"/>
  <c r="O400" i="61" s="1"/>
  <c r="AG45" i="57"/>
  <c r="L45" i="61"/>
  <c r="O45" i="61" s="1"/>
  <c r="L49" i="61"/>
  <c r="O49" i="61" s="1"/>
  <c r="AG49" i="57"/>
  <c r="L152" i="61"/>
  <c r="O152" i="61" s="1"/>
  <c r="AG152" i="57"/>
  <c r="AG156" i="57"/>
  <c r="L156" i="61"/>
  <c r="O156" i="61" s="1"/>
  <c r="AG191" i="57"/>
  <c r="L191" i="61"/>
  <c r="O191" i="61" s="1"/>
  <c r="L438" i="61"/>
  <c r="O438" i="61" s="1"/>
  <c r="AG438" i="57"/>
  <c r="L405" i="61"/>
  <c r="O405" i="61" s="1"/>
  <c r="AG405" i="57"/>
  <c r="AG404" i="57"/>
  <c r="L404" i="61"/>
  <c r="O404" i="61" s="1"/>
  <c r="L374" i="61"/>
  <c r="O374" i="61" s="1"/>
  <c r="AG374" i="57"/>
  <c r="AG353" i="57"/>
  <c r="L353" i="61"/>
  <c r="O353" i="61" s="1"/>
  <c r="AG363" i="57"/>
  <c r="L363" i="61"/>
  <c r="O363" i="61" s="1"/>
  <c r="L417" i="61"/>
  <c r="O417" i="61" s="1"/>
  <c r="AG417" i="57"/>
  <c r="M7" i="70"/>
  <c r="M13" i="70" s="1"/>
  <c r="K13" i="70"/>
  <c r="AG349" i="57"/>
  <c r="L349" i="61"/>
  <c r="O349" i="61" s="1"/>
  <c r="AC10" i="61"/>
  <c r="AP4" i="57"/>
  <c r="AQ4" i="57" s="1"/>
  <c r="AG338" i="57"/>
  <c r="L338" i="61"/>
  <c r="AG339" i="57"/>
  <c r="L339" i="61"/>
  <c r="O339" i="61" s="1"/>
  <c r="AG261" i="57"/>
  <c r="L261" i="61"/>
  <c r="O261" i="61" s="1"/>
  <c r="AG236" i="57"/>
  <c r="L331" i="61"/>
  <c r="O331" i="61" s="1"/>
  <c r="L323" i="61"/>
  <c r="O323" i="61" s="1"/>
  <c r="L330" i="61"/>
  <c r="O330" i="61" s="1"/>
  <c r="L322" i="61"/>
  <c r="O322" i="61" s="1"/>
  <c r="L336" i="61"/>
  <c r="O336" i="61" s="1"/>
  <c r="L329" i="61"/>
  <c r="O329" i="61" s="1"/>
  <c r="L321" i="61"/>
  <c r="O321" i="61" s="1"/>
  <c r="L328" i="61"/>
  <c r="O328" i="61" s="1"/>
  <c r="L320" i="61"/>
  <c r="L334" i="61"/>
  <c r="O334" i="61" s="1"/>
  <c r="L327" i="61"/>
  <c r="O327" i="61" s="1"/>
  <c r="L337" i="61"/>
  <c r="O337" i="61" s="1"/>
  <c r="L326" i="61"/>
  <c r="O326" i="61" s="1"/>
  <c r="L236" i="61"/>
  <c r="L332" i="61"/>
  <c r="O332" i="61" s="1"/>
  <c r="L335" i="61"/>
  <c r="O335" i="61" s="1"/>
  <c r="L325" i="61"/>
  <c r="O325" i="61" s="1"/>
  <c r="L333" i="61"/>
  <c r="O333" i="61" s="1"/>
  <c r="L324" i="61"/>
  <c r="O324" i="61" s="1"/>
  <c r="L50" i="61"/>
  <c r="O50" i="61" s="1"/>
  <c r="AG50" i="57"/>
  <c r="AG51" i="57"/>
  <c r="L51" i="61"/>
  <c r="O51" i="61" s="1"/>
  <c r="AG150" i="57"/>
  <c r="L150" i="61"/>
  <c r="O150" i="61" s="1"/>
  <c r="L43" i="61"/>
  <c r="O43" i="61" s="1"/>
  <c r="AG43" i="57"/>
  <c r="AG442" i="57"/>
  <c r="L442" i="61"/>
  <c r="O442" i="61" s="1"/>
  <c r="L391" i="61"/>
  <c r="O391" i="61" s="1"/>
  <c r="AG391" i="57"/>
  <c r="L370" i="61"/>
  <c r="O370" i="61" s="1"/>
  <c r="AG370" i="57"/>
  <c r="L388" i="61"/>
  <c r="O388" i="61" s="1"/>
  <c r="AG388" i="57"/>
  <c r="AG375" i="57"/>
  <c r="L375" i="61"/>
  <c r="O375" i="61" s="1"/>
  <c r="AG357" i="57"/>
  <c r="L357" i="61"/>
  <c r="O357" i="61" s="1"/>
  <c r="AG383" i="57"/>
  <c r="L383" i="61"/>
  <c r="O383" i="61" s="1"/>
  <c r="AG365" i="57"/>
  <c r="L365" i="61"/>
  <c r="O365" i="61" s="1"/>
  <c r="AG362" i="57"/>
  <c r="L362" i="61"/>
  <c r="O362" i="61" s="1"/>
  <c r="AG371" i="57"/>
  <c r="L371" i="61"/>
  <c r="O371" i="61" s="1"/>
  <c r="AG376" i="57"/>
  <c r="L376" i="61"/>
  <c r="O376" i="61" s="1"/>
  <c r="AG369" i="57"/>
  <c r="L369" i="61"/>
  <c r="O369" i="61" s="1"/>
  <c r="AG366" i="57"/>
  <c r="L366" i="61"/>
  <c r="O366" i="61" s="1"/>
  <c r="AG379" i="57"/>
  <c r="L379" i="61"/>
  <c r="O379" i="61" s="1"/>
  <c r="AG368" i="57"/>
  <c r="L368" i="61"/>
  <c r="O368" i="61" s="1"/>
  <c r="L361" i="61"/>
  <c r="O361" i="61" s="1"/>
  <c r="AG361" i="57"/>
  <c r="AG416" i="57"/>
  <c r="L416" i="61"/>
  <c r="O416" i="61" s="1"/>
  <c r="AG250" i="57"/>
  <c r="L250" i="61"/>
  <c r="O250" i="61" s="1"/>
  <c r="L255" i="61"/>
  <c r="O255" i="61" s="1"/>
  <c r="AG255" i="57"/>
  <c r="L245" i="61"/>
  <c r="O245" i="61" s="1"/>
  <c r="AG245" i="57"/>
  <c r="AG262" i="57"/>
  <c r="L262" i="61"/>
  <c r="O262" i="61" s="1"/>
  <c r="AG248" i="57"/>
  <c r="L248" i="61"/>
  <c r="O248" i="61" s="1"/>
  <c r="AG244" i="57"/>
  <c r="L244" i="61"/>
  <c r="O244" i="61" s="1"/>
  <c r="L259" i="61"/>
  <c r="O259" i="61" s="1"/>
  <c r="AG259" i="57"/>
  <c r="AG342" i="57"/>
  <c r="L342" i="61"/>
  <c r="O342" i="61" s="1"/>
  <c r="L343" i="61"/>
  <c r="O343" i="61" s="1"/>
  <c r="AG343" i="57"/>
  <c r="L319" i="61"/>
  <c r="O319" i="61" s="1"/>
  <c r="L311" i="61"/>
  <c r="O311" i="61" s="1"/>
  <c r="L303" i="61"/>
  <c r="O303" i="61" s="1"/>
  <c r="L295" i="61"/>
  <c r="O295" i="61" s="1"/>
  <c r="L287" i="61"/>
  <c r="O287" i="61" s="1"/>
  <c r="L279" i="61"/>
  <c r="O279" i="61" s="1"/>
  <c r="L271" i="61"/>
  <c r="O271" i="61" s="1"/>
  <c r="L316" i="61"/>
  <c r="O316" i="61" s="1"/>
  <c r="L300" i="61"/>
  <c r="O300" i="61" s="1"/>
  <c r="L284" i="61"/>
  <c r="O284" i="61" s="1"/>
  <c r="L268" i="61"/>
  <c r="O268" i="61" s="1"/>
  <c r="L282" i="61"/>
  <c r="O282" i="61" s="1"/>
  <c r="L310" i="61"/>
  <c r="O310" i="61" s="1"/>
  <c r="L278" i="61"/>
  <c r="O278" i="61" s="1"/>
  <c r="L317" i="61"/>
  <c r="O317" i="61" s="1"/>
  <c r="L309" i="61"/>
  <c r="O309" i="61" s="1"/>
  <c r="L301" i="61"/>
  <c r="O301" i="61" s="1"/>
  <c r="L293" i="61"/>
  <c r="O293" i="61" s="1"/>
  <c r="L285" i="61"/>
  <c r="O285" i="61" s="1"/>
  <c r="L277" i="61"/>
  <c r="O277" i="61" s="1"/>
  <c r="L269" i="61"/>
  <c r="O269" i="61" s="1"/>
  <c r="L312" i="61"/>
  <c r="O312" i="61" s="1"/>
  <c r="L296" i="61"/>
  <c r="O296" i="61" s="1"/>
  <c r="L280" i="61"/>
  <c r="O280" i="61" s="1"/>
  <c r="L264" i="61"/>
  <c r="O264" i="61" s="1"/>
  <c r="L266" i="61"/>
  <c r="O266" i="61" s="1"/>
  <c r="L302" i="61"/>
  <c r="O302" i="61" s="1"/>
  <c r="L286" i="61"/>
  <c r="O286" i="61" s="1"/>
  <c r="L315" i="61"/>
  <c r="O315" i="61" s="1"/>
  <c r="L307" i="61"/>
  <c r="O307" i="61" s="1"/>
  <c r="L299" i="61"/>
  <c r="O299" i="61" s="1"/>
  <c r="L291" i="61"/>
  <c r="O291" i="61" s="1"/>
  <c r="L283" i="61"/>
  <c r="O283" i="61" s="1"/>
  <c r="L275" i="61"/>
  <c r="O275" i="61" s="1"/>
  <c r="L267" i="61"/>
  <c r="O267" i="61" s="1"/>
  <c r="L308" i="61"/>
  <c r="O308" i="61" s="1"/>
  <c r="L292" i="61"/>
  <c r="O292" i="61" s="1"/>
  <c r="L276" i="61"/>
  <c r="O276" i="61" s="1"/>
  <c r="L314" i="61"/>
  <c r="O314" i="61" s="1"/>
  <c r="L318" i="61"/>
  <c r="O318" i="61" s="1"/>
  <c r="L274" i="61"/>
  <c r="O274" i="61" s="1"/>
  <c r="L270" i="61"/>
  <c r="O270" i="61" s="1"/>
  <c r="L313" i="61"/>
  <c r="O313" i="61" s="1"/>
  <c r="L281" i="61"/>
  <c r="O281" i="61" s="1"/>
  <c r="L288" i="61"/>
  <c r="O288" i="61" s="1"/>
  <c r="L306" i="61"/>
  <c r="O306" i="61" s="1"/>
  <c r="AG306" i="57"/>
  <c r="L290" i="61"/>
  <c r="O290" i="61" s="1"/>
  <c r="L305" i="61"/>
  <c r="O305" i="61" s="1"/>
  <c r="L273" i="61"/>
  <c r="O273" i="61" s="1"/>
  <c r="L272" i="61"/>
  <c r="O272" i="61" s="1"/>
  <c r="L294" i="61"/>
  <c r="O294" i="61" s="1"/>
  <c r="L265" i="61"/>
  <c r="O265" i="61" s="1"/>
  <c r="L289" i="61"/>
  <c r="O289" i="61" s="1"/>
  <c r="L297" i="61"/>
  <c r="O297" i="61" s="1"/>
  <c r="L298" i="61"/>
  <c r="O298" i="61" s="1"/>
  <c r="L304" i="61"/>
  <c r="O304" i="61" s="1"/>
  <c r="L151" i="61"/>
  <c r="O151" i="61" s="1"/>
  <c r="AG151" i="57"/>
  <c r="L189" i="61"/>
  <c r="O189" i="61" s="1"/>
  <c r="AG189" i="57"/>
  <c r="L61" i="61"/>
  <c r="O61" i="61" s="1"/>
  <c r="AG61" i="57"/>
  <c r="L188" i="61"/>
  <c r="O188" i="61" s="1"/>
  <c r="AG188" i="57"/>
  <c r="AG54" i="57"/>
  <c r="L54" i="61"/>
  <c r="O54" i="61" s="1"/>
  <c r="AG153" i="57"/>
  <c r="L153" i="61"/>
  <c r="O153" i="61" s="1"/>
  <c r="L55" i="61"/>
  <c r="O55" i="61" s="1"/>
  <c r="AG55" i="57"/>
  <c r="AG56" i="57"/>
  <c r="L56" i="61"/>
  <c r="O56" i="61" s="1"/>
  <c r="AG157" i="57"/>
  <c r="L157" i="61"/>
  <c r="O157" i="61" s="1"/>
  <c r="L147" i="61"/>
  <c r="O147" i="61" s="1"/>
  <c r="AG147" i="57"/>
  <c r="AG58" i="57"/>
  <c r="L58" i="61"/>
  <c r="O58" i="61" s="1"/>
  <c r="L183" i="61"/>
  <c r="O183" i="61" s="1"/>
  <c r="AG183" i="57"/>
  <c r="AG441" i="57"/>
  <c r="L441" i="61"/>
  <c r="O441" i="61" s="1"/>
  <c r="AG440" i="57"/>
  <c r="L440" i="61"/>
  <c r="O440" i="61" s="1"/>
  <c r="AG444" i="57"/>
  <c r="L444" i="61"/>
  <c r="O444" i="61" s="1"/>
  <c r="L373" i="61"/>
  <c r="O373" i="61" s="1"/>
  <c r="AG373" i="57"/>
  <c r="AG358" i="57"/>
  <c r="L358" i="61"/>
  <c r="O358" i="61" s="1"/>
  <c r="L399" i="61"/>
  <c r="O399" i="61" s="1"/>
  <c r="AG399" i="57"/>
  <c r="AG350" i="57"/>
  <c r="L350" i="61"/>
  <c r="O350" i="61" s="1"/>
  <c r="L372" i="61"/>
  <c r="O372" i="61" s="1"/>
  <c r="AG372" i="57"/>
  <c r="AG386" i="57"/>
  <c r="L386" i="61"/>
  <c r="O386" i="61" s="1"/>
  <c r="L408" i="61"/>
  <c r="O408" i="61" s="1"/>
  <c r="AG408" i="57"/>
  <c r="AG401" i="57"/>
  <c r="L401" i="61"/>
  <c r="O401" i="61" s="1"/>
  <c r="AG406" i="57"/>
  <c r="L406" i="61"/>
  <c r="O406" i="61" s="1"/>
  <c r="AG419" i="57"/>
  <c r="L419" i="61"/>
  <c r="O419" i="61" s="1"/>
  <c r="AG411" i="57"/>
  <c r="L411" i="61"/>
  <c r="O411" i="61" s="1"/>
  <c r="L393" i="61"/>
  <c r="O393" i="61" s="1"/>
  <c r="AG393" i="57"/>
  <c r="K15" i="70"/>
  <c r="K14" i="70"/>
  <c r="M9" i="70"/>
  <c r="L348" i="61"/>
  <c r="O348" i="61" s="1"/>
  <c r="AG348" i="57"/>
  <c r="L340" i="61"/>
  <c r="O340" i="61" s="1"/>
  <c r="AG340" i="57"/>
  <c r="L238" i="61"/>
  <c r="O238" i="61" s="1"/>
  <c r="AG238" i="57"/>
  <c r="AG239" i="57"/>
  <c r="L239" i="61"/>
  <c r="O239" i="61" s="1"/>
  <c r="AG254" i="57"/>
  <c r="L254" i="61"/>
  <c r="O254" i="61" s="1"/>
  <c r="L345" i="61"/>
  <c r="O345" i="61" s="1"/>
  <c r="AG345" i="57"/>
  <c r="AG47" i="57"/>
  <c r="L47" i="61"/>
  <c r="O47" i="61" s="1"/>
  <c r="AG186" i="57"/>
  <c r="L186" i="61"/>
  <c r="O186" i="61" s="1"/>
  <c r="L38" i="61"/>
  <c r="O38" i="61" s="1"/>
  <c r="AG38" i="57"/>
  <c r="AG46" i="57"/>
  <c r="L46" i="61"/>
  <c r="O46" i="61" s="1"/>
  <c r="L182" i="61"/>
  <c r="O182" i="61" s="1"/>
  <c r="AG182" i="57"/>
  <c r="AG437" i="57"/>
  <c r="L437" i="61"/>
  <c r="O437" i="61" s="1"/>
  <c r="L414" i="61"/>
  <c r="O414" i="61" s="1"/>
  <c r="AG414" i="57"/>
  <c r="L356" i="61"/>
  <c r="O356" i="61" s="1"/>
  <c r="AG356" i="57"/>
  <c r="AG412" i="57"/>
  <c r="L412" i="61"/>
  <c r="O412" i="61" s="1"/>
  <c r="AG396" i="57"/>
  <c r="L396" i="61"/>
  <c r="O396" i="61" s="1"/>
  <c r="AG360" i="57"/>
  <c r="L360" i="61"/>
  <c r="O360" i="61" s="1"/>
  <c r="AG418" i="57"/>
  <c r="L418" i="61"/>
  <c r="O418" i="61" s="1"/>
  <c r="L352" i="61"/>
  <c r="O352" i="61" s="1"/>
  <c r="AG352" i="57"/>
  <c r="AG154" i="57"/>
  <c r="L154" i="61"/>
  <c r="O154" i="61" s="1"/>
  <c r="L48" i="61"/>
  <c r="O48" i="61" s="1"/>
  <c r="AG48" i="57"/>
  <c r="AG149" i="57"/>
  <c r="L149" i="61"/>
  <c r="O149" i="61" s="1"/>
  <c r="AG192" i="57"/>
  <c r="L192" i="61"/>
  <c r="O192" i="61" s="1"/>
  <c r="L146" i="61"/>
  <c r="O146" i="61" s="1"/>
  <c r="AG146" i="57"/>
  <c r="AG41" i="57"/>
  <c r="L41" i="61"/>
  <c r="O41" i="61" s="1"/>
  <c r="AG185" i="57"/>
  <c r="L185" i="61"/>
  <c r="O185" i="61" s="1"/>
  <c r="AG436" i="57"/>
  <c r="L436" i="61"/>
  <c r="O436" i="61" s="1"/>
  <c r="AG433" i="57"/>
  <c r="L433" i="61"/>
  <c r="AG60" i="57"/>
  <c r="L60" i="61"/>
  <c r="O60" i="61" s="1"/>
  <c r="AG44" i="57"/>
  <c r="L44" i="61"/>
  <c r="O44" i="61" s="1"/>
  <c r="AG148" i="57"/>
  <c r="L148" i="61"/>
  <c r="O148" i="61" s="1"/>
  <c r="L219" i="61"/>
  <c r="O219" i="61" s="1"/>
  <c r="AG193" i="57"/>
  <c r="L220" i="61"/>
  <c r="O220" i="61" s="1"/>
  <c r="L218" i="61"/>
  <c r="O218" i="61" s="1"/>
  <c r="L193" i="61"/>
  <c r="O193" i="61" s="1"/>
  <c r="AG155" i="57"/>
  <c r="L155" i="61"/>
  <c r="O155" i="61" s="1"/>
  <c r="AG53" i="57"/>
  <c r="L53" i="61"/>
  <c r="O53" i="61" s="1"/>
  <c r="L190" i="61"/>
  <c r="O190" i="61" s="1"/>
  <c r="AG190" i="57"/>
  <c r="AG40" i="57"/>
  <c r="L40" i="61"/>
  <c r="O40" i="61" s="1"/>
  <c r="AG57" i="57"/>
  <c r="L57" i="61"/>
  <c r="O57" i="61" s="1"/>
  <c r="AG39" i="57"/>
  <c r="L39" i="61"/>
  <c r="O39" i="61" s="1"/>
  <c r="L42" i="61"/>
  <c r="O42" i="61" s="1"/>
  <c r="AG42" i="57"/>
  <c r="AG59" i="57"/>
  <c r="L59" i="61"/>
  <c r="O59" i="61" s="1"/>
  <c r="L443" i="61"/>
  <c r="O443" i="61" s="1"/>
  <c r="AG443" i="57"/>
  <c r="AG434" i="57"/>
  <c r="L434" i="61"/>
  <c r="O434" i="61" s="1"/>
  <c r="L439" i="61"/>
  <c r="O439" i="61" s="1"/>
  <c r="AG439" i="57"/>
  <c r="AG380" i="57"/>
  <c r="L380" i="61"/>
  <c r="O380" i="61" s="1"/>
  <c r="L367" i="61"/>
  <c r="O367" i="61" s="1"/>
  <c r="AG367" i="57"/>
  <c r="AG381" i="57"/>
  <c r="L381" i="61"/>
  <c r="O381" i="61" s="1"/>
  <c r="AG390" i="57"/>
  <c r="L390" i="61"/>
  <c r="O390" i="61" s="1"/>
  <c r="AG407" i="57"/>
  <c r="L407" i="61"/>
  <c r="O407" i="61" s="1"/>
  <c r="AG389" i="57"/>
  <c r="L389" i="61"/>
  <c r="O389" i="61" s="1"/>
  <c r="AG359" i="57"/>
  <c r="L359" i="61"/>
  <c r="O359" i="61" s="1"/>
  <c r="AG415" i="57"/>
  <c r="L415" i="61"/>
  <c r="O415" i="61" s="1"/>
  <c r="L397" i="61"/>
  <c r="O397" i="61" s="1"/>
  <c r="AG397" i="57"/>
  <c r="L398" i="61"/>
  <c r="O398" i="61" s="1"/>
  <c r="AG398" i="57"/>
  <c r="L387" i="61"/>
  <c r="O387" i="61" s="1"/>
  <c r="AG387" i="57"/>
  <c r="AG392" i="57"/>
  <c r="L392" i="61"/>
  <c r="O392" i="61" s="1"/>
  <c r="AG385" i="57"/>
  <c r="L385" i="61"/>
  <c r="O385" i="61" s="1"/>
  <c r="AG354" i="57"/>
  <c r="L354" i="61"/>
  <c r="O354" i="61" s="1"/>
  <c r="AG395" i="57"/>
  <c r="L395" i="61"/>
  <c r="O395" i="61" s="1"/>
  <c r="L384" i="61"/>
  <c r="O384" i="61" s="1"/>
  <c r="AG384" i="57"/>
  <c r="AG377" i="57"/>
  <c r="L377" i="61"/>
  <c r="O377" i="61" s="1"/>
  <c r="AG346" i="57"/>
  <c r="L346" i="61"/>
  <c r="O346" i="61" s="1"/>
  <c r="AG341" i="57"/>
  <c r="L341" i="61"/>
  <c r="O341" i="61" s="1"/>
  <c r="L240" i="61"/>
  <c r="O240" i="61" s="1"/>
  <c r="AG240" i="57"/>
  <c r="AG246" i="57"/>
  <c r="L246" i="61"/>
  <c r="O246" i="61" s="1"/>
  <c r="AG237" i="57"/>
  <c r="L237" i="61"/>
  <c r="O237" i="61" s="1"/>
  <c r="AG247" i="57"/>
  <c r="L247" i="61"/>
  <c r="O247" i="61" s="1"/>
  <c r="AG251" i="57"/>
  <c r="L251" i="61"/>
  <c r="O251" i="61" s="1"/>
  <c r="AG249" i="57"/>
  <c r="L249" i="61"/>
  <c r="O249" i="61" s="1"/>
  <c r="L241" i="61"/>
  <c r="O241" i="61" s="1"/>
  <c r="AG241" i="57"/>
  <c r="L256" i="61"/>
  <c r="O256" i="61" s="1"/>
  <c r="AG256" i="57"/>
  <c r="L344" i="61"/>
  <c r="O344" i="61" s="1"/>
  <c r="AG344" i="57"/>
  <c r="D18" i="62"/>
  <c r="AG108" i="57"/>
  <c r="L108" i="61"/>
  <c r="O108" i="61" s="1"/>
  <c r="AG93" i="57"/>
  <c r="L93" i="61"/>
  <c r="O93" i="61" s="1"/>
  <c r="AG209" i="57"/>
  <c r="L209" i="61"/>
  <c r="O209" i="61" s="1"/>
  <c r="AG172" i="57"/>
  <c r="L172" i="61"/>
  <c r="O172" i="61" s="1"/>
  <c r="AG212" i="57"/>
  <c r="L212" i="61"/>
  <c r="O212" i="61" s="1"/>
  <c r="AG97" i="57"/>
  <c r="L97" i="61"/>
  <c r="O97" i="61" s="1"/>
  <c r="AG173" i="57"/>
  <c r="L173" i="61"/>
  <c r="O173" i="61" s="1"/>
  <c r="AG213" i="57"/>
  <c r="L213" i="61"/>
  <c r="O213" i="61" s="1"/>
  <c r="AG90" i="57"/>
  <c r="L90" i="61"/>
  <c r="O90" i="61" s="1"/>
  <c r="AG106" i="57"/>
  <c r="L106" i="61"/>
  <c r="O106" i="61" s="1"/>
  <c r="AG206" i="57"/>
  <c r="L206" i="61"/>
  <c r="O206" i="61" s="1"/>
  <c r="AG87" i="57"/>
  <c r="L87" i="61"/>
  <c r="O87" i="61" s="1"/>
  <c r="AG103" i="57"/>
  <c r="L103" i="61"/>
  <c r="O103" i="61" s="1"/>
  <c r="AG179" i="57"/>
  <c r="L179" i="61"/>
  <c r="O179" i="61" s="1"/>
  <c r="AG102" i="57"/>
  <c r="L102" i="61"/>
  <c r="O102" i="61" s="1"/>
  <c r="AG99" i="57"/>
  <c r="L99" i="61"/>
  <c r="O99" i="61" s="1"/>
  <c r="AG92" i="57"/>
  <c r="L92" i="61"/>
  <c r="O92" i="61" s="1"/>
  <c r="AG208" i="57"/>
  <c r="L208" i="61"/>
  <c r="O208" i="61" s="1"/>
  <c r="AG109" i="57"/>
  <c r="L109" i="61"/>
  <c r="O109" i="61" s="1"/>
  <c r="AG86" i="57"/>
  <c r="L86" i="61"/>
  <c r="AG178" i="57"/>
  <c r="L178" i="61"/>
  <c r="O178" i="61" s="1"/>
  <c r="AG175" i="57"/>
  <c r="L175" i="61"/>
  <c r="O175" i="61" s="1"/>
  <c r="AG215" i="57"/>
  <c r="L215" i="61"/>
  <c r="O215" i="61" s="1"/>
  <c r="AG96" i="57"/>
  <c r="L96" i="61"/>
  <c r="O96" i="61" s="1"/>
  <c r="AG100" i="57"/>
  <c r="L100" i="61"/>
  <c r="O100" i="61" s="1"/>
  <c r="AG176" i="57"/>
  <c r="L176" i="61"/>
  <c r="O176" i="61" s="1"/>
  <c r="AG216" i="57"/>
  <c r="L216" i="61"/>
  <c r="O216" i="61" s="1"/>
  <c r="AG101" i="57"/>
  <c r="L101" i="61"/>
  <c r="O101" i="61" s="1"/>
  <c r="AG177" i="57"/>
  <c r="L177" i="61"/>
  <c r="O177" i="61" s="1"/>
  <c r="AG217" i="57"/>
  <c r="L233" i="61"/>
  <c r="O233" i="61" s="1"/>
  <c r="L234" i="61"/>
  <c r="O234" i="61" s="1"/>
  <c r="L235" i="61"/>
  <c r="O235" i="61" s="1"/>
  <c r="L217" i="61"/>
  <c r="O217" i="61" s="1"/>
  <c r="AG94" i="57"/>
  <c r="L94" i="61"/>
  <c r="O94" i="61" s="1"/>
  <c r="AG170" i="57"/>
  <c r="L170" i="61"/>
  <c r="O170" i="61" s="1"/>
  <c r="AG210" i="57"/>
  <c r="L210" i="61"/>
  <c r="O210" i="61" s="1"/>
  <c r="AG91" i="57"/>
  <c r="L91" i="61"/>
  <c r="O91" i="61" s="1"/>
  <c r="AG107" i="57"/>
  <c r="L107" i="61"/>
  <c r="O107" i="61" s="1"/>
  <c r="AG207" i="57"/>
  <c r="L207" i="61"/>
  <c r="O207" i="61" s="1"/>
  <c r="AG88" i="57"/>
  <c r="L88" i="61"/>
  <c r="O88" i="61" s="1"/>
  <c r="AG104" i="57"/>
  <c r="L104" i="61"/>
  <c r="O104" i="61" s="1"/>
  <c r="AG180" i="57"/>
  <c r="L180" i="61"/>
  <c r="O180" i="61" s="1"/>
  <c r="AG89" i="57"/>
  <c r="L89" i="61"/>
  <c r="O89" i="61" s="1"/>
  <c r="AG105" i="57"/>
  <c r="L105" i="61"/>
  <c r="O105" i="61" s="1"/>
  <c r="AG181" i="57"/>
  <c r="L181" i="61"/>
  <c r="O181" i="61" s="1"/>
  <c r="AG98" i="57"/>
  <c r="L98" i="61"/>
  <c r="O98" i="61" s="1"/>
  <c r="AG174" i="57"/>
  <c r="L174" i="61"/>
  <c r="O174" i="61" s="1"/>
  <c r="AG214" i="57"/>
  <c r="L214" i="61"/>
  <c r="O214" i="61" s="1"/>
  <c r="AG95" i="57"/>
  <c r="L95" i="61"/>
  <c r="O95" i="61" s="1"/>
  <c r="AG171" i="57"/>
  <c r="L171" i="61"/>
  <c r="O171" i="61" s="1"/>
  <c r="AG211" i="57"/>
  <c r="L211" i="61"/>
  <c r="O211" i="61" s="1"/>
  <c r="AP2" i="57" l="1"/>
  <c r="T11" i="61"/>
  <c r="O338" i="61"/>
  <c r="W11" i="61" s="1"/>
  <c r="O236" i="61"/>
  <c r="W9" i="61" s="1"/>
  <c r="T9" i="61"/>
  <c r="AC11" i="61"/>
  <c r="AP5" i="57"/>
  <c r="AQ5" i="57" s="1"/>
  <c r="T12" i="61"/>
  <c r="O433" i="61"/>
  <c r="W12" i="61" s="1"/>
  <c r="M14" i="70"/>
  <c r="M15" i="70"/>
  <c r="O320" i="61"/>
  <c r="W10" i="61" s="1"/>
  <c r="T10" i="61"/>
  <c r="AC12" i="61"/>
  <c r="AP6" i="57"/>
  <c r="AQ6" i="57" s="1"/>
  <c r="AC9" i="61"/>
  <c r="AP3" i="57"/>
  <c r="AC7" i="61"/>
  <c r="O86" i="61"/>
  <c r="W7" i="61" s="1"/>
  <c r="T7" i="61"/>
  <c r="AP7" i="57"/>
  <c r="AQ2" i="57"/>
  <c r="Z10" i="61" l="1"/>
  <c r="AH10" i="61" s="1"/>
  <c r="Z9" i="61"/>
  <c r="AH9" i="61" s="1"/>
  <c r="Z12" i="61"/>
  <c r="AH12" i="61" s="1"/>
  <c r="AQ3" i="57"/>
  <c r="AP8" i="57"/>
  <c r="AQ8" i="57" s="1"/>
  <c r="Z11" i="61"/>
  <c r="AH11" i="61" s="1"/>
  <c r="Z7" i="61"/>
  <c r="AH7" i="61" s="1"/>
  <c r="AQ7" i="57"/>
  <c r="AP9" i="57"/>
  <c r="AQ9" i="57" s="1"/>
  <c r="J2" i="61"/>
  <c r="K2" i="61"/>
  <c r="M2" i="61"/>
  <c r="N2" i="61"/>
  <c r="J3" i="61"/>
  <c r="K3" i="61"/>
  <c r="M3" i="61"/>
  <c r="N3" i="61"/>
  <c r="J4" i="61"/>
  <c r="K4" i="61"/>
  <c r="M4" i="61"/>
  <c r="N4" i="61"/>
  <c r="J5" i="61"/>
  <c r="K5" i="61"/>
  <c r="M5" i="61"/>
  <c r="N5" i="61"/>
  <c r="J6" i="61"/>
  <c r="K6" i="61"/>
  <c r="M6" i="61"/>
  <c r="N6" i="61"/>
  <c r="J7" i="61"/>
  <c r="K7" i="61"/>
  <c r="M7" i="61"/>
  <c r="N7" i="61"/>
  <c r="R7" i="61"/>
  <c r="S7" i="61"/>
  <c r="U7" i="61"/>
  <c r="V7" i="61"/>
  <c r="X7" i="61"/>
  <c r="Y7" i="61"/>
  <c r="AA7" i="61"/>
  <c r="AB7" i="61"/>
  <c r="AD7" i="61"/>
  <c r="AE7" i="61"/>
  <c r="AF7" i="61"/>
  <c r="AG7" i="61"/>
  <c r="AI7" i="61"/>
  <c r="AJ7" i="61"/>
  <c r="J8" i="61"/>
  <c r="K8" i="61"/>
  <c r="M8" i="61"/>
  <c r="N8" i="61"/>
  <c r="J9" i="61"/>
  <c r="K9" i="61"/>
  <c r="M9" i="61"/>
  <c r="N9" i="61"/>
  <c r="S9" i="61"/>
  <c r="V9" i="61"/>
  <c r="Y9" i="61"/>
  <c r="AB9" i="61"/>
  <c r="AE9" i="61"/>
  <c r="AG9" i="61"/>
  <c r="AJ9" i="61"/>
  <c r="J10" i="61"/>
  <c r="K10" i="61"/>
  <c r="M10" i="61"/>
  <c r="N10" i="61"/>
  <c r="S10" i="61"/>
  <c r="V10" i="61"/>
  <c r="Y10" i="61"/>
  <c r="AB10" i="61"/>
  <c r="AE10" i="61"/>
  <c r="AG10" i="61"/>
  <c r="AJ10" i="61"/>
  <c r="J11" i="61"/>
  <c r="K11" i="61"/>
  <c r="M11" i="61"/>
  <c r="N11" i="61"/>
  <c r="S11" i="61"/>
  <c r="V11" i="61"/>
  <c r="Y11" i="61"/>
  <c r="AB11" i="61"/>
  <c r="AE11" i="61"/>
  <c r="AG11" i="61"/>
  <c r="AJ11" i="61"/>
  <c r="J12" i="61"/>
  <c r="K12" i="61"/>
  <c r="M12" i="61"/>
  <c r="N12" i="61"/>
  <c r="S12" i="61"/>
  <c r="V12" i="61"/>
  <c r="Y12" i="61"/>
  <c r="AB12" i="61"/>
  <c r="AG12" i="61"/>
  <c r="AJ12" i="61"/>
  <c r="J13" i="61"/>
  <c r="K13" i="61"/>
  <c r="M13" i="61"/>
  <c r="N13" i="61"/>
  <c r="K14" i="61"/>
  <c r="N14" i="61"/>
  <c r="K15" i="61"/>
  <c r="N15" i="61"/>
  <c r="K16" i="61"/>
  <c r="N16" i="61"/>
  <c r="K17" i="61"/>
  <c r="N17" i="61"/>
  <c r="K18" i="61"/>
  <c r="N18" i="61"/>
  <c r="K19" i="61"/>
  <c r="N19" i="61"/>
  <c r="K20" i="61"/>
  <c r="N20" i="61"/>
  <c r="K21" i="61"/>
  <c r="N21" i="61"/>
  <c r="K22" i="61"/>
  <c r="N22" i="61"/>
  <c r="K23" i="61"/>
  <c r="N23" i="61"/>
  <c r="K24" i="61"/>
  <c r="N24" i="61"/>
  <c r="K25" i="61"/>
  <c r="N25" i="61"/>
  <c r="J26" i="61"/>
  <c r="K26" i="61"/>
  <c r="M26" i="61"/>
  <c r="N26" i="61"/>
  <c r="J27" i="61"/>
  <c r="K27" i="61"/>
  <c r="M27" i="61"/>
  <c r="N27" i="61"/>
  <c r="J28" i="61"/>
  <c r="K28" i="61"/>
  <c r="M28" i="61"/>
  <c r="N28" i="61"/>
  <c r="J29" i="61"/>
  <c r="K29" i="61"/>
  <c r="M29" i="61"/>
  <c r="N29" i="61"/>
  <c r="J30" i="61"/>
  <c r="K30" i="61"/>
  <c r="M30" i="61"/>
  <c r="N30" i="61"/>
  <c r="J31" i="61"/>
  <c r="K31" i="61"/>
  <c r="M31" i="61"/>
  <c r="N31" i="61"/>
  <c r="J32" i="61"/>
  <c r="K32" i="61"/>
  <c r="M32" i="61"/>
  <c r="N32" i="61"/>
  <c r="J33" i="61"/>
  <c r="K33" i="61"/>
  <c r="M33" i="61"/>
  <c r="N33" i="61"/>
  <c r="J34" i="61"/>
  <c r="K34" i="61"/>
  <c r="M34" i="61"/>
  <c r="N34" i="61"/>
  <c r="J35" i="61"/>
  <c r="K35" i="61"/>
  <c r="M35" i="61"/>
  <c r="N35" i="61"/>
  <c r="J36" i="61"/>
  <c r="K36" i="61"/>
  <c r="M36" i="61"/>
  <c r="N36" i="61"/>
  <c r="J37" i="61"/>
  <c r="K37" i="61"/>
  <c r="M37" i="61"/>
  <c r="N37" i="61"/>
  <c r="K38" i="61"/>
  <c r="N38" i="61"/>
  <c r="K39" i="61"/>
  <c r="N39" i="61"/>
  <c r="K40" i="61"/>
  <c r="N40" i="61"/>
  <c r="K41" i="61"/>
  <c r="N41" i="61"/>
  <c r="K42" i="61"/>
  <c r="N42" i="61"/>
  <c r="K43" i="61"/>
  <c r="N43" i="61"/>
  <c r="K44" i="61"/>
  <c r="N44" i="61"/>
  <c r="K45" i="61"/>
  <c r="N45" i="61"/>
  <c r="K46" i="61"/>
  <c r="N46" i="61"/>
  <c r="K47" i="61"/>
  <c r="N47" i="61"/>
  <c r="K48" i="61"/>
  <c r="N48" i="61"/>
  <c r="K49" i="61"/>
  <c r="N49" i="61"/>
  <c r="K50" i="61"/>
  <c r="N50" i="61"/>
  <c r="K51" i="61"/>
  <c r="N51" i="61"/>
  <c r="K52" i="61"/>
  <c r="N52" i="61"/>
  <c r="K53" i="61"/>
  <c r="N53" i="61"/>
  <c r="K54" i="61"/>
  <c r="N54" i="61"/>
  <c r="K55" i="61"/>
  <c r="N55" i="61"/>
  <c r="K56" i="61"/>
  <c r="N56" i="61"/>
  <c r="K57" i="61"/>
  <c r="N57" i="61"/>
  <c r="K58" i="61"/>
  <c r="N58" i="61"/>
  <c r="K59" i="61"/>
  <c r="N59" i="61"/>
  <c r="K60" i="61"/>
  <c r="N60" i="61"/>
  <c r="K61" i="61"/>
  <c r="N61" i="61"/>
  <c r="J62" i="61"/>
  <c r="M62" i="61"/>
  <c r="J63" i="61"/>
  <c r="M63" i="61"/>
  <c r="J64" i="61"/>
  <c r="M64" i="61"/>
  <c r="J65" i="61"/>
  <c r="M65" i="61"/>
  <c r="J66" i="61"/>
  <c r="M66" i="61"/>
  <c r="J67" i="61"/>
  <c r="M67" i="61"/>
  <c r="J68" i="61"/>
  <c r="M68" i="61"/>
  <c r="J69" i="61"/>
  <c r="M69" i="61"/>
  <c r="J70" i="61"/>
  <c r="M70" i="61"/>
  <c r="J71" i="61"/>
  <c r="M71" i="61"/>
  <c r="J72" i="61"/>
  <c r="M72" i="61"/>
  <c r="J73" i="61"/>
  <c r="M73" i="61"/>
  <c r="J74" i="61"/>
  <c r="M74" i="61"/>
  <c r="J75" i="61"/>
  <c r="M75" i="61"/>
  <c r="J76" i="61"/>
  <c r="M76" i="61"/>
  <c r="J77" i="61"/>
  <c r="M77" i="61"/>
  <c r="J78" i="61"/>
  <c r="M78" i="61"/>
  <c r="J79" i="61"/>
  <c r="M79" i="61"/>
  <c r="J80" i="61"/>
  <c r="M80" i="61"/>
  <c r="J81" i="61"/>
  <c r="M81" i="61"/>
  <c r="J82" i="61"/>
  <c r="M82" i="61"/>
  <c r="J83" i="61"/>
  <c r="M83" i="61"/>
  <c r="J84" i="61"/>
  <c r="M84" i="61"/>
  <c r="J85" i="61"/>
  <c r="M85" i="61"/>
  <c r="K86" i="61"/>
  <c r="N86" i="61"/>
  <c r="K87" i="61"/>
  <c r="N87" i="61"/>
  <c r="K88" i="61"/>
  <c r="N88" i="61"/>
  <c r="K89" i="61"/>
  <c r="N89" i="61"/>
  <c r="K90" i="61"/>
  <c r="N90" i="61"/>
  <c r="K91" i="61"/>
  <c r="N91" i="61"/>
  <c r="K92" i="61"/>
  <c r="N92" i="61"/>
  <c r="K93" i="61"/>
  <c r="N93" i="61"/>
  <c r="K94" i="61"/>
  <c r="N94" i="61"/>
  <c r="K95" i="61"/>
  <c r="N95" i="61"/>
  <c r="K96" i="61"/>
  <c r="N96" i="61"/>
  <c r="K97" i="61"/>
  <c r="N97" i="61"/>
  <c r="K98" i="61"/>
  <c r="N98" i="61"/>
  <c r="K99" i="61"/>
  <c r="N99" i="61"/>
  <c r="K100" i="61"/>
  <c r="N100" i="61"/>
  <c r="K101" i="61"/>
  <c r="N101" i="61"/>
  <c r="K102" i="61"/>
  <c r="N102" i="61"/>
  <c r="K103" i="61"/>
  <c r="N103" i="61"/>
  <c r="K104" i="61"/>
  <c r="N104" i="61"/>
  <c r="K105" i="61"/>
  <c r="N105" i="61"/>
  <c r="K106" i="61"/>
  <c r="N106" i="61"/>
  <c r="K107" i="61"/>
  <c r="N107" i="61"/>
  <c r="K108" i="61"/>
  <c r="N108" i="61"/>
  <c r="K109" i="61"/>
  <c r="N109" i="61"/>
  <c r="K110" i="61"/>
  <c r="N110" i="61"/>
  <c r="K111" i="61"/>
  <c r="N111" i="61"/>
  <c r="K112" i="61"/>
  <c r="N112" i="61"/>
  <c r="K113" i="61"/>
  <c r="N113" i="61"/>
  <c r="K114" i="61"/>
  <c r="N114" i="61"/>
  <c r="K115" i="61"/>
  <c r="N115" i="61"/>
  <c r="K116" i="61"/>
  <c r="N116" i="61"/>
  <c r="K117" i="61"/>
  <c r="N117" i="61"/>
  <c r="K118" i="61"/>
  <c r="N118" i="61"/>
  <c r="K119" i="61"/>
  <c r="N119" i="61"/>
  <c r="K120" i="61"/>
  <c r="N120" i="61"/>
  <c r="K121" i="61"/>
  <c r="N121" i="61"/>
  <c r="J122" i="61"/>
  <c r="M122" i="61"/>
  <c r="J123" i="61"/>
  <c r="M123" i="61"/>
  <c r="J124" i="61"/>
  <c r="M124" i="61"/>
  <c r="J125" i="61"/>
  <c r="M125" i="61"/>
  <c r="J126" i="61"/>
  <c r="M126" i="61"/>
  <c r="J127" i="61"/>
  <c r="M127" i="61"/>
  <c r="J128" i="61"/>
  <c r="M128" i="61"/>
  <c r="J129" i="61"/>
  <c r="M129" i="61"/>
  <c r="J130" i="61"/>
  <c r="M130" i="61"/>
  <c r="J131" i="61"/>
  <c r="M131" i="61"/>
  <c r="J132" i="61"/>
  <c r="M132" i="61"/>
  <c r="J133" i="61"/>
  <c r="M133" i="61"/>
  <c r="K134" i="61"/>
  <c r="N134" i="61"/>
  <c r="K135" i="61"/>
  <c r="N135" i="61"/>
  <c r="K136" i="61"/>
  <c r="N136" i="61"/>
  <c r="K137" i="61"/>
  <c r="N137" i="61"/>
  <c r="K138" i="61"/>
  <c r="N138" i="61"/>
  <c r="K139" i="61"/>
  <c r="N139" i="61"/>
  <c r="K140" i="61"/>
  <c r="N140" i="61"/>
  <c r="K141" i="61"/>
  <c r="N141" i="61"/>
  <c r="K142" i="61"/>
  <c r="N142" i="61"/>
  <c r="K143" i="61"/>
  <c r="N143" i="61"/>
  <c r="K144" i="61"/>
  <c r="N144" i="61"/>
  <c r="K145" i="61"/>
  <c r="N145" i="61"/>
  <c r="K146" i="61"/>
  <c r="N146" i="61"/>
  <c r="K147" i="61"/>
  <c r="N147" i="61"/>
  <c r="K148" i="61"/>
  <c r="N148" i="61"/>
  <c r="K149" i="61"/>
  <c r="N149" i="61"/>
  <c r="K150" i="61"/>
  <c r="N150" i="61"/>
  <c r="K151" i="61"/>
  <c r="N151" i="61"/>
  <c r="K152" i="61"/>
  <c r="N152" i="61"/>
  <c r="K153" i="61"/>
  <c r="N153" i="61"/>
  <c r="K154" i="61"/>
  <c r="N154" i="61"/>
  <c r="K155" i="61"/>
  <c r="N155" i="61"/>
  <c r="K156" i="61"/>
  <c r="N156" i="61"/>
  <c r="K157" i="61"/>
  <c r="N157" i="61"/>
  <c r="J158" i="61"/>
  <c r="M158" i="61"/>
  <c r="J159" i="61"/>
  <c r="M159" i="61"/>
  <c r="J160" i="61"/>
  <c r="M160" i="61"/>
  <c r="J161" i="61"/>
  <c r="M161" i="61"/>
  <c r="J162" i="61"/>
  <c r="M162" i="61"/>
  <c r="J163" i="61"/>
  <c r="M163" i="61"/>
  <c r="J164" i="61"/>
  <c r="M164" i="61"/>
  <c r="J165" i="61"/>
  <c r="M165" i="61"/>
  <c r="J166" i="61"/>
  <c r="M166" i="61"/>
  <c r="J167" i="61"/>
  <c r="M167" i="61"/>
  <c r="J168" i="61"/>
  <c r="M168" i="61"/>
  <c r="J169" i="61"/>
  <c r="M169" i="61"/>
  <c r="K170" i="61"/>
  <c r="N170" i="61"/>
  <c r="K171" i="61"/>
  <c r="N171" i="61"/>
  <c r="K172" i="61"/>
  <c r="N172" i="61"/>
  <c r="K173" i="61"/>
  <c r="N173" i="61"/>
  <c r="K174" i="61"/>
  <c r="N174" i="61"/>
  <c r="K175" i="61"/>
  <c r="N175" i="61"/>
  <c r="K176" i="61"/>
  <c r="N176" i="61"/>
  <c r="K177" i="61"/>
  <c r="N177" i="61"/>
  <c r="K178" i="61"/>
  <c r="N178" i="61"/>
  <c r="K179" i="61"/>
  <c r="N179" i="61"/>
  <c r="K180" i="61"/>
  <c r="N180" i="61"/>
  <c r="K181" i="61"/>
  <c r="N181" i="61"/>
  <c r="K182" i="61"/>
  <c r="N182" i="61"/>
  <c r="K183" i="61"/>
  <c r="N183" i="61"/>
  <c r="K184" i="61"/>
  <c r="N184" i="61"/>
  <c r="K185" i="61"/>
  <c r="N185" i="61"/>
  <c r="K186" i="61"/>
  <c r="N186" i="61"/>
  <c r="K187" i="61"/>
  <c r="N187" i="61"/>
  <c r="K188" i="61"/>
  <c r="N188" i="61"/>
  <c r="K189" i="61"/>
  <c r="N189" i="61"/>
  <c r="K190" i="61"/>
  <c r="N190" i="61"/>
  <c r="K191" i="61"/>
  <c r="N191" i="61"/>
  <c r="K192" i="61"/>
  <c r="N192" i="61"/>
  <c r="K193" i="61"/>
  <c r="N193" i="61"/>
  <c r="J194" i="61"/>
  <c r="M194" i="61"/>
  <c r="J195" i="61"/>
  <c r="M195" i="61"/>
  <c r="J196" i="61"/>
  <c r="M196" i="61"/>
  <c r="J197" i="61"/>
  <c r="M197" i="61"/>
  <c r="J198" i="61"/>
  <c r="M198" i="61"/>
  <c r="J199" i="61"/>
  <c r="M199" i="61"/>
  <c r="J200" i="61"/>
  <c r="M200" i="61"/>
  <c r="J201" i="61"/>
  <c r="M201" i="61"/>
  <c r="J202" i="61"/>
  <c r="M202" i="61"/>
  <c r="J203" i="61"/>
  <c r="M203" i="61"/>
  <c r="J204" i="61"/>
  <c r="M204" i="61"/>
  <c r="J205" i="61"/>
  <c r="M205" i="61"/>
  <c r="K206" i="61"/>
  <c r="N206" i="61"/>
  <c r="K207" i="61"/>
  <c r="N207" i="61"/>
  <c r="K208" i="61"/>
  <c r="N208" i="61"/>
  <c r="K209" i="61"/>
  <c r="N209" i="61"/>
  <c r="K210" i="61"/>
  <c r="N210" i="61"/>
  <c r="K211" i="61"/>
  <c r="N211" i="61"/>
  <c r="K212" i="61"/>
  <c r="N212" i="61"/>
  <c r="K213" i="61"/>
  <c r="N213" i="61"/>
  <c r="K214" i="61"/>
  <c r="N214" i="61"/>
  <c r="K215" i="61"/>
  <c r="N215" i="61"/>
  <c r="K216" i="61"/>
  <c r="N216" i="61"/>
  <c r="K217" i="61"/>
  <c r="N217" i="61"/>
  <c r="K218" i="61"/>
  <c r="N218" i="61"/>
  <c r="K219" i="61"/>
  <c r="N219" i="61"/>
  <c r="K220" i="61"/>
  <c r="N220" i="61"/>
  <c r="J221" i="61"/>
  <c r="M221" i="61"/>
  <c r="J222" i="61"/>
  <c r="M222" i="61"/>
  <c r="J223" i="61"/>
  <c r="M223" i="61"/>
  <c r="J224" i="61"/>
  <c r="M224" i="61"/>
  <c r="J225" i="61"/>
  <c r="M225" i="61"/>
  <c r="J226" i="61"/>
  <c r="M226" i="61"/>
  <c r="J227" i="61"/>
  <c r="M227" i="61"/>
  <c r="J228" i="61"/>
  <c r="M228" i="61"/>
  <c r="J229" i="61"/>
  <c r="M229" i="61"/>
  <c r="J230" i="61"/>
  <c r="M230" i="61"/>
  <c r="J231" i="61"/>
  <c r="M231" i="61"/>
  <c r="J232" i="61"/>
  <c r="M232" i="61"/>
  <c r="K233" i="61"/>
  <c r="N233" i="61"/>
  <c r="K234" i="61"/>
  <c r="N234" i="61"/>
  <c r="K235" i="61"/>
  <c r="N235" i="61"/>
  <c r="K236" i="61"/>
  <c r="N236" i="61"/>
  <c r="K237" i="61"/>
  <c r="N237" i="61"/>
  <c r="K238" i="61"/>
  <c r="N238" i="61"/>
  <c r="K239" i="61"/>
  <c r="N239" i="61"/>
  <c r="K240" i="61"/>
  <c r="N240" i="61"/>
  <c r="K241" i="61"/>
  <c r="N241" i="61"/>
  <c r="K242" i="61"/>
  <c r="N242" i="61"/>
  <c r="K243" i="61"/>
  <c r="N243" i="61"/>
  <c r="K244" i="61"/>
  <c r="N244" i="61"/>
  <c r="K245" i="61"/>
  <c r="N245" i="61"/>
  <c r="K246" i="61"/>
  <c r="N246" i="61"/>
  <c r="K247" i="61"/>
  <c r="N247" i="61"/>
  <c r="K248" i="61"/>
  <c r="N248" i="61"/>
  <c r="K249" i="61"/>
  <c r="N249" i="61"/>
  <c r="K250" i="61"/>
  <c r="N250" i="61"/>
  <c r="K251" i="61"/>
  <c r="N251" i="61"/>
  <c r="K252" i="61"/>
  <c r="N252" i="61"/>
  <c r="K253" i="61"/>
  <c r="N253" i="61"/>
  <c r="K254" i="61"/>
  <c r="N254" i="61"/>
  <c r="K255" i="61"/>
  <c r="N255" i="61"/>
  <c r="K256" i="61"/>
  <c r="N256" i="61"/>
  <c r="K257" i="61"/>
  <c r="N257" i="61"/>
  <c r="K258" i="61"/>
  <c r="N258" i="61"/>
  <c r="K259" i="61"/>
  <c r="N259" i="61"/>
  <c r="K260" i="61"/>
  <c r="N260" i="61"/>
  <c r="K261" i="61"/>
  <c r="N261" i="61"/>
  <c r="K262" i="61"/>
  <c r="N262" i="61"/>
  <c r="K263" i="61"/>
  <c r="N263" i="61"/>
  <c r="K264" i="61"/>
  <c r="N264" i="61"/>
  <c r="K265" i="61"/>
  <c r="N265" i="61"/>
  <c r="K266" i="61"/>
  <c r="N266" i="61"/>
  <c r="K267" i="61"/>
  <c r="N267" i="61"/>
  <c r="K268" i="61"/>
  <c r="N268" i="61"/>
  <c r="K269" i="61"/>
  <c r="N269" i="61"/>
  <c r="K270" i="61"/>
  <c r="N270" i="61"/>
  <c r="K271" i="61"/>
  <c r="N271" i="61"/>
  <c r="K272" i="61"/>
  <c r="N272" i="61"/>
  <c r="K273" i="61"/>
  <c r="N273" i="61"/>
  <c r="K274" i="61"/>
  <c r="N274" i="61"/>
  <c r="K275" i="61"/>
  <c r="N275" i="61"/>
  <c r="K276" i="61"/>
  <c r="N276" i="61"/>
  <c r="K277" i="61"/>
  <c r="N277" i="61"/>
  <c r="K278" i="61"/>
  <c r="N278" i="61"/>
  <c r="K279" i="61"/>
  <c r="N279" i="61"/>
  <c r="K280" i="61"/>
  <c r="N280" i="61"/>
  <c r="K281" i="61"/>
  <c r="N281" i="61"/>
  <c r="K282" i="61"/>
  <c r="N282" i="61"/>
  <c r="K283" i="61"/>
  <c r="N283" i="61"/>
  <c r="K284" i="61"/>
  <c r="N284" i="61"/>
  <c r="K285" i="61"/>
  <c r="N285" i="61"/>
  <c r="K286" i="61"/>
  <c r="N286" i="61"/>
  <c r="K287" i="61"/>
  <c r="N287" i="61"/>
  <c r="K288" i="61"/>
  <c r="N288" i="61"/>
  <c r="K289" i="61"/>
  <c r="N289" i="61"/>
  <c r="K290" i="61"/>
  <c r="N290" i="61"/>
  <c r="K291" i="61"/>
  <c r="N291" i="61"/>
  <c r="K292" i="61"/>
  <c r="N292" i="61"/>
  <c r="K293" i="61"/>
  <c r="N293" i="61"/>
  <c r="K294" i="61"/>
  <c r="N294" i="61"/>
  <c r="K295" i="61"/>
  <c r="N295" i="61"/>
  <c r="K296" i="61"/>
  <c r="N296" i="61"/>
  <c r="K297" i="61"/>
  <c r="N297" i="61"/>
  <c r="K298" i="61"/>
  <c r="N298" i="61"/>
  <c r="K299" i="61"/>
  <c r="N299" i="61"/>
  <c r="K300" i="61"/>
  <c r="N300" i="61"/>
  <c r="K301" i="61"/>
  <c r="N301" i="61"/>
  <c r="K302" i="61"/>
  <c r="N302" i="61"/>
  <c r="K303" i="61"/>
  <c r="N303" i="61"/>
  <c r="K304" i="61"/>
  <c r="N304" i="61"/>
  <c r="K305" i="61"/>
  <c r="N305" i="61"/>
  <c r="K306" i="61"/>
  <c r="N306" i="61"/>
  <c r="K307" i="61"/>
  <c r="N307" i="61"/>
  <c r="K308" i="61"/>
  <c r="N308" i="61"/>
  <c r="K309" i="61"/>
  <c r="N309" i="61"/>
  <c r="K310" i="61"/>
  <c r="N310" i="61"/>
  <c r="K311" i="61"/>
  <c r="N311" i="61"/>
  <c r="K312" i="61"/>
  <c r="N312" i="61"/>
  <c r="K313" i="61"/>
  <c r="N313" i="61"/>
  <c r="K314" i="61"/>
  <c r="N314" i="61"/>
  <c r="K315" i="61"/>
  <c r="N315" i="61"/>
  <c r="K316" i="61"/>
  <c r="N316" i="61"/>
  <c r="K317" i="61"/>
  <c r="N317" i="61"/>
  <c r="K318" i="61"/>
  <c r="N318" i="61"/>
  <c r="K319" i="61"/>
  <c r="N319" i="61"/>
  <c r="K320" i="61"/>
  <c r="N320" i="61"/>
  <c r="K321" i="61"/>
  <c r="N321" i="61"/>
  <c r="K322" i="61"/>
  <c r="N322" i="61"/>
  <c r="K323" i="61"/>
  <c r="N323" i="61"/>
  <c r="K324" i="61"/>
  <c r="N324" i="61"/>
  <c r="K325" i="61"/>
  <c r="N325" i="61"/>
  <c r="K326" i="61"/>
  <c r="N326" i="61"/>
  <c r="K327" i="61"/>
  <c r="N327" i="61"/>
  <c r="K328" i="61"/>
  <c r="N328" i="61"/>
  <c r="K329" i="61"/>
  <c r="N329" i="61"/>
  <c r="K330" i="61"/>
  <c r="N330" i="61"/>
  <c r="K331" i="61"/>
  <c r="N331" i="61"/>
  <c r="K332" i="61"/>
  <c r="N332" i="61"/>
  <c r="K333" i="61"/>
  <c r="N333" i="61"/>
  <c r="K334" i="61"/>
  <c r="N334" i="61"/>
  <c r="K335" i="61"/>
  <c r="N335" i="61"/>
  <c r="K336" i="61"/>
  <c r="N336" i="61"/>
  <c r="K337" i="61"/>
  <c r="N337" i="61"/>
  <c r="K338" i="61"/>
  <c r="N338" i="61"/>
  <c r="K339" i="61"/>
  <c r="N339" i="61"/>
  <c r="K340" i="61"/>
  <c r="N340" i="61"/>
  <c r="K341" i="61"/>
  <c r="N341" i="61"/>
  <c r="K342" i="61"/>
  <c r="N342" i="61"/>
  <c r="K343" i="61"/>
  <c r="N343" i="61"/>
  <c r="K344" i="61"/>
  <c r="N344" i="61"/>
  <c r="K345" i="61"/>
  <c r="N345" i="61"/>
  <c r="K346" i="61"/>
  <c r="N346" i="61"/>
  <c r="K347" i="61"/>
  <c r="N347" i="61"/>
  <c r="K348" i="61"/>
  <c r="N348" i="61"/>
  <c r="K349" i="61"/>
  <c r="N349" i="61"/>
  <c r="K350" i="61"/>
  <c r="N350" i="61"/>
  <c r="K351" i="61"/>
  <c r="N351" i="61"/>
  <c r="K352" i="61"/>
  <c r="N352" i="61"/>
  <c r="K353" i="61"/>
  <c r="N353" i="61"/>
  <c r="K354" i="61"/>
  <c r="N354" i="61"/>
  <c r="K355" i="61"/>
  <c r="N355" i="61"/>
  <c r="K356" i="61"/>
  <c r="N356" i="61"/>
  <c r="K357" i="61"/>
  <c r="N357" i="61"/>
  <c r="K358" i="61"/>
  <c r="N358" i="61"/>
  <c r="K359" i="61"/>
  <c r="N359" i="61"/>
  <c r="K360" i="61"/>
  <c r="N360" i="61"/>
  <c r="K361" i="61"/>
  <c r="N361" i="61"/>
  <c r="K362" i="61"/>
  <c r="N362" i="61"/>
  <c r="K363" i="61"/>
  <c r="N363" i="61"/>
  <c r="K364" i="61"/>
  <c r="N364" i="61"/>
  <c r="K365" i="61"/>
  <c r="N365" i="61"/>
  <c r="K366" i="61"/>
  <c r="N366" i="61"/>
  <c r="K367" i="61"/>
  <c r="N367" i="61"/>
  <c r="K368" i="61"/>
  <c r="N368" i="61"/>
  <c r="K369" i="61"/>
  <c r="N369" i="61"/>
  <c r="K370" i="61"/>
  <c r="N370" i="61"/>
  <c r="K371" i="61"/>
  <c r="N371" i="61"/>
  <c r="K372" i="61"/>
  <c r="N372" i="61"/>
  <c r="K373" i="61"/>
  <c r="N373" i="61"/>
  <c r="K374" i="61"/>
  <c r="N374" i="61"/>
  <c r="K375" i="61"/>
  <c r="N375" i="61"/>
  <c r="K376" i="61"/>
  <c r="N376" i="61"/>
  <c r="K377" i="61"/>
  <c r="N377" i="61"/>
  <c r="K378" i="61"/>
  <c r="N378" i="61"/>
  <c r="K379" i="61"/>
  <c r="N379" i="61"/>
  <c r="K380" i="61"/>
  <c r="N380" i="61"/>
  <c r="K381" i="61"/>
  <c r="N381" i="61"/>
  <c r="K382" i="61"/>
  <c r="N382" i="61"/>
  <c r="K383" i="61"/>
  <c r="N383" i="61"/>
  <c r="K384" i="61"/>
  <c r="N384" i="61"/>
  <c r="K385" i="61"/>
  <c r="N385" i="61"/>
  <c r="K386" i="61"/>
  <c r="N386" i="61"/>
  <c r="K387" i="61"/>
  <c r="N387" i="61"/>
  <c r="K388" i="61"/>
  <c r="N388" i="61"/>
  <c r="K389" i="61"/>
  <c r="N389" i="61"/>
  <c r="K390" i="61"/>
  <c r="N390" i="61"/>
  <c r="K391" i="61"/>
  <c r="N391" i="61"/>
  <c r="K392" i="61"/>
  <c r="N392" i="61"/>
  <c r="K393" i="61"/>
  <c r="N393" i="61"/>
  <c r="K394" i="61"/>
  <c r="N394" i="61"/>
  <c r="K395" i="61"/>
  <c r="N395" i="61"/>
  <c r="K396" i="61"/>
  <c r="N396" i="61"/>
  <c r="K397" i="61"/>
  <c r="N397" i="61"/>
  <c r="K398" i="61"/>
  <c r="N398" i="61"/>
  <c r="K399" i="61"/>
  <c r="N399" i="61"/>
  <c r="K400" i="61"/>
  <c r="N400" i="61"/>
  <c r="K401" i="61"/>
  <c r="N401" i="61"/>
  <c r="K402" i="61"/>
  <c r="N402" i="61"/>
  <c r="K403" i="61"/>
  <c r="N403" i="61"/>
  <c r="K404" i="61"/>
  <c r="N404" i="61"/>
  <c r="K405" i="61"/>
  <c r="N405" i="61"/>
  <c r="K406" i="61"/>
  <c r="N406" i="61"/>
  <c r="K407" i="61"/>
  <c r="N407" i="61"/>
  <c r="K408" i="61"/>
  <c r="N408" i="61"/>
  <c r="K409" i="61"/>
  <c r="N409" i="61"/>
  <c r="K410" i="61"/>
  <c r="N410" i="61"/>
  <c r="K411" i="61"/>
  <c r="N411" i="61"/>
  <c r="K412" i="61"/>
  <c r="N412" i="61"/>
  <c r="K413" i="61"/>
  <c r="N413" i="61"/>
  <c r="K414" i="61"/>
  <c r="N414" i="61"/>
  <c r="K415" i="61"/>
  <c r="N415" i="61"/>
  <c r="K416" i="61"/>
  <c r="N416" i="61"/>
  <c r="K417" i="61"/>
  <c r="N417" i="61"/>
  <c r="K418" i="61"/>
  <c r="N418" i="61"/>
  <c r="K419" i="61"/>
  <c r="N419" i="61"/>
  <c r="K420" i="61"/>
  <c r="N420" i="61"/>
  <c r="K421" i="61"/>
  <c r="N421" i="61"/>
  <c r="K422" i="61"/>
  <c r="N422" i="61"/>
  <c r="K423" i="61"/>
  <c r="N423" i="61"/>
  <c r="K424" i="61"/>
  <c r="N424" i="61"/>
  <c r="K425" i="61"/>
  <c r="N425" i="61"/>
  <c r="K426" i="61"/>
  <c r="N426" i="61"/>
  <c r="K427" i="61"/>
  <c r="N427" i="61"/>
  <c r="K428" i="61"/>
  <c r="N428" i="61"/>
  <c r="K429" i="61"/>
  <c r="N429" i="61"/>
  <c r="K430" i="61"/>
  <c r="N430" i="61"/>
  <c r="K431" i="61"/>
  <c r="N431" i="61"/>
  <c r="K432" i="61"/>
  <c r="N432" i="61"/>
  <c r="K433" i="61"/>
  <c r="N433" i="61"/>
  <c r="K434" i="61"/>
  <c r="N434" i="61"/>
  <c r="K435" i="61"/>
  <c r="N435" i="61"/>
  <c r="K436" i="61"/>
  <c r="N436" i="61"/>
  <c r="K437" i="61"/>
  <c r="N437" i="61"/>
  <c r="K438" i="61"/>
  <c r="N438" i="61"/>
  <c r="K439" i="61"/>
  <c r="N439" i="61"/>
  <c r="K440" i="61"/>
  <c r="N440" i="61"/>
  <c r="K441" i="61"/>
  <c r="N441" i="61"/>
  <c r="K442" i="61"/>
  <c r="N442" i="61"/>
  <c r="K443" i="61"/>
  <c r="N443" i="61"/>
  <c r="K444" i="61"/>
  <c r="N444" i="61"/>
  <c r="D48" i="5"/>
  <c r="E48" i="5"/>
  <c r="F48" i="5"/>
  <c r="D49" i="5"/>
  <c r="E49" i="5"/>
  <c r="F49" i="5"/>
  <c r="D52" i="5"/>
  <c r="E52" i="5"/>
  <c r="Y2" i="57"/>
  <c r="Z2" i="57"/>
  <c r="AE2" i="57"/>
  <c r="AF2" i="57"/>
  <c r="AK2" i="57"/>
  <c r="AL2" i="57"/>
  <c r="AU2" i="57"/>
  <c r="AV2" i="57"/>
  <c r="Y3" i="57"/>
  <c r="Z3" i="57"/>
  <c r="AE3" i="57"/>
  <c r="AF3" i="57"/>
  <c r="AK3" i="57"/>
  <c r="AL3" i="57"/>
  <c r="AU3" i="57"/>
  <c r="AV3" i="57"/>
  <c r="Y4" i="57"/>
  <c r="Z4" i="57"/>
  <c r="AE4" i="57"/>
  <c r="AF4" i="57"/>
  <c r="AK4" i="57"/>
  <c r="AL4" i="57"/>
  <c r="AU4" i="57"/>
  <c r="AV4" i="57"/>
  <c r="Y5" i="57"/>
  <c r="Z5" i="57"/>
  <c r="AE5" i="57"/>
  <c r="AF5" i="57"/>
  <c r="AK5" i="57"/>
  <c r="AL5" i="57"/>
  <c r="AU5" i="57"/>
  <c r="AV5" i="57"/>
  <c r="Y6" i="57"/>
  <c r="Z6" i="57"/>
  <c r="AE6" i="57"/>
  <c r="AF6" i="57"/>
  <c r="AK6" i="57"/>
  <c r="AL6" i="57"/>
  <c r="AU6" i="57"/>
  <c r="AV6" i="57"/>
  <c r="Y7" i="57"/>
  <c r="Z7" i="57"/>
  <c r="AE7" i="57"/>
  <c r="AF7" i="57"/>
  <c r="AK7" i="57"/>
  <c r="AL7" i="57"/>
  <c r="AU7" i="57"/>
  <c r="AV7" i="57"/>
  <c r="Y8" i="57"/>
  <c r="Z8" i="57"/>
  <c r="AE8" i="57"/>
  <c r="AF8" i="57"/>
  <c r="AK8" i="57"/>
  <c r="AL8" i="57"/>
  <c r="AU8" i="57"/>
  <c r="AV8" i="57"/>
  <c r="Y9" i="57"/>
  <c r="Z9" i="57"/>
  <c r="AE9" i="57"/>
  <c r="AF9" i="57"/>
  <c r="AK9" i="57"/>
  <c r="AL9" i="57"/>
  <c r="AU9" i="57"/>
  <c r="AV9" i="57"/>
  <c r="Y10" i="57"/>
  <c r="Z10" i="57"/>
  <c r="AE10" i="57"/>
  <c r="AF10" i="57"/>
  <c r="Y11" i="57"/>
  <c r="Z11" i="57"/>
  <c r="AE11" i="57"/>
  <c r="AF11" i="57"/>
  <c r="Y12" i="57"/>
  <c r="Z12" i="57"/>
  <c r="AE12" i="57"/>
  <c r="AF12" i="57"/>
  <c r="Y13" i="57"/>
  <c r="Z13" i="57"/>
  <c r="AE13" i="57"/>
  <c r="AF13" i="57"/>
  <c r="Z14" i="57"/>
  <c r="AF14" i="57"/>
  <c r="Z15" i="57"/>
  <c r="AF15" i="57"/>
  <c r="Z16" i="57"/>
  <c r="AF16" i="57"/>
  <c r="Z17" i="57"/>
  <c r="AF17" i="57"/>
  <c r="Z18" i="57"/>
  <c r="AF18" i="57"/>
  <c r="Z19" i="57"/>
  <c r="AF19" i="57"/>
  <c r="Z20" i="57"/>
  <c r="AF20" i="57"/>
  <c r="Z21" i="57"/>
  <c r="AF21" i="57"/>
  <c r="Z22" i="57"/>
  <c r="AF22" i="57"/>
  <c r="Z23" i="57"/>
  <c r="AF23" i="57"/>
  <c r="Z24" i="57"/>
  <c r="AF24" i="57"/>
  <c r="Z25" i="57"/>
  <c r="AF25" i="57"/>
  <c r="Y26" i="57"/>
  <c r="Z26" i="57"/>
  <c r="AE26" i="57"/>
  <c r="AF26" i="57"/>
  <c r="Y27" i="57"/>
  <c r="Z27" i="57"/>
  <c r="AE27" i="57"/>
  <c r="AF27" i="57"/>
  <c r="Y28" i="57"/>
  <c r="Z28" i="57"/>
  <c r="AE28" i="57"/>
  <c r="AF28" i="57"/>
  <c r="Y29" i="57"/>
  <c r="Z29" i="57"/>
  <c r="AE29" i="57"/>
  <c r="AF29" i="57"/>
  <c r="Y30" i="57"/>
  <c r="Z30" i="57"/>
  <c r="AE30" i="57"/>
  <c r="AF30" i="57"/>
  <c r="Y31" i="57"/>
  <c r="Z31" i="57"/>
  <c r="AE31" i="57"/>
  <c r="AF31" i="57"/>
  <c r="Y32" i="57"/>
  <c r="Z32" i="57"/>
  <c r="AE32" i="57"/>
  <c r="AF32" i="57"/>
  <c r="Y33" i="57"/>
  <c r="Z33" i="57"/>
  <c r="AE33" i="57"/>
  <c r="AF33" i="57"/>
  <c r="Y34" i="57"/>
  <c r="Z34" i="57"/>
  <c r="AE34" i="57"/>
  <c r="AF34" i="57"/>
  <c r="Y35" i="57"/>
  <c r="Z35" i="57"/>
  <c r="AE35" i="57"/>
  <c r="AF35" i="57"/>
  <c r="Y36" i="57"/>
  <c r="Z36" i="57"/>
  <c r="AE36" i="57"/>
  <c r="AF36" i="57"/>
  <c r="Y37" i="57"/>
  <c r="Z37" i="57"/>
  <c r="AE37" i="57"/>
  <c r="AF37" i="57"/>
  <c r="Z38" i="57"/>
  <c r="AF38" i="57"/>
  <c r="Z39" i="57"/>
  <c r="AF39" i="57"/>
  <c r="Z40" i="57"/>
  <c r="AF40" i="57"/>
  <c r="Z41" i="57"/>
  <c r="AF41" i="57"/>
  <c r="Z42" i="57"/>
  <c r="AF42" i="57"/>
  <c r="Z43" i="57"/>
  <c r="AF43" i="57"/>
  <c r="Z44" i="57"/>
  <c r="AF44" i="57"/>
  <c r="Z45" i="57"/>
  <c r="AF45" i="57"/>
  <c r="Z46" i="57"/>
  <c r="AF46" i="57"/>
  <c r="Z47" i="57"/>
  <c r="AF47" i="57"/>
  <c r="Z48" i="57"/>
  <c r="AF48" i="57"/>
  <c r="Z49" i="57"/>
  <c r="AF49" i="57"/>
  <c r="Z50" i="57"/>
  <c r="AF50" i="57"/>
  <c r="Z51" i="57"/>
  <c r="AF51" i="57"/>
  <c r="Z52" i="57"/>
  <c r="AF52" i="57"/>
  <c r="Z53" i="57"/>
  <c r="AF53" i="57"/>
  <c r="Z54" i="57"/>
  <c r="AF54" i="57"/>
  <c r="Z55" i="57"/>
  <c r="AF55" i="57"/>
  <c r="Z56" i="57"/>
  <c r="AF56" i="57"/>
  <c r="Z57" i="57"/>
  <c r="AF57" i="57"/>
  <c r="Z58" i="57"/>
  <c r="AF58" i="57"/>
  <c r="Z59" i="57"/>
  <c r="AF59" i="57"/>
  <c r="Z60" i="57"/>
  <c r="AF60" i="57"/>
  <c r="Z61" i="57"/>
  <c r="AF61" i="57"/>
  <c r="Y62" i="57"/>
  <c r="AE62" i="57"/>
  <c r="Y63" i="57"/>
  <c r="AE63" i="57"/>
  <c r="Y64" i="57"/>
  <c r="AE64" i="57"/>
  <c r="Y65" i="57"/>
  <c r="AE65" i="57"/>
  <c r="Y66" i="57"/>
  <c r="AE66" i="57"/>
  <c r="Y67" i="57"/>
  <c r="AE67" i="57"/>
  <c r="Y68" i="57"/>
  <c r="AE68" i="57"/>
  <c r="Y69" i="57"/>
  <c r="AE69" i="57"/>
  <c r="Y70" i="57"/>
  <c r="AE70" i="57"/>
  <c r="Y71" i="57"/>
  <c r="AE71" i="57"/>
  <c r="Y72" i="57"/>
  <c r="AE72" i="57"/>
  <c r="Y73" i="57"/>
  <c r="AE73" i="57"/>
  <c r="Y74" i="57"/>
  <c r="AE74" i="57"/>
  <c r="Y75" i="57"/>
  <c r="AE75" i="57"/>
  <c r="Y76" i="57"/>
  <c r="AE76" i="57"/>
  <c r="Y77" i="57"/>
  <c r="AE77" i="57"/>
  <c r="Y78" i="57"/>
  <c r="AE78" i="57"/>
  <c r="Y79" i="57"/>
  <c r="AE79" i="57"/>
  <c r="Y80" i="57"/>
  <c r="AE80" i="57"/>
  <c r="Y81" i="57"/>
  <c r="AE81" i="57"/>
  <c r="Y82" i="57"/>
  <c r="AE82" i="57"/>
  <c r="Y83" i="57"/>
  <c r="AE83" i="57"/>
  <c r="Y84" i="57"/>
  <c r="AE84" i="57"/>
  <c r="Y85" i="57"/>
  <c r="AE85" i="57"/>
  <c r="Z86" i="57"/>
  <c r="AF86" i="57"/>
  <c r="Z87" i="57"/>
  <c r="AF87" i="57"/>
  <c r="Z88" i="57"/>
  <c r="AF88" i="57"/>
  <c r="Z89" i="57"/>
  <c r="AF89" i="57"/>
  <c r="Z90" i="57"/>
  <c r="AF90" i="57"/>
  <c r="Z91" i="57"/>
  <c r="AF91" i="57"/>
  <c r="Z92" i="57"/>
  <c r="AF92" i="57"/>
  <c r="Z93" i="57"/>
  <c r="AF93" i="57"/>
  <c r="Z94" i="57"/>
  <c r="AF94" i="57"/>
  <c r="Z95" i="57"/>
  <c r="AF95" i="57"/>
  <c r="Z96" i="57"/>
  <c r="AF96" i="57"/>
  <c r="Z97" i="57"/>
  <c r="AF97" i="57"/>
  <c r="Z98" i="57"/>
  <c r="AF98" i="57"/>
  <c r="Z99" i="57"/>
  <c r="AF99" i="57"/>
  <c r="Z100" i="57"/>
  <c r="AF100" i="57"/>
  <c r="Z101" i="57"/>
  <c r="AF101" i="57"/>
  <c r="Z102" i="57"/>
  <c r="AF102" i="57"/>
  <c r="Z103" i="57"/>
  <c r="AF103" i="57"/>
  <c r="Z104" i="57"/>
  <c r="AF104" i="57"/>
  <c r="Z105" i="57"/>
  <c r="AF105" i="57"/>
  <c r="Z106" i="57"/>
  <c r="AF106" i="57"/>
  <c r="Z107" i="57"/>
  <c r="AF107" i="57"/>
  <c r="Z108" i="57"/>
  <c r="AF108" i="57"/>
  <c r="Z109" i="57"/>
  <c r="AF109" i="57"/>
  <c r="Z110" i="57"/>
  <c r="AF110" i="57"/>
  <c r="Z111" i="57"/>
  <c r="AF111" i="57"/>
  <c r="Z112" i="57"/>
  <c r="AF112" i="57"/>
  <c r="Z113" i="57"/>
  <c r="AF113" i="57"/>
  <c r="Z114" i="57"/>
  <c r="AF114" i="57"/>
  <c r="Z115" i="57"/>
  <c r="AF115" i="57"/>
  <c r="Z116" i="57"/>
  <c r="AF116" i="57"/>
  <c r="Z117" i="57"/>
  <c r="AF117" i="57"/>
  <c r="Z118" i="57"/>
  <c r="AF118" i="57"/>
  <c r="Z119" i="57"/>
  <c r="AF119" i="57"/>
  <c r="Z120" i="57"/>
  <c r="AF120" i="57"/>
  <c r="Z121" i="57"/>
  <c r="AF121" i="57"/>
  <c r="Y122" i="57"/>
  <c r="AE122" i="57"/>
  <c r="Y123" i="57"/>
  <c r="AE123" i="57"/>
  <c r="Y124" i="57"/>
  <c r="AE124" i="57"/>
  <c r="Y125" i="57"/>
  <c r="AE125" i="57"/>
  <c r="Y126" i="57"/>
  <c r="AE126" i="57"/>
  <c r="Y127" i="57"/>
  <c r="AE127" i="57"/>
  <c r="Y128" i="57"/>
  <c r="AE128" i="57"/>
  <c r="Y129" i="57"/>
  <c r="AE129" i="57"/>
  <c r="Y130" i="57"/>
  <c r="AE130" i="57"/>
  <c r="Y131" i="57"/>
  <c r="AE131" i="57"/>
  <c r="Y132" i="57"/>
  <c r="AE132" i="57"/>
  <c r="Y133" i="57"/>
  <c r="AE133" i="57"/>
  <c r="Z134" i="57"/>
  <c r="AF134" i="57"/>
  <c r="Z135" i="57"/>
  <c r="AF135" i="57"/>
  <c r="Z136" i="57"/>
  <c r="AF136" i="57"/>
  <c r="Z137" i="57"/>
  <c r="AF137" i="57"/>
  <c r="Z138" i="57"/>
  <c r="AF138" i="57"/>
  <c r="Z139" i="57"/>
  <c r="AF139" i="57"/>
  <c r="Z140" i="57"/>
  <c r="AF140" i="57"/>
  <c r="Z141" i="57"/>
  <c r="AF141" i="57"/>
  <c r="Z142" i="57"/>
  <c r="AF142" i="57"/>
  <c r="Z143" i="57"/>
  <c r="AF143" i="57"/>
  <c r="Z144" i="57"/>
  <c r="AF144" i="57"/>
  <c r="Z145" i="57"/>
  <c r="AF145" i="57"/>
  <c r="Z146" i="57"/>
  <c r="AF146" i="57"/>
  <c r="Z147" i="57"/>
  <c r="AF147" i="57"/>
  <c r="Z148" i="57"/>
  <c r="AF148" i="57"/>
  <c r="Z149" i="57"/>
  <c r="AF149" i="57"/>
  <c r="Z150" i="57"/>
  <c r="AF150" i="57"/>
  <c r="Z151" i="57"/>
  <c r="AF151" i="57"/>
  <c r="Z152" i="57"/>
  <c r="AF152" i="57"/>
  <c r="Z153" i="57"/>
  <c r="AF153" i="57"/>
  <c r="Z154" i="57"/>
  <c r="AF154" i="57"/>
  <c r="Z155" i="57"/>
  <c r="AF155" i="57"/>
  <c r="Z156" i="57"/>
  <c r="AF156" i="57"/>
  <c r="Z157" i="57"/>
  <c r="AF157" i="57"/>
  <c r="Y158" i="57"/>
  <c r="AE158" i="57"/>
  <c r="Y159" i="57"/>
  <c r="AE159" i="57"/>
  <c r="Y160" i="57"/>
  <c r="AE160" i="57"/>
  <c r="Y161" i="57"/>
  <c r="AE161" i="57"/>
  <c r="Y162" i="57"/>
  <c r="AE162" i="57"/>
  <c r="Y163" i="57"/>
  <c r="AE163" i="57"/>
  <c r="Y164" i="57"/>
  <c r="AE164" i="57"/>
  <c r="Y165" i="57"/>
  <c r="AE165" i="57"/>
  <c r="Y166" i="57"/>
  <c r="AE166" i="57"/>
  <c r="Y167" i="57"/>
  <c r="AE167" i="57"/>
  <c r="Y168" i="57"/>
  <c r="AE168" i="57"/>
  <c r="Y169" i="57"/>
  <c r="AE169" i="57"/>
  <c r="Z170" i="57"/>
  <c r="AF170" i="57"/>
  <c r="Z171" i="57"/>
  <c r="AF171" i="57"/>
  <c r="Z172" i="57"/>
  <c r="AF172" i="57"/>
  <c r="Z173" i="57"/>
  <c r="AF173" i="57"/>
  <c r="Z174" i="57"/>
  <c r="AF174" i="57"/>
  <c r="Z175" i="57"/>
  <c r="AF175" i="57"/>
  <c r="Z176" i="57"/>
  <c r="AF176" i="57"/>
  <c r="Z177" i="57"/>
  <c r="AF177" i="57"/>
  <c r="Z178" i="57"/>
  <c r="AF178" i="57"/>
  <c r="Z179" i="57"/>
  <c r="AF179" i="57"/>
  <c r="Z180" i="57"/>
  <c r="AF180" i="57"/>
  <c r="Z181" i="57"/>
  <c r="AF181" i="57"/>
  <c r="Z182" i="57"/>
  <c r="AF182" i="57"/>
  <c r="Z183" i="57"/>
  <c r="AF183" i="57"/>
  <c r="Z184" i="57"/>
  <c r="AF184" i="57"/>
  <c r="Z185" i="57"/>
  <c r="AF185" i="57"/>
  <c r="Z186" i="57"/>
  <c r="AF186" i="57"/>
  <c r="Z187" i="57"/>
  <c r="AF187" i="57"/>
  <c r="Z188" i="57"/>
  <c r="AF188" i="57"/>
  <c r="Z189" i="57"/>
  <c r="AF189" i="57"/>
  <c r="Z190" i="57"/>
  <c r="AF190" i="57"/>
  <c r="Z191" i="57"/>
  <c r="AF191" i="57"/>
  <c r="Z192" i="57"/>
  <c r="AF192" i="57"/>
  <c r="Z193" i="57"/>
  <c r="AF193" i="57"/>
  <c r="Y194" i="57"/>
  <c r="AE194" i="57"/>
  <c r="Y195" i="57"/>
  <c r="AE195" i="57"/>
  <c r="Y196" i="57"/>
  <c r="AE196" i="57"/>
  <c r="Y197" i="57"/>
  <c r="AE197" i="57"/>
  <c r="Y198" i="57"/>
  <c r="AE198" i="57"/>
  <c r="Y199" i="57"/>
  <c r="AE199" i="57"/>
  <c r="Y200" i="57"/>
  <c r="AE200" i="57"/>
  <c r="Y201" i="57"/>
  <c r="AE201" i="57"/>
  <c r="Y202" i="57"/>
  <c r="AE202" i="57"/>
  <c r="Y203" i="57"/>
  <c r="AE203" i="57"/>
  <c r="Y204" i="57"/>
  <c r="AE204" i="57"/>
  <c r="Y205" i="57"/>
  <c r="AE205" i="57"/>
  <c r="Z206" i="57"/>
  <c r="AF206" i="57"/>
  <c r="Z207" i="57"/>
  <c r="AF207" i="57"/>
  <c r="Z208" i="57"/>
  <c r="AF208" i="57"/>
  <c r="Z209" i="57"/>
  <c r="AF209" i="57"/>
  <c r="Z210" i="57"/>
  <c r="AF210" i="57"/>
  <c r="Z211" i="57"/>
  <c r="AF211" i="57"/>
  <c r="Z212" i="57"/>
  <c r="AF212" i="57"/>
  <c r="Z213" i="57"/>
  <c r="AF213" i="57"/>
  <c r="Z214" i="57"/>
  <c r="AF214" i="57"/>
  <c r="Z215" i="57"/>
  <c r="AF215" i="57"/>
  <c r="Z216" i="57"/>
  <c r="AF216" i="57"/>
  <c r="Z217" i="57"/>
  <c r="AF217" i="57"/>
  <c r="Z218" i="57"/>
  <c r="AF218" i="57"/>
  <c r="Z219" i="57"/>
  <c r="AF219" i="57"/>
  <c r="Z220" i="57"/>
  <c r="AF220" i="57"/>
  <c r="Y221" i="57"/>
  <c r="AE221" i="57"/>
  <c r="Y222" i="57"/>
  <c r="AE222" i="57"/>
  <c r="Y223" i="57"/>
  <c r="AE223" i="57"/>
  <c r="Y224" i="57"/>
  <c r="AE224" i="57"/>
  <c r="Y225" i="57"/>
  <c r="AE225" i="57"/>
  <c r="Y226" i="57"/>
  <c r="AE226" i="57"/>
  <c r="Y227" i="57"/>
  <c r="AE227" i="57"/>
  <c r="Y228" i="57"/>
  <c r="AE228" i="57"/>
  <c r="Y229" i="57"/>
  <c r="AE229" i="57"/>
  <c r="Y230" i="57"/>
  <c r="AE230" i="57"/>
  <c r="Y231" i="57"/>
  <c r="AE231" i="57"/>
  <c r="Y232" i="57"/>
  <c r="AE232" i="57"/>
  <c r="Z233" i="57"/>
  <c r="AF233" i="57"/>
  <c r="Z234" i="57"/>
  <c r="AF234" i="57"/>
  <c r="Z235" i="57"/>
  <c r="AF235" i="57"/>
  <c r="Z236" i="57"/>
  <c r="AF236" i="57"/>
  <c r="Z237" i="57"/>
  <c r="AF237" i="57"/>
  <c r="Z238" i="57"/>
  <c r="AF238" i="57"/>
  <c r="Z239" i="57"/>
  <c r="AF239" i="57"/>
  <c r="Z240" i="57"/>
  <c r="AF240" i="57"/>
  <c r="Z241" i="57"/>
  <c r="AF241" i="57"/>
  <c r="Z242" i="57"/>
  <c r="AF242" i="57"/>
  <c r="Z243" i="57"/>
  <c r="AF243" i="57"/>
  <c r="Z244" i="57"/>
  <c r="AF244" i="57"/>
  <c r="Z245" i="57"/>
  <c r="AF245" i="57"/>
  <c r="Z246" i="57"/>
  <c r="AF246" i="57"/>
  <c r="Z247" i="57"/>
  <c r="AF247" i="57"/>
  <c r="Z248" i="57"/>
  <c r="AF248" i="57"/>
  <c r="Z249" i="57"/>
  <c r="AF249" i="57"/>
  <c r="Z250" i="57"/>
  <c r="AF250" i="57"/>
  <c r="Z251" i="57"/>
  <c r="AF251" i="57"/>
  <c r="Z252" i="57"/>
  <c r="AF252" i="57"/>
  <c r="Z253" i="57"/>
  <c r="AF253" i="57"/>
  <c r="Z254" i="57"/>
  <c r="AF254" i="57"/>
  <c r="Z255" i="57"/>
  <c r="AF255" i="57"/>
  <c r="Z256" i="57"/>
  <c r="AF256" i="57"/>
  <c r="Z257" i="57"/>
  <c r="AF257" i="57"/>
  <c r="Z258" i="57"/>
  <c r="AF258" i="57"/>
  <c r="Z259" i="57"/>
  <c r="AF259" i="57"/>
  <c r="Z260" i="57"/>
  <c r="AF260" i="57"/>
  <c r="Z261" i="57"/>
  <c r="AF261" i="57"/>
  <c r="Z262" i="57"/>
  <c r="AF262" i="57"/>
  <c r="Z263" i="57"/>
  <c r="AF263" i="57"/>
  <c r="Z264" i="57"/>
  <c r="AF264" i="57"/>
  <c r="Z265" i="57"/>
  <c r="AF265" i="57"/>
  <c r="Z266" i="57"/>
  <c r="AF266" i="57"/>
  <c r="Z267" i="57"/>
  <c r="AF267" i="57"/>
  <c r="Z268" i="57"/>
  <c r="AF268" i="57"/>
  <c r="Z269" i="57"/>
  <c r="AF269" i="57"/>
  <c r="Z270" i="57"/>
  <c r="AF270" i="57"/>
  <c r="Z271" i="57"/>
  <c r="AF271" i="57"/>
  <c r="Z272" i="57"/>
  <c r="AF272" i="57"/>
  <c r="Z273" i="57"/>
  <c r="AF273" i="57"/>
  <c r="Z274" i="57"/>
  <c r="AF274" i="57"/>
  <c r="Z275" i="57"/>
  <c r="AF275" i="57"/>
  <c r="Z276" i="57"/>
  <c r="AF276" i="57"/>
  <c r="Z277" i="57"/>
  <c r="AF277" i="57"/>
  <c r="Z278" i="57"/>
  <c r="AF278" i="57"/>
  <c r="Z279" i="57"/>
  <c r="AF279" i="57"/>
  <c r="Z280" i="57"/>
  <c r="AF280" i="57"/>
  <c r="Z281" i="57"/>
  <c r="AF281" i="57"/>
  <c r="Z282" i="57"/>
  <c r="AF282" i="57"/>
  <c r="Z283" i="57"/>
  <c r="AF283" i="57"/>
  <c r="Z284" i="57"/>
  <c r="AF284" i="57"/>
  <c r="Z285" i="57"/>
  <c r="AF285" i="57"/>
  <c r="Z286" i="57"/>
  <c r="AF286" i="57"/>
  <c r="Z287" i="57"/>
  <c r="AF287" i="57"/>
  <c r="Z288" i="57"/>
  <c r="AF288" i="57"/>
  <c r="Z289" i="57"/>
  <c r="AF289" i="57"/>
  <c r="Z290" i="57"/>
  <c r="AF290" i="57"/>
  <c r="Z291" i="57"/>
  <c r="AF291" i="57"/>
  <c r="Z292" i="57"/>
  <c r="AF292" i="57"/>
  <c r="Z293" i="57"/>
  <c r="AF293" i="57"/>
  <c r="Z294" i="57"/>
  <c r="AF294" i="57"/>
  <c r="Z295" i="57"/>
  <c r="AF295" i="57"/>
  <c r="Z296" i="57"/>
  <c r="AF296" i="57"/>
  <c r="Z297" i="57"/>
  <c r="AF297" i="57"/>
  <c r="Z298" i="57"/>
  <c r="AF298" i="57"/>
  <c r="Z299" i="57"/>
  <c r="AF299" i="57"/>
  <c r="Z300" i="57"/>
  <c r="AF300" i="57"/>
  <c r="Z301" i="57"/>
  <c r="AF301" i="57"/>
  <c r="Z302" i="57"/>
  <c r="AF302" i="57"/>
  <c r="Z303" i="57"/>
  <c r="AF303" i="57"/>
  <c r="Z304" i="57"/>
  <c r="AF304" i="57"/>
  <c r="Z305" i="57"/>
  <c r="AF305" i="57"/>
  <c r="Z306" i="57"/>
  <c r="AF306" i="57"/>
  <c r="Z307" i="57"/>
  <c r="AF307" i="57"/>
  <c r="Z308" i="57"/>
  <c r="AF308" i="57"/>
  <c r="Z309" i="57"/>
  <c r="AF309" i="57"/>
  <c r="Z310" i="57"/>
  <c r="AF310" i="57"/>
  <c r="Z311" i="57"/>
  <c r="AF311" i="57"/>
  <c r="Z312" i="57"/>
  <c r="AF312" i="57"/>
  <c r="Z313" i="57"/>
  <c r="AF313" i="57"/>
  <c r="Z314" i="57"/>
  <c r="AF314" i="57"/>
  <c r="Z315" i="57"/>
  <c r="AF315" i="57"/>
  <c r="Z316" i="57"/>
  <c r="AF316" i="57"/>
  <c r="Z317" i="57"/>
  <c r="AF317" i="57"/>
  <c r="Z318" i="57"/>
  <c r="AF318" i="57"/>
  <c r="Z319" i="57"/>
  <c r="AF319" i="57"/>
  <c r="Z320" i="57"/>
  <c r="AF320" i="57"/>
  <c r="Z321" i="57"/>
  <c r="AF321" i="57"/>
  <c r="Z322" i="57"/>
  <c r="AF322" i="57"/>
  <c r="Z323" i="57"/>
  <c r="AF323" i="57"/>
  <c r="Z324" i="57"/>
  <c r="AF324" i="57"/>
  <c r="Z325" i="57"/>
  <c r="AF325" i="57"/>
  <c r="Z326" i="57"/>
  <c r="AF326" i="57"/>
  <c r="Z327" i="57"/>
  <c r="AF327" i="57"/>
  <c r="Z328" i="57"/>
  <c r="AF328" i="57"/>
  <c r="Z329" i="57"/>
  <c r="AF329" i="57"/>
  <c r="Z330" i="57"/>
  <c r="AF330" i="57"/>
  <c r="Z331" i="57"/>
  <c r="AF331" i="57"/>
  <c r="Z332" i="57"/>
  <c r="AF332" i="57"/>
  <c r="Z333" i="57"/>
  <c r="AF333" i="57"/>
  <c r="Z334" i="57"/>
  <c r="AF334" i="57"/>
  <c r="Z335" i="57"/>
  <c r="AF335" i="57"/>
  <c r="Z336" i="57"/>
  <c r="AF336" i="57"/>
  <c r="Z337" i="57"/>
  <c r="AF337" i="57"/>
  <c r="Z338" i="57"/>
  <c r="AF338" i="57"/>
  <c r="Z339" i="57"/>
  <c r="AF339" i="57"/>
  <c r="Z340" i="57"/>
  <c r="AF340" i="57"/>
  <c r="Z341" i="57"/>
  <c r="AF341" i="57"/>
  <c r="Z342" i="57"/>
  <c r="AF342" i="57"/>
  <c r="Z343" i="57"/>
  <c r="AF343" i="57"/>
  <c r="Z344" i="57"/>
  <c r="AF344" i="57"/>
  <c r="Z345" i="57"/>
  <c r="AF345" i="57"/>
  <c r="Z346" i="57"/>
  <c r="AF346" i="57"/>
  <c r="Z347" i="57"/>
  <c r="AF347" i="57"/>
  <c r="Z348" i="57"/>
  <c r="AF348" i="57"/>
  <c r="Z349" i="57"/>
  <c r="AF349" i="57"/>
  <c r="Z350" i="57"/>
  <c r="AF350" i="57"/>
  <c r="Z351" i="57"/>
  <c r="AF351" i="57"/>
  <c r="Z352" i="57"/>
  <c r="AF352" i="57"/>
  <c r="Z353" i="57"/>
  <c r="AF353" i="57"/>
  <c r="Z354" i="57"/>
  <c r="AF354" i="57"/>
  <c r="Z355" i="57"/>
  <c r="AF355" i="57"/>
  <c r="Z356" i="57"/>
  <c r="AF356" i="57"/>
  <c r="Z357" i="57"/>
  <c r="AF357" i="57"/>
  <c r="Z358" i="57"/>
  <c r="AF358" i="57"/>
  <c r="Z359" i="57"/>
  <c r="AF359" i="57"/>
  <c r="Z360" i="57"/>
  <c r="AF360" i="57"/>
  <c r="Z361" i="57"/>
  <c r="AF361" i="57"/>
  <c r="Z362" i="57"/>
  <c r="AF362" i="57"/>
  <c r="Z363" i="57"/>
  <c r="AF363" i="57"/>
  <c r="Z364" i="57"/>
  <c r="AF364" i="57"/>
  <c r="Z365" i="57"/>
  <c r="AF365" i="57"/>
  <c r="Z366" i="57"/>
  <c r="AF366" i="57"/>
  <c r="Z367" i="57"/>
  <c r="AF367" i="57"/>
  <c r="Z368" i="57"/>
  <c r="AF368" i="57"/>
  <c r="Z369" i="57"/>
  <c r="AF369" i="57"/>
  <c r="Z370" i="57"/>
  <c r="AF370" i="57"/>
  <c r="Z371" i="57"/>
  <c r="AF371" i="57"/>
  <c r="Z372" i="57"/>
  <c r="AF372" i="57"/>
  <c r="Z373" i="57"/>
  <c r="AF373" i="57"/>
  <c r="Z374" i="57"/>
  <c r="AF374" i="57"/>
  <c r="Z375" i="57"/>
  <c r="AF375" i="57"/>
  <c r="Z376" i="57"/>
  <c r="AF376" i="57"/>
  <c r="Z377" i="57"/>
  <c r="AF377" i="57"/>
  <c r="Z378" i="57"/>
  <c r="AF378" i="57"/>
  <c r="Z379" i="57"/>
  <c r="AF379" i="57"/>
  <c r="Z380" i="57"/>
  <c r="AF380" i="57"/>
  <c r="Z381" i="57"/>
  <c r="AF381" i="57"/>
  <c r="Z382" i="57"/>
  <c r="AF382" i="57"/>
  <c r="Z383" i="57"/>
  <c r="AF383" i="57"/>
  <c r="Z384" i="57"/>
  <c r="AF384" i="57"/>
  <c r="Z385" i="57"/>
  <c r="AF385" i="57"/>
  <c r="Z386" i="57"/>
  <c r="AF386" i="57"/>
  <c r="Z387" i="57"/>
  <c r="AF387" i="57"/>
  <c r="Z388" i="57"/>
  <c r="AF388" i="57"/>
  <c r="Z389" i="57"/>
  <c r="AF389" i="57"/>
  <c r="Z390" i="57"/>
  <c r="AF390" i="57"/>
  <c r="Z391" i="57"/>
  <c r="AF391" i="57"/>
  <c r="Z392" i="57"/>
  <c r="AF392" i="57"/>
  <c r="Z393" i="57"/>
  <c r="AF393" i="57"/>
  <c r="Z394" i="57"/>
  <c r="AF394" i="57"/>
  <c r="Z395" i="57"/>
  <c r="AF395" i="57"/>
  <c r="Z396" i="57"/>
  <c r="AF396" i="57"/>
  <c r="Z397" i="57"/>
  <c r="AF397" i="57"/>
  <c r="Z398" i="57"/>
  <c r="AF398" i="57"/>
  <c r="Z399" i="57"/>
  <c r="AF399" i="57"/>
  <c r="Z400" i="57"/>
  <c r="AF400" i="57"/>
  <c r="Z401" i="57"/>
  <c r="AF401" i="57"/>
  <c r="Z402" i="57"/>
  <c r="AF402" i="57"/>
  <c r="Z403" i="57"/>
  <c r="AF403" i="57"/>
  <c r="Z404" i="57"/>
  <c r="AF404" i="57"/>
  <c r="Z405" i="57"/>
  <c r="AF405" i="57"/>
  <c r="Z406" i="57"/>
  <c r="AF406" i="57"/>
  <c r="Z407" i="57"/>
  <c r="AF407" i="57"/>
  <c r="Z408" i="57"/>
  <c r="AF408" i="57"/>
  <c r="Z409" i="57"/>
  <c r="AF409" i="57"/>
  <c r="Z410" i="57"/>
  <c r="AF410" i="57"/>
  <c r="Z411" i="57"/>
  <c r="AF411" i="57"/>
  <c r="Z412" i="57"/>
  <c r="AF412" i="57"/>
  <c r="Z413" i="57"/>
  <c r="AF413" i="57"/>
  <c r="Z414" i="57"/>
  <c r="AF414" i="57"/>
  <c r="Z415" i="57"/>
  <c r="AF415" i="57"/>
  <c r="Z416" i="57"/>
  <c r="AF416" i="57"/>
  <c r="Z417" i="57"/>
  <c r="AF417" i="57"/>
  <c r="Z418" i="57"/>
  <c r="AF418" i="57"/>
  <c r="Z419" i="57"/>
  <c r="AF419" i="57"/>
  <c r="Z420" i="57"/>
  <c r="AF420" i="57"/>
  <c r="Z421" i="57"/>
  <c r="AF421" i="57"/>
  <c r="Z422" i="57"/>
  <c r="AF422" i="57"/>
  <c r="Z423" i="57"/>
  <c r="AF423" i="57"/>
  <c r="Z424" i="57"/>
  <c r="AF424" i="57"/>
  <c r="Z425" i="57"/>
  <c r="AF425" i="57"/>
  <c r="Z426" i="57"/>
  <c r="AF426" i="57"/>
  <c r="Z427" i="57"/>
  <c r="AF427" i="57"/>
  <c r="Z428" i="57"/>
  <c r="AF428" i="57"/>
  <c r="Z429" i="57"/>
  <c r="AF429" i="57"/>
  <c r="Z430" i="57"/>
  <c r="AF430" i="57"/>
  <c r="Z431" i="57"/>
  <c r="AF431" i="57"/>
  <c r="Z432" i="57"/>
  <c r="AF432" i="57"/>
  <c r="Z433" i="57"/>
  <c r="AF433" i="57"/>
  <c r="Z434" i="57"/>
  <c r="AF434" i="57"/>
  <c r="Z435" i="57"/>
  <c r="AF435" i="57"/>
  <c r="Z436" i="57"/>
  <c r="AF436" i="57"/>
  <c r="Z437" i="57"/>
  <c r="AF437" i="57"/>
  <c r="Z438" i="57"/>
  <c r="AF438" i="57"/>
  <c r="Z439" i="57"/>
  <c r="AF439" i="57"/>
  <c r="Z440" i="57"/>
  <c r="AF440" i="57"/>
  <c r="Z441" i="57"/>
  <c r="AF441" i="57"/>
  <c r="Z442" i="57"/>
  <c r="AF442" i="57"/>
  <c r="Z443" i="57"/>
  <c r="AF443" i="57"/>
  <c r="Z444" i="57"/>
  <c r="AF444" i="57"/>
  <c r="Y2" i="65"/>
  <c r="Z2" i="65"/>
  <c r="AE2" i="65"/>
  <c r="AF2" i="65"/>
  <c r="AK2" i="65"/>
  <c r="AL2" i="65"/>
  <c r="AP2" i="65"/>
  <c r="AQ2" i="65"/>
  <c r="AU2" i="65"/>
  <c r="AV2" i="65"/>
  <c r="Y3" i="65"/>
  <c r="Z3" i="65"/>
  <c r="AE3" i="65"/>
  <c r="AF3" i="65"/>
  <c r="AK3" i="65"/>
  <c r="AL3" i="65"/>
  <c r="AP3" i="65"/>
  <c r="AQ3" i="65"/>
  <c r="AU3" i="65"/>
  <c r="AV3" i="65"/>
  <c r="Y4" i="65"/>
  <c r="Z4" i="65"/>
  <c r="AE4" i="65"/>
  <c r="AF4" i="65"/>
  <c r="AK4" i="65"/>
  <c r="AL4" i="65"/>
  <c r="AP4" i="65"/>
  <c r="AQ4" i="65"/>
  <c r="AU4" i="65"/>
  <c r="AV4" i="65"/>
  <c r="Y5" i="65"/>
  <c r="Z5" i="65"/>
  <c r="AE5" i="65"/>
  <c r="AF5" i="65"/>
  <c r="AK5" i="65"/>
  <c r="AL5" i="65"/>
  <c r="AP5" i="65"/>
  <c r="AQ5" i="65"/>
  <c r="AU5" i="65"/>
  <c r="AV5" i="65"/>
  <c r="Y6" i="65"/>
  <c r="Z6" i="65"/>
  <c r="AE6" i="65"/>
  <c r="AF6" i="65"/>
  <c r="AK6" i="65"/>
  <c r="AL6" i="65"/>
  <c r="AP6" i="65"/>
  <c r="AQ6" i="65"/>
  <c r="AU6" i="65"/>
  <c r="AV6" i="65"/>
  <c r="Y7" i="65"/>
  <c r="Z7" i="65"/>
  <c r="AE7" i="65"/>
  <c r="AF7" i="65"/>
  <c r="AK7" i="65"/>
  <c r="AL7" i="65"/>
  <c r="AP7" i="65"/>
  <c r="AQ7" i="65"/>
  <c r="AU7" i="65"/>
  <c r="AV7" i="65"/>
  <c r="Y8" i="65"/>
  <c r="Z8" i="65"/>
  <c r="AE8" i="65"/>
  <c r="AF8" i="65"/>
  <c r="AK8" i="65"/>
  <c r="AL8" i="65"/>
  <c r="AP8" i="65"/>
  <c r="AQ8" i="65"/>
  <c r="AU8" i="65"/>
  <c r="AV8" i="65"/>
  <c r="Y9" i="65"/>
  <c r="Z9" i="65"/>
  <c r="AE9" i="65"/>
  <c r="AF9" i="65"/>
  <c r="AK9" i="65"/>
  <c r="AL9" i="65"/>
  <c r="AP9" i="65"/>
  <c r="AQ9" i="65"/>
  <c r="AU9" i="65"/>
  <c r="AV9" i="65"/>
  <c r="Y10" i="65"/>
  <c r="Z10" i="65"/>
  <c r="AE10" i="65"/>
  <c r="AF10" i="65"/>
  <c r="Y11" i="65"/>
  <c r="Z11" i="65"/>
  <c r="AE11" i="65"/>
  <c r="AF11" i="65"/>
  <c r="Y12" i="65"/>
  <c r="Z12" i="65"/>
  <c r="AE12" i="65"/>
  <c r="AF12" i="65"/>
  <c r="Y13" i="65"/>
  <c r="Z13" i="65"/>
  <c r="AE13" i="65"/>
  <c r="AF13" i="65"/>
  <c r="Z14" i="65"/>
  <c r="AF14" i="65"/>
  <c r="Z15" i="65"/>
  <c r="AF15" i="65"/>
  <c r="Z16" i="65"/>
  <c r="AF16" i="65"/>
  <c r="Z17" i="65"/>
  <c r="AF17" i="65"/>
  <c r="Z18" i="65"/>
  <c r="AF18" i="65"/>
  <c r="Z19" i="65"/>
  <c r="AF19" i="65"/>
  <c r="Z20" i="65"/>
  <c r="AF20" i="65"/>
  <c r="Z21" i="65"/>
  <c r="AF21" i="65"/>
  <c r="Z22" i="65"/>
  <c r="AF22" i="65"/>
  <c r="Z23" i="65"/>
  <c r="AF23" i="65"/>
  <c r="Z24" i="65"/>
  <c r="AF24" i="65"/>
  <c r="Z25" i="65"/>
  <c r="AF25" i="65"/>
  <c r="Y26" i="65"/>
  <c r="Z26" i="65"/>
  <c r="AE26" i="65"/>
  <c r="AF26" i="65"/>
  <c r="Y27" i="65"/>
  <c r="Z27" i="65"/>
  <c r="AE27" i="65"/>
  <c r="AF27" i="65"/>
  <c r="Y28" i="65"/>
  <c r="Z28" i="65"/>
  <c r="AE28" i="65"/>
  <c r="AF28" i="65"/>
  <c r="Y29" i="65"/>
  <c r="Z29" i="65"/>
  <c r="AE29" i="65"/>
  <c r="AF29" i="65"/>
  <c r="Y30" i="65"/>
  <c r="Z30" i="65"/>
  <c r="AE30" i="65"/>
  <c r="AF30" i="65"/>
  <c r="Y31" i="65"/>
  <c r="Z31" i="65"/>
  <c r="AE31" i="65"/>
  <c r="AF31" i="65"/>
  <c r="Y32" i="65"/>
  <c r="Z32" i="65"/>
  <c r="AE32" i="65"/>
  <c r="AF32" i="65"/>
  <c r="Y33" i="65"/>
  <c r="Z33" i="65"/>
  <c r="AE33" i="65"/>
  <c r="AF33" i="65"/>
  <c r="Y34" i="65"/>
  <c r="Z34" i="65"/>
  <c r="AE34" i="65"/>
  <c r="AF34" i="65"/>
  <c r="Y35" i="65"/>
  <c r="Z35" i="65"/>
  <c r="AE35" i="65"/>
  <c r="AF35" i="65"/>
  <c r="Y36" i="65"/>
  <c r="Z36" i="65"/>
  <c r="AE36" i="65"/>
  <c r="AF36" i="65"/>
  <c r="Y37" i="65"/>
  <c r="Z37" i="65"/>
  <c r="AE37" i="65"/>
  <c r="AF37" i="65"/>
  <c r="Z38" i="65"/>
  <c r="AA38" i="65"/>
  <c r="AF38" i="65"/>
  <c r="AG38" i="65"/>
  <c r="Z39" i="65"/>
  <c r="AA39" i="65"/>
  <c r="AF39" i="65"/>
  <c r="AG39" i="65"/>
  <c r="Z40" i="65"/>
  <c r="AA40" i="65"/>
  <c r="AF40" i="65"/>
  <c r="AG40" i="65"/>
  <c r="Z41" i="65"/>
  <c r="AA41" i="65"/>
  <c r="AF41" i="65"/>
  <c r="AG41" i="65"/>
  <c r="Z42" i="65"/>
  <c r="AA42" i="65"/>
  <c r="AF42" i="65"/>
  <c r="AG42" i="65"/>
  <c r="Z43" i="65"/>
  <c r="AA43" i="65"/>
  <c r="AF43" i="65"/>
  <c r="AG43" i="65"/>
  <c r="Z44" i="65"/>
  <c r="AA44" i="65"/>
  <c r="AF44" i="65"/>
  <c r="AG44" i="65"/>
  <c r="Z45" i="65"/>
  <c r="AA45" i="65"/>
  <c r="AF45" i="65"/>
  <c r="AG45" i="65"/>
  <c r="Z46" i="65"/>
  <c r="AA46" i="65"/>
  <c r="AF46" i="65"/>
  <c r="AG46" i="65"/>
  <c r="Z47" i="65"/>
  <c r="AA47" i="65"/>
  <c r="AF47" i="65"/>
  <c r="AG47" i="65"/>
  <c r="Z48" i="65"/>
  <c r="AA48" i="65"/>
  <c r="AF48" i="65"/>
  <c r="AG48" i="65"/>
  <c r="Z49" i="65"/>
  <c r="AA49" i="65"/>
  <c r="AF49" i="65"/>
  <c r="AG49" i="65"/>
  <c r="Z50" i="65"/>
  <c r="AA50" i="65"/>
  <c r="AF50" i="65"/>
  <c r="AG50" i="65"/>
  <c r="Z51" i="65"/>
  <c r="AA51" i="65"/>
  <c r="AF51" i="65"/>
  <c r="AG51" i="65"/>
  <c r="Z52" i="65"/>
  <c r="AA52" i="65"/>
  <c r="AF52" i="65"/>
  <c r="AG52" i="65"/>
  <c r="Z53" i="65"/>
  <c r="AA53" i="65"/>
  <c r="AF53" i="65"/>
  <c r="AG53" i="65"/>
  <c r="Z54" i="65"/>
  <c r="AA54" i="65"/>
  <c r="AF54" i="65"/>
  <c r="AG54" i="65"/>
  <c r="Z55" i="65"/>
  <c r="AA55" i="65"/>
  <c r="AF55" i="65"/>
  <c r="AG55" i="65"/>
  <c r="Z56" i="65"/>
  <c r="AA56" i="65"/>
  <c r="AF56" i="65"/>
  <c r="AG56" i="65"/>
  <c r="Z57" i="65"/>
  <c r="AA57" i="65"/>
  <c r="AF57" i="65"/>
  <c r="AG57" i="65"/>
  <c r="Z58" i="65"/>
  <c r="AA58" i="65"/>
  <c r="AF58" i="65"/>
  <c r="AG58" i="65"/>
  <c r="Z59" i="65"/>
  <c r="AA59" i="65"/>
  <c r="AF59" i="65"/>
  <c r="AG59" i="65"/>
  <c r="Z60" i="65"/>
  <c r="AA60" i="65"/>
  <c r="AF60" i="65"/>
  <c r="AG60" i="65"/>
  <c r="Z61" i="65"/>
  <c r="AA61" i="65"/>
  <c r="AF61" i="65"/>
  <c r="AG61" i="65"/>
  <c r="Y62" i="65"/>
  <c r="AE62" i="65"/>
  <c r="Y63" i="65"/>
  <c r="AE63" i="65"/>
  <c r="Y64" i="65"/>
  <c r="AE64" i="65"/>
  <c r="Y65" i="65"/>
  <c r="AE65" i="65"/>
  <c r="Y66" i="65"/>
  <c r="AE66" i="65"/>
  <c r="Y67" i="65"/>
  <c r="AE67" i="65"/>
  <c r="Y68" i="65"/>
  <c r="AE68" i="65"/>
  <c r="Y69" i="65"/>
  <c r="AE69" i="65"/>
  <c r="Y70" i="65"/>
  <c r="AE70" i="65"/>
  <c r="Y71" i="65"/>
  <c r="AE71" i="65"/>
  <c r="Y72" i="65"/>
  <c r="AE72" i="65"/>
  <c r="Y73" i="65"/>
  <c r="AE73" i="65"/>
  <c r="Y74" i="65"/>
  <c r="AE74" i="65"/>
  <c r="Y75" i="65"/>
  <c r="AE75" i="65"/>
  <c r="Y76" i="65"/>
  <c r="AE76" i="65"/>
  <c r="Y77" i="65"/>
  <c r="AE77" i="65"/>
  <c r="Y78" i="65"/>
  <c r="AE78" i="65"/>
  <c r="Y79" i="65"/>
  <c r="AE79" i="65"/>
  <c r="Y80" i="65"/>
  <c r="AE80" i="65"/>
  <c r="Y81" i="65"/>
  <c r="AE81" i="65"/>
  <c r="Y82" i="65"/>
  <c r="AE82" i="65"/>
  <c r="Y83" i="65"/>
  <c r="AE83" i="65"/>
  <c r="Y84" i="65"/>
  <c r="AE84" i="65"/>
  <c r="Y85" i="65"/>
  <c r="AE85" i="65"/>
  <c r="Z86" i="65"/>
  <c r="AA86" i="65"/>
  <c r="AF86" i="65"/>
  <c r="AG86" i="65"/>
  <c r="Z87" i="65"/>
  <c r="AA87" i="65"/>
  <c r="AF87" i="65"/>
  <c r="AG87" i="65"/>
  <c r="Z88" i="65"/>
  <c r="AA88" i="65"/>
  <c r="AF88" i="65"/>
  <c r="AG88" i="65"/>
  <c r="Z89" i="65"/>
  <c r="AA89" i="65"/>
  <c r="AF89" i="65"/>
  <c r="AG89" i="65"/>
  <c r="Z90" i="65"/>
  <c r="AA90" i="65"/>
  <c r="AF90" i="65"/>
  <c r="AG90" i="65"/>
  <c r="Z91" i="65"/>
  <c r="AA91" i="65"/>
  <c r="AF91" i="65"/>
  <c r="AG91" i="65"/>
  <c r="Z92" i="65"/>
  <c r="AA92" i="65"/>
  <c r="AF92" i="65"/>
  <c r="AG92" i="65"/>
  <c r="Z93" i="65"/>
  <c r="AA93" i="65"/>
  <c r="AF93" i="65"/>
  <c r="AG93" i="65"/>
  <c r="Z94" i="65"/>
  <c r="AA94" i="65"/>
  <c r="AF94" i="65"/>
  <c r="AG94" i="65"/>
  <c r="Z95" i="65"/>
  <c r="AA95" i="65"/>
  <c r="AF95" i="65"/>
  <c r="AG95" i="65"/>
  <c r="Z96" i="65"/>
  <c r="AA96" i="65"/>
  <c r="AF96" i="65"/>
  <c r="AG96" i="65"/>
  <c r="Z97" i="65"/>
  <c r="AA97" i="65"/>
  <c r="AF97" i="65"/>
  <c r="AG97" i="65"/>
  <c r="Z98" i="65"/>
  <c r="AA98" i="65"/>
  <c r="AF98" i="65"/>
  <c r="AG98" i="65"/>
  <c r="Z99" i="65"/>
  <c r="AA99" i="65"/>
  <c r="AF99" i="65"/>
  <c r="AG99" i="65"/>
  <c r="Z100" i="65"/>
  <c r="AA100" i="65"/>
  <c r="AF100" i="65"/>
  <c r="AG100" i="65"/>
  <c r="Z101" i="65"/>
  <c r="AA101" i="65"/>
  <c r="AF101" i="65"/>
  <c r="AG101" i="65"/>
  <c r="Z102" i="65"/>
  <c r="AA102" i="65"/>
  <c r="AF102" i="65"/>
  <c r="AG102" i="65"/>
  <c r="Z103" i="65"/>
  <c r="AA103" i="65"/>
  <c r="AF103" i="65"/>
  <c r="AG103" i="65"/>
  <c r="Z104" i="65"/>
  <c r="AA104" i="65"/>
  <c r="AF104" i="65"/>
  <c r="AG104" i="65"/>
  <c r="Z105" i="65"/>
  <c r="AA105" i="65"/>
  <c r="AF105" i="65"/>
  <c r="AG105" i="65"/>
  <c r="Z106" i="65"/>
  <c r="AA106" i="65"/>
  <c r="AF106" i="65"/>
  <c r="AG106" i="65"/>
  <c r="Z107" i="65"/>
  <c r="AA107" i="65"/>
  <c r="AF107" i="65"/>
  <c r="AG107" i="65"/>
  <c r="Z108" i="65"/>
  <c r="AA108" i="65"/>
  <c r="AF108" i="65"/>
  <c r="AG108" i="65"/>
  <c r="Z109" i="65"/>
  <c r="AA109" i="65"/>
  <c r="AF109" i="65"/>
  <c r="AG109" i="65"/>
  <c r="Z110" i="65"/>
  <c r="AF110" i="65"/>
  <c r="Z111" i="65"/>
  <c r="AF111" i="65"/>
  <c r="Z112" i="65"/>
  <c r="AF112" i="65"/>
  <c r="Z113" i="65"/>
  <c r="AF113" i="65"/>
  <c r="Z114" i="65"/>
  <c r="AF114" i="65"/>
  <c r="Z115" i="65"/>
  <c r="AF115" i="65"/>
  <c r="Z116" i="65"/>
  <c r="AF116" i="65"/>
  <c r="Z117" i="65"/>
  <c r="AF117" i="65"/>
  <c r="Z118" i="65"/>
  <c r="AF118" i="65"/>
  <c r="Z119" i="65"/>
  <c r="AF119" i="65"/>
  <c r="Z120" i="65"/>
  <c r="AF120" i="65"/>
  <c r="Z121" i="65"/>
  <c r="AF121" i="65"/>
  <c r="Y122" i="65"/>
  <c r="AE122" i="65"/>
  <c r="Y123" i="65"/>
  <c r="AE123" i="65"/>
  <c r="Y124" i="65"/>
  <c r="AE124" i="65"/>
  <c r="Y125" i="65"/>
  <c r="AE125" i="65"/>
  <c r="Y126" i="65"/>
  <c r="AE126" i="65"/>
  <c r="Y127" i="65"/>
  <c r="AE127" i="65"/>
  <c r="Y128" i="65"/>
  <c r="AE128" i="65"/>
  <c r="Y129" i="65"/>
  <c r="AE129" i="65"/>
  <c r="Y130" i="65"/>
  <c r="AE130" i="65"/>
  <c r="Y131" i="65"/>
  <c r="AE131" i="65"/>
  <c r="Y132" i="65"/>
  <c r="AE132" i="65"/>
  <c r="Y133" i="65"/>
  <c r="AE133" i="65"/>
  <c r="Z134" i="65"/>
  <c r="AF134" i="65"/>
  <c r="Z135" i="65"/>
  <c r="AF135" i="65"/>
  <c r="Z136" i="65"/>
  <c r="AF136" i="65"/>
  <c r="Z137" i="65"/>
  <c r="AF137" i="65"/>
  <c r="Z138" i="65"/>
  <c r="AF138" i="65"/>
  <c r="Z139" i="65"/>
  <c r="AF139" i="65"/>
  <c r="Z140" i="65"/>
  <c r="AF140" i="65"/>
  <c r="Z141" i="65"/>
  <c r="AF141" i="65"/>
  <c r="Z142" i="65"/>
  <c r="AF142" i="65"/>
  <c r="Z143" i="65"/>
  <c r="AF143" i="65"/>
  <c r="Z144" i="65"/>
  <c r="AF144" i="65"/>
  <c r="Z145" i="65"/>
  <c r="AF145" i="65"/>
  <c r="Z146" i="65"/>
  <c r="AA146" i="65"/>
  <c r="AF146" i="65"/>
  <c r="AG146" i="65"/>
  <c r="Z147" i="65"/>
  <c r="AA147" i="65"/>
  <c r="AF147" i="65"/>
  <c r="AG147" i="65"/>
  <c r="Z148" i="65"/>
  <c r="AA148" i="65"/>
  <c r="AF148" i="65"/>
  <c r="AG148" i="65"/>
  <c r="Z149" i="65"/>
  <c r="AA149" i="65"/>
  <c r="AF149" i="65"/>
  <c r="AG149" i="65"/>
  <c r="Z150" i="65"/>
  <c r="AA150" i="65"/>
  <c r="AF150" i="65"/>
  <c r="AG150" i="65"/>
  <c r="Z151" i="65"/>
  <c r="AA151" i="65"/>
  <c r="AF151" i="65"/>
  <c r="AG151" i="65"/>
  <c r="Z152" i="65"/>
  <c r="AA152" i="65"/>
  <c r="AF152" i="65"/>
  <c r="AG152" i="65"/>
  <c r="Z153" i="65"/>
  <c r="AA153" i="65"/>
  <c r="AF153" i="65"/>
  <c r="AG153" i="65"/>
  <c r="Z154" i="65"/>
  <c r="AA154" i="65"/>
  <c r="AF154" i="65"/>
  <c r="AG154" i="65"/>
  <c r="Z155" i="65"/>
  <c r="AA155" i="65"/>
  <c r="AF155" i="65"/>
  <c r="AG155" i="65"/>
  <c r="Z156" i="65"/>
  <c r="AA156" i="65"/>
  <c r="AF156" i="65"/>
  <c r="AG156" i="65"/>
  <c r="Z157" i="65"/>
  <c r="AA157" i="65"/>
  <c r="AF157" i="65"/>
  <c r="AG157" i="65"/>
  <c r="Y158" i="65"/>
  <c r="AE158" i="65"/>
  <c r="Y159" i="65"/>
  <c r="AE159" i="65"/>
  <c r="Y160" i="65"/>
  <c r="AE160" i="65"/>
  <c r="Y161" i="65"/>
  <c r="AE161" i="65"/>
  <c r="Y162" i="65"/>
  <c r="AE162" i="65"/>
  <c r="Y163" i="65"/>
  <c r="AE163" i="65"/>
  <c r="Y164" i="65"/>
  <c r="AE164" i="65"/>
  <c r="Y165" i="65"/>
  <c r="AE165" i="65"/>
  <c r="Y166" i="65"/>
  <c r="AE166" i="65"/>
  <c r="Y167" i="65"/>
  <c r="AE167" i="65"/>
  <c r="Y168" i="65"/>
  <c r="AE168" i="65"/>
  <c r="Y169" i="65"/>
  <c r="AE169" i="65"/>
  <c r="Z170" i="65"/>
  <c r="AA170" i="65"/>
  <c r="AF170" i="65"/>
  <c r="AG170" i="65"/>
  <c r="Z171" i="65"/>
  <c r="AA171" i="65"/>
  <c r="AF171" i="65"/>
  <c r="AG171" i="65"/>
  <c r="Z172" i="65"/>
  <c r="AA172" i="65"/>
  <c r="AF172" i="65"/>
  <c r="AG172" i="65"/>
  <c r="Z173" i="65"/>
  <c r="AA173" i="65"/>
  <c r="AF173" i="65"/>
  <c r="AG173" i="65"/>
  <c r="Z174" i="65"/>
  <c r="AA174" i="65"/>
  <c r="AF174" i="65"/>
  <c r="AG174" i="65"/>
  <c r="Z175" i="65"/>
  <c r="AA175" i="65"/>
  <c r="AF175" i="65"/>
  <c r="AG175" i="65"/>
  <c r="Z176" i="65"/>
  <c r="AA176" i="65"/>
  <c r="AF176" i="65"/>
  <c r="AG176" i="65"/>
  <c r="Z177" i="65"/>
  <c r="AA177" i="65"/>
  <c r="AF177" i="65"/>
  <c r="AG177" i="65"/>
  <c r="Z178" i="65"/>
  <c r="AA178" i="65"/>
  <c r="AF178" i="65"/>
  <c r="AG178" i="65"/>
  <c r="Z179" i="65"/>
  <c r="AA179" i="65"/>
  <c r="AF179" i="65"/>
  <c r="AG179" i="65"/>
  <c r="Z180" i="65"/>
  <c r="AA180" i="65"/>
  <c r="AF180" i="65"/>
  <c r="AG180" i="65"/>
  <c r="Z181" i="65"/>
  <c r="AA181" i="65"/>
  <c r="AF181" i="65"/>
  <c r="AG181" i="65"/>
  <c r="Z182" i="65"/>
  <c r="AA182" i="65"/>
  <c r="AF182" i="65"/>
  <c r="AG182" i="65"/>
  <c r="Z183" i="65"/>
  <c r="AA183" i="65"/>
  <c r="AF183" i="65"/>
  <c r="AG183" i="65"/>
  <c r="Z184" i="65"/>
  <c r="AA184" i="65"/>
  <c r="AF184" i="65"/>
  <c r="AG184" i="65"/>
  <c r="Z185" i="65"/>
  <c r="AA185" i="65"/>
  <c r="AF185" i="65"/>
  <c r="AG185" i="65"/>
  <c r="Z186" i="65"/>
  <c r="AA186" i="65"/>
  <c r="AF186" i="65"/>
  <c r="AG186" i="65"/>
  <c r="Z187" i="65"/>
  <c r="AA187" i="65"/>
  <c r="AF187" i="65"/>
  <c r="AG187" i="65"/>
  <c r="Z188" i="65"/>
  <c r="AA188" i="65"/>
  <c r="AF188" i="65"/>
  <c r="AG188" i="65"/>
  <c r="Z189" i="65"/>
  <c r="AA189" i="65"/>
  <c r="AF189" i="65"/>
  <c r="AG189" i="65"/>
  <c r="Z190" i="65"/>
  <c r="AA190" i="65"/>
  <c r="AF190" i="65"/>
  <c r="AG190" i="65"/>
  <c r="Z191" i="65"/>
  <c r="AA191" i="65"/>
  <c r="AF191" i="65"/>
  <c r="AG191" i="65"/>
  <c r="Z192" i="65"/>
  <c r="AA192" i="65"/>
  <c r="AF192" i="65"/>
  <c r="AG192" i="65"/>
  <c r="Z193" i="65"/>
  <c r="AA193" i="65"/>
  <c r="AF193" i="65"/>
  <c r="AG193" i="65"/>
  <c r="Y194" i="65"/>
  <c r="AE194" i="65"/>
  <c r="Y195" i="65"/>
  <c r="AE195" i="65"/>
  <c r="Y196" i="65"/>
  <c r="AE196" i="65"/>
  <c r="Y197" i="65"/>
  <c r="AE197" i="65"/>
  <c r="Y198" i="65"/>
  <c r="AE198" i="65"/>
  <c r="Y199" i="65"/>
  <c r="AE199" i="65"/>
  <c r="Y200" i="65"/>
  <c r="AE200" i="65"/>
  <c r="Y201" i="65"/>
  <c r="AE201" i="65"/>
  <c r="Y202" i="65"/>
  <c r="AE202" i="65"/>
  <c r="Y203" i="65"/>
  <c r="AE203" i="65"/>
  <c r="Y204" i="65"/>
  <c r="AE204" i="65"/>
  <c r="Y205" i="65"/>
  <c r="AE205" i="65"/>
  <c r="Z206" i="65"/>
  <c r="AA206" i="65"/>
  <c r="AF206" i="65"/>
  <c r="AG206" i="65"/>
  <c r="Z207" i="65"/>
  <c r="AA207" i="65"/>
  <c r="AF207" i="65"/>
  <c r="AG207" i="65"/>
  <c r="Z208" i="65"/>
  <c r="AA208" i="65"/>
  <c r="AF208" i="65"/>
  <c r="AG208" i="65"/>
  <c r="Z209" i="65"/>
  <c r="AA209" i="65"/>
  <c r="AF209" i="65"/>
  <c r="AG209" i="65"/>
  <c r="Z210" i="65"/>
  <c r="AA210" i="65"/>
  <c r="AF210" i="65"/>
  <c r="AG210" i="65"/>
  <c r="Z211" i="65"/>
  <c r="AA211" i="65"/>
  <c r="AF211" i="65"/>
  <c r="AG211" i="65"/>
  <c r="Z212" i="65"/>
  <c r="AA212" i="65"/>
  <c r="AF212" i="65"/>
  <c r="AG212" i="65"/>
  <c r="Z213" i="65"/>
  <c r="AA213" i="65"/>
  <c r="AF213" i="65"/>
  <c r="AG213" i="65"/>
  <c r="Z214" i="65"/>
  <c r="AA214" i="65"/>
  <c r="AF214" i="65"/>
  <c r="AG214" i="65"/>
  <c r="Z215" i="65"/>
  <c r="AA215" i="65"/>
  <c r="AF215" i="65"/>
  <c r="AG215" i="65"/>
  <c r="Z216" i="65"/>
  <c r="AA216" i="65"/>
  <c r="AF216" i="65"/>
  <c r="AG216" i="65"/>
  <c r="Z217" i="65"/>
  <c r="AA217" i="65"/>
  <c r="AF217" i="65"/>
  <c r="AG217" i="65"/>
  <c r="Z218" i="65"/>
  <c r="AA218" i="65"/>
  <c r="AF218" i="65"/>
  <c r="AG218" i="65"/>
  <c r="Z219" i="65"/>
  <c r="AA219" i="65"/>
  <c r="AF219" i="65"/>
  <c r="AG219" i="65"/>
  <c r="Z220" i="65"/>
  <c r="AA220" i="65"/>
  <c r="AF220" i="65"/>
  <c r="AG220" i="65"/>
  <c r="Y221" i="65"/>
  <c r="AE221" i="65"/>
  <c r="Y222" i="65"/>
  <c r="AE222" i="65"/>
  <c r="Y223" i="65"/>
  <c r="AE223" i="65"/>
  <c r="Y224" i="65"/>
  <c r="AE224" i="65"/>
  <c r="Y225" i="65"/>
  <c r="AE225" i="65"/>
  <c r="Y226" i="65"/>
  <c r="AE226" i="65"/>
  <c r="Y227" i="65"/>
  <c r="AE227" i="65"/>
  <c r="Y228" i="65"/>
  <c r="AE228" i="65"/>
  <c r="Y229" i="65"/>
  <c r="AE229" i="65"/>
  <c r="Y230" i="65"/>
  <c r="AE230" i="65"/>
  <c r="Y231" i="65"/>
  <c r="AE231" i="65"/>
  <c r="Y232" i="65"/>
  <c r="AE232" i="65"/>
  <c r="Z233" i="65"/>
  <c r="AA233" i="65"/>
  <c r="AF233" i="65"/>
  <c r="AG233" i="65"/>
  <c r="Z234" i="65"/>
  <c r="AA234" i="65"/>
  <c r="AF234" i="65"/>
  <c r="AG234" i="65"/>
  <c r="Z235" i="65"/>
  <c r="AA235" i="65"/>
  <c r="AF235" i="65"/>
  <c r="AG235" i="65"/>
  <c r="Z236" i="65"/>
  <c r="AA236" i="65"/>
  <c r="AF236" i="65"/>
  <c r="AG236" i="65"/>
  <c r="Z237" i="65"/>
  <c r="AA237" i="65"/>
  <c r="AF237" i="65"/>
  <c r="AG237" i="65"/>
  <c r="Z238" i="65"/>
  <c r="AA238" i="65"/>
  <c r="AF238" i="65"/>
  <c r="AG238" i="65"/>
  <c r="Z239" i="65"/>
  <c r="AA239" i="65"/>
  <c r="AF239" i="65"/>
  <c r="AG239" i="65"/>
  <c r="Z240" i="65"/>
  <c r="AA240" i="65"/>
  <c r="AF240" i="65"/>
  <c r="AG240" i="65"/>
  <c r="Z241" i="65"/>
  <c r="AA241" i="65"/>
  <c r="AF241" i="65"/>
  <c r="AG241" i="65"/>
  <c r="Z242" i="65"/>
  <c r="AA242" i="65"/>
  <c r="AF242" i="65"/>
  <c r="AG242" i="65"/>
  <c r="Z243" i="65"/>
  <c r="AA243" i="65"/>
  <c r="AF243" i="65"/>
  <c r="AG243" i="65"/>
  <c r="Z244" i="65"/>
  <c r="AA244" i="65"/>
  <c r="AF244" i="65"/>
  <c r="AG244" i="65"/>
  <c r="Z245" i="65"/>
  <c r="AA245" i="65"/>
  <c r="AF245" i="65"/>
  <c r="AG245" i="65"/>
  <c r="Z246" i="65"/>
  <c r="AA246" i="65"/>
  <c r="AF246" i="65"/>
  <c r="AG246" i="65"/>
  <c r="Z247" i="65"/>
  <c r="AA247" i="65"/>
  <c r="AF247" i="65"/>
  <c r="AG247" i="65"/>
  <c r="Z248" i="65"/>
  <c r="AA248" i="65"/>
  <c r="AF248" i="65"/>
  <c r="AG248" i="65"/>
  <c r="Z249" i="65"/>
  <c r="AA249" i="65"/>
  <c r="AF249" i="65"/>
  <c r="AG249" i="65"/>
  <c r="Z250" i="65"/>
  <c r="AA250" i="65"/>
  <c r="AF250" i="65"/>
  <c r="AG250" i="65"/>
  <c r="Z251" i="65"/>
  <c r="AA251" i="65"/>
  <c r="AF251" i="65"/>
  <c r="AG251" i="65"/>
  <c r="Z252" i="65"/>
  <c r="AA252" i="65"/>
  <c r="AF252" i="65"/>
  <c r="AG252" i="65"/>
  <c r="Z253" i="65"/>
  <c r="AA253" i="65"/>
  <c r="AF253" i="65"/>
  <c r="AG253" i="65"/>
  <c r="Z254" i="65"/>
  <c r="AA254" i="65"/>
  <c r="AF254" i="65"/>
  <c r="AG254" i="65"/>
  <c r="Z255" i="65"/>
  <c r="AA255" i="65"/>
  <c r="AF255" i="65"/>
  <c r="AG255" i="65"/>
  <c r="Z256" i="65"/>
  <c r="AA256" i="65"/>
  <c r="AF256" i="65"/>
  <c r="AG256" i="65"/>
  <c r="Z257" i="65"/>
  <c r="AA257" i="65"/>
  <c r="AF257" i="65"/>
  <c r="AG257" i="65"/>
  <c r="Z258" i="65"/>
  <c r="AA258" i="65"/>
  <c r="AF258" i="65"/>
  <c r="AG258" i="65"/>
  <c r="Z259" i="65"/>
  <c r="AA259" i="65"/>
  <c r="AF259" i="65"/>
  <c r="AG259" i="65"/>
  <c r="Z260" i="65"/>
  <c r="AA260" i="65"/>
  <c r="AF260" i="65"/>
  <c r="AG260" i="65"/>
  <c r="Z261" i="65"/>
  <c r="AA261" i="65"/>
  <c r="AF261" i="65"/>
  <c r="AG261" i="65"/>
  <c r="Z262" i="65"/>
  <c r="AA262" i="65"/>
  <c r="AF262" i="65"/>
  <c r="AG262" i="65"/>
  <c r="Z263" i="65"/>
  <c r="AA263" i="65"/>
  <c r="AF263" i="65"/>
  <c r="AG263" i="65"/>
  <c r="Z264" i="65"/>
  <c r="AA264" i="65"/>
  <c r="AF264" i="65"/>
  <c r="AG264" i="65"/>
  <c r="Z265" i="65"/>
  <c r="AA265" i="65"/>
  <c r="AF265" i="65"/>
  <c r="AG265" i="65"/>
  <c r="Z266" i="65"/>
  <c r="AA266" i="65"/>
  <c r="AF266" i="65"/>
  <c r="AG266" i="65"/>
  <c r="Z267" i="65"/>
  <c r="AA267" i="65"/>
  <c r="AF267" i="65"/>
  <c r="AG267" i="65"/>
  <c r="Z268" i="65"/>
  <c r="AA268" i="65"/>
  <c r="AF268" i="65"/>
  <c r="AG268" i="65"/>
  <c r="Z269" i="65"/>
  <c r="AA269" i="65"/>
  <c r="AF269" i="65"/>
  <c r="AG269" i="65"/>
  <c r="Z270" i="65"/>
  <c r="AA270" i="65"/>
  <c r="AF270" i="65"/>
  <c r="AG270" i="65"/>
  <c r="Z271" i="65"/>
  <c r="AA271" i="65"/>
  <c r="AF271" i="65"/>
  <c r="AG271" i="65"/>
  <c r="Z272" i="65"/>
  <c r="AA272" i="65"/>
  <c r="AF272" i="65"/>
  <c r="AG272" i="65"/>
  <c r="Z273" i="65"/>
  <c r="AA273" i="65"/>
  <c r="AF273" i="65"/>
  <c r="AG273" i="65"/>
  <c r="Z274" i="65"/>
  <c r="AA274" i="65"/>
  <c r="AF274" i="65"/>
  <c r="AG274" i="65"/>
  <c r="Z275" i="65"/>
  <c r="AA275" i="65"/>
  <c r="AF275" i="65"/>
  <c r="AG275" i="65"/>
  <c r="Z276" i="65"/>
  <c r="AA276" i="65"/>
  <c r="AF276" i="65"/>
  <c r="AG276" i="65"/>
  <c r="Z277" i="65"/>
  <c r="AA277" i="65"/>
  <c r="AF277" i="65"/>
  <c r="AG277" i="65"/>
  <c r="Z278" i="65"/>
  <c r="AA278" i="65"/>
  <c r="AF278" i="65"/>
  <c r="AG278" i="65"/>
  <c r="Z279" i="65"/>
  <c r="AA279" i="65"/>
  <c r="AF279" i="65"/>
  <c r="AG279" i="65"/>
  <c r="Z280" i="65"/>
  <c r="AA280" i="65"/>
  <c r="AF280" i="65"/>
  <c r="AG280" i="65"/>
  <c r="Z281" i="65"/>
  <c r="AA281" i="65"/>
  <c r="AF281" i="65"/>
  <c r="AG281" i="65"/>
  <c r="Z282" i="65"/>
  <c r="AA282" i="65"/>
  <c r="AF282" i="65"/>
  <c r="AG282" i="65"/>
  <c r="Z283" i="65"/>
  <c r="AA283" i="65"/>
  <c r="AF283" i="65"/>
  <c r="AG283" i="65"/>
  <c r="Z284" i="65"/>
  <c r="AA284" i="65"/>
  <c r="AF284" i="65"/>
  <c r="AG284" i="65"/>
  <c r="Z285" i="65"/>
  <c r="AA285" i="65"/>
  <c r="AF285" i="65"/>
  <c r="AG285" i="65"/>
  <c r="Z286" i="65"/>
  <c r="AA286" i="65"/>
  <c r="AF286" i="65"/>
  <c r="AG286" i="65"/>
  <c r="Z287" i="65"/>
  <c r="AA287" i="65"/>
  <c r="AF287" i="65"/>
  <c r="AG287" i="65"/>
  <c r="Z288" i="65"/>
  <c r="AA288" i="65"/>
  <c r="AF288" i="65"/>
  <c r="AG288" i="65"/>
  <c r="Z289" i="65"/>
  <c r="AA289" i="65"/>
  <c r="AF289" i="65"/>
  <c r="AG289" i="65"/>
  <c r="Z290" i="65"/>
  <c r="AA290" i="65"/>
  <c r="AF290" i="65"/>
  <c r="AG290" i="65"/>
  <c r="Z291" i="65"/>
  <c r="AA291" i="65"/>
  <c r="AF291" i="65"/>
  <c r="AG291" i="65"/>
  <c r="Z292" i="65"/>
  <c r="AA292" i="65"/>
  <c r="AF292" i="65"/>
  <c r="AG292" i="65"/>
  <c r="Z293" i="65"/>
  <c r="AA293" i="65"/>
  <c r="AF293" i="65"/>
  <c r="AG293" i="65"/>
  <c r="Z294" i="65"/>
  <c r="AA294" i="65"/>
  <c r="AF294" i="65"/>
  <c r="AG294" i="65"/>
  <c r="Z295" i="65"/>
  <c r="AA295" i="65"/>
  <c r="AF295" i="65"/>
  <c r="AG295" i="65"/>
  <c r="Z296" i="65"/>
  <c r="AA296" i="65"/>
  <c r="AF296" i="65"/>
  <c r="AG296" i="65"/>
  <c r="Z297" i="65"/>
  <c r="AA297" i="65"/>
  <c r="AF297" i="65"/>
  <c r="AG297" i="65"/>
  <c r="Z298" i="65"/>
  <c r="AA298" i="65"/>
  <c r="AF298" i="65"/>
  <c r="AG298" i="65"/>
  <c r="Z299" i="65"/>
  <c r="AA299" i="65"/>
  <c r="AF299" i="65"/>
  <c r="AG299" i="65"/>
  <c r="Z300" i="65"/>
  <c r="AA300" i="65"/>
  <c r="AF300" i="65"/>
  <c r="AG300" i="65"/>
  <c r="Z301" i="65"/>
  <c r="AA301" i="65"/>
  <c r="AF301" i="65"/>
  <c r="AG301" i="65"/>
  <c r="Z302" i="65"/>
  <c r="AA302" i="65"/>
  <c r="AF302" i="65"/>
  <c r="AG302" i="65"/>
  <c r="Z303" i="65"/>
  <c r="AA303" i="65"/>
  <c r="AF303" i="65"/>
  <c r="AG303" i="65"/>
  <c r="Z304" i="65"/>
  <c r="AA304" i="65"/>
  <c r="AF304" i="65"/>
  <c r="AG304" i="65"/>
  <c r="Z305" i="65"/>
  <c r="AA305" i="65"/>
  <c r="AF305" i="65"/>
  <c r="AG305" i="65"/>
  <c r="Z306" i="65"/>
  <c r="AA306" i="65"/>
  <c r="AF306" i="65"/>
  <c r="AG306" i="65"/>
  <c r="Z307" i="65"/>
  <c r="AA307" i="65"/>
  <c r="AF307" i="65"/>
  <c r="AG307" i="65"/>
  <c r="Z308" i="65"/>
  <c r="AA308" i="65"/>
  <c r="AF308" i="65"/>
  <c r="AG308" i="65"/>
  <c r="Z309" i="65"/>
  <c r="AA309" i="65"/>
  <c r="AF309" i="65"/>
  <c r="AG309" i="65"/>
  <c r="Z310" i="65"/>
  <c r="AA310" i="65"/>
  <c r="AF310" i="65"/>
  <c r="AG310" i="65"/>
  <c r="Z311" i="65"/>
  <c r="AA311" i="65"/>
  <c r="AF311" i="65"/>
  <c r="AG311" i="65"/>
  <c r="Z312" i="65"/>
  <c r="AA312" i="65"/>
  <c r="AF312" i="65"/>
  <c r="AG312" i="65"/>
  <c r="Z313" i="65"/>
  <c r="AA313" i="65"/>
  <c r="AF313" i="65"/>
  <c r="AG313" i="65"/>
  <c r="Z314" i="65"/>
  <c r="AA314" i="65"/>
  <c r="AF314" i="65"/>
  <c r="AG314" i="65"/>
  <c r="Z315" i="65"/>
  <c r="AA315" i="65"/>
  <c r="AF315" i="65"/>
  <c r="AG315" i="65"/>
  <c r="Z316" i="65"/>
  <c r="AA316" i="65"/>
  <c r="AF316" i="65"/>
  <c r="AG316" i="65"/>
  <c r="Z317" i="65"/>
  <c r="AA317" i="65"/>
  <c r="AF317" i="65"/>
  <c r="AG317" i="65"/>
  <c r="Z318" i="65"/>
  <c r="AA318" i="65"/>
  <c r="AF318" i="65"/>
  <c r="AG318" i="65"/>
  <c r="Z319" i="65"/>
  <c r="AA319" i="65"/>
  <c r="AF319" i="65"/>
  <c r="AG319" i="65"/>
  <c r="Z320" i="65"/>
  <c r="AA320" i="65"/>
  <c r="AF320" i="65"/>
  <c r="AG320" i="65"/>
  <c r="Z321" i="65"/>
  <c r="AA321" i="65"/>
  <c r="AF321" i="65"/>
  <c r="AG321" i="65"/>
  <c r="Z322" i="65"/>
  <c r="AA322" i="65"/>
  <c r="AF322" i="65"/>
  <c r="AG322" i="65"/>
  <c r="Z323" i="65"/>
  <c r="AA323" i="65"/>
  <c r="AF323" i="65"/>
  <c r="AG323" i="65"/>
  <c r="Z324" i="65"/>
  <c r="AA324" i="65"/>
  <c r="AF324" i="65"/>
  <c r="AG324" i="65"/>
  <c r="Z325" i="65"/>
  <c r="AA325" i="65"/>
  <c r="AF325" i="65"/>
  <c r="AG325" i="65"/>
  <c r="Z326" i="65"/>
  <c r="AA326" i="65"/>
  <c r="AF326" i="65"/>
  <c r="AG326" i="65"/>
  <c r="Z327" i="65"/>
  <c r="AA327" i="65"/>
  <c r="AF327" i="65"/>
  <c r="AG327" i="65"/>
  <c r="Z328" i="65"/>
  <c r="AA328" i="65"/>
  <c r="AF328" i="65"/>
  <c r="AG328" i="65"/>
  <c r="Z329" i="65"/>
  <c r="AA329" i="65"/>
  <c r="AF329" i="65"/>
  <c r="AG329" i="65"/>
  <c r="Z330" i="65"/>
  <c r="AA330" i="65"/>
  <c r="AF330" i="65"/>
  <c r="AG330" i="65"/>
  <c r="Z331" i="65"/>
  <c r="AA331" i="65"/>
  <c r="AF331" i="65"/>
  <c r="AG331" i="65"/>
  <c r="Z332" i="65"/>
  <c r="AA332" i="65"/>
  <c r="AF332" i="65"/>
  <c r="AG332" i="65"/>
  <c r="Z333" i="65"/>
  <c r="AA333" i="65"/>
  <c r="AF333" i="65"/>
  <c r="AG333" i="65"/>
  <c r="Z334" i="65"/>
  <c r="AA334" i="65"/>
  <c r="AF334" i="65"/>
  <c r="AG334" i="65"/>
  <c r="Z335" i="65"/>
  <c r="AA335" i="65"/>
  <c r="AF335" i="65"/>
  <c r="AG335" i="65"/>
  <c r="Z336" i="65"/>
  <c r="AA336" i="65"/>
  <c r="AF336" i="65"/>
  <c r="AG336" i="65"/>
  <c r="Z337" i="65"/>
  <c r="AA337" i="65"/>
  <c r="AF337" i="65"/>
  <c r="AG337" i="65"/>
  <c r="Z338" i="65"/>
  <c r="AA338" i="65"/>
  <c r="AF338" i="65"/>
  <c r="AG338" i="65"/>
  <c r="Z339" i="65"/>
  <c r="AA339" i="65"/>
  <c r="AF339" i="65"/>
  <c r="AG339" i="65"/>
  <c r="Z340" i="65"/>
  <c r="AA340" i="65"/>
  <c r="AF340" i="65"/>
  <c r="AG340" i="65"/>
  <c r="Z341" i="65"/>
  <c r="AA341" i="65"/>
  <c r="AF341" i="65"/>
  <c r="AG341" i="65"/>
  <c r="Z342" i="65"/>
  <c r="AA342" i="65"/>
  <c r="AF342" i="65"/>
  <c r="AG342" i="65"/>
  <c r="Z343" i="65"/>
  <c r="AA343" i="65"/>
  <c r="AF343" i="65"/>
  <c r="AG343" i="65"/>
  <c r="Z344" i="65"/>
  <c r="AA344" i="65"/>
  <c r="AF344" i="65"/>
  <c r="AG344" i="65"/>
  <c r="Z345" i="65"/>
  <c r="AA345" i="65"/>
  <c r="AF345" i="65"/>
  <c r="AG345" i="65"/>
  <c r="Z346" i="65"/>
  <c r="AA346" i="65"/>
  <c r="AF346" i="65"/>
  <c r="AG346" i="65"/>
  <c r="Z347" i="65"/>
  <c r="AA347" i="65"/>
  <c r="AF347" i="65"/>
  <c r="AG347" i="65"/>
  <c r="Z348" i="65"/>
  <c r="AA348" i="65"/>
  <c r="AF348" i="65"/>
  <c r="AG348" i="65"/>
  <c r="Z349" i="65"/>
  <c r="AA349" i="65"/>
  <c r="AF349" i="65"/>
  <c r="AG349" i="65"/>
  <c r="Z350" i="65"/>
  <c r="AA350" i="65"/>
  <c r="AF350" i="65"/>
  <c r="AG350" i="65"/>
  <c r="Z351" i="65"/>
  <c r="AA351" i="65"/>
  <c r="AF351" i="65"/>
  <c r="AG351" i="65"/>
  <c r="Z352" i="65"/>
  <c r="AA352" i="65"/>
  <c r="AF352" i="65"/>
  <c r="AG352" i="65"/>
  <c r="Z353" i="65"/>
  <c r="AA353" i="65"/>
  <c r="AF353" i="65"/>
  <c r="AG353" i="65"/>
  <c r="Z354" i="65"/>
  <c r="AA354" i="65"/>
  <c r="AF354" i="65"/>
  <c r="AG354" i="65"/>
  <c r="Z355" i="65"/>
  <c r="AA355" i="65"/>
  <c r="AF355" i="65"/>
  <c r="AG355" i="65"/>
  <c r="Z356" i="65"/>
  <c r="AA356" i="65"/>
  <c r="AF356" i="65"/>
  <c r="AG356" i="65"/>
  <c r="Z357" i="65"/>
  <c r="AA357" i="65"/>
  <c r="AF357" i="65"/>
  <c r="AG357" i="65"/>
  <c r="Z358" i="65"/>
  <c r="AA358" i="65"/>
  <c r="AF358" i="65"/>
  <c r="AG358" i="65"/>
  <c r="Z359" i="65"/>
  <c r="AA359" i="65"/>
  <c r="AF359" i="65"/>
  <c r="AG359" i="65"/>
  <c r="Z360" i="65"/>
  <c r="AA360" i="65"/>
  <c r="AF360" i="65"/>
  <c r="AG360" i="65"/>
  <c r="Z361" i="65"/>
  <c r="AA361" i="65"/>
  <c r="AF361" i="65"/>
  <c r="AG361" i="65"/>
  <c r="Z362" i="65"/>
  <c r="AA362" i="65"/>
  <c r="AF362" i="65"/>
  <c r="AG362" i="65"/>
  <c r="Z363" i="65"/>
  <c r="AA363" i="65"/>
  <c r="AF363" i="65"/>
  <c r="AG363" i="65"/>
  <c r="Z364" i="65"/>
  <c r="AA364" i="65"/>
  <c r="AF364" i="65"/>
  <c r="AG364" i="65"/>
  <c r="Z365" i="65"/>
  <c r="AA365" i="65"/>
  <c r="AF365" i="65"/>
  <c r="AG365" i="65"/>
  <c r="Z366" i="65"/>
  <c r="AA366" i="65"/>
  <c r="AF366" i="65"/>
  <c r="AG366" i="65"/>
  <c r="Z367" i="65"/>
  <c r="AA367" i="65"/>
  <c r="AF367" i="65"/>
  <c r="AG367" i="65"/>
  <c r="Z368" i="65"/>
  <c r="AA368" i="65"/>
  <c r="AF368" i="65"/>
  <c r="AG368" i="65"/>
  <c r="Z369" i="65"/>
  <c r="AA369" i="65"/>
  <c r="AF369" i="65"/>
  <c r="AG369" i="65"/>
  <c r="Z370" i="65"/>
  <c r="AA370" i="65"/>
  <c r="AF370" i="65"/>
  <c r="AG370" i="65"/>
  <c r="Z371" i="65"/>
  <c r="AA371" i="65"/>
  <c r="AF371" i="65"/>
  <c r="AG371" i="65"/>
  <c r="Z372" i="65"/>
  <c r="AA372" i="65"/>
  <c r="AF372" i="65"/>
  <c r="AG372" i="65"/>
  <c r="Z373" i="65"/>
  <c r="AA373" i="65"/>
  <c r="AF373" i="65"/>
  <c r="AG373" i="65"/>
  <c r="Z374" i="65"/>
  <c r="AA374" i="65"/>
  <c r="AF374" i="65"/>
  <c r="AG374" i="65"/>
  <c r="Z375" i="65"/>
  <c r="AA375" i="65"/>
  <c r="AF375" i="65"/>
  <c r="AG375" i="65"/>
  <c r="Z376" i="65"/>
  <c r="AA376" i="65"/>
  <c r="AF376" i="65"/>
  <c r="AG376" i="65"/>
  <c r="Z377" i="65"/>
  <c r="AA377" i="65"/>
  <c r="AF377" i="65"/>
  <c r="AG377" i="65"/>
  <c r="Z378" i="65"/>
  <c r="AA378" i="65"/>
  <c r="AF378" i="65"/>
  <c r="AG378" i="65"/>
  <c r="Z379" i="65"/>
  <c r="AA379" i="65"/>
  <c r="AF379" i="65"/>
  <c r="AG379" i="65"/>
  <c r="Z380" i="65"/>
  <c r="AA380" i="65"/>
  <c r="AF380" i="65"/>
  <c r="AG380" i="65"/>
  <c r="Z381" i="65"/>
  <c r="AA381" i="65"/>
  <c r="AF381" i="65"/>
  <c r="AG381" i="65"/>
  <c r="Z382" i="65"/>
  <c r="AA382" i="65"/>
  <c r="AF382" i="65"/>
  <c r="AG382" i="65"/>
  <c r="Z383" i="65"/>
  <c r="AA383" i="65"/>
  <c r="AF383" i="65"/>
  <c r="AG383" i="65"/>
  <c r="Z384" i="65"/>
  <c r="AA384" i="65"/>
  <c r="AF384" i="65"/>
  <c r="AG384" i="65"/>
  <c r="Z385" i="65"/>
  <c r="AA385" i="65"/>
  <c r="AF385" i="65"/>
  <c r="AG385" i="65"/>
  <c r="Z386" i="65"/>
  <c r="AA386" i="65"/>
  <c r="AF386" i="65"/>
  <c r="AG386" i="65"/>
  <c r="Z387" i="65"/>
  <c r="AA387" i="65"/>
  <c r="AF387" i="65"/>
  <c r="AG387" i="65"/>
  <c r="Z388" i="65"/>
  <c r="AA388" i="65"/>
  <c r="AF388" i="65"/>
  <c r="AG388" i="65"/>
  <c r="Z389" i="65"/>
  <c r="AA389" i="65"/>
  <c r="AF389" i="65"/>
  <c r="AG389" i="65"/>
  <c r="Z390" i="65"/>
  <c r="AA390" i="65"/>
  <c r="AF390" i="65"/>
  <c r="AG390" i="65"/>
  <c r="Z391" i="65"/>
  <c r="AA391" i="65"/>
  <c r="AF391" i="65"/>
  <c r="AG391" i="65"/>
  <c r="Z392" i="65"/>
  <c r="AA392" i="65"/>
  <c r="AF392" i="65"/>
  <c r="AG392" i="65"/>
  <c r="Z393" i="65"/>
  <c r="AA393" i="65"/>
  <c r="AF393" i="65"/>
  <c r="AG393" i="65"/>
  <c r="Z394" i="65"/>
  <c r="AA394" i="65"/>
  <c r="AF394" i="65"/>
  <c r="AG394" i="65"/>
  <c r="Z395" i="65"/>
  <c r="AA395" i="65"/>
  <c r="AF395" i="65"/>
  <c r="AG395" i="65"/>
  <c r="Z396" i="65"/>
  <c r="AA396" i="65"/>
  <c r="AF396" i="65"/>
  <c r="AG396" i="65"/>
  <c r="Z397" i="65"/>
  <c r="AA397" i="65"/>
  <c r="AF397" i="65"/>
  <c r="AG397" i="65"/>
  <c r="Z398" i="65"/>
  <c r="AA398" i="65"/>
  <c r="AF398" i="65"/>
  <c r="AG398" i="65"/>
  <c r="Z399" i="65"/>
  <c r="AA399" i="65"/>
  <c r="AF399" i="65"/>
  <c r="AG399" i="65"/>
  <c r="Z400" i="65"/>
  <c r="AA400" i="65"/>
  <c r="AF400" i="65"/>
  <c r="AG400" i="65"/>
  <c r="Z401" i="65"/>
  <c r="AA401" i="65"/>
  <c r="AF401" i="65"/>
  <c r="AG401" i="65"/>
  <c r="Z402" i="65"/>
  <c r="AA402" i="65"/>
  <c r="AF402" i="65"/>
  <c r="AG402" i="65"/>
  <c r="Z403" i="65"/>
  <c r="AA403" i="65"/>
  <c r="AF403" i="65"/>
  <c r="AG403" i="65"/>
  <c r="Z404" i="65"/>
  <c r="AA404" i="65"/>
  <c r="AF404" i="65"/>
  <c r="AG404" i="65"/>
  <c r="Z405" i="65"/>
  <c r="AA405" i="65"/>
  <c r="AF405" i="65"/>
  <c r="AG405" i="65"/>
  <c r="Z406" i="65"/>
  <c r="AA406" i="65"/>
  <c r="AF406" i="65"/>
  <c r="AG406" i="65"/>
  <c r="Z407" i="65"/>
  <c r="AA407" i="65"/>
  <c r="AF407" i="65"/>
  <c r="AG407" i="65"/>
  <c r="Z408" i="65"/>
  <c r="AA408" i="65"/>
  <c r="AF408" i="65"/>
  <c r="AG408" i="65"/>
  <c r="Z409" i="65"/>
  <c r="AA409" i="65"/>
  <c r="AF409" i="65"/>
  <c r="AG409" i="65"/>
  <c r="Z410" i="65"/>
  <c r="AA410" i="65"/>
  <c r="AF410" i="65"/>
  <c r="AG410" i="65"/>
  <c r="Z411" i="65"/>
  <c r="AA411" i="65"/>
  <c r="AF411" i="65"/>
  <c r="AG411" i="65"/>
  <c r="Z412" i="65"/>
  <c r="AA412" i="65"/>
  <c r="AF412" i="65"/>
  <c r="AG412" i="65"/>
  <c r="Z413" i="65"/>
  <c r="AA413" i="65"/>
  <c r="AF413" i="65"/>
  <c r="AG413" i="65"/>
  <c r="Z414" i="65"/>
  <c r="AA414" i="65"/>
  <c r="AF414" i="65"/>
  <c r="AG414" i="65"/>
  <c r="Z415" i="65"/>
  <c r="AA415" i="65"/>
  <c r="AF415" i="65"/>
  <c r="AG415" i="65"/>
  <c r="Z416" i="65"/>
  <c r="AA416" i="65"/>
  <c r="AF416" i="65"/>
  <c r="AG416" i="65"/>
  <c r="Z417" i="65"/>
  <c r="AA417" i="65"/>
  <c r="AF417" i="65"/>
  <c r="AG417" i="65"/>
  <c r="Z418" i="65"/>
  <c r="AA418" i="65"/>
  <c r="AF418" i="65"/>
  <c r="AG418" i="65"/>
  <c r="Z419" i="65"/>
  <c r="AA419" i="65"/>
  <c r="AF419" i="65"/>
  <c r="AG419" i="65"/>
  <c r="Z420" i="65"/>
  <c r="AA420" i="65"/>
  <c r="AF420" i="65"/>
  <c r="AG420" i="65"/>
  <c r="Z421" i="65"/>
  <c r="AA421" i="65"/>
  <c r="AF421" i="65"/>
  <c r="AG421" i="65"/>
  <c r="Z422" i="65"/>
  <c r="AA422" i="65"/>
  <c r="AF422" i="65"/>
  <c r="AG422" i="65"/>
  <c r="Z423" i="65"/>
  <c r="AA423" i="65"/>
  <c r="AF423" i="65"/>
  <c r="AG423" i="65"/>
  <c r="Z424" i="65"/>
  <c r="AA424" i="65"/>
  <c r="AF424" i="65"/>
  <c r="AG424" i="65"/>
  <c r="Z425" i="65"/>
  <c r="AA425" i="65"/>
  <c r="AF425" i="65"/>
  <c r="AG425" i="65"/>
  <c r="Z426" i="65"/>
  <c r="AA426" i="65"/>
  <c r="AF426" i="65"/>
  <c r="AG426" i="65"/>
  <c r="Z427" i="65"/>
  <c r="AA427" i="65"/>
  <c r="AF427" i="65"/>
  <c r="AG427" i="65"/>
  <c r="Z428" i="65"/>
  <c r="AA428" i="65"/>
  <c r="AF428" i="65"/>
  <c r="AG428" i="65"/>
  <c r="Z429" i="65"/>
  <c r="AA429" i="65"/>
  <c r="AF429" i="65"/>
  <c r="AG429" i="65"/>
  <c r="Z430" i="65"/>
  <c r="AA430" i="65"/>
  <c r="AF430" i="65"/>
  <c r="AG430" i="65"/>
  <c r="Z431" i="65"/>
  <c r="AA431" i="65"/>
  <c r="AF431" i="65"/>
  <c r="AG431" i="65"/>
  <c r="Z432" i="65"/>
  <c r="AA432" i="65"/>
  <c r="AF432" i="65"/>
  <c r="AG432" i="65"/>
  <c r="Z433" i="65"/>
  <c r="AA433" i="65"/>
  <c r="AF433" i="65"/>
  <c r="AG433" i="65"/>
  <c r="Z434" i="65"/>
  <c r="AA434" i="65"/>
  <c r="AF434" i="65"/>
  <c r="AG434" i="65"/>
  <c r="Z435" i="65"/>
  <c r="AA435" i="65"/>
  <c r="AF435" i="65"/>
  <c r="AG435" i="65"/>
  <c r="Z436" i="65"/>
  <c r="AA436" i="65"/>
  <c r="AF436" i="65"/>
  <c r="AG436" i="65"/>
  <c r="Z437" i="65"/>
  <c r="AA437" i="65"/>
  <c r="AF437" i="65"/>
  <c r="AG437" i="65"/>
  <c r="Z438" i="65"/>
  <c r="AA438" i="65"/>
  <c r="AF438" i="65"/>
  <c r="AG438" i="65"/>
  <c r="Z439" i="65"/>
  <c r="AA439" i="65"/>
  <c r="AF439" i="65"/>
  <c r="AG439" i="65"/>
  <c r="Z440" i="65"/>
  <c r="AA440" i="65"/>
  <c r="AF440" i="65"/>
  <c r="AG440" i="65"/>
  <c r="Z441" i="65"/>
  <c r="AA441" i="65"/>
  <c r="AF441" i="65"/>
  <c r="AG441" i="65"/>
  <c r="Z442" i="65"/>
  <c r="AA442" i="65"/>
  <c r="AF442" i="65"/>
  <c r="AG442" i="65"/>
  <c r="Z443" i="65"/>
  <c r="AA443" i="65"/>
  <c r="AF443" i="65"/>
  <c r="AG443" i="65"/>
  <c r="Z444" i="65"/>
  <c r="AA444" i="65"/>
  <c r="AF444" i="65"/>
  <c r="AG444" i="65"/>
  <c r="D7" i="69"/>
  <c r="R7" i="69"/>
  <c r="S7" i="69"/>
  <c r="V7" i="69"/>
  <c r="W7" i="69"/>
  <c r="X7" i="69"/>
  <c r="D9" i="69"/>
  <c r="R9" i="69"/>
  <c r="S9" i="69"/>
  <c r="V9" i="69"/>
  <c r="W9" i="69"/>
  <c r="X9" i="69"/>
  <c r="D11" i="69"/>
  <c r="R11" i="69"/>
  <c r="S11" i="69"/>
  <c r="V11" i="69"/>
  <c r="W11" i="69"/>
  <c r="X11" i="69"/>
  <c r="D13" i="69"/>
  <c r="R13" i="69"/>
  <c r="S13" i="69"/>
  <c r="V13" i="69"/>
  <c r="W13" i="69"/>
  <c r="X13" i="69"/>
  <c r="D14" i="69"/>
  <c r="R14" i="69"/>
  <c r="S14" i="69"/>
  <c r="V14" i="69"/>
  <c r="W14" i="69"/>
  <c r="X14" i="69"/>
  <c r="D15" i="69"/>
  <c r="R15" i="69"/>
  <c r="S15" i="69"/>
  <c r="V15" i="69"/>
  <c r="W15" i="69"/>
  <c r="X15" i="69"/>
  <c r="Y2" i="58"/>
  <c r="Z2" i="58"/>
  <c r="AD2" i="58"/>
  <c r="AE2" i="58"/>
  <c r="AJ2" i="58"/>
  <c r="AK2" i="58"/>
  <c r="Y3" i="58"/>
  <c r="Z3" i="58"/>
  <c r="AD3" i="58"/>
  <c r="AE3" i="58"/>
  <c r="Y4" i="58"/>
  <c r="Z4" i="58"/>
  <c r="AD4" i="58"/>
  <c r="AE4" i="58"/>
  <c r="Y5" i="58"/>
  <c r="Z5" i="58"/>
  <c r="AD5" i="58"/>
  <c r="AE5" i="58"/>
  <c r="AJ5" i="58"/>
  <c r="AK5" i="58"/>
  <c r="Y6" i="58"/>
  <c r="Z6" i="58"/>
  <c r="AD6" i="58"/>
  <c r="AE6" i="58"/>
  <c r="AJ6" i="58"/>
  <c r="AK6" i="58"/>
  <c r="Y7" i="58"/>
  <c r="Z7" i="58"/>
  <c r="AD7" i="58"/>
  <c r="AE7" i="58"/>
  <c r="Y8" i="58"/>
  <c r="Z8" i="58"/>
  <c r="AD8" i="58"/>
  <c r="AE8" i="58"/>
  <c r="AJ8" i="58"/>
  <c r="AK8" i="58"/>
  <c r="Y9" i="58"/>
  <c r="Z9" i="58"/>
  <c r="AD9" i="58"/>
  <c r="AE9" i="58"/>
  <c r="Y10" i="58"/>
  <c r="Z10" i="58"/>
  <c r="AD10" i="58"/>
  <c r="AE10" i="58"/>
  <c r="Y11" i="58"/>
  <c r="Z11" i="58"/>
  <c r="AD11" i="58"/>
  <c r="AE11" i="58"/>
  <c r="Y12" i="58"/>
  <c r="Z12" i="58"/>
  <c r="AD12" i="58"/>
  <c r="AE12" i="58"/>
  <c r="Y13" i="58"/>
  <c r="Z13" i="58"/>
  <c r="AD13" i="58"/>
  <c r="AE13" i="58"/>
  <c r="Z14" i="58"/>
  <c r="AE14" i="58"/>
  <c r="Z15" i="58"/>
  <c r="AE15" i="58"/>
  <c r="Z16" i="58"/>
  <c r="AE16" i="58"/>
  <c r="Z17" i="58"/>
  <c r="AE17" i="58"/>
  <c r="Z18" i="58"/>
  <c r="AE18" i="58"/>
  <c r="Z19" i="58"/>
  <c r="AE19" i="58"/>
  <c r="Z20" i="58"/>
  <c r="AE20" i="58"/>
  <c r="Z21" i="58"/>
  <c r="AE21" i="58"/>
  <c r="Z22" i="58"/>
  <c r="AE22" i="58"/>
  <c r="Z23" i="58"/>
  <c r="AE23" i="58"/>
  <c r="Z24" i="58"/>
  <c r="AE24" i="58"/>
  <c r="Z25" i="58"/>
  <c r="AE25" i="58"/>
  <c r="Y26" i="58"/>
  <c r="Z26" i="58"/>
  <c r="AD26" i="58"/>
  <c r="AE26" i="58"/>
  <c r="Y27" i="58"/>
  <c r="Z27" i="58"/>
  <c r="AD27" i="58"/>
  <c r="AE27" i="58"/>
  <c r="Y28" i="58"/>
  <c r="Z28" i="58"/>
  <c r="AD28" i="58"/>
  <c r="AE28" i="58"/>
  <c r="Y29" i="58"/>
  <c r="Z29" i="58"/>
  <c r="AD29" i="58"/>
  <c r="AE29" i="58"/>
  <c r="Y30" i="58"/>
  <c r="Z30" i="58"/>
  <c r="AD30" i="58"/>
  <c r="AE30" i="58"/>
  <c r="Y31" i="58"/>
  <c r="Z31" i="58"/>
  <c r="AD31" i="58"/>
  <c r="AE31" i="58"/>
  <c r="Y32" i="58"/>
  <c r="Z32" i="58"/>
  <c r="AD32" i="58"/>
  <c r="AE32" i="58"/>
  <c r="Y33" i="58"/>
  <c r="Z33" i="58"/>
  <c r="AD33" i="58"/>
  <c r="AE33" i="58"/>
  <c r="Y34" i="58"/>
  <c r="Z34" i="58"/>
  <c r="AD34" i="58"/>
  <c r="AE34" i="58"/>
  <c r="Y35" i="58"/>
  <c r="Z35" i="58"/>
  <c r="AD35" i="58"/>
  <c r="AE35" i="58"/>
  <c r="Y36" i="58"/>
  <c r="Z36" i="58"/>
  <c r="AD36" i="58"/>
  <c r="AE36" i="58"/>
  <c r="Y37" i="58"/>
  <c r="Z37" i="58"/>
  <c r="AD37" i="58"/>
  <c r="AE37" i="58"/>
  <c r="Z38" i="58"/>
  <c r="AE38" i="58"/>
  <c r="Z39" i="58"/>
  <c r="AE39" i="58"/>
  <c r="Z40" i="58"/>
  <c r="AE40" i="58"/>
  <c r="Z41" i="58"/>
  <c r="AE41" i="58"/>
  <c r="Z42" i="58"/>
  <c r="AE42" i="58"/>
  <c r="Z43" i="58"/>
  <c r="AE43" i="58"/>
  <c r="Z44" i="58"/>
  <c r="AE44" i="58"/>
  <c r="Z45" i="58"/>
  <c r="AE45" i="58"/>
  <c r="Z46" i="58"/>
  <c r="AE46" i="58"/>
  <c r="Z47" i="58"/>
  <c r="AE47" i="58"/>
  <c r="Z48" i="58"/>
  <c r="AE48" i="58"/>
  <c r="Z49" i="58"/>
  <c r="AE49" i="58"/>
  <c r="Y50" i="58"/>
  <c r="AD50" i="58"/>
  <c r="Y51" i="58"/>
  <c r="AD51" i="58"/>
  <c r="Y52" i="58"/>
  <c r="AD52" i="58"/>
  <c r="Y53" i="58"/>
  <c r="AD53" i="58"/>
  <c r="Y54" i="58"/>
  <c r="AD54" i="58"/>
  <c r="Y55" i="58"/>
  <c r="AD55" i="58"/>
  <c r="Y56" i="58"/>
  <c r="AD56" i="58"/>
  <c r="Y57" i="58"/>
  <c r="AD57" i="58"/>
  <c r="Y58" i="58"/>
  <c r="AD58" i="58"/>
  <c r="Y59" i="58"/>
  <c r="AD59" i="58"/>
  <c r="Y60" i="58"/>
  <c r="AD60" i="58"/>
  <c r="Y61" i="58"/>
  <c r="AD61" i="58"/>
  <c r="Z62" i="58"/>
  <c r="AE62" i="58"/>
  <c r="Z63" i="58"/>
  <c r="AE63" i="58"/>
  <c r="Z64" i="58"/>
  <c r="AE64" i="58"/>
  <c r="Z65" i="58"/>
  <c r="AE65" i="58"/>
  <c r="Z66" i="58"/>
  <c r="AE66" i="58"/>
  <c r="Z67" i="58"/>
  <c r="AE67" i="58"/>
  <c r="Z68" i="58"/>
  <c r="AE68" i="58"/>
  <c r="Z69" i="58"/>
  <c r="AE69" i="58"/>
  <c r="Z70" i="58"/>
  <c r="AE70" i="58"/>
  <c r="Z71" i="58"/>
  <c r="AE71" i="58"/>
  <c r="Z72" i="58"/>
  <c r="AE72" i="58"/>
  <c r="Z73" i="58"/>
  <c r="AE73" i="58"/>
  <c r="Z74" i="58"/>
  <c r="AE74" i="58"/>
  <c r="Z75" i="58"/>
  <c r="AE75" i="58"/>
  <c r="Z76" i="58"/>
  <c r="AE76" i="58"/>
  <c r="Y77" i="58"/>
  <c r="AD77" i="58"/>
  <c r="Y78" i="58"/>
  <c r="AD78" i="58"/>
  <c r="Y79" i="58"/>
  <c r="AD79" i="58"/>
  <c r="Y80" i="58"/>
  <c r="AD80" i="58"/>
  <c r="Y81" i="58"/>
  <c r="AD81" i="58"/>
  <c r="Y82" i="58"/>
  <c r="AD82" i="58"/>
  <c r="Y83" i="58"/>
  <c r="AD83" i="58"/>
  <c r="Y84" i="58"/>
  <c r="AD84" i="58"/>
  <c r="Y85" i="58"/>
  <c r="AD85" i="58"/>
  <c r="Y86" i="58"/>
  <c r="AD86" i="58"/>
  <c r="Y87" i="58"/>
  <c r="AD87" i="58"/>
  <c r="Y88" i="58"/>
  <c r="AD88" i="58"/>
  <c r="Z89" i="58"/>
  <c r="AE89" i="58"/>
  <c r="Z90" i="58"/>
  <c r="AE90" i="58"/>
  <c r="Z91" i="58"/>
  <c r="AE91" i="58"/>
  <c r="Z92" i="58"/>
  <c r="AE92" i="58"/>
  <c r="Z93" i="58"/>
  <c r="AE93" i="58"/>
  <c r="Z94" i="58"/>
  <c r="AE94" i="58"/>
  <c r="Z95" i="58"/>
  <c r="AE95" i="58"/>
  <c r="Z96" i="58"/>
  <c r="AE96" i="58"/>
  <c r="Z97" i="58"/>
  <c r="AE97" i="58"/>
  <c r="Z98" i="58"/>
  <c r="AE98" i="58"/>
  <c r="Z99" i="58"/>
  <c r="AE99" i="58"/>
  <c r="Z100" i="58"/>
  <c r="AE100" i="58"/>
  <c r="Z101" i="58"/>
  <c r="AE101" i="58"/>
  <c r="Z102" i="58"/>
  <c r="AE102" i="58"/>
  <c r="Z103" i="58"/>
  <c r="AE103" i="58"/>
  <c r="Z104" i="58"/>
  <c r="AE104" i="58"/>
  <c r="Z105" i="58"/>
  <c r="AE105" i="58"/>
  <c r="Z106" i="58"/>
  <c r="AE106" i="58"/>
  <c r="Z107" i="58"/>
  <c r="AE107" i="58"/>
  <c r="Z108" i="58"/>
  <c r="AE108" i="58"/>
  <c r="Z109" i="58"/>
  <c r="AE109" i="58"/>
  <c r="Z110" i="58"/>
  <c r="AE110" i="58"/>
  <c r="Z111" i="58"/>
  <c r="AE111" i="58"/>
  <c r="Z112" i="58"/>
  <c r="AE112" i="58"/>
  <c r="Z113" i="58"/>
  <c r="AE113" i="58"/>
  <c r="Z114" i="58"/>
  <c r="AE114" i="58"/>
  <c r="Z115" i="58"/>
  <c r="AE115" i="58"/>
  <c r="Z116" i="58"/>
  <c r="AE116" i="58"/>
  <c r="Z117" i="58"/>
  <c r="AE117" i="58"/>
  <c r="Z118" i="58"/>
  <c r="AE118" i="58"/>
  <c r="Z119" i="58"/>
  <c r="AE119" i="58"/>
  <c r="Z120" i="58"/>
  <c r="AE120" i="58"/>
  <c r="Z121" i="58"/>
  <c r="AE121" i="58"/>
  <c r="Z122" i="58"/>
  <c r="AE122" i="58"/>
  <c r="Z123" i="58"/>
  <c r="AE123" i="58"/>
  <c r="Z124" i="58"/>
  <c r="AE124" i="58"/>
  <c r="Z125" i="58"/>
  <c r="AE125" i="58"/>
  <c r="Z126" i="58"/>
  <c r="AE126" i="58"/>
  <c r="Z127" i="58"/>
  <c r="AE127" i="58"/>
  <c r="Z128" i="58"/>
  <c r="AE128" i="58"/>
  <c r="Z129" i="58"/>
  <c r="AE129" i="58"/>
  <c r="Z130" i="58"/>
  <c r="AE130" i="58"/>
  <c r="Z131" i="58"/>
  <c r="AE131" i="58"/>
  <c r="Z132" i="58"/>
  <c r="AE132" i="58"/>
  <c r="Z133" i="58"/>
  <c r="AE133" i="58"/>
  <c r="Z134" i="58"/>
  <c r="AE134" i="58"/>
  <c r="Z135" i="58"/>
  <c r="AE135" i="58"/>
  <c r="Z136" i="58"/>
  <c r="AE136" i="58"/>
  <c r="Z137" i="58"/>
  <c r="AE137" i="58"/>
  <c r="Z138" i="58"/>
  <c r="AE138" i="58"/>
  <c r="Z139" i="58"/>
  <c r="AE139" i="58"/>
  <c r="Z140" i="58"/>
  <c r="AE140" i="58"/>
  <c r="Z141" i="58"/>
  <c r="AE141" i="58"/>
  <c r="Z142" i="58"/>
  <c r="AE142" i="58"/>
  <c r="Z143" i="58"/>
  <c r="AE143" i="58"/>
  <c r="Z144" i="58"/>
  <c r="AE144" i="58"/>
  <c r="Z145" i="58"/>
  <c r="AE145" i="58"/>
  <c r="Z146" i="58"/>
  <c r="AE146" i="58"/>
  <c r="Z147" i="58"/>
  <c r="AE147" i="58"/>
  <c r="Z148" i="58"/>
  <c r="AE148" i="58"/>
  <c r="Z149" i="58"/>
  <c r="AE149" i="58"/>
  <c r="Z150" i="58"/>
  <c r="AE150" i="58"/>
  <c r="Z151" i="58"/>
  <c r="AE151" i="58"/>
  <c r="Z152" i="58"/>
  <c r="AE152" i="58"/>
  <c r="Z153" i="58"/>
  <c r="AE153" i="58"/>
  <c r="Z154" i="58"/>
  <c r="AE154" i="58"/>
  <c r="Z155" i="58"/>
  <c r="AE155" i="58"/>
  <c r="Z156" i="58"/>
  <c r="AE156" i="58"/>
  <c r="Z157" i="58"/>
  <c r="AE157" i="58"/>
  <c r="Z158" i="58"/>
  <c r="AE158" i="58"/>
  <c r="Z159" i="58"/>
  <c r="AE159" i="58"/>
  <c r="Z160" i="58"/>
  <c r="AE160" i="58"/>
  <c r="Z161" i="58"/>
  <c r="AE161" i="58"/>
  <c r="Z162" i="58"/>
  <c r="AE162" i="58"/>
  <c r="Z163" i="58"/>
  <c r="AE163" i="58"/>
  <c r="Z164" i="58"/>
  <c r="AE164" i="58"/>
  <c r="Z165" i="58"/>
  <c r="AE165" i="58"/>
  <c r="Z166" i="58"/>
  <c r="AE166" i="58"/>
  <c r="Z167" i="58"/>
  <c r="AE167" i="58"/>
  <c r="Z168" i="58"/>
  <c r="AE168" i="58"/>
  <c r="Z169" i="58"/>
  <c r="AE169" i="58"/>
  <c r="Z170" i="58"/>
  <c r="AE170" i="58"/>
  <c r="Z171" i="58"/>
  <c r="AE171" i="58"/>
  <c r="Z172" i="58"/>
  <c r="AE172" i="58"/>
  <c r="Z173" i="58"/>
  <c r="AE173" i="58"/>
  <c r="Z174" i="58"/>
  <c r="AE174" i="58"/>
  <c r="Z175" i="58"/>
  <c r="AE175" i="58"/>
  <c r="Z176" i="58"/>
  <c r="AE176" i="58"/>
  <c r="Z177" i="58"/>
  <c r="AE177" i="58"/>
  <c r="Z178" i="58"/>
  <c r="AE178" i="58"/>
  <c r="E5" i="72"/>
  <c r="F5" i="72"/>
  <c r="H5" i="72"/>
  <c r="I5" i="72"/>
  <c r="R5" i="72"/>
  <c r="U5" i="72"/>
  <c r="E6" i="72"/>
  <c r="F6" i="72"/>
  <c r="H6" i="72"/>
  <c r="I6" i="72"/>
  <c r="R6" i="72"/>
  <c r="U6" i="72"/>
  <c r="E7" i="72"/>
  <c r="F7" i="72"/>
  <c r="H7" i="72"/>
  <c r="I7" i="72"/>
  <c r="R7" i="72"/>
  <c r="U7" i="72"/>
  <c r="E8" i="72"/>
  <c r="F8" i="72"/>
  <c r="H8" i="72"/>
  <c r="I8" i="72"/>
  <c r="R8" i="72"/>
  <c r="U8" i="72"/>
  <c r="E9" i="72"/>
  <c r="H9" i="72"/>
  <c r="R9" i="72"/>
  <c r="U9" i="72"/>
  <c r="F10" i="72"/>
  <c r="I10" i="72"/>
  <c r="R10" i="72"/>
  <c r="U10" i="72"/>
  <c r="F11" i="72"/>
  <c r="I11" i="72"/>
  <c r="R11" i="72"/>
  <c r="U11" i="72"/>
  <c r="E12" i="72"/>
  <c r="H12" i="72"/>
  <c r="R12" i="72"/>
  <c r="U12" i="72"/>
  <c r="F13" i="72"/>
  <c r="I13" i="72"/>
  <c r="R13" i="72"/>
  <c r="U13" i="72"/>
  <c r="F14" i="72"/>
  <c r="I14" i="72"/>
  <c r="R14" i="72"/>
  <c r="U14" i="72"/>
  <c r="E15" i="72"/>
  <c r="H15" i="72"/>
  <c r="R15" i="72"/>
  <c r="U15" i="72"/>
  <c r="R16" i="72"/>
  <c r="U16" i="72"/>
  <c r="R17" i="72"/>
  <c r="U17" i="72"/>
  <c r="R18" i="72"/>
  <c r="U18" i="72"/>
  <c r="R19" i="72"/>
  <c r="U19" i="72"/>
  <c r="R20" i="72"/>
  <c r="U20" i="72"/>
  <c r="R21" i="72"/>
  <c r="U21" i="72"/>
  <c r="R22" i="72"/>
  <c r="U22" i="72"/>
  <c r="R23" i="72"/>
  <c r="U23" i="72"/>
  <c r="R24" i="72"/>
  <c r="U24" i="72"/>
  <c r="R25" i="72"/>
  <c r="U25" i="72"/>
  <c r="R26" i="72"/>
  <c r="U26" i="72"/>
  <c r="R27" i="72"/>
  <c r="U27" i="72"/>
  <c r="R28" i="72"/>
  <c r="U28" i="72"/>
  <c r="R29" i="72"/>
  <c r="U29" i="72"/>
  <c r="R30" i="72"/>
  <c r="U30" i="72"/>
  <c r="R31" i="72"/>
  <c r="U31" i="72"/>
  <c r="R32" i="72"/>
  <c r="U32" i="72"/>
  <c r="R33" i="72"/>
  <c r="U33" i="72"/>
  <c r="Q34" i="72"/>
  <c r="T34" i="72"/>
  <c r="Q35" i="72"/>
  <c r="T35" i="72"/>
  <c r="G5" i="62"/>
  <c r="I5" i="62"/>
  <c r="G6" i="62"/>
  <c r="I6" i="62"/>
  <c r="G7" i="62"/>
  <c r="I7" i="62"/>
  <c r="G10" i="62"/>
  <c r="I10" i="62"/>
  <c r="G11" i="62"/>
  <c r="I11" i="62"/>
  <c r="G12" i="62"/>
  <c r="I12" i="62"/>
  <c r="D17" i="62"/>
  <c r="F17" i="62"/>
  <c r="G17" i="62"/>
  <c r="F18" i="62"/>
  <c r="G18" i="62"/>
  <c r="D19" i="62"/>
  <c r="F19" i="62"/>
  <c r="G19" i="62"/>
  <c r="D20" i="62"/>
  <c r="F20" i="62"/>
  <c r="G20" i="62"/>
  <c r="AB5" i="64"/>
  <c r="AI5" i="64"/>
  <c r="AL5" i="64"/>
  <c r="AB6" i="64"/>
  <c r="AI6" i="64"/>
  <c r="AL6" i="64"/>
  <c r="AB7" i="64"/>
  <c r="AI7" i="64"/>
  <c r="AL7" i="64"/>
  <c r="AB8" i="64"/>
  <c r="AI8" i="64"/>
  <c r="AL8" i="64"/>
  <c r="AB9" i="64"/>
  <c r="AI9" i="64"/>
  <c r="AL9" i="64"/>
  <c r="AB10" i="64"/>
  <c r="AI10" i="64"/>
  <c r="AL10" i="64"/>
  <c r="AB11" i="64"/>
  <c r="AI11" i="64"/>
  <c r="AL11" i="64"/>
  <c r="AB12" i="64"/>
  <c r="AI12" i="64"/>
  <c r="AL12" i="64"/>
  <c r="AB13" i="64"/>
  <c r="AI13" i="64"/>
  <c r="AL13" i="64"/>
  <c r="AB14" i="64"/>
  <c r="AI14" i="64"/>
  <c r="AL14" i="64"/>
  <c r="AB15" i="64"/>
  <c r="AI15" i="64"/>
  <c r="AL15" i="64"/>
  <c r="AB16" i="64"/>
  <c r="AI16" i="64"/>
  <c r="AL16" i="64"/>
  <c r="AB17" i="64"/>
  <c r="AI17" i="64"/>
  <c r="AL17" i="64"/>
  <c r="AB18" i="64"/>
  <c r="AI18" i="64"/>
  <c r="AL18" i="64"/>
  <c r="AB19" i="64"/>
  <c r="AI19" i="64"/>
  <c r="AL19" i="64"/>
  <c r="AB20" i="64"/>
  <c r="AI20" i="64"/>
  <c r="AL20" i="64"/>
  <c r="AB21" i="64"/>
  <c r="AI21" i="64"/>
  <c r="AL21" i="64"/>
  <c r="AB22" i="64"/>
  <c r="AI22" i="64"/>
  <c r="AL22" i="64"/>
  <c r="AB23" i="64"/>
  <c r="AI23" i="64"/>
  <c r="AL23" i="64"/>
  <c r="AB24" i="64"/>
  <c r="AI24" i="64"/>
  <c r="AL24" i="64"/>
  <c r="AB25" i="64"/>
  <c r="AI25" i="64"/>
  <c r="AL25" i="64"/>
  <c r="AB26" i="64"/>
  <c r="AI26" i="64"/>
  <c r="AL26" i="64"/>
  <c r="AB27" i="64"/>
  <c r="AI27" i="64"/>
  <c r="AL27" i="64"/>
  <c r="AB28" i="64"/>
  <c r="AI28" i="64"/>
  <c r="AL28" i="64"/>
  <c r="AB29" i="64"/>
  <c r="AI29" i="64"/>
  <c r="AL29" i="64"/>
  <c r="AB30" i="64"/>
  <c r="AI30" i="64"/>
  <c r="AL30" i="64"/>
  <c r="AB31" i="64"/>
  <c r="AI31" i="64"/>
  <c r="AL31" i="64"/>
  <c r="AB32" i="64"/>
  <c r="AI32" i="64"/>
  <c r="AL32" i="64"/>
  <c r="AB33" i="64"/>
  <c r="AI33" i="64"/>
  <c r="AL33" i="64"/>
  <c r="AB34" i="64"/>
  <c r="AI34" i="64"/>
  <c r="AL34" i="64"/>
  <c r="AB35" i="64"/>
  <c r="AI35" i="64"/>
  <c r="AL35" i="64"/>
  <c r="AB36" i="64"/>
  <c r="AI36" i="64"/>
  <c r="AL36" i="64"/>
  <c r="AB37" i="64"/>
  <c r="AI37" i="64"/>
  <c r="AL37" i="64"/>
  <c r="AB38" i="64"/>
  <c r="AI38" i="64"/>
  <c r="AL38" i="64"/>
  <c r="AB39" i="64"/>
  <c r="AI39" i="64"/>
  <c r="AL39" i="64"/>
  <c r="AB40" i="64"/>
  <c r="AI40" i="64"/>
  <c r="AL40" i="64"/>
  <c r="AB41" i="64"/>
  <c r="AI41" i="64"/>
  <c r="AL41" i="64"/>
  <c r="AB42" i="64"/>
  <c r="AI42" i="64"/>
  <c r="AL42" i="64"/>
  <c r="AB44" i="64"/>
  <c r="N7" i="47"/>
  <c r="AJ7" i="47"/>
  <c r="AK7" i="47"/>
  <c r="N8" i="47"/>
  <c r="AJ8" i="47"/>
  <c r="AK8" i="47"/>
  <c r="N11" i="47"/>
  <c r="AJ11" i="47"/>
  <c r="AK11" i="47"/>
  <c r="N12" i="47"/>
  <c r="AJ12" i="47"/>
  <c r="AK12" i="47"/>
  <c r="N13" i="47"/>
  <c r="AJ13" i="47"/>
  <c r="AK13" i="47"/>
  <c r="N14" i="47"/>
  <c r="AJ14" i="47"/>
  <c r="AK14" i="47"/>
  <c r="N17" i="47"/>
  <c r="AJ17" i="47"/>
  <c r="AK17" i="47"/>
  <c r="N18" i="47"/>
  <c r="AJ18" i="47"/>
  <c r="AK18" i="47"/>
  <c r="N19" i="47"/>
  <c r="AJ19" i="47"/>
  <c r="AK19" i="47"/>
  <c r="N20" i="47"/>
  <c r="AJ20" i="47"/>
  <c r="AK20" i="47"/>
  <c r="N21" i="47"/>
  <c r="AJ21" i="47"/>
  <c r="AK21" i="47"/>
  <c r="N22" i="47"/>
  <c r="AJ22" i="47"/>
  <c r="AK22" i="47"/>
  <c r="N23" i="47"/>
  <c r="AJ23" i="47"/>
  <c r="AK23" i="47"/>
  <c r="N24" i="47"/>
  <c r="AJ24" i="47"/>
  <c r="AK24" i="47"/>
  <c r="N25" i="47"/>
  <c r="AJ25" i="47"/>
  <c r="AK25" i="47"/>
  <c r="N26" i="47"/>
  <c r="AJ26" i="47"/>
  <c r="AK26" i="47"/>
  <c r="N27" i="47"/>
  <c r="AJ27" i="47"/>
  <c r="AK27" i="47"/>
  <c r="N28" i="47"/>
  <c r="AJ28" i="47"/>
  <c r="AK28" i="47"/>
  <c r="N29" i="47"/>
  <c r="AJ29" i="47"/>
  <c r="AK29" i="47"/>
  <c r="N30" i="47"/>
  <c r="AJ30" i="47"/>
  <c r="AK30" i="47"/>
  <c r="N31" i="47"/>
  <c r="AJ31" i="47"/>
  <c r="AK31" i="47"/>
  <c r="N32" i="47"/>
  <c r="AJ32" i="47"/>
  <c r="AK32" i="47"/>
  <c r="N33" i="47"/>
  <c r="AJ33" i="47"/>
  <c r="AK33" i="47"/>
  <c r="N34" i="47"/>
  <c r="AJ34" i="47"/>
  <c r="AK34" i="47"/>
  <c r="N35" i="47"/>
  <c r="AJ35" i="47"/>
  <c r="AK35" i="47"/>
  <c r="N36" i="47"/>
  <c r="AJ36" i="47"/>
  <c r="AK36" i="47"/>
  <c r="N37" i="47"/>
  <c r="AJ37" i="47"/>
  <c r="AK37" i="47"/>
  <c r="N38" i="47"/>
  <c r="AJ38" i="47"/>
  <c r="AK38" i="47"/>
  <c r="N39" i="47"/>
  <c r="AJ39" i="47"/>
  <c r="AK39" i="47"/>
  <c r="N40" i="47"/>
  <c r="AJ40" i="47"/>
  <c r="AK40" i="47"/>
  <c r="N41" i="47"/>
  <c r="AJ41" i="47"/>
  <c r="AK41" i="47"/>
  <c r="N42" i="47"/>
  <c r="AJ42" i="47"/>
  <c r="AK42" i="47"/>
  <c r="N43" i="47"/>
  <c r="AJ43" i="47"/>
  <c r="AK43" i="47"/>
  <c r="N44" i="47"/>
  <c r="AJ44" i="47"/>
  <c r="AK44" i="47"/>
  <c r="N45" i="47"/>
  <c r="AJ45" i="47"/>
  <c r="AK45" i="47"/>
  <c r="N46" i="47"/>
  <c r="AJ46" i="47"/>
  <c r="AK46" i="47"/>
  <c r="N47" i="47"/>
  <c r="AJ47" i="47"/>
  <c r="AK47" i="47"/>
  <c r="N48" i="47"/>
  <c r="AJ48" i="47"/>
  <c r="AK48" i="47"/>
  <c r="N49" i="47"/>
  <c r="AJ49" i="47"/>
  <c r="AK49" i="47"/>
  <c r="N50" i="47"/>
  <c r="AJ50" i="47"/>
  <c r="AK50" i="47"/>
  <c r="N51" i="47"/>
  <c r="AJ51" i="47"/>
  <c r="AK51" i="47"/>
  <c r="N55" i="47"/>
  <c r="AJ55" i="47"/>
  <c r="AK55" i="47"/>
  <c r="N60" i="47"/>
  <c r="AJ60" i="47"/>
  <c r="AK60" i="47"/>
  <c r="L63" i="47"/>
  <c r="N63" i="47"/>
  <c r="L64" i="47"/>
  <c r="N64" i="47"/>
  <c r="N65" i="47"/>
  <c r="L66" i="47"/>
  <c r="L67" i="47"/>
  <c r="L68" i="47"/>
  <c r="L69" i="47"/>
  <c r="L70" i="47"/>
  <c r="N5" i="67"/>
  <c r="AB5" i="67"/>
  <c r="AC5" i="67"/>
  <c r="AF5" i="67"/>
  <c r="AG5" i="67"/>
  <c r="N6" i="67"/>
  <c r="AB6" i="67"/>
  <c r="AC6" i="67"/>
  <c r="AF6" i="67"/>
  <c r="AG6" i="67"/>
  <c r="N7" i="67"/>
  <c r="AB7" i="67"/>
  <c r="AC7" i="67"/>
  <c r="AF7" i="67"/>
  <c r="AG7" i="67"/>
  <c r="N8" i="67"/>
  <c r="AB8" i="67"/>
  <c r="AC8" i="67"/>
  <c r="AF8" i="67"/>
  <c r="AG8" i="67"/>
  <c r="N9" i="67"/>
  <c r="AB9" i="67"/>
  <c r="AC9" i="67"/>
  <c r="AF9" i="67"/>
  <c r="AG9" i="67"/>
  <c r="N10" i="67"/>
  <c r="AB10" i="67"/>
  <c r="AC10" i="67"/>
  <c r="AF10" i="67"/>
  <c r="AG10" i="67"/>
  <c r="N11" i="67"/>
  <c r="AB11" i="67"/>
  <c r="AC11" i="67"/>
  <c r="AF11" i="67"/>
  <c r="AG11" i="67"/>
  <c r="N12" i="67"/>
  <c r="AB12" i="67"/>
  <c r="AC12" i="67"/>
  <c r="AF12" i="67"/>
  <c r="AG12" i="67"/>
  <c r="N13" i="67"/>
  <c r="AB13" i="67"/>
  <c r="AC13" i="67"/>
  <c r="AF13" i="67"/>
  <c r="AG13" i="67"/>
  <c r="N14" i="67"/>
  <c r="AB14" i="67"/>
  <c r="AC14" i="67"/>
  <c r="AF14" i="67"/>
  <c r="AG14" i="67"/>
  <c r="N15" i="67"/>
  <c r="AB15" i="67"/>
  <c r="AC15" i="67"/>
  <c r="AF15" i="67"/>
  <c r="AG15" i="67"/>
  <c r="N16" i="67"/>
  <c r="AB16" i="67"/>
  <c r="AC16" i="67"/>
  <c r="AF16" i="67"/>
  <c r="AG16" i="67"/>
  <c r="N17" i="67"/>
  <c r="AB17" i="67"/>
  <c r="AC17" i="67"/>
  <c r="AF17" i="67"/>
  <c r="AG17" i="67"/>
  <c r="N18" i="67"/>
  <c r="AB18" i="67"/>
  <c r="AC18" i="67"/>
  <c r="AF18" i="67"/>
  <c r="AG18" i="67"/>
  <c r="N19" i="67"/>
  <c r="AB19" i="67"/>
  <c r="AC19" i="67"/>
  <c r="AF19" i="67"/>
  <c r="AG19" i="67"/>
  <c r="N20" i="67"/>
  <c r="AB20" i="67"/>
  <c r="AC20" i="67"/>
  <c r="AF20" i="67"/>
  <c r="AG20" i="67"/>
  <c r="N21" i="67"/>
  <c r="AB21" i="67"/>
  <c r="AC21" i="67"/>
  <c r="AF21" i="67"/>
  <c r="AG21" i="67"/>
  <c r="N22" i="67"/>
  <c r="AB22" i="67"/>
  <c r="AC22" i="67"/>
  <c r="AF22" i="67"/>
  <c r="AG22" i="67"/>
  <c r="N23" i="67"/>
  <c r="AB23" i="67"/>
  <c r="AC23" i="67"/>
  <c r="AF23" i="67"/>
  <c r="AG23" i="67"/>
  <c r="N24" i="67"/>
  <c r="AB24" i="67"/>
  <c r="AC24" i="67"/>
  <c r="AF24" i="67"/>
  <c r="AG24" i="67"/>
  <c r="N25" i="67"/>
  <c r="AB25" i="67"/>
  <c r="AC25" i="67"/>
  <c r="AF25" i="67"/>
  <c r="AG25" i="67"/>
  <c r="N26" i="67"/>
  <c r="AB26" i="67"/>
  <c r="AC26" i="67"/>
  <c r="AF26" i="67"/>
  <c r="AG26" i="67"/>
  <c r="N27" i="67"/>
  <c r="AB27" i="67"/>
  <c r="AC27" i="67"/>
  <c r="AF27" i="67"/>
  <c r="AG27" i="67"/>
  <c r="N28" i="67"/>
  <c r="AB28" i="67"/>
  <c r="AC28" i="67"/>
  <c r="AF28" i="67"/>
  <c r="AG28" i="67"/>
  <c r="N29" i="67"/>
  <c r="AB29" i="67"/>
  <c r="AC29" i="67"/>
  <c r="AF29" i="67"/>
  <c r="AG29" i="67"/>
  <c r="N30" i="67"/>
  <c r="AB30" i="67"/>
  <c r="AC30" i="67"/>
  <c r="AF30" i="67"/>
  <c r="AG30" i="67"/>
  <c r="N31" i="67"/>
  <c r="AB31" i="67"/>
  <c r="AC31" i="67"/>
  <c r="AF31" i="67"/>
  <c r="AG31" i="67"/>
  <c r="N32" i="67"/>
  <c r="AB32" i="67"/>
  <c r="AC32" i="67"/>
  <c r="AF32" i="67"/>
  <c r="AG32" i="67"/>
  <c r="N33" i="67"/>
  <c r="AB33" i="67"/>
  <c r="AC33" i="67"/>
  <c r="AF33" i="67"/>
  <c r="AG33" i="67"/>
  <c r="N34" i="67"/>
  <c r="AB34" i="67"/>
  <c r="AC34" i="67"/>
  <c r="AF34" i="67"/>
  <c r="AG34" i="67"/>
  <c r="N35" i="67"/>
  <c r="AB35" i="67"/>
  <c r="AC35" i="67"/>
  <c r="AF35" i="67"/>
  <c r="AG35" i="67"/>
  <c r="N36" i="67"/>
  <c r="AB36" i="67"/>
  <c r="AC36" i="67"/>
  <c r="AF36" i="67"/>
  <c r="AG36" i="67"/>
  <c r="N37" i="67"/>
  <c r="AB37" i="67"/>
  <c r="AC37" i="67"/>
  <c r="AF37" i="67"/>
  <c r="AG37" i="67"/>
  <c r="N38" i="67"/>
  <c r="AB38" i="67"/>
  <c r="AC38" i="67"/>
  <c r="AF38" i="67"/>
  <c r="AG38" i="67"/>
  <c r="N39" i="67"/>
  <c r="AB39" i="67"/>
  <c r="AC39" i="67"/>
  <c r="AF39" i="67"/>
  <c r="AG39" i="67"/>
  <c r="N40" i="67"/>
  <c r="AB40" i="67"/>
  <c r="AC40" i="67"/>
  <c r="AF40" i="67"/>
  <c r="AG40" i="67"/>
  <c r="N41" i="67"/>
  <c r="AB41" i="67"/>
  <c r="AC41" i="67"/>
  <c r="AF41" i="67"/>
  <c r="AG41" i="67"/>
  <c r="N42" i="67"/>
  <c r="AB42" i="67"/>
  <c r="AC42" i="67"/>
  <c r="AF42" i="67"/>
  <c r="AG42" i="67"/>
  <c r="N43" i="67"/>
  <c r="AB43" i="67"/>
  <c r="AC43" i="67"/>
  <c r="AF43" i="67"/>
  <c r="AG43" i="67"/>
  <c r="N44" i="67"/>
  <c r="AB44" i="67"/>
  <c r="AC44" i="67"/>
  <c r="AF44" i="67"/>
  <c r="AG44" i="67"/>
  <c r="N45" i="67"/>
  <c r="AB45" i="67"/>
  <c r="AC45" i="67"/>
  <c r="AF45" i="67"/>
  <c r="AG45" i="67"/>
  <c r="N46" i="67"/>
  <c r="AB46" i="67"/>
  <c r="AC46" i="67"/>
  <c r="AF46" i="67"/>
  <c r="AG46" i="67"/>
  <c r="N47" i="67"/>
  <c r="AB47" i="67"/>
  <c r="AC47" i="67"/>
  <c r="AF47" i="67"/>
  <c r="AG47" i="67"/>
  <c r="N48" i="67"/>
  <c r="AB48" i="67"/>
  <c r="AC48" i="67"/>
  <c r="AF48" i="67"/>
  <c r="AG48" i="67"/>
  <c r="N49" i="67"/>
  <c r="AB49" i="67"/>
  <c r="AC49" i="67"/>
  <c r="AF49" i="67"/>
  <c r="AG49" i="67"/>
  <c r="N50" i="67"/>
  <c r="AB50" i="67"/>
  <c r="AC50" i="67"/>
  <c r="AF50" i="67"/>
  <c r="AG50" i="67"/>
  <c r="N51" i="67"/>
  <c r="AB51" i="67"/>
  <c r="AC51" i="67"/>
  <c r="AF51" i="67"/>
  <c r="AG51" i="67"/>
  <c r="N57" i="67"/>
  <c r="AB57" i="67"/>
  <c r="AC57" i="67"/>
  <c r="AF57" i="67"/>
  <c r="AG57" i="67"/>
  <c r="N58" i="67"/>
  <c r="AB58" i="67"/>
  <c r="AC58" i="67"/>
  <c r="AF58" i="67"/>
  <c r="AG58" i="67"/>
  <c r="N59" i="67"/>
  <c r="AB59" i="67"/>
  <c r="AC59" i="67"/>
  <c r="AF59" i="67"/>
  <c r="AG59" i="67"/>
  <c r="N60" i="67"/>
  <c r="AB60" i="67"/>
  <c r="AC60" i="67"/>
  <c r="AF60" i="67"/>
  <c r="AG60" i="67"/>
  <c r="N61" i="67"/>
  <c r="AB61" i="67"/>
  <c r="AC61" i="67"/>
  <c r="AF61" i="67"/>
  <c r="AG61" i="67"/>
  <c r="N62" i="67"/>
  <c r="AB62" i="67"/>
  <c r="AC62" i="67"/>
  <c r="AF62" i="67"/>
  <c r="AG62" i="67"/>
  <c r="N63" i="67"/>
  <c r="AB63" i="67"/>
  <c r="AC63" i="67"/>
  <c r="AF63" i="67"/>
  <c r="AG63" i="67"/>
  <c r="N64" i="67"/>
  <c r="AB64" i="67"/>
  <c r="AC64" i="67"/>
  <c r="AF64" i="67"/>
  <c r="AG64" i="67"/>
  <c r="N65" i="67"/>
  <c r="AB65" i="67"/>
  <c r="AC65" i="67"/>
  <c r="AF65" i="67"/>
  <c r="AG65" i="67"/>
  <c r="N66" i="67"/>
  <c r="AB66" i="67"/>
  <c r="AC66" i="67"/>
  <c r="AF66" i="67"/>
  <c r="AG66" i="67"/>
  <c r="N67" i="67"/>
  <c r="AB67" i="67"/>
  <c r="AC67" i="67"/>
  <c r="AF67" i="67"/>
  <c r="AG67" i="67"/>
  <c r="N68" i="67"/>
  <c r="AB68" i="67"/>
  <c r="AC68" i="67"/>
  <c r="AF68" i="67"/>
  <c r="AG68" i="67"/>
  <c r="N69" i="67"/>
  <c r="AB69" i="67"/>
  <c r="AC69" i="67"/>
  <c r="AF69" i="67"/>
  <c r="AG69" i="67"/>
  <c r="N70" i="67"/>
  <c r="AB70" i="67"/>
  <c r="AC70" i="67"/>
  <c r="AF70" i="67"/>
  <c r="AG70" i="67"/>
  <c r="N71" i="67"/>
  <c r="AB71" i="67"/>
  <c r="AC71" i="67"/>
  <c r="AF71" i="67"/>
  <c r="AG71" i="67"/>
  <c r="N72" i="67"/>
  <c r="AB72" i="67"/>
  <c r="AC72" i="67"/>
  <c r="AF72" i="67"/>
  <c r="AG72" i="67"/>
  <c r="N73" i="67"/>
  <c r="AB73" i="67"/>
  <c r="AC73" i="67"/>
  <c r="AF73" i="67"/>
  <c r="AG73" i="67"/>
  <c r="N74" i="67"/>
  <c r="AB74" i="67"/>
  <c r="AC74" i="67"/>
  <c r="AF74" i="67"/>
  <c r="AG74" i="67"/>
  <c r="N75" i="67"/>
  <c r="AB75" i="67"/>
  <c r="AC75" i="67"/>
  <c r="AF75" i="67"/>
  <c r="AG75" i="67"/>
  <c r="N76" i="67"/>
  <c r="AB76" i="67"/>
  <c r="AC76" i="67"/>
  <c r="AF76" i="67"/>
  <c r="AG76" i="67"/>
  <c r="N77" i="67"/>
  <c r="AB77" i="67"/>
  <c r="AC77" i="67"/>
  <c r="AF77" i="67"/>
  <c r="AG77" i="67"/>
  <c r="N78" i="67"/>
  <c r="AB78" i="67"/>
  <c r="AC78" i="67"/>
  <c r="AF78" i="67"/>
  <c r="AG78" i="67"/>
  <c r="N79" i="67"/>
  <c r="AB79" i="67"/>
  <c r="AC79" i="67"/>
  <c r="AF79" i="67"/>
  <c r="AG79" i="67"/>
  <c r="N80" i="67"/>
  <c r="AB80" i="67"/>
  <c r="AC80" i="67"/>
  <c r="AF80" i="67"/>
  <c r="AG80" i="67"/>
  <c r="N81" i="67"/>
  <c r="AB81" i="67"/>
  <c r="AC81" i="67"/>
  <c r="AF81" i="67"/>
  <c r="AG81" i="67"/>
  <c r="N82" i="67"/>
  <c r="AB82" i="67"/>
  <c r="AC82" i="67"/>
  <c r="AF82" i="67"/>
  <c r="AG82" i="67"/>
  <c r="N83" i="67"/>
  <c r="AB83" i="67"/>
  <c r="AC83" i="67"/>
  <c r="AF83" i="67"/>
  <c r="AG83" i="67"/>
  <c r="N84" i="67"/>
  <c r="AB84" i="67"/>
  <c r="AC84" i="67"/>
  <c r="AF84" i="67"/>
  <c r="AG84" i="67"/>
  <c r="N85" i="67"/>
  <c r="AB85" i="67"/>
  <c r="AC85" i="67"/>
  <c r="AF85" i="67"/>
  <c r="AG85" i="67"/>
  <c r="N86" i="67"/>
  <c r="AB86" i="67"/>
  <c r="AC86" i="67"/>
  <c r="AF86" i="67"/>
  <c r="AG86" i="67"/>
  <c r="N87" i="67"/>
  <c r="AB87" i="67"/>
  <c r="AC87" i="67"/>
  <c r="AF87" i="67"/>
  <c r="AG87" i="67"/>
  <c r="N88" i="67"/>
  <c r="AB88" i="67"/>
  <c r="AC88" i="67"/>
  <c r="AF88" i="67"/>
  <c r="AG88" i="67"/>
  <c r="N89" i="67"/>
  <c r="AB89" i="67"/>
  <c r="AC89" i="67"/>
  <c r="AF89" i="67"/>
  <c r="AG89" i="67"/>
  <c r="N90" i="67"/>
  <c r="AB90" i="67"/>
  <c r="AC90" i="67"/>
  <c r="AF90" i="67"/>
  <c r="AG90" i="67"/>
  <c r="N91" i="67"/>
  <c r="AB91" i="67"/>
  <c r="AC91" i="67"/>
  <c r="AF91" i="67"/>
  <c r="AG91" i="67"/>
  <c r="N92" i="67"/>
  <c r="AB92" i="67"/>
  <c r="AC92" i="67"/>
  <c r="AF92" i="67"/>
  <c r="AG92" i="67"/>
  <c r="N93" i="67"/>
  <c r="AB93" i="67"/>
  <c r="AC93" i="67"/>
  <c r="AF93" i="67"/>
  <c r="AG93" i="67"/>
  <c r="N94" i="67"/>
  <c r="AB94" i="67"/>
  <c r="AC94" i="67"/>
  <c r="AF94" i="67"/>
  <c r="AG94" i="67"/>
  <c r="N95" i="67"/>
  <c r="AB95" i="67"/>
  <c r="AC95" i="67"/>
  <c r="AF95" i="67"/>
  <c r="AG95" i="67"/>
  <c r="N96" i="67"/>
  <c r="AB96" i="67"/>
  <c r="AC96" i="67"/>
  <c r="AF96" i="67"/>
  <c r="AG96" i="67"/>
  <c r="N97" i="67"/>
  <c r="AB97" i="67"/>
  <c r="AC97" i="67"/>
  <c r="AF97" i="67"/>
  <c r="AG97" i="67"/>
  <c r="N98" i="67"/>
  <c r="AB98" i="67"/>
  <c r="AC98" i="67"/>
  <c r="AF98" i="67"/>
  <c r="AG98" i="67"/>
  <c r="N99" i="67"/>
  <c r="AB99" i="67"/>
  <c r="AC99" i="67"/>
  <c r="AF99" i="67"/>
  <c r="AG99" i="67"/>
  <c r="N100" i="67"/>
  <c r="AB100" i="67"/>
  <c r="AC100" i="67"/>
  <c r="AF100" i="67"/>
  <c r="AG100" i="67"/>
  <c r="N101" i="67"/>
  <c r="AB101" i="67"/>
  <c r="AC101" i="67"/>
  <c r="AF101" i="67"/>
  <c r="AG101" i="67"/>
  <c r="N102" i="67"/>
  <c r="AB102" i="67"/>
  <c r="AC102" i="67"/>
  <c r="AF102" i="67"/>
  <c r="AG102" i="67"/>
  <c r="N103" i="67"/>
  <c r="AB103" i="67"/>
  <c r="AC103" i="67"/>
  <c r="AF103" i="67"/>
  <c r="AG103" i="67"/>
  <c r="N5" i="48"/>
  <c r="T5" i="48"/>
  <c r="AJ5" i="48"/>
  <c r="AK5" i="48"/>
  <c r="AL5" i="48"/>
  <c r="AM5" i="48"/>
  <c r="N6" i="48"/>
  <c r="T6" i="48"/>
  <c r="AJ6" i="48"/>
  <c r="AK6" i="48"/>
  <c r="AL6" i="48"/>
  <c r="AM6" i="48"/>
  <c r="N7" i="48"/>
  <c r="T7" i="48"/>
  <c r="AJ7" i="48"/>
  <c r="AK7" i="48"/>
  <c r="AL7" i="48"/>
  <c r="AM7" i="48"/>
  <c r="N8" i="48"/>
  <c r="T8" i="48"/>
  <c r="AJ8" i="48"/>
  <c r="AK8" i="48"/>
  <c r="AL8" i="48"/>
  <c r="AM8" i="48"/>
  <c r="N9" i="48"/>
  <c r="T9" i="48"/>
  <c r="AJ9" i="48"/>
  <c r="AK9" i="48"/>
  <c r="AL9" i="48"/>
  <c r="AM9" i="48"/>
  <c r="N10" i="48"/>
  <c r="T10" i="48"/>
  <c r="AJ10" i="48"/>
  <c r="AK10" i="48"/>
  <c r="AL10" i="48"/>
  <c r="AM10" i="48"/>
  <c r="N11" i="48"/>
  <c r="T11" i="48"/>
  <c r="AJ11" i="48"/>
  <c r="AK11" i="48"/>
  <c r="AL11" i="48"/>
  <c r="AM11" i="48"/>
  <c r="N12" i="48"/>
  <c r="T12" i="48"/>
  <c r="AJ12" i="48"/>
  <c r="AK12" i="48"/>
  <c r="AL12" i="48"/>
  <c r="AM12" i="48"/>
  <c r="N13" i="48"/>
  <c r="T13" i="48"/>
  <c r="AJ13" i="48"/>
  <c r="AK13" i="48"/>
  <c r="AL13" i="48"/>
  <c r="AM13" i="48"/>
  <c r="N14" i="48"/>
  <c r="T14" i="48"/>
  <c r="AJ14" i="48"/>
  <c r="AK14" i="48"/>
  <c r="AL14" i="48"/>
  <c r="AM14" i="48"/>
  <c r="N15" i="48"/>
  <c r="T15" i="48"/>
  <c r="AJ15" i="48"/>
  <c r="AK15" i="48"/>
  <c r="AL15" i="48"/>
  <c r="AM15" i="48"/>
  <c r="N16" i="48"/>
  <c r="T16" i="48"/>
  <c r="AJ16" i="48"/>
  <c r="AK16" i="48"/>
  <c r="AL16" i="48"/>
  <c r="AM16" i="48"/>
  <c r="N17" i="48"/>
  <c r="T17" i="48"/>
  <c r="AJ17" i="48"/>
  <c r="AK17" i="48"/>
  <c r="AL17" i="48"/>
  <c r="AM17" i="48"/>
  <c r="N18" i="48"/>
  <c r="T18" i="48"/>
  <c r="AJ18" i="48"/>
  <c r="AK18" i="48"/>
  <c r="AL18" i="48"/>
  <c r="AM18" i="48"/>
  <c r="N19" i="48"/>
  <c r="T19" i="48"/>
  <c r="AJ19" i="48"/>
  <c r="AK19" i="48"/>
  <c r="AL19" i="48"/>
  <c r="AM19" i="48"/>
  <c r="N20" i="48"/>
  <c r="T20" i="48"/>
  <c r="AJ20" i="48"/>
  <c r="AK20" i="48"/>
  <c r="AL20" i="48"/>
  <c r="AM20" i="48"/>
  <c r="N21" i="48"/>
  <c r="T21" i="48"/>
  <c r="AJ21" i="48"/>
  <c r="AK21" i="48"/>
  <c r="AL21" i="48"/>
  <c r="AM21" i="48"/>
  <c r="N22" i="48"/>
  <c r="T22" i="48"/>
  <c r="AJ22" i="48"/>
  <c r="AK22" i="48"/>
  <c r="AL22" i="48"/>
  <c r="AM22" i="48"/>
  <c r="N23" i="48"/>
  <c r="T23" i="48"/>
  <c r="AJ23" i="48"/>
  <c r="AK23" i="48"/>
  <c r="AL23" i="48"/>
  <c r="AM23" i="48"/>
  <c r="N24" i="48"/>
  <c r="T24" i="48"/>
  <c r="AJ24" i="48"/>
  <c r="AK24" i="48"/>
  <c r="AL24" i="48"/>
  <c r="AM24" i="48"/>
  <c r="N25" i="48"/>
  <c r="T25" i="48"/>
  <c r="AJ25" i="48"/>
  <c r="AK25" i="48"/>
  <c r="AL25" i="48"/>
  <c r="AM25" i="48"/>
  <c r="N26" i="48"/>
  <c r="T26" i="48"/>
  <c r="AJ26" i="48"/>
  <c r="AK26" i="48"/>
  <c r="AL26" i="48"/>
  <c r="AM26" i="48"/>
  <c r="N27" i="48"/>
  <c r="T27" i="48"/>
  <c r="AJ27" i="48"/>
  <c r="AK27" i="48"/>
  <c r="AL27" i="48"/>
  <c r="AM27" i="48"/>
  <c r="N28" i="48"/>
  <c r="T28" i="48"/>
  <c r="AJ28" i="48"/>
  <c r="AK28" i="48"/>
  <c r="AL28" i="48"/>
  <c r="AM28" i="48"/>
  <c r="N29" i="48"/>
  <c r="T29" i="48"/>
  <c r="AJ29" i="48"/>
  <c r="AK29" i="48"/>
  <c r="AL29" i="48"/>
  <c r="AM29" i="48"/>
  <c r="N30" i="48"/>
  <c r="T30" i="48"/>
  <c r="AJ30" i="48"/>
  <c r="AK30" i="48"/>
  <c r="AL30" i="48"/>
  <c r="AM30" i="48"/>
  <c r="N31" i="48"/>
  <c r="T31" i="48"/>
  <c r="AJ31" i="48"/>
  <c r="AK31" i="48"/>
  <c r="AL31" i="48"/>
  <c r="AM31" i="48"/>
  <c r="N32" i="48"/>
  <c r="T32" i="48"/>
  <c r="AJ32" i="48"/>
  <c r="AK32" i="48"/>
  <c r="AL32" i="48"/>
  <c r="AM32" i="48"/>
  <c r="N33" i="48"/>
  <c r="T33" i="48"/>
  <c r="AJ33" i="48"/>
  <c r="AK33" i="48"/>
  <c r="AL33" i="48"/>
  <c r="AM33" i="48"/>
  <c r="N34" i="48"/>
  <c r="T34" i="48"/>
  <c r="AJ34" i="48"/>
  <c r="AK34" i="48"/>
  <c r="AL34" i="48"/>
  <c r="AM34" i="48"/>
  <c r="N35" i="48"/>
  <c r="T35" i="48"/>
  <c r="AJ35" i="48"/>
  <c r="AK35" i="48"/>
  <c r="AL35" i="48"/>
  <c r="AM35" i="48"/>
  <c r="N36" i="48"/>
  <c r="T36" i="48"/>
  <c r="AJ36" i="48"/>
  <c r="AK36" i="48"/>
  <c r="AL36" i="48"/>
  <c r="AM36" i="48"/>
  <c r="N37" i="48"/>
  <c r="T37" i="48"/>
  <c r="AJ37" i="48"/>
  <c r="AK37" i="48"/>
  <c r="AL37" i="48"/>
  <c r="AM37" i="48"/>
  <c r="N38" i="48"/>
  <c r="T38" i="48"/>
  <c r="AJ38" i="48"/>
  <c r="AK38" i="48"/>
  <c r="AL38" i="48"/>
  <c r="AM38" i="48"/>
  <c r="N39" i="48"/>
  <c r="T39" i="48"/>
  <c r="AJ39" i="48"/>
  <c r="AK39" i="48"/>
  <c r="AL39" i="48"/>
  <c r="AM39" i="48"/>
  <c r="N40" i="48"/>
  <c r="T40" i="48"/>
  <c r="AJ40" i="48"/>
  <c r="AK40" i="48"/>
  <c r="AL40" i="48"/>
  <c r="AM40" i="48"/>
  <c r="N41" i="48"/>
  <c r="T41" i="48"/>
  <c r="AJ41" i="48"/>
  <c r="AK41" i="48"/>
  <c r="AL41" i="48"/>
  <c r="AM41" i="48"/>
  <c r="N42" i="48"/>
  <c r="T42" i="48"/>
  <c r="AJ42" i="48"/>
  <c r="AK42" i="48"/>
  <c r="AL42" i="48"/>
  <c r="AM42" i="48"/>
  <c r="N43" i="48"/>
  <c r="T43" i="48"/>
  <c r="AJ43" i="48"/>
  <c r="AK43" i="48"/>
  <c r="AL43" i="48"/>
  <c r="AM43" i="48"/>
  <c r="N44" i="48"/>
  <c r="T44" i="48"/>
  <c r="AJ44" i="48"/>
  <c r="AK44" i="48"/>
  <c r="AL44" i="48"/>
  <c r="AM44" i="48"/>
  <c r="N45" i="48"/>
  <c r="T45" i="48"/>
  <c r="AJ45" i="48"/>
  <c r="AK45" i="48"/>
  <c r="AL45" i="48"/>
  <c r="AM45" i="48"/>
  <c r="N46" i="48"/>
  <c r="T46" i="48"/>
  <c r="AJ46" i="48"/>
  <c r="AK46" i="48"/>
  <c r="AL46" i="48"/>
  <c r="AM46" i="48"/>
  <c r="N47" i="48"/>
  <c r="T47" i="48"/>
  <c r="AJ47" i="48"/>
  <c r="AK47" i="48"/>
  <c r="AL47" i="48"/>
  <c r="AM47" i="48"/>
  <c r="N48" i="48"/>
  <c r="T48" i="48"/>
  <c r="AJ48" i="48"/>
  <c r="AK48" i="48"/>
  <c r="AL48" i="48"/>
  <c r="AM48" i="48"/>
  <c r="N49" i="48"/>
  <c r="T49" i="48"/>
  <c r="AJ49" i="48"/>
  <c r="AK49" i="48"/>
  <c r="AL49" i="48"/>
  <c r="AM49" i="48"/>
  <c r="N50" i="48"/>
  <c r="T50" i="48"/>
  <c r="AJ50" i="48"/>
  <c r="AK50" i="48"/>
  <c r="AL50" i="48"/>
  <c r="AM50" i="48"/>
  <c r="N51" i="48"/>
  <c r="T51" i="48"/>
  <c r="AJ51" i="48"/>
  <c r="AK51" i="48"/>
  <c r="AL51" i="48"/>
  <c r="AM51" i="48"/>
  <c r="N53" i="48"/>
  <c r="T53" i="48"/>
  <c r="AJ53" i="48"/>
  <c r="AK53" i="48"/>
  <c r="AL53" i="48"/>
  <c r="AM53" i="48"/>
  <c r="N58" i="48"/>
  <c r="AE58" i="48"/>
  <c r="AF58" i="48"/>
  <c r="AJ58" i="48"/>
  <c r="AK58" i="48"/>
  <c r="N5" i="49"/>
  <c r="T5" i="49"/>
  <c r="AE5" i="49"/>
  <c r="AF5" i="49"/>
  <c r="AG5" i="49"/>
  <c r="AJ5" i="49"/>
  <c r="AK5" i="49"/>
  <c r="AL5" i="49"/>
  <c r="AM5" i="49"/>
  <c r="AO5" i="49"/>
  <c r="AP5" i="49"/>
  <c r="N6" i="49"/>
  <c r="T6" i="49"/>
  <c r="AE6" i="49"/>
  <c r="AF6" i="49"/>
  <c r="AG6" i="49"/>
  <c r="AJ6" i="49"/>
  <c r="AK6" i="49"/>
  <c r="AL6" i="49"/>
  <c r="AM6" i="49"/>
  <c r="AO6" i="49"/>
  <c r="AP6" i="49"/>
  <c r="N7" i="49"/>
  <c r="T7" i="49"/>
  <c r="AE7" i="49"/>
  <c r="AF7" i="49"/>
  <c r="AG7" i="49"/>
  <c r="AJ7" i="49"/>
  <c r="AK7" i="49"/>
  <c r="AL7" i="49"/>
  <c r="AM7" i="49"/>
  <c r="AO7" i="49"/>
  <c r="AP7" i="49"/>
  <c r="N8" i="49"/>
  <c r="T8" i="49"/>
  <c r="AE8" i="49"/>
  <c r="AF8" i="49"/>
  <c r="AG8" i="49"/>
  <c r="AJ8" i="49"/>
  <c r="AK8" i="49"/>
  <c r="AL8" i="49"/>
  <c r="AM8" i="49"/>
  <c r="AO8" i="49"/>
  <c r="AP8" i="49"/>
  <c r="N9" i="49"/>
  <c r="T9" i="49"/>
  <c r="AE9" i="49"/>
  <c r="AF9" i="49"/>
  <c r="AG9" i="49"/>
  <c r="AJ9" i="49"/>
  <c r="AK9" i="49"/>
  <c r="AL9" i="49"/>
  <c r="AM9" i="49"/>
  <c r="AO9" i="49"/>
  <c r="AP9" i="49"/>
  <c r="N10" i="49"/>
  <c r="T10" i="49"/>
  <c r="AE10" i="49"/>
  <c r="AF10" i="49"/>
  <c r="AG10" i="49"/>
  <c r="AJ10" i="49"/>
  <c r="AK10" i="49"/>
  <c r="AL10" i="49"/>
  <c r="AM10" i="49"/>
  <c r="AO10" i="49"/>
  <c r="AP10" i="49"/>
  <c r="N11" i="49"/>
  <c r="T11" i="49"/>
  <c r="AE11" i="49"/>
  <c r="AF11" i="49"/>
  <c r="AG11" i="49"/>
  <c r="AJ11" i="49"/>
  <c r="AK11" i="49"/>
  <c r="AL11" i="49"/>
  <c r="AM11" i="49"/>
  <c r="AO11" i="49"/>
  <c r="AP11" i="49"/>
  <c r="N12" i="49"/>
  <c r="T12" i="49"/>
  <c r="AE12" i="49"/>
  <c r="AF12" i="49"/>
  <c r="AG12" i="49"/>
  <c r="AJ12" i="49"/>
  <c r="AK12" i="49"/>
  <c r="AL12" i="49"/>
  <c r="AM12" i="49"/>
  <c r="AO12" i="49"/>
  <c r="AP12" i="49"/>
  <c r="N13" i="49"/>
  <c r="T13" i="49"/>
  <c r="AE13" i="49"/>
  <c r="AF13" i="49"/>
  <c r="AG13" i="49"/>
  <c r="AJ13" i="49"/>
  <c r="AK13" i="49"/>
  <c r="AL13" i="49"/>
  <c r="AM13" i="49"/>
  <c r="AO13" i="49"/>
  <c r="AP13" i="49"/>
  <c r="N14" i="49"/>
  <c r="T14" i="49"/>
  <c r="AE14" i="49"/>
  <c r="AF14" i="49"/>
  <c r="AG14" i="49"/>
  <c r="AJ14" i="49"/>
  <c r="AK14" i="49"/>
  <c r="AL14" i="49"/>
  <c r="AM14" i="49"/>
  <c r="AO14" i="49"/>
  <c r="AP14" i="49"/>
  <c r="N15" i="49"/>
  <c r="T15" i="49"/>
  <c r="AE15" i="49"/>
  <c r="AF15" i="49"/>
  <c r="AG15" i="49"/>
  <c r="AJ15" i="49"/>
  <c r="AK15" i="49"/>
  <c r="AL15" i="49"/>
  <c r="AM15" i="49"/>
  <c r="AO15" i="49"/>
  <c r="AP15" i="49"/>
  <c r="N16" i="49"/>
  <c r="T16" i="49"/>
  <c r="AE16" i="49"/>
  <c r="AF16" i="49"/>
  <c r="AG16" i="49"/>
  <c r="AJ16" i="49"/>
  <c r="AK16" i="49"/>
  <c r="AL16" i="49"/>
  <c r="AM16" i="49"/>
  <c r="AO16" i="49"/>
  <c r="AP16" i="49"/>
  <c r="N17" i="49"/>
  <c r="T17" i="49"/>
  <c r="AE17" i="49"/>
  <c r="AF17" i="49"/>
  <c r="AG17" i="49"/>
  <c r="AJ17" i="49"/>
  <c r="AK17" i="49"/>
  <c r="AL17" i="49"/>
  <c r="AM17" i="49"/>
  <c r="AO17" i="49"/>
  <c r="AP17" i="49"/>
  <c r="N18" i="49"/>
  <c r="T18" i="49"/>
  <c r="AE18" i="49"/>
  <c r="AF18" i="49"/>
  <c r="AG18" i="49"/>
  <c r="AJ18" i="49"/>
  <c r="AK18" i="49"/>
  <c r="AL18" i="49"/>
  <c r="AM18" i="49"/>
  <c r="AO18" i="49"/>
  <c r="AP18" i="49"/>
  <c r="N19" i="49"/>
  <c r="T19" i="49"/>
  <c r="AE19" i="49"/>
  <c r="AF19" i="49"/>
  <c r="AG19" i="49"/>
  <c r="AJ19" i="49"/>
  <c r="AK19" i="49"/>
  <c r="AL19" i="49"/>
  <c r="AM19" i="49"/>
  <c r="AO19" i="49"/>
  <c r="AP19" i="49"/>
  <c r="N20" i="49"/>
  <c r="T20" i="49"/>
  <c r="AE20" i="49"/>
  <c r="AF20" i="49"/>
  <c r="AG20" i="49"/>
  <c r="AJ20" i="49"/>
  <c r="AK20" i="49"/>
  <c r="AL20" i="49"/>
  <c r="AM20" i="49"/>
  <c r="AO20" i="49"/>
  <c r="AP20" i="49"/>
  <c r="N21" i="49"/>
  <c r="T21" i="49"/>
  <c r="AE21" i="49"/>
  <c r="AF21" i="49"/>
  <c r="AG21" i="49"/>
  <c r="AJ21" i="49"/>
  <c r="AK21" i="49"/>
  <c r="AL21" i="49"/>
  <c r="AM21" i="49"/>
  <c r="AO21" i="49"/>
  <c r="AP21" i="49"/>
  <c r="N22" i="49"/>
  <c r="T22" i="49"/>
  <c r="AE22" i="49"/>
  <c r="AF22" i="49"/>
  <c r="AG22" i="49"/>
  <c r="AJ22" i="49"/>
  <c r="AK22" i="49"/>
  <c r="AL22" i="49"/>
  <c r="AM22" i="49"/>
  <c r="AO22" i="49"/>
  <c r="AP22" i="49"/>
  <c r="N23" i="49"/>
  <c r="T23" i="49"/>
  <c r="AE23" i="49"/>
  <c r="AF23" i="49"/>
  <c r="AG23" i="49"/>
  <c r="AJ23" i="49"/>
  <c r="AK23" i="49"/>
  <c r="AL23" i="49"/>
  <c r="AM23" i="49"/>
  <c r="AO23" i="49"/>
  <c r="AP23" i="49"/>
  <c r="N24" i="49"/>
  <c r="T24" i="49"/>
  <c r="AE24" i="49"/>
  <c r="AF24" i="49"/>
  <c r="AG24" i="49"/>
  <c r="AJ24" i="49"/>
  <c r="AK24" i="49"/>
  <c r="AL24" i="49"/>
  <c r="AM24" i="49"/>
  <c r="AO24" i="49"/>
  <c r="AP24" i="49"/>
  <c r="N25" i="49"/>
  <c r="T25" i="49"/>
  <c r="AE25" i="49"/>
  <c r="AF25" i="49"/>
  <c r="AG25" i="49"/>
  <c r="AJ25" i="49"/>
  <c r="AK25" i="49"/>
  <c r="AL25" i="49"/>
  <c r="AM25" i="49"/>
  <c r="AO25" i="49"/>
  <c r="AP25" i="49"/>
  <c r="N26" i="49"/>
  <c r="T26" i="49"/>
  <c r="AE26" i="49"/>
  <c r="AF26" i="49"/>
  <c r="AG26" i="49"/>
  <c r="AJ26" i="49"/>
  <c r="AK26" i="49"/>
  <c r="AL26" i="49"/>
  <c r="AM26" i="49"/>
  <c r="AO26" i="49"/>
  <c r="AP26" i="49"/>
  <c r="N27" i="49"/>
  <c r="T27" i="49"/>
  <c r="AE27" i="49"/>
  <c r="AF27" i="49"/>
  <c r="AG27" i="49"/>
  <c r="AJ27" i="49"/>
  <c r="AK27" i="49"/>
  <c r="AL27" i="49"/>
  <c r="AM27" i="49"/>
  <c r="AO27" i="49"/>
  <c r="AP27" i="49"/>
  <c r="N28" i="49"/>
  <c r="T28" i="49"/>
  <c r="AE28" i="49"/>
  <c r="AF28" i="49"/>
  <c r="AG28" i="49"/>
  <c r="AJ28" i="49"/>
  <c r="AK28" i="49"/>
  <c r="AL28" i="49"/>
  <c r="AM28" i="49"/>
  <c r="AO28" i="49"/>
  <c r="AP28" i="49"/>
  <c r="N29" i="49"/>
  <c r="T29" i="49"/>
  <c r="AE29" i="49"/>
  <c r="AF29" i="49"/>
  <c r="AG29" i="49"/>
  <c r="AJ29" i="49"/>
  <c r="AK29" i="49"/>
  <c r="AL29" i="49"/>
  <c r="AM29" i="49"/>
  <c r="AO29" i="49"/>
  <c r="AP29" i="49"/>
  <c r="N30" i="49"/>
  <c r="T30" i="49"/>
  <c r="AE30" i="49"/>
  <c r="AF30" i="49"/>
  <c r="AG30" i="49"/>
  <c r="AJ30" i="49"/>
  <c r="AK30" i="49"/>
  <c r="AL30" i="49"/>
  <c r="AM30" i="49"/>
  <c r="AO30" i="49"/>
  <c r="AP30" i="49"/>
  <c r="N31" i="49"/>
  <c r="T31" i="49"/>
  <c r="AE31" i="49"/>
  <c r="AF31" i="49"/>
  <c r="AG31" i="49"/>
  <c r="AJ31" i="49"/>
  <c r="AK31" i="49"/>
  <c r="AL31" i="49"/>
  <c r="AM31" i="49"/>
  <c r="AO31" i="49"/>
  <c r="AP31" i="49"/>
  <c r="N32" i="49"/>
  <c r="T32" i="49"/>
  <c r="AE32" i="49"/>
  <c r="AF32" i="49"/>
  <c r="AG32" i="49"/>
  <c r="AJ32" i="49"/>
  <c r="AK32" i="49"/>
  <c r="AL32" i="49"/>
  <c r="AM32" i="49"/>
  <c r="AO32" i="49"/>
  <c r="AP32" i="49"/>
  <c r="N33" i="49"/>
  <c r="T33" i="49"/>
  <c r="AE33" i="49"/>
  <c r="AF33" i="49"/>
  <c r="AG33" i="49"/>
  <c r="AJ33" i="49"/>
  <c r="AK33" i="49"/>
  <c r="AL33" i="49"/>
  <c r="AM33" i="49"/>
  <c r="AO33" i="49"/>
  <c r="AP33" i="49"/>
  <c r="N34" i="49"/>
  <c r="T34" i="49"/>
  <c r="AE34" i="49"/>
  <c r="AF34" i="49"/>
  <c r="AG34" i="49"/>
  <c r="AJ34" i="49"/>
  <c r="AK34" i="49"/>
  <c r="AL34" i="49"/>
  <c r="AM34" i="49"/>
  <c r="AO34" i="49"/>
  <c r="AP34" i="49"/>
  <c r="N35" i="49"/>
  <c r="T35" i="49"/>
  <c r="AE35" i="49"/>
  <c r="AF35" i="49"/>
  <c r="AG35" i="49"/>
  <c r="AJ35" i="49"/>
  <c r="AK35" i="49"/>
  <c r="AL35" i="49"/>
  <c r="AM35" i="49"/>
  <c r="AO35" i="49"/>
  <c r="AP35" i="49"/>
  <c r="N36" i="49"/>
  <c r="T36" i="49"/>
  <c r="AE36" i="49"/>
  <c r="AF36" i="49"/>
  <c r="AG36" i="49"/>
  <c r="AJ36" i="49"/>
  <c r="AK36" i="49"/>
  <c r="AL36" i="49"/>
  <c r="AM36" i="49"/>
  <c r="AO36" i="49"/>
  <c r="AP36" i="49"/>
  <c r="N37" i="49"/>
  <c r="T37" i="49"/>
  <c r="AE37" i="49"/>
  <c r="AF37" i="49"/>
  <c r="AG37" i="49"/>
  <c r="AJ37" i="49"/>
  <c r="AK37" i="49"/>
  <c r="AL37" i="49"/>
  <c r="AM37" i="49"/>
  <c r="AO37" i="49"/>
  <c r="AP37" i="49"/>
  <c r="N38" i="49"/>
  <c r="T38" i="49"/>
  <c r="AE38" i="49"/>
  <c r="AF38" i="49"/>
  <c r="AG38" i="49"/>
  <c r="AJ38" i="49"/>
  <c r="AK38" i="49"/>
  <c r="AL38" i="49"/>
  <c r="AM38" i="49"/>
  <c r="AO38" i="49"/>
  <c r="AP38" i="49"/>
  <c r="N39" i="49"/>
  <c r="T39" i="49"/>
  <c r="AE39" i="49"/>
  <c r="AF39" i="49"/>
  <c r="AG39" i="49"/>
  <c r="AJ39" i="49"/>
  <c r="AK39" i="49"/>
  <c r="AL39" i="49"/>
  <c r="AM39" i="49"/>
  <c r="AO39" i="49"/>
  <c r="AP39" i="49"/>
  <c r="N40" i="49"/>
  <c r="T40" i="49"/>
  <c r="AE40" i="49"/>
  <c r="AF40" i="49"/>
  <c r="AG40" i="49"/>
  <c r="AJ40" i="49"/>
  <c r="AK40" i="49"/>
  <c r="AL40" i="49"/>
  <c r="AM40" i="49"/>
  <c r="AO40" i="49"/>
  <c r="AP40" i="49"/>
  <c r="N41" i="49"/>
  <c r="T41" i="49"/>
  <c r="AE41" i="49"/>
  <c r="AF41" i="49"/>
  <c r="AG41" i="49"/>
  <c r="AJ41" i="49"/>
  <c r="AK41" i="49"/>
  <c r="AL41" i="49"/>
  <c r="AM41" i="49"/>
  <c r="AO41" i="49"/>
  <c r="AP41" i="49"/>
  <c r="N42" i="49"/>
  <c r="T42" i="49"/>
  <c r="AE42" i="49"/>
  <c r="AF42" i="49"/>
  <c r="AG42" i="49"/>
  <c r="AJ42" i="49"/>
  <c r="AK42" i="49"/>
  <c r="AL42" i="49"/>
  <c r="AM42" i="49"/>
  <c r="AO42" i="49"/>
  <c r="AP42" i="49"/>
  <c r="N43" i="49"/>
  <c r="T43" i="49"/>
  <c r="AE43" i="49"/>
  <c r="AF43" i="49"/>
  <c r="AG43" i="49"/>
  <c r="AJ43" i="49"/>
  <c r="AK43" i="49"/>
  <c r="AL43" i="49"/>
  <c r="AM43" i="49"/>
  <c r="AO43" i="49"/>
  <c r="AP43" i="49"/>
  <c r="N44" i="49"/>
  <c r="T44" i="49"/>
  <c r="AE44" i="49"/>
  <c r="AF44" i="49"/>
  <c r="AG44" i="49"/>
  <c r="AJ44" i="49"/>
  <c r="AK44" i="49"/>
  <c r="AL44" i="49"/>
  <c r="AM44" i="49"/>
  <c r="AO44" i="49"/>
  <c r="AP44" i="49"/>
  <c r="N45" i="49"/>
  <c r="T45" i="49"/>
  <c r="AE45" i="49"/>
  <c r="AF45" i="49"/>
  <c r="AG45" i="49"/>
  <c r="AJ45" i="49"/>
  <c r="AK45" i="49"/>
  <c r="AL45" i="49"/>
  <c r="AM45" i="49"/>
  <c r="AO45" i="49"/>
  <c r="AP45" i="49"/>
  <c r="N46" i="49"/>
  <c r="T46" i="49"/>
  <c r="AE46" i="49"/>
  <c r="AF46" i="49"/>
  <c r="AG46" i="49"/>
  <c r="AJ46" i="49"/>
  <c r="AK46" i="49"/>
  <c r="AL46" i="49"/>
  <c r="AM46" i="49"/>
  <c r="AO46" i="49"/>
  <c r="AP46" i="49"/>
  <c r="N47" i="49"/>
  <c r="T47" i="49"/>
  <c r="AE47" i="49"/>
  <c r="AF47" i="49"/>
  <c r="AG47" i="49"/>
  <c r="AJ47" i="49"/>
  <c r="AK47" i="49"/>
  <c r="AL47" i="49"/>
  <c r="AM47" i="49"/>
  <c r="AO47" i="49"/>
  <c r="AP47" i="49"/>
  <c r="N48" i="49"/>
  <c r="T48" i="49"/>
  <c r="AE48" i="49"/>
  <c r="AF48" i="49"/>
  <c r="AG48" i="49"/>
  <c r="AJ48" i="49"/>
  <c r="AK48" i="49"/>
  <c r="AL48" i="49"/>
  <c r="AM48" i="49"/>
  <c r="AO48" i="49"/>
  <c r="AP48" i="49"/>
  <c r="N49" i="49"/>
  <c r="T49" i="49"/>
  <c r="AE49" i="49"/>
  <c r="AF49" i="49"/>
  <c r="AG49" i="49"/>
  <c r="AJ49" i="49"/>
  <c r="AK49" i="49"/>
  <c r="AL49" i="49"/>
  <c r="AM49" i="49"/>
  <c r="AO49" i="49"/>
  <c r="AP49" i="49"/>
  <c r="N50" i="49"/>
  <c r="T50" i="49"/>
  <c r="AE50" i="49"/>
  <c r="AF50" i="49"/>
  <c r="AG50" i="49"/>
  <c r="AJ50" i="49"/>
  <c r="AK50" i="49"/>
  <c r="AL50" i="49"/>
  <c r="AM50" i="49"/>
  <c r="AO50" i="49"/>
  <c r="AP50" i="49"/>
  <c r="N51" i="49"/>
  <c r="T51" i="49"/>
  <c r="AE51" i="49"/>
  <c r="AF51" i="49"/>
  <c r="AG51" i="49"/>
  <c r="AJ51" i="49"/>
  <c r="AK51" i="49"/>
  <c r="AL51" i="49"/>
  <c r="AM51" i="49"/>
  <c r="AO51" i="49"/>
  <c r="AP51" i="49"/>
  <c r="N53" i="49"/>
  <c r="T53" i="49"/>
  <c r="AE53" i="49"/>
  <c r="AF53" i="49"/>
  <c r="AG53" i="49"/>
  <c r="AJ53" i="49"/>
  <c r="AK53" i="49"/>
  <c r="AL53" i="49"/>
  <c r="AM53" i="49"/>
  <c r="AO53" i="49"/>
  <c r="AP53" i="49"/>
  <c r="AO55" i="49"/>
  <c r="AP55" i="49"/>
  <c r="AE58" i="49"/>
  <c r="AF58" i="49"/>
  <c r="N5" i="63"/>
  <c r="T5" i="63"/>
  <c r="AE5" i="63"/>
  <c r="AF5" i="63"/>
  <c r="AG5" i="63"/>
  <c r="AJ5" i="63"/>
  <c r="AK5" i="63"/>
  <c r="AL5" i="63"/>
  <c r="AM5" i="63"/>
  <c r="AO5" i="63"/>
  <c r="AP5" i="63"/>
  <c r="AW5" i="63"/>
  <c r="AX5" i="63"/>
  <c r="AZ5" i="63"/>
  <c r="N6" i="63"/>
  <c r="T6" i="63"/>
  <c r="AE6" i="63"/>
  <c r="AF6" i="63"/>
  <c r="AG6" i="63"/>
  <c r="AJ6" i="63"/>
  <c r="AK6" i="63"/>
  <c r="AL6" i="63"/>
  <c r="AM6" i="63"/>
  <c r="AO6" i="63"/>
  <c r="AP6" i="63"/>
  <c r="AW6" i="63"/>
  <c r="AX6" i="63"/>
  <c r="AZ6" i="63"/>
  <c r="N7" i="63"/>
  <c r="T7" i="63"/>
  <c r="AE7" i="63"/>
  <c r="AF7" i="63"/>
  <c r="AG7" i="63"/>
  <c r="AJ7" i="63"/>
  <c r="AK7" i="63"/>
  <c r="AL7" i="63"/>
  <c r="AM7" i="63"/>
  <c r="AO7" i="63"/>
  <c r="AP7" i="63"/>
  <c r="AW7" i="63"/>
  <c r="AX7" i="63"/>
  <c r="AZ7" i="63"/>
  <c r="N8" i="63"/>
  <c r="T8" i="63"/>
  <c r="AE8" i="63"/>
  <c r="AF8" i="63"/>
  <c r="AG8" i="63"/>
  <c r="AJ8" i="63"/>
  <c r="AK8" i="63"/>
  <c r="AL8" i="63"/>
  <c r="AM8" i="63"/>
  <c r="AO8" i="63"/>
  <c r="AP8" i="63"/>
  <c r="AW8" i="63"/>
  <c r="AX8" i="63"/>
  <c r="AZ8" i="63"/>
  <c r="N9" i="63"/>
  <c r="T9" i="63"/>
  <c r="AE9" i="63"/>
  <c r="AF9" i="63"/>
  <c r="AG9" i="63"/>
  <c r="AJ9" i="63"/>
  <c r="AK9" i="63"/>
  <c r="AL9" i="63"/>
  <c r="AM9" i="63"/>
  <c r="AO9" i="63"/>
  <c r="AP9" i="63"/>
  <c r="AW9" i="63"/>
  <c r="AX9" i="63"/>
  <c r="AZ9" i="63"/>
  <c r="N10" i="63"/>
  <c r="T10" i="63"/>
  <c r="AE10" i="63"/>
  <c r="AF10" i="63"/>
  <c r="AG10" i="63"/>
  <c r="AJ10" i="63"/>
  <c r="AK10" i="63"/>
  <c r="AL10" i="63"/>
  <c r="AM10" i="63"/>
  <c r="AO10" i="63"/>
  <c r="AP10" i="63"/>
  <c r="AW10" i="63"/>
  <c r="AX10" i="63"/>
  <c r="AZ10" i="63"/>
  <c r="N11" i="63"/>
  <c r="T11" i="63"/>
  <c r="AE11" i="63"/>
  <c r="AF11" i="63"/>
  <c r="AG11" i="63"/>
  <c r="AJ11" i="63"/>
  <c r="AK11" i="63"/>
  <c r="AL11" i="63"/>
  <c r="AM11" i="63"/>
  <c r="AO11" i="63"/>
  <c r="AP11" i="63"/>
  <c r="AW11" i="63"/>
  <c r="AX11" i="63"/>
  <c r="AZ11" i="63"/>
  <c r="N12" i="63"/>
  <c r="T12" i="63"/>
  <c r="AE12" i="63"/>
  <c r="AF12" i="63"/>
  <c r="AG12" i="63"/>
  <c r="AJ12" i="63"/>
  <c r="AK12" i="63"/>
  <c r="AL12" i="63"/>
  <c r="AM12" i="63"/>
  <c r="AO12" i="63"/>
  <c r="AP12" i="63"/>
  <c r="AW12" i="63"/>
  <c r="AX12" i="63"/>
  <c r="AZ12" i="63"/>
  <c r="N13" i="63"/>
  <c r="T13" i="63"/>
  <c r="AE13" i="63"/>
  <c r="AF13" i="63"/>
  <c r="AG13" i="63"/>
  <c r="AJ13" i="63"/>
  <c r="AK13" i="63"/>
  <c r="AL13" i="63"/>
  <c r="AM13" i="63"/>
  <c r="AO13" i="63"/>
  <c r="AP13" i="63"/>
  <c r="AW13" i="63"/>
  <c r="AX13" i="63"/>
  <c r="AZ13" i="63"/>
  <c r="N14" i="63"/>
  <c r="T14" i="63"/>
  <c r="AE14" i="63"/>
  <c r="AF14" i="63"/>
  <c r="AG14" i="63"/>
  <c r="AJ14" i="63"/>
  <c r="AK14" i="63"/>
  <c r="AL14" i="63"/>
  <c r="AM14" i="63"/>
  <c r="AO14" i="63"/>
  <c r="AP14" i="63"/>
  <c r="AW14" i="63"/>
  <c r="AX14" i="63"/>
  <c r="AZ14" i="63"/>
  <c r="N15" i="63"/>
  <c r="T15" i="63"/>
  <c r="AE15" i="63"/>
  <c r="AF15" i="63"/>
  <c r="AG15" i="63"/>
  <c r="AJ15" i="63"/>
  <c r="AK15" i="63"/>
  <c r="AL15" i="63"/>
  <c r="AM15" i="63"/>
  <c r="AO15" i="63"/>
  <c r="AP15" i="63"/>
  <c r="AW15" i="63"/>
  <c r="AX15" i="63"/>
  <c r="AZ15" i="63"/>
  <c r="N16" i="63"/>
  <c r="T16" i="63"/>
  <c r="AE16" i="63"/>
  <c r="AF16" i="63"/>
  <c r="AG16" i="63"/>
  <c r="AJ16" i="63"/>
  <c r="AK16" i="63"/>
  <c r="AL16" i="63"/>
  <c r="AM16" i="63"/>
  <c r="AO16" i="63"/>
  <c r="AP16" i="63"/>
  <c r="AW16" i="63"/>
  <c r="AX16" i="63"/>
  <c r="AZ16" i="63"/>
  <c r="N17" i="63"/>
  <c r="T17" i="63"/>
  <c r="AE17" i="63"/>
  <c r="AF17" i="63"/>
  <c r="AG17" i="63"/>
  <c r="AJ17" i="63"/>
  <c r="AK17" i="63"/>
  <c r="AL17" i="63"/>
  <c r="AM17" i="63"/>
  <c r="AO17" i="63"/>
  <c r="AP17" i="63"/>
  <c r="AW17" i="63"/>
  <c r="AX17" i="63"/>
  <c r="AZ17" i="63"/>
  <c r="N18" i="63"/>
  <c r="T18" i="63"/>
  <c r="AE18" i="63"/>
  <c r="AF18" i="63"/>
  <c r="AG18" i="63"/>
  <c r="AJ18" i="63"/>
  <c r="AK18" i="63"/>
  <c r="AL18" i="63"/>
  <c r="AM18" i="63"/>
  <c r="AO18" i="63"/>
  <c r="AP18" i="63"/>
  <c r="AW18" i="63"/>
  <c r="AX18" i="63"/>
  <c r="AZ18" i="63"/>
  <c r="N19" i="63"/>
  <c r="T19" i="63"/>
  <c r="AE19" i="63"/>
  <c r="AF19" i="63"/>
  <c r="AG19" i="63"/>
  <c r="AJ19" i="63"/>
  <c r="AK19" i="63"/>
  <c r="AL19" i="63"/>
  <c r="AM19" i="63"/>
  <c r="AO19" i="63"/>
  <c r="AP19" i="63"/>
  <c r="AW19" i="63"/>
  <c r="AX19" i="63"/>
  <c r="AZ19" i="63"/>
  <c r="N20" i="63"/>
  <c r="T20" i="63"/>
  <c r="AE20" i="63"/>
  <c r="AF20" i="63"/>
  <c r="AG20" i="63"/>
  <c r="AJ20" i="63"/>
  <c r="AK20" i="63"/>
  <c r="AL20" i="63"/>
  <c r="AM20" i="63"/>
  <c r="AO20" i="63"/>
  <c r="AP20" i="63"/>
  <c r="AW20" i="63"/>
  <c r="AX20" i="63"/>
  <c r="AZ20" i="63"/>
  <c r="N21" i="63"/>
  <c r="T21" i="63"/>
  <c r="AE21" i="63"/>
  <c r="AF21" i="63"/>
  <c r="AG21" i="63"/>
  <c r="AJ21" i="63"/>
  <c r="AK21" i="63"/>
  <c r="AL21" i="63"/>
  <c r="AM21" i="63"/>
  <c r="AO21" i="63"/>
  <c r="AP21" i="63"/>
  <c r="AW21" i="63"/>
  <c r="AX21" i="63"/>
  <c r="AZ21" i="63"/>
  <c r="N22" i="63"/>
  <c r="T22" i="63"/>
  <c r="AE22" i="63"/>
  <c r="AF22" i="63"/>
  <c r="AG22" i="63"/>
  <c r="AJ22" i="63"/>
  <c r="AK22" i="63"/>
  <c r="AL22" i="63"/>
  <c r="AM22" i="63"/>
  <c r="AO22" i="63"/>
  <c r="AP22" i="63"/>
  <c r="AW22" i="63"/>
  <c r="AX22" i="63"/>
  <c r="AZ22" i="63"/>
  <c r="N23" i="63"/>
  <c r="T23" i="63"/>
  <c r="AE23" i="63"/>
  <c r="AF23" i="63"/>
  <c r="AG23" i="63"/>
  <c r="AJ23" i="63"/>
  <c r="AK23" i="63"/>
  <c r="AL23" i="63"/>
  <c r="AM23" i="63"/>
  <c r="AO23" i="63"/>
  <c r="AP23" i="63"/>
  <c r="AW23" i="63"/>
  <c r="AX23" i="63"/>
  <c r="AZ23" i="63"/>
  <c r="N24" i="63"/>
  <c r="T24" i="63"/>
  <c r="AE24" i="63"/>
  <c r="AF24" i="63"/>
  <c r="AG24" i="63"/>
  <c r="AJ24" i="63"/>
  <c r="AK24" i="63"/>
  <c r="AL24" i="63"/>
  <c r="AM24" i="63"/>
  <c r="AO24" i="63"/>
  <c r="AP24" i="63"/>
  <c r="AW24" i="63"/>
  <c r="AX24" i="63"/>
  <c r="AZ24" i="63"/>
  <c r="N25" i="63"/>
  <c r="T25" i="63"/>
  <c r="AE25" i="63"/>
  <c r="AF25" i="63"/>
  <c r="AG25" i="63"/>
  <c r="AJ25" i="63"/>
  <c r="AK25" i="63"/>
  <c r="AL25" i="63"/>
  <c r="AM25" i="63"/>
  <c r="AO25" i="63"/>
  <c r="AP25" i="63"/>
  <c r="AW25" i="63"/>
  <c r="AX25" i="63"/>
  <c r="AZ25" i="63"/>
  <c r="N26" i="63"/>
  <c r="T26" i="63"/>
  <c r="AE26" i="63"/>
  <c r="AF26" i="63"/>
  <c r="AG26" i="63"/>
  <c r="AJ26" i="63"/>
  <c r="AK26" i="63"/>
  <c r="AL26" i="63"/>
  <c r="AM26" i="63"/>
  <c r="AO26" i="63"/>
  <c r="AP26" i="63"/>
  <c r="AW26" i="63"/>
  <c r="AX26" i="63"/>
  <c r="AZ26" i="63"/>
  <c r="N27" i="63"/>
  <c r="T27" i="63"/>
  <c r="AE27" i="63"/>
  <c r="AF27" i="63"/>
  <c r="AG27" i="63"/>
  <c r="AJ27" i="63"/>
  <c r="AK27" i="63"/>
  <c r="AL27" i="63"/>
  <c r="AM27" i="63"/>
  <c r="AO27" i="63"/>
  <c r="AP27" i="63"/>
  <c r="AW27" i="63"/>
  <c r="AX27" i="63"/>
  <c r="AZ27" i="63"/>
  <c r="N28" i="63"/>
  <c r="T28" i="63"/>
  <c r="AE28" i="63"/>
  <c r="AF28" i="63"/>
  <c r="AG28" i="63"/>
  <c r="AJ28" i="63"/>
  <c r="AK28" i="63"/>
  <c r="AL28" i="63"/>
  <c r="AM28" i="63"/>
  <c r="AO28" i="63"/>
  <c r="AP28" i="63"/>
  <c r="AW28" i="63"/>
  <c r="AX28" i="63"/>
  <c r="AZ28" i="63"/>
  <c r="N29" i="63"/>
  <c r="T29" i="63"/>
  <c r="AE29" i="63"/>
  <c r="AF29" i="63"/>
  <c r="AG29" i="63"/>
  <c r="AJ29" i="63"/>
  <c r="AK29" i="63"/>
  <c r="AL29" i="63"/>
  <c r="AM29" i="63"/>
  <c r="AO29" i="63"/>
  <c r="AP29" i="63"/>
  <c r="AW29" i="63"/>
  <c r="AX29" i="63"/>
  <c r="AZ29" i="63"/>
  <c r="N30" i="63"/>
  <c r="T30" i="63"/>
  <c r="AE30" i="63"/>
  <c r="AF30" i="63"/>
  <c r="AG30" i="63"/>
  <c r="AJ30" i="63"/>
  <c r="AK30" i="63"/>
  <c r="AL30" i="63"/>
  <c r="AM30" i="63"/>
  <c r="AO30" i="63"/>
  <c r="AP30" i="63"/>
  <c r="AW30" i="63"/>
  <c r="AX30" i="63"/>
  <c r="AZ30" i="63"/>
  <c r="N31" i="63"/>
  <c r="T31" i="63"/>
  <c r="AE31" i="63"/>
  <c r="AF31" i="63"/>
  <c r="AG31" i="63"/>
  <c r="AJ31" i="63"/>
  <c r="AK31" i="63"/>
  <c r="AL31" i="63"/>
  <c r="AM31" i="63"/>
  <c r="AO31" i="63"/>
  <c r="AP31" i="63"/>
  <c r="AW31" i="63"/>
  <c r="AX31" i="63"/>
  <c r="AZ31" i="63"/>
  <c r="N32" i="63"/>
  <c r="T32" i="63"/>
  <c r="AE32" i="63"/>
  <c r="AF32" i="63"/>
  <c r="AG32" i="63"/>
  <c r="AJ32" i="63"/>
  <c r="AK32" i="63"/>
  <c r="AL32" i="63"/>
  <c r="AM32" i="63"/>
  <c r="AO32" i="63"/>
  <c r="AP32" i="63"/>
  <c r="AW32" i="63"/>
  <c r="AX32" i="63"/>
  <c r="AZ32" i="63"/>
  <c r="N33" i="63"/>
  <c r="T33" i="63"/>
  <c r="AE33" i="63"/>
  <c r="AF33" i="63"/>
  <c r="AG33" i="63"/>
  <c r="AJ33" i="63"/>
  <c r="AK33" i="63"/>
  <c r="AL33" i="63"/>
  <c r="AM33" i="63"/>
  <c r="AO33" i="63"/>
  <c r="AP33" i="63"/>
  <c r="AW33" i="63"/>
  <c r="AX33" i="63"/>
  <c r="AZ33" i="63"/>
  <c r="N34" i="63"/>
  <c r="T34" i="63"/>
  <c r="AE34" i="63"/>
  <c r="AF34" i="63"/>
  <c r="AG34" i="63"/>
  <c r="AJ34" i="63"/>
  <c r="AK34" i="63"/>
  <c r="AL34" i="63"/>
  <c r="AM34" i="63"/>
  <c r="AO34" i="63"/>
  <c r="AP34" i="63"/>
  <c r="AW34" i="63"/>
  <c r="AX34" i="63"/>
  <c r="AZ34" i="63"/>
  <c r="N35" i="63"/>
  <c r="T35" i="63"/>
  <c r="AE35" i="63"/>
  <c r="AF35" i="63"/>
  <c r="AG35" i="63"/>
  <c r="AJ35" i="63"/>
  <c r="AK35" i="63"/>
  <c r="AL35" i="63"/>
  <c r="AM35" i="63"/>
  <c r="AO35" i="63"/>
  <c r="AP35" i="63"/>
  <c r="AW35" i="63"/>
  <c r="AX35" i="63"/>
  <c r="AZ35" i="63"/>
  <c r="N36" i="63"/>
  <c r="T36" i="63"/>
  <c r="AE36" i="63"/>
  <c r="AF36" i="63"/>
  <c r="AG36" i="63"/>
  <c r="AJ36" i="63"/>
  <c r="AK36" i="63"/>
  <c r="AL36" i="63"/>
  <c r="AM36" i="63"/>
  <c r="AO36" i="63"/>
  <c r="AP36" i="63"/>
  <c r="AW36" i="63"/>
  <c r="AX36" i="63"/>
  <c r="AZ36" i="63"/>
  <c r="N37" i="63"/>
  <c r="T37" i="63"/>
  <c r="AE37" i="63"/>
  <c r="AF37" i="63"/>
  <c r="AG37" i="63"/>
  <c r="AJ37" i="63"/>
  <c r="AK37" i="63"/>
  <c r="AL37" i="63"/>
  <c r="AM37" i="63"/>
  <c r="AO37" i="63"/>
  <c r="AP37" i="63"/>
  <c r="AW37" i="63"/>
  <c r="AX37" i="63"/>
  <c r="AZ37" i="63"/>
  <c r="N38" i="63"/>
  <c r="T38" i="63"/>
  <c r="AE38" i="63"/>
  <c r="AF38" i="63"/>
  <c r="AG38" i="63"/>
  <c r="AJ38" i="63"/>
  <c r="AK38" i="63"/>
  <c r="AL38" i="63"/>
  <c r="AM38" i="63"/>
  <c r="AO38" i="63"/>
  <c r="AP38" i="63"/>
  <c r="AW38" i="63"/>
  <c r="AX38" i="63"/>
  <c r="AZ38" i="63"/>
  <c r="N39" i="63"/>
  <c r="T39" i="63"/>
  <c r="AE39" i="63"/>
  <c r="AF39" i="63"/>
  <c r="AG39" i="63"/>
  <c r="AJ39" i="63"/>
  <c r="AK39" i="63"/>
  <c r="AL39" i="63"/>
  <c r="AM39" i="63"/>
  <c r="AO39" i="63"/>
  <c r="AP39" i="63"/>
  <c r="AW39" i="63"/>
  <c r="AX39" i="63"/>
  <c r="AZ39" i="63"/>
  <c r="N40" i="63"/>
  <c r="T40" i="63"/>
  <c r="AE40" i="63"/>
  <c r="AF40" i="63"/>
  <c r="AG40" i="63"/>
  <c r="AJ40" i="63"/>
  <c r="AK40" i="63"/>
  <c r="AL40" i="63"/>
  <c r="AM40" i="63"/>
  <c r="AO40" i="63"/>
  <c r="AP40" i="63"/>
  <c r="AW40" i="63"/>
  <c r="AX40" i="63"/>
  <c r="AZ40" i="63"/>
  <c r="N41" i="63"/>
  <c r="T41" i="63"/>
  <c r="AE41" i="63"/>
  <c r="AF41" i="63"/>
  <c r="AG41" i="63"/>
  <c r="AJ41" i="63"/>
  <c r="AK41" i="63"/>
  <c r="AL41" i="63"/>
  <c r="AM41" i="63"/>
  <c r="AO41" i="63"/>
  <c r="AP41" i="63"/>
  <c r="AW41" i="63"/>
  <c r="AX41" i="63"/>
  <c r="AZ41" i="63"/>
  <c r="N42" i="63"/>
  <c r="T42" i="63"/>
  <c r="AE42" i="63"/>
  <c r="AF42" i="63"/>
  <c r="AG42" i="63"/>
  <c r="AJ42" i="63"/>
  <c r="AK42" i="63"/>
  <c r="AL42" i="63"/>
  <c r="AM42" i="63"/>
  <c r="AO42" i="63"/>
  <c r="AP42" i="63"/>
  <c r="AW42" i="63"/>
  <c r="AX42" i="63"/>
  <c r="AZ42" i="63"/>
  <c r="N43" i="63"/>
  <c r="T43" i="63"/>
  <c r="AE43" i="63"/>
  <c r="AF43" i="63"/>
  <c r="AG43" i="63"/>
  <c r="AJ43" i="63"/>
  <c r="AK43" i="63"/>
  <c r="AL43" i="63"/>
  <c r="AM43" i="63"/>
  <c r="AO43" i="63"/>
  <c r="AP43" i="63"/>
  <c r="AW43" i="63"/>
  <c r="AX43" i="63"/>
  <c r="AZ43" i="63"/>
  <c r="N44" i="63"/>
  <c r="T44" i="63"/>
  <c r="AE44" i="63"/>
  <c r="AF44" i="63"/>
  <c r="AG44" i="63"/>
  <c r="AJ44" i="63"/>
  <c r="AK44" i="63"/>
  <c r="AL44" i="63"/>
  <c r="AM44" i="63"/>
  <c r="AO44" i="63"/>
  <c r="AP44" i="63"/>
  <c r="AW44" i="63"/>
  <c r="AX44" i="63"/>
  <c r="AZ44" i="63"/>
  <c r="N45" i="63"/>
  <c r="T45" i="63"/>
  <c r="AE45" i="63"/>
  <c r="AF45" i="63"/>
  <c r="AG45" i="63"/>
  <c r="AJ45" i="63"/>
  <c r="AK45" i="63"/>
  <c r="AL45" i="63"/>
  <c r="AM45" i="63"/>
  <c r="AO45" i="63"/>
  <c r="AP45" i="63"/>
  <c r="AW45" i="63"/>
  <c r="AX45" i="63"/>
  <c r="AZ45" i="63"/>
  <c r="N46" i="63"/>
  <c r="T46" i="63"/>
  <c r="AE46" i="63"/>
  <c r="AF46" i="63"/>
  <c r="AG46" i="63"/>
  <c r="AJ46" i="63"/>
  <c r="AK46" i="63"/>
  <c r="AL46" i="63"/>
  <c r="AM46" i="63"/>
  <c r="AO46" i="63"/>
  <c r="AP46" i="63"/>
  <c r="AW46" i="63"/>
  <c r="AX46" i="63"/>
  <c r="AZ46" i="63"/>
  <c r="N47" i="63"/>
  <c r="T47" i="63"/>
  <c r="AE47" i="63"/>
  <c r="AF47" i="63"/>
  <c r="AG47" i="63"/>
  <c r="AJ47" i="63"/>
  <c r="AK47" i="63"/>
  <c r="AL47" i="63"/>
  <c r="AM47" i="63"/>
  <c r="AO47" i="63"/>
  <c r="AP47" i="63"/>
  <c r="AW47" i="63"/>
  <c r="AX47" i="63"/>
  <c r="AZ47" i="63"/>
  <c r="N48" i="63"/>
  <c r="T48" i="63"/>
  <c r="AE48" i="63"/>
  <c r="AF48" i="63"/>
  <c r="AG48" i="63"/>
  <c r="AJ48" i="63"/>
  <c r="AK48" i="63"/>
  <c r="AL48" i="63"/>
  <c r="AM48" i="63"/>
  <c r="AO48" i="63"/>
  <c r="AP48" i="63"/>
  <c r="AW48" i="63"/>
  <c r="AX48" i="63"/>
  <c r="AZ48" i="63"/>
  <c r="N49" i="63"/>
  <c r="T49" i="63"/>
  <c r="AE49" i="63"/>
  <c r="AF49" i="63"/>
  <c r="AG49" i="63"/>
  <c r="AJ49" i="63"/>
  <c r="AK49" i="63"/>
  <c r="AL49" i="63"/>
  <c r="AM49" i="63"/>
  <c r="AO49" i="63"/>
  <c r="AP49" i="63"/>
  <c r="AW49" i="63"/>
  <c r="AX49" i="63"/>
  <c r="AZ49" i="63"/>
  <c r="N50" i="63"/>
  <c r="T50" i="63"/>
  <c r="AE50" i="63"/>
  <c r="AF50" i="63"/>
  <c r="AG50" i="63"/>
  <c r="AJ50" i="63"/>
  <c r="AK50" i="63"/>
  <c r="AL50" i="63"/>
  <c r="AM50" i="63"/>
  <c r="AO50" i="63"/>
  <c r="AP50" i="63"/>
  <c r="AW50" i="63"/>
  <c r="AX50" i="63"/>
  <c r="AZ50" i="63"/>
  <c r="N51" i="63"/>
  <c r="T51" i="63"/>
  <c r="AE51" i="63"/>
  <c r="AF51" i="63"/>
  <c r="AG51" i="63"/>
  <c r="AJ51" i="63"/>
  <c r="AK51" i="63"/>
  <c r="AL51" i="63"/>
  <c r="AM51" i="63"/>
  <c r="AO51" i="63"/>
  <c r="AP51" i="63"/>
  <c r="AW51" i="63"/>
  <c r="AX51" i="63"/>
  <c r="AZ51" i="63"/>
  <c r="N53" i="63"/>
  <c r="T53" i="63"/>
  <c r="AE53" i="63"/>
  <c r="AF53" i="63"/>
  <c r="AG53" i="63"/>
  <c r="AJ53" i="63"/>
  <c r="AK53" i="63"/>
  <c r="AL53" i="63"/>
  <c r="AM53" i="63"/>
  <c r="AO53" i="63"/>
  <c r="AP53" i="63"/>
  <c r="AO55" i="63"/>
  <c r="AP55" i="63"/>
  <c r="AE58" i="63"/>
  <c r="AF58" i="63"/>
  <c r="N5" i="50"/>
  <c r="T5" i="50"/>
  <c r="AE5" i="50"/>
  <c r="AF5" i="50"/>
  <c r="AG5" i="50"/>
  <c r="AJ5" i="50"/>
  <c r="AK5" i="50"/>
  <c r="AL5" i="50"/>
  <c r="AM5" i="50"/>
  <c r="AO5" i="50"/>
  <c r="AP5" i="50"/>
  <c r="N6" i="50"/>
  <c r="T6" i="50"/>
  <c r="AE6" i="50"/>
  <c r="AF6" i="50"/>
  <c r="AG6" i="50"/>
  <c r="AJ6" i="50"/>
  <c r="AK6" i="50"/>
  <c r="AL6" i="50"/>
  <c r="AM6" i="50"/>
  <c r="AO6" i="50"/>
  <c r="AP6" i="50"/>
  <c r="N7" i="50"/>
  <c r="T7" i="50"/>
  <c r="AE7" i="50"/>
  <c r="AF7" i="50"/>
  <c r="AG7" i="50"/>
  <c r="AJ7" i="50"/>
  <c r="AK7" i="50"/>
  <c r="AL7" i="50"/>
  <c r="AM7" i="50"/>
  <c r="AO7" i="50"/>
  <c r="AP7" i="50"/>
  <c r="N8" i="50"/>
  <c r="T8" i="50"/>
  <c r="AE8" i="50"/>
  <c r="AF8" i="50"/>
  <c r="AG8" i="50"/>
  <c r="AJ8" i="50"/>
  <c r="AK8" i="50"/>
  <c r="AL8" i="50"/>
  <c r="AM8" i="50"/>
  <c r="AO8" i="50"/>
  <c r="AP8" i="50"/>
  <c r="N9" i="50"/>
  <c r="T9" i="50"/>
  <c r="AE9" i="50"/>
  <c r="AF9" i="50"/>
  <c r="AG9" i="50"/>
  <c r="AJ9" i="50"/>
  <c r="AK9" i="50"/>
  <c r="AL9" i="50"/>
  <c r="AM9" i="50"/>
  <c r="AO9" i="50"/>
  <c r="AP9" i="50"/>
  <c r="N10" i="50"/>
  <c r="T10" i="50"/>
  <c r="AE10" i="50"/>
  <c r="AF10" i="50"/>
  <c r="AG10" i="50"/>
  <c r="AJ10" i="50"/>
  <c r="AK10" i="50"/>
  <c r="AL10" i="50"/>
  <c r="AM10" i="50"/>
  <c r="AO10" i="50"/>
  <c r="AP10" i="50"/>
  <c r="N11" i="50"/>
  <c r="T11" i="50"/>
  <c r="AE11" i="50"/>
  <c r="AF11" i="50"/>
  <c r="AG11" i="50"/>
  <c r="AJ11" i="50"/>
  <c r="AK11" i="50"/>
  <c r="AL11" i="50"/>
  <c r="AM11" i="50"/>
  <c r="AO11" i="50"/>
  <c r="AP11" i="50"/>
  <c r="N12" i="50"/>
  <c r="T12" i="50"/>
  <c r="AE12" i="50"/>
  <c r="AF12" i="50"/>
  <c r="AG12" i="50"/>
  <c r="AJ12" i="50"/>
  <c r="AK12" i="50"/>
  <c r="AL12" i="50"/>
  <c r="AM12" i="50"/>
  <c r="AO12" i="50"/>
  <c r="AP12" i="50"/>
  <c r="N13" i="50"/>
  <c r="T13" i="50"/>
  <c r="AE13" i="50"/>
  <c r="AF13" i="50"/>
  <c r="AG13" i="50"/>
  <c r="AJ13" i="50"/>
  <c r="AK13" i="50"/>
  <c r="AL13" i="50"/>
  <c r="AM13" i="50"/>
  <c r="AO13" i="50"/>
  <c r="AP13" i="50"/>
  <c r="N14" i="50"/>
  <c r="T14" i="50"/>
  <c r="AE14" i="50"/>
  <c r="AF14" i="50"/>
  <c r="AG14" i="50"/>
  <c r="AJ14" i="50"/>
  <c r="AK14" i="50"/>
  <c r="AL14" i="50"/>
  <c r="AM14" i="50"/>
  <c r="AO14" i="50"/>
  <c r="AP14" i="50"/>
  <c r="N15" i="50"/>
  <c r="T15" i="50"/>
  <c r="AE15" i="50"/>
  <c r="AF15" i="50"/>
  <c r="AG15" i="50"/>
  <c r="AJ15" i="50"/>
  <c r="AK15" i="50"/>
  <c r="AL15" i="50"/>
  <c r="AM15" i="50"/>
  <c r="AO15" i="50"/>
  <c r="AP15" i="50"/>
  <c r="N16" i="50"/>
  <c r="T16" i="50"/>
  <c r="AE16" i="50"/>
  <c r="AF16" i="50"/>
  <c r="AG16" i="50"/>
  <c r="AJ16" i="50"/>
  <c r="AK16" i="50"/>
  <c r="AL16" i="50"/>
  <c r="AM16" i="50"/>
  <c r="AO16" i="50"/>
  <c r="AP16" i="50"/>
  <c r="N17" i="50"/>
  <c r="T17" i="50"/>
  <c r="AE17" i="50"/>
  <c r="AF17" i="50"/>
  <c r="AG17" i="50"/>
  <c r="AJ17" i="50"/>
  <c r="AK17" i="50"/>
  <c r="AL17" i="50"/>
  <c r="AM17" i="50"/>
  <c r="AO17" i="50"/>
  <c r="AP17" i="50"/>
  <c r="N18" i="50"/>
  <c r="T18" i="50"/>
  <c r="AE18" i="50"/>
  <c r="AF18" i="50"/>
  <c r="AG18" i="50"/>
  <c r="AJ18" i="50"/>
  <c r="AK18" i="50"/>
  <c r="AL18" i="50"/>
  <c r="AM18" i="50"/>
  <c r="AO18" i="50"/>
  <c r="AP18" i="50"/>
  <c r="N19" i="50"/>
  <c r="T19" i="50"/>
  <c r="AE19" i="50"/>
  <c r="AF19" i="50"/>
  <c r="AG19" i="50"/>
  <c r="AJ19" i="50"/>
  <c r="AK19" i="50"/>
  <c r="AL19" i="50"/>
  <c r="AM19" i="50"/>
  <c r="AO19" i="50"/>
  <c r="AP19" i="50"/>
  <c r="N20" i="50"/>
  <c r="T20" i="50"/>
  <c r="AE20" i="50"/>
  <c r="AF20" i="50"/>
  <c r="AG20" i="50"/>
  <c r="AJ20" i="50"/>
  <c r="AK20" i="50"/>
  <c r="AL20" i="50"/>
  <c r="AM20" i="50"/>
  <c r="AO20" i="50"/>
  <c r="AP20" i="50"/>
  <c r="N21" i="50"/>
  <c r="T21" i="50"/>
  <c r="AE21" i="50"/>
  <c r="AF21" i="50"/>
  <c r="AG21" i="50"/>
  <c r="AJ21" i="50"/>
  <c r="AK21" i="50"/>
  <c r="AL21" i="50"/>
  <c r="AM21" i="50"/>
  <c r="AO21" i="50"/>
  <c r="AP21" i="50"/>
  <c r="N22" i="50"/>
  <c r="T22" i="50"/>
  <c r="AE22" i="50"/>
  <c r="AF22" i="50"/>
  <c r="AG22" i="50"/>
  <c r="AJ22" i="50"/>
  <c r="AK22" i="50"/>
  <c r="AL22" i="50"/>
  <c r="AM22" i="50"/>
  <c r="AO22" i="50"/>
  <c r="AP22" i="50"/>
  <c r="N23" i="50"/>
  <c r="T23" i="50"/>
  <c r="AE23" i="50"/>
  <c r="AF23" i="50"/>
  <c r="AG23" i="50"/>
  <c r="AJ23" i="50"/>
  <c r="AK23" i="50"/>
  <c r="AL23" i="50"/>
  <c r="AM23" i="50"/>
  <c r="AO23" i="50"/>
  <c r="AP23" i="50"/>
  <c r="N24" i="50"/>
  <c r="T24" i="50"/>
  <c r="AE24" i="50"/>
  <c r="AF24" i="50"/>
  <c r="AG24" i="50"/>
  <c r="AJ24" i="50"/>
  <c r="AK24" i="50"/>
  <c r="AL24" i="50"/>
  <c r="AM24" i="50"/>
  <c r="AO24" i="50"/>
  <c r="AP24" i="50"/>
  <c r="N25" i="50"/>
  <c r="T25" i="50"/>
  <c r="AE25" i="50"/>
  <c r="AF25" i="50"/>
  <c r="AG25" i="50"/>
  <c r="AJ25" i="50"/>
  <c r="AK25" i="50"/>
  <c r="AL25" i="50"/>
  <c r="AM25" i="50"/>
  <c r="AO25" i="50"/>
  <c r="AP25" i="50"/>
  <c r="N26" i="50"/>
  <c r="T26" i="50"/>
  <c r="AE26" i="50"/>
  <c r="AF26" i="50"/>
  <c r="AG26" i="50"/>
  <c r="AJ26" i="50"/>
  <c r="AK26" i="50"/>
  <c r="AL26" i="50"/>
  <c r="AM26" i="50"/>
  <c r="AO26" i="50"/>
  <c r="AP26" i="50"/>
  <c r="N27" i="50"/>
  <c r="T27" i="50"/>
  <c r="AE27" i="50"/>
  <c r="AF27" i="50"/>
  <c r="AG27" i="50"/>
  <c r="AJ27" i="50"/>
  <c r="AK27" i="50"/>
  <c r="AL27" i="50"/>
  <c r="AM27" i="50"/>
  <c r="AO27" i="50"/>
  <c r="AP27" i="50"/>
  <c r="N28" i="50"/>
  <c r="T28" i="50"/>
  <c r="AE28" i="50"/>
  <c r="AF28" i="50"/>
  <c r="AG28" i="50"/>
  <c r="AJ28" i="50"/>
  <c r="AK28" i="50"/>
  <c r="AL28" i="50"/>
  <c r="AM28" i="50"/>
  <c r="AO28" i="50"/>
  <c r="AP28" i="50"/>
  <c r="N29" i="50"/>
  <c r="T29" i="50"/>
  <c r="AE29" i="50"/>
  <c r="AF29" i="50"/>
  <c r="AG29" i="50"/>
  <c r="AJ29" i="50"/>
  <c r="AK29" i="50"/>
  <c r="AL29" i="50"/>
  <c r="AM29" i="50"/>
  <c r="AO29" i="50"/>
  <c r="AP29" i="50"/>
  <c r="N30" i="50"/>
  <c r="T30" i="50"/>
  <c r="AE30" i="50"/>
  <c r="AF30" i="50"/>
  <c r="AG30" i="50"/>
  <c r="AJ30" i="50"/>
  <c r="AK30" i="50"/>
  <c r="AL30" i="50"/>
  <c r="AM30" i="50"/>
  <c r="AO30" i="50"/>
  <c r="AP30" i="50"/>
  <c r="N31" i="50"/>
  <c r="T31" i="50"/>
  <c r="AE31" i="50"/>
  <c r="AF31" i="50"/>
  <c r="AG31" i="50"/>
  <c r="AJ31" i="50"/>
  <c r="AK31" i="50"/>
  <c r="AL31" i="50"/>
  <c r="AM31" i="50"/>
  <c r="AO31" i="50"/>
  <c r="AP31" i="50"/>
  <c r="N32" i="50"/>
  <c r="T32" i="50"/>
  <c r="AE32" i="50"/>
  <c r="AF32" i="50"/>
  <c r="AG32" i="50"/>
  <c r="AJ32" i="50"/>
  <c r="AK32" i="50"/>
  <c r="AL32" i="50"/>
  <c r="AM32" i="50"/>
  <c r="AO32" i="50"/>
  <c r="AP32" i="50"/>
  <c r="N33" i="50"/>
  <c r="T33" i="50"/>
  <c r="AE33" i="50"/>
  <c r="AF33" i="50"/>
  <c r="AG33" i="50"/>
  <c r="AJ33" i="50"/>
  <c r="AK33" i="50"/>
  <c r="AL33" i="50"/>
  <c r="AM33" i="50"/>
  <c r="AO33" i="50"/>
  <c r="AP33" i="50"/>
  <c r="N34" i="50"/>
  <c r="T34" i="50"/>
  <c r="AE34" i="50"/>
  <c r="AF34" i="50"/>
  <c r="AG34" i="50"/>
  <c r="AJ34" i="50"/>
  <c r="AK34" i="50"/>
  <c r="AL34" i="50"/>
  <c r="AM34" i="50"/>
  <c r="AO34" i="50"/>
  <c r="AP34" i="50"/>
  <c r="N35" i="50"/>
  <c r="T35" i="50"/>
  <c r="AE35" i="50"/>
  <c r="AF35" i="50"/>
  <c r="AG35" i="50"/>
  <c r="AJ35" i="50"/>
  <c r="AK35" i="50"/>
  <c r="AL35" i="50"/>
  <c r="AM35" i="50"/>
  <c r="AO35" i="50"/>
  <c r="AP35" i="50"/>
  <c r="N36" i="50"/>
  <c r="T36" i="50"/>
  <c r="AE36" i="50"/>
  <c r="AF36" i="50"/>
  <c r="AG36" i="50"/>
  <c r="AJ36" i="50"/>
  <c r="AK36" i="50"/>
  <c r="AL36" i="50"/>
  <c r="AM36" i="50"/>
  <c r="AO36" i="50"/>
  <c r="AP36" i="50"/>
  <c r="N37" i="50"/>
  <c r="T37" i="50"/>
  <c r="AE37" i="50"/>
  <c r="AF37" i="50"/>
  <c r="AG37" i="50"/>
  <c r="AJ37" i="50"/>
  <c r="AK37" i="50"/>
  <c r="AL37" i="50"/>
  <c r="AM37" i="50"/>
  <c r="AO37" i="50"/>
  <c r="AP37" i="50"/>
  <c r="N38" i="50"/>
  <c r="T38" i="50"/>
  <c r="AE38" i="50"/>
  <c r="AF38" i="50"/>
  <c r="AG38" i="50"/>
  <c r="AJ38" i="50"/>
  <c r="AK38" i="50"/>
  <c r="AL38" i="50"/>
  <c r="AM38" i="50"/>
  <c r="AO38" i="50"/>
  <c r="AP38" i="50"/>
  <c r="N39" i="50"/>
  <c r="T39" i="50"/>
  <c r="AE39" i="50"/>
  <c r="AF39" i="50"/>
  <c r="AG39" i="50"/>
  <c r="AJ39" i="50"/>
  <c r="AK39" i="50"/>
  <c r="AL39" i="50"/>
  <c r="AM39" i="50"/>
  <c r="AO39" i="50"/>
  <c r="AP39" i="50"/>
  <c r="N40" i="50"/>
  <c r="T40" i="50"/>
  <c r="AE40" i="50"/>
  <c r="AF40" i="50"/>
  <c r="AG40" i="50"/>
  <c r="AJ40" i="50"/>
  <c r="AK40" i="50"/>
  <c r="AL40" i="50"/>
  <c r="AM40" i="50"/>
  <c r="AO40" i="50"/>
  <c r="AP40" i="50"/>
  <c r="N41" i="50"/>
  <c r="T41" i="50"/>
  <c r="AE41" i="50"/>
  <c r="AF41" i="50"/>
  <c r="AG41" i="50"/>
  <c r="AJ41" i="50"/>
  <c r="AK41" i="50"/>
  <c r="AL41" i="50"/>
  <c r="AM41" i="50"/>
  <c r="AO41" i="50"/>
  <c r="AP41" i="50"/>
  <c r="N42" i="50"/>
  <c r="T42" i="50"/>
  <c r="AE42" i="50"/>
  <c r="AF42" i="50"/>
  <c r="AG42" i="50"/>
  <c r="AJ42" i="50"/>
  <c r="AK42" i="50"/>
  <c r="AL42" i="50"/>
  <c r="AM42" i="50"/>
  <c r="AO42" i="50"/>
  <c r="AP42" i="50"/>
  <c r="N43" i="50"/>
  <c r="T43" i="50"/>
  <c r="AE43" i="50"/>
  <c r="AF43" i="50"/>
  <c r="AG43" i="50"/>
  <c r="AJ43" i="50"/>
  <c r="AK43" i="50"/>
  <c r="AL43" i="50"/>
  <c r="AM43" i="50"/>
  <c r="AO43" i="50"/>
  <c r="AP43" i="50"/>
  <c r="N44" i="50"/>
  <c r="T44" i="50"/>
  <c r="AE44" i="50"/>
  <c r="AF44" i="50"/>
  <c r="AG44" i="50"/>
  <c r="AJ44" i="50"/>
  <c r="AK44" i="50"/>
  <c r="AL44" i="50"/>
  <c r="AM44" i="50"/>
  <c r="AO44" i="50"/>
  <c r="AP44" i="50"/>
  <c r="N45" i="50"/>
  <c r="T45" i="50"/>
  <c r="AE45" i="50"/>
  <c r="AF45" i="50"/>
  <c r="AG45" i="50"/>
  <c r="AJ45" i="50"/>
  <c r="AK45" i="50"/>
  <c r="AL45" i="50"/>
  <c r="AM45" i="50"/>
  <c r="AO45" i="50"/>
  <c r="AP45" i="50"/>
  <c r="N46" i="50"/>
  <c r="T46" i="50"/>
  <c r="AE46" i="50"/>
  <c r="AF46" i="50"/>
  <c r="AG46" i="50"/>
  <c r="AJ46" i="50"/>
  <c r="AK46" i="50"/>
  <c r="AL46" i="50"/>
  <c r="AM46" i="50"/>
  <c r="AO46" i="50"/>
  <c r="AP46" i="50"/>
  <c r="N47" i="50"/>
  <c r="T47" i="50"/>
  <c r="AE47" i="50"/>
  <c r="AF47" i="50"/>
  <c r="AG47" i="50"/>
  <c r="AJ47" i="50"/>
  <c r="AK47" i="50"/>
  <c r="AL47" i="50"/>
  <c r="AM47" i="50"/>
  <c r="AO47" i="50"/>
  <c r="AP47" i="50"/>
  <c r="N48" i="50"/>
  <c r="T48" i="50"/>
  <c r="AE48" i="50"/>
  <c r="AF48" i="50"/>
  <c r="AG48" i="50"/>
  <c r="AJ48" i="50"/>
  <c r="AK48" i="50"/>
  <c r="AL48" i="50"/>
  <c r="AM48" i="50"/>
  <c r="AO48" i="50"/>
  <c r="AP48" i="50"/>
  <c r="N49" i="50"/>
  <c r="T49" i="50"/>
  <c r="AE49" i="50"/>
  <c r="AF49" i="50"/>
  <c r="AG49" i="50"/>
  <c r="AJ49" i="50"/>
  <c r="AK49" i="50"/>
  <c r="AL49" i="50"/>
  <c r="AM49" i="50"/>
  <c r="AO49" i="50"/>
  <c r="AP49" i="50"/>
  <c r="N50" i="50"/>
  <c r="T50" i="50"/>
  <c r="AE50" i="50"/>
  <c r="AF50" i="50"/>
  <c r="AG50" i="50"/>
  <c r="AJ50" i="50"/>
  <c r="AK50" i="50"/>
  <c r="AL50" i="50"/>
  <c r="AM50" i="50"/>
  <c r="AO50" i="50"/>
  <c r="AP50" i="50"/>
  <c r="N51" i="50"/>
  <c r="T51" i="50"/>
  <c r="AE51" i="50"/>
  <c r="AF51" i="50"/>
  <c r="AG51" i="50"/>
  <c r="AJ51" i="50"/>
  <c r="AK51" i="50"/>
  <c r="AL51" i="50"/>
  <c r="AM51" i="50"/>
  <c r="AO51" i="50"/>
  <c r="AP51" i="50"/>
  <c r="N53" i="50"/>
  <c r="T53" i="50"/>
  <c r="AE53" i="50"/>
  <c r="AF53" i="50"/>
  <c r="AG53" i="50"/>
  <c r="AJ53" i="50"/>
  <c r="AK53" i="50"/>
  <c r="AL53" i="50"/>
  <c r="AM53" i="50"/>
  <c r="AO53" i="50"/>
  <c r="AP53" i="50"/>
  <c r="AO55" i="50"/>
  <c r="AP55" i="5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E93F8CD3-C829-4291-B21B-E1B257F558C2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C5AEB4-BBCB-43AD-8CB2-5518D7FB4B2E}" name="Conexão" type="7" refreshedVersion="8" background="1" saveData="1"/>
  <connection id="2" xr16:uid="{C5062B47-7B57-4E68-9B04-1D2D13FD3C21}" name="Conexão1" type="7" refreshedVersion="8" background="1" saveData="1"/>
  <connection id="3" xr16:uid="{76452795-C020-4B64-8D28-2FBB3D255A5B}" name="Conexão2" type="7" refreshedVersion="8" background="1" saveData="1"/>
</connections>
</file>

<file path=xl/sharedStrings.xml><?xml version="1.0" encoding="utf-8"?>
<sst xmlns="http://schemas.openxmlformats.org/spreadsheetml/2006/main" count="26128" uniqueCount="1170">
  <si>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</si>
  <si>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</si>
  <si>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</si>
  <si>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</si>
  <si>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</si>
  <si>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</si>
  <si>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</si>
  <si>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</si>
  <si>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</si>
  <si>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</si>
  <si>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</si>
  <si>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</si>
  <si>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</si>
  <si>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</si>
  <si>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</si>
  <si>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</si>
  <si>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</si>
  <si>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</si>
  <si>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</si>
  <si>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</si>
  <si>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</si>
  <si>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</si>
  <si>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</si>
  <si>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</si>
  <si>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</si>
  <si>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</si>
  <si>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</si>
  <si>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</si>
  <si>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</si>
  <si>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</si>
  <si>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</si>
  <si>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</si>
  <si>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B3</t>
  </si>
  <si>
    <t>Industrial</t>
  </si>
  <si>
    <t>A4</t>
  </si>
  <si>
    <t>Verde</t>
  </si>
  <si>
    <t>Ponta</t>
  </si>
  <si>
    <t>Fora ponta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</si>
  <si>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</si>
  <si>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</si>
  <si>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</si>
  <si>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</si>
  <si>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</si>
  <si>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</si>
  <si>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</si>
  <si>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</si>
  <si>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</si>
  <si>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</si>
  <si>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Refaturamento - Regular</t>
  </si>
  <si>
    <t>Branca</t>
  </si>
  <si>
    <t>Intermediário</t>
  </si>
  <si>
    <t>Azul</t>
  </si>
  <si>
    <t>Fonte incentivada</t>
  </si>
  <si>
    <t>LIVRE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</si>
  <si>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</si>
  <si>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</si>
  <si>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</si>
  <si>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</si>
  <si>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</si>
  <si>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</si>
  <si>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</si>
  <si>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</si>
  <si>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</si>
  <si>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</si>
  <si>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</si>
  <si>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</si>
  <si>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</si>
  <si>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</si>
  <si>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</si>
  <si>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</si>
  <si>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</si>
  <si>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</si>
  <si>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</si>
  <si>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Energia convencional</t>
  </si>
  <si>
    <t>E</t>
  </si>
  <si>
    <t>kW</t>
  </si>
  <si>
    <t>DP</t>
  </si>
  <si>
    <t>DFP</t>
  </si>
  <si>
    <t>APE</t>
  </si>
  <si>
    <t>Geração</t>
  </si>
  <si>
    <t>B</t>
  </si>
  <si>
    <t>TIPO 01</t>
  </si>
  <si>
    <t>TIPO 02</t>
  </si>
  <si>
    <t>EINT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</si>
  <si>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</si>
  <si>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</si>
  <si>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</si>
  <si>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</si>
  <si>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</si>
  <si>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</si>
  <si>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44378A4AzulNão se aplicaNão se aplicaNão se aplicaNão se aplicaFora ponta</t>
  </si>
  <si>
    <t>44409A4AzulNão se aplicaNão se aplicaNão se aplicaNão se aplicaFora ponta</t>
  </si>
  <si>
    <t>44440A4AzulNão se aplicaNão se aplicaNão se aplicaNão se aplicaFora ponta</t>
  </si>
  <si>
    <t>44470A4AzulNão se aplicaNão se aplicaNão se aplicaNão se aplicaFora ponta</t>
  </si>
  <si>
    <t>44501A4AzulNão se aplicaNão se aplicaNão se aplicaNão se aplicaFora 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</si>
  <si>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</si>
  <si>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</si>
  <si>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</si>
  <si>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</si>
  <si>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44652A4AzulNão se aplicaNão se aplicaNão se aplicaNão se aplicaFora ponta</t>
  </si>
  <si>
    <t>44682A4AzulNão se aplicaNão se aplicaNão se aplicaNão se aplicaFora ponta</t>
  </si>
  <si>
    <t>44713A4AzulNão se aplicaNão se aplicaNão se aplicaNão se aplicaFora ponta</t>
  </si>
  <si>
    <t>44378A4AzulNão se aplicaNão se aplicaNão se aplicaNão se aplicaNão se aplica</t>
  </si>
  <si>
    <t>44409A4AzulNão se aplicaNão se aplicaNão se aplicaNão se aplicaNão se aplica</t>
  </si>
  <si>
    <t>44440A4AzulNão se aplicaNão se aplicaNão se aplicaNão se aplicaNão se aplica</t>
  </si>
  <si>
    <t>44470A4AzulNão se aplicaNão se aplicaNão se aplicaNão se aplicaNão se aplica</t>
  </si>
  <si>
    <t>44501A4AzulNão se aplicaNão se aplicaNão se aplicaNão se aplicaNão se aplica</t>
  </si>
  <si>
    <t>44531A4AzulNão se aplicaNão se aplicaNão se aplicaNão se aplicaNão se aplica</t>
  </si>
  <si>
    <t>44562A4AzulNão se aplicaNão se aplicaNão se aplicaNão se aplicaNão se aplica</t>
  </si>
  <si>
    <t>44593A4AzulNão se aplicaNão se aplicaNão se aplicaNão se aplicaNão se aplica</t>
  </si>
  <si>
    <t>44621A4AzulNão se aplicaNão se aplicaNão se aplicaNão se aplicaNão se aplica</t>
  </si>
  <si>
    <t>44652A4AzulNão se aplicaNão se aplicaNão se aplicaNão se aplicaNão se aplica</t>
  </si>
  <si>
    <t>44682A4AzulNão se aplicaNão se aplicaNão se aplicaNão se aplicaNão se aplica</t>
  </si>
  <si>
    <t>44713A4AzulNão se aplicaNão se aplicaNão se aplicaNão se aplicaNão se aplica</t>
  </si>
  <si>
    <t>44378A4AzulNão se aplicaNão se aplicaNão se aplicaNão se aplicaPonta</t>
  </si>
  <si>
    <t>44409A4AzulNão se aplicaNão se aplicaNão se aplicaNão se aplicaPonta</t>
  </si>
  <si>
    <t>44440A4AzulNão se aplicaNão se aplicaNão se aplicaNão se aplicaPonta</t>
  </si>
  <si>
    <t>44470A4AzulNão se aplicaNão se aplicaNão se aplicaNão se aplicaPonta</t>
  </si>
  <si>
    <t>44501A4AzulNão se aplicaNão se aplicaNão se aplicaNão se aplicaPonta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</si>
  <si>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</si>
  <si>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</si>
  <si>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</si>
  <si>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</si>
  <si>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44652A4AzulNão se aplicaNão se aplicaNão se aplicaNão se aplicaPonta</t>
  </si>
  <si>
    <t>44682A4AzulNão se aplicaNão se aplicaNão se aplicaNão se aplicaPonta</t>
  </si>
  <si>
    <t>44713A4AzulNão se aplicaNão se aplicaNão se aplicaNão se aplicaPonta</t>
  </si>
  <si>
    <t>44378A4VerdeNão se aplicaNão se aplicaNão se aplicaNão se aplicaFora ponta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</si>
  <si>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</si>
  <si>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</si>
  <si>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</si>
  <si>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</si>
  <si>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</si>
  <si>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</si>
  <si>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</si>
  <si>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</si>
  <si>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</si>
  <si>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44682A4VerdeNão se aplicaNão se aplicaNão se aplicaNão se aplicaFora ponta</t>
  </si>
  <si>
    <t>44713A4VerdeNão se aplicaNão se aplicaNão se aplicaNão se aplicaFora ponta</t>
  </si>
  <si>
    <t>44378A4VerdeNão se aplicaNão se aplicaNão se aplicaNão se aplicaNão se aplica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</si>
  <si>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</si>
  <si>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</si>
  <si>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</si>
  <si>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</si>
  <si>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</si>
  <si>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</si>
  <si>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</si>
  <si>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</si>
  <si>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</si>
  <si>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44682A4VerdeNão se aplicaNão se aplicaNão se aplicaNão se aplicaNão se aplica</t>
  </si>
  <si>
    <t>44713A4VerdeNão se aplicaNão se aplicaNão se aplicaNão se aplicaNão se aplica</t>
  </si>
  <si>
    <t>44378A4VerdeNão se aplicaNão se aplicaNão se aplicaNão se aplicaPonta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</si>
  <si>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</si>
  <si>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</si>
  <si>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</si>
  <si>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</si>
  <si>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</si>
  <si>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</si>
  <si>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</si>
  <si>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</si>
  <si>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</si>
  <si>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44682A4VerdeNão se aplicaNão se aplicaNão se aplicaNão se aplicaPonta</t>
  </si>
  <si>
    <t>44713A4VerdeNão se aplicaNão se aplicaNão se aplicaNão se aplicaPonta</t>
  </si>
  <si>
    <t>44378B1ConvencionalResidencialResidencialNão se aplicaNão se aplicaNão se aplica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</si>
  <si>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</si>
  <si>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</si>
  <si>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</si>
  <si>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</si>
  <si>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</si>
  <si>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</si>
  <si>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</si>
  <si>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</si>
  <si>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</si>
  <si>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44682B1ConvencionalResidencialResidencialNão se aplicaNão se aplicaNão se aplica</t>
  </si>
  <si>
    <t>44713B1ConvencionalResidencialResidencialNão se aplicaNão se aplicaNão se aplica</t>
  </si>
  <si>
    <t>44378B1ConvencionalResidencialResidencial baixa renda – faixa 01Não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</si>
  <si>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</si>
  <si>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</si>
  <si>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</si>
  <si>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</si>
  <si>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</si>
  <si>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</si>
  <si>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</si>
  <si>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</si>
  <si>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</si>
  <si>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44682B1ConvencionalResidencialResidencial baixa renda – faixa 01Não se aplicaNão se aplicaNão se aplica</t>
  </si>
  <si>
    <t>44713B1ConvencionalResidencialResidencial baixa renda – faixa 01Não se aplicaNão se aplicaNão se aplica</t>
  </si>
  <si>
    <t>44378B1ConvencionalResidencialResidencial baixa renda – faixa 02Não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</si>
  <si>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</si>
  <si>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</si>
  <si>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</si>
  <si>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</si>
  <si>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</si>
  <si>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</si>
  <si>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</si>
  <si>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</si>
  <si>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</si>
  <si>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44682B1ConvencionalResidencialResidencial baixa renda – faixa 02Não se aplicaNão se aplicaNão se aplica</t>
  </si>
  <si>
    <t>44713B1ConvencionalResidencialResidencial baixa renda – faixa 02Não se aplicaNão se aplicaNão se aplica</t>
  </si>
  <si>
    <t>44378B1ConvencionalResidencialResidencial baixa renda – faixa 03Não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</si>
  <si>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</si>
  <si>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</si>
  <si>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</si>
  <si>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</si>
  <si>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</si>
  <si>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</si>
  <si>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</si>
  <si>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</si>
  <si>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</si>
  <si>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44682B1ConvencionalResidencialResidencial baixa renda – faixa 03Não se aplicaNão se aplicaNão se aplica</t>
  </si>
  <si>
    <t>44713B1ConvencionalResidencialResidencial baixa renda – faixa 03Não se aplicaNão se aplicaNão se aplica</t>
  </si>
  <si>
    <t>44378B1ConvencionalResidencialResidencial baixa renda – faixa 04Não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</si>
  <si>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</si>
  <si>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</si>
  <si>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</si>
  <si>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</si>
  <si>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</si>
  <si>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</si>
  <si>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</si>
  <si>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</si>
  <si>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</si>
  <si>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44682B1ConvencionalResidencialResidencial baixa renda – faixa 04Não se aplicaNão se aplicaNão se aplica</t>
  </si>
  <si>
    <t>44713B1ConvencionalResidencialResidencial baixa renda – faixa 04Não se aplicaNão se aplicaNão se aplica</t>
  </si>
  <si>
    <t>44378B2ConvencionalRuralNão se aplicaNão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</si>
  <si>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</si>
  <si>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</si>
  <si>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</si>
  <si>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</si>
  <si>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</si>
  <si>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</si>
  <si>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</si>
  <si>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</si>
  <si>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</si>
  <si>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44682B2ConvencionalRuralNão se aplicaNão se aplicaNão se aplicaNão se aplica</t>
  </si>
  <si>
    <t>44713B2ConvencionalRuralNão se aplicaNão se aplicaNão se aplicaNão se aplica</t>
  </si>
  <si>
    <t>44621B3BrancaNão se aplicaNão se aplicaNão se aplicaNão se aplicaFora ponta</t>
  </si>
  <si>
    <t>44652B3BrancaNão se aplicaNão se aplicaNão se aplicaNão se aplicaFora ponta</t>
  </si>
  <si>
    <t>44682B3BrancaNão se aplicaNão se aplicaNão se aplicaNão se aplicaFora ponta</t>
  </si>
  <si>
    <t>44713B3BrancaNão se aplicaNão se aplicaNão se aplicaNão se aplicaFora ponta</t>
  </si>
  <si>
    <t>44621B3BrancaNão se aplicaNão se aplicaNão se aplicaNão se aplicaIntermediário</t>
  </si>
  <si>
    <t>44652B3BrancaNão se aplicaNão se aplicaNão se aplicaNão se aplicaIntermediário</t>
  </si>
  <si>
    <t>44682B3BrancaNão se aplicaNão se aplicaNão se aplicaNão se aplicaIntermediário</t>
  </si>
  <si>
    <t>44713B3BrancaNão se aplicaNão se aplicaNão se aplicaNão se aplicaIntermediário</t>
  </si>
  <si>
    <t>44621B3BrancaNão se aplicaNão se aplicaNão se aplicaNão se aplicaPonta</t>
  </si>
  <si>
    <t>44652B3BrancaNão se aplicaNão se aplicaNão se aplicaNão se aplicaPonta</t>
  </si>
  <si>
    <t>44682B3BrancaNão se aplicaNão se aplicaNão se aplicaNão se aplicaPonta</t>
  </si>
  <si>
    <t>44713B3BrancaNão se aplicaNão se aplicaNão se aplicaNão se aplicaPonta</t>
  </si>
  <si>
    <t>44378B3ConvencionalNão se aplicaNão se aplicaNão se aplicaNão se aplicaNão se aplica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</si>
  <si>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</si>
  <si>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</si>
  <si>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</si>
  <si>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</si>
  <si>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</si>
  <si>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</si>
  <si>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</si>
  <si>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</si>
  <si>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</si>
  <si>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44682B3ConvencionalNão se aplicaNão se aplicaNão se aplicaNão se aplicaNão se aplica</t>
  </si>
  <si>
    <t>44713B3ConvencionalNão se aplicaNão se aplicaNão se aplicaNão se aplicaNão se aplica</t>
  </si>
  <si>
    <t>44378B4ConvencionalIluminação públicaIluminação pública – B4aNão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</si>
  <si>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</si>
  <si>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</si>
  <si>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</si>
  <si>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</si>
  <si>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</si>
  <si>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</si>
  <si>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</si>
  <si>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</si>
  <si>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</si>
  <si>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44682B4ConvencionalIluminação públicaIluminação pública – B4aNão se aplicaNão se aplicaNão se aplica</t>
  </si>
  <si>
    <t>44713B4ConvencionalIluminação públicaIluminação pública – B4aNão se aplicaNão se aplicaNão se aplica</t>
  </si>
  <si>
    <t>CHAVE TE</t>
  </si>
  <si>
    <t>44378A4Energia horáriaNão se aplicaNão se aplicaNão se aplicaNão se aplicaFora ponta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</si>
  <si>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</si>
  <si>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</si>
  <si>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</si>
  <si>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</si>
  <si>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</si>
  <si>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</si>
  <si>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</si>
  <si>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</si>
  <si>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</si>
  <si>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44682A4Energia horáriaNão se aplicaNão se aplicaNão se aplicaNão se aplicaFora ponta</t>
  </si>
  <si>
    <t>44713A4Energia horáriaNão se aplicaNão se aplicaNão se aplicaNão se aplicaFora 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</si>
  <si>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</si>
  <si>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</si>
  <si>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</si>
  <si>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</si>
  <si>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44378A4Energia horáriaNão se aplicaNão se aplicaNão se aplicaNão se aplicaPonta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</si>
  <si>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</si>
  <si>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</si>
  <si>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</si>
  <si>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</si>
  <si>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</si>
  <si>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</si>
  <si>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</si>
  <si>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</si>
  <si>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</si>
  <si>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44682A4Energia horáriaNão se aplicaNão se aplicaNão se aplicaNão se aplicaPonta</t>
  </si>
  <si>
    <t>44713A4Energia horáriaNão se aplicaNão se aplicaNão se aplicaNão se aplicaPonta</t>
  </si>
  <si>
    <t>44378B1Energia convencionalResidencialResidencialNão se aplicaNão se aplicaNão se aplica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</si>
  <si>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</si>
  <si>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</si>
  <si>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</si>
  <si>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</si>
  <si>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</si>
  <si>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</si>
  <si>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</si>
  <si>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</si>
  <si>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</si>
  <si>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44682B1Energia convencionalResidencialResidencialNão se aplicaNão se aplicaNão se aplica</t>
  </si>
  <si>
    <t>44713B1Energia convencionalResidencialResidencialNão se aplicaNão se aplicaNão se aplica</t>
  </si>
  <si>
    <t>44378B1Energia convencionalResidencialResidencial baixa renda – faixa 01Não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</si>
  <si>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</si>
  <si>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</si>
  <si>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</si>
  <si>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</si>
  <si>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</si>
  <si>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</si>
  <si>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</si>
  <si>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</si>
  <si>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</si>
  <si>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44682B1Energia convencionalResidencialResidencial baixa renda – faixa 01Não se aplicaNão se aplicaNão se aplica</t>
  </si>
  <si>
    <t>44713B1Energia convencionalResidencialResidencial baixa renda – faixa 01Não se aplicaNão se aplicaNão se aplica</t>
  </si>
  <si>
    <t>44378B1Energia convencionalResidencialResidencial baixa renda – faixa 02Não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</si>
  <si>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</si>
  <si>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</si>
  <si>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</si>
  <si>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</si>
  <si>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</si>
  <si>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</si>
  <si>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</si>
  <si>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</si>
  <si>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</si>
  <si>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44682B1Energia convencionalResidencialResidencial baixa renda – faixa 02Não se aplicaNão se aplicaNão se aplica</t>
  </si>
  <si>
    <t>44713B1Energia convencionalResidencialResidencial baixa renda – faixa 02Não se aplicaNão se aplicaNão se aplica</t>
  </si>
  <si>
    <t>44378B1Energia convencionalResidencialResidencial baixa renda – faixa 03Não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</si>
  <si>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</si>
  <si>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</si>
  <si>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</si>
  <si>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</si>
  <si>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</si>
  <si>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</si>
  <si>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</si>
  <si>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</si>
  <si>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</si>
  <si>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44682B1Energia convencionalResidencialResidencial baixa renda – faixa 03Não se aplicaNão se aplicaNão se aplica</t>
  </si>
  <si>
    <t>44713B1Energia convencionalResidencialResidencial baixa renda – faixa 03Não se aplicaNão se aplicaNão se aplica</t>
  </si>
  <si>
    <t>44378B1Energia convencionalResidencialResidencial baixa renda – faixa 04Não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</si>
  <si>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</si>
  <si>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</si>
  <si>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</si>
  <si>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</si>
  <si>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</si>
  <si>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</si>
  <si>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</si>
  <si>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</si>
  <si>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</si>
  <si>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44682B1Energia convencionalResidencialResidencial baixa renda – faixa 04Não se aplicaNão se aplicaNão se aplica</t>
  </si>
  <si>
    <t>44713B1Energia convencionalResidencialResidencial baixa renda – faixa 04Não se aplicaNão se aplicaNão se aplica</t>
  </si>
  <si>
    <t>44378B2Energia convencionalRuralNão se aplicaNão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</si>
  <si>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</si>
  <si>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</si>
  <si>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</si>
  <si>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</si>
  <si>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</si>
  <si>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</si>
  <si>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</si>
  <si>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</si>
  <si>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</si>
  <si>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44682B2Energia convencionalRuralNão se aplicaNão se aplicaNão se aplicaNão se aplica</t>
  </si>
  <si>
    <t>44713B2Energia convencionalRuralNão se aplicaNão se aplicaNão se aplicaNão se aplica</t>
  </si>
  <si>
    <t>44621B3Energia horáriaNão se aplicaNão se aplicaNão se aplicaNão se aplicaFora ponta</t>
  </si>
  <si>
    <t>44652B3Energia horáriaNão se aplicaNão se aplicaNão se aplicaNão se aplicaFora ponta</t>
  </si>
  <si>
    <t>44682B3Energia horáriaNão se aplicaNão se aplicaNão se aplicaNão se aplicaFora ponta</t>
  </si>
  <si>
    <t>44713B3Energia horáriaNão se aplicaNão se aplicaNão se aplicaNão se aplicaFora ponta</t>
  </si>
  <si>
    <t>44621B3Energia horáriaNão se aplicaNão se aplicaNão se aplicaNão se aplicaIntermediário</t>
  </si>
  <si>
    <t>44652B3Energia horáriaNão se aplicaNão se aplicaNão se aplicaNão se aplicaIntermediário</t>
  </si>
  <si>
    <t>44682B3Energia horáriaNão se aplicaNão se aplicaNão se aplicaNão se aplicaIntermediário</t>
  </si>
  <si>
    <t>44713B3Energia horáriaNão se aplicaNão se aplicaNão se aplicaNão se aplicaIntermediário</t>
  </si>
  <si>
    <t>44621B3Energia horáriaNão se aplicaNão se aplicaNão se aplicaNão se aplicaPonta</t>
  </si>
  <si>
    <t>44652B3Energia horáriaNão se aplicaNão se aplicaNão se aplicaNão se aplicaPonta</t>
  </si>
  <si>
    <t>44682B3Energia horáriaNão se aplicaNão se aplicaNão se aplicaNão se aplicaPonta</t>
  </si>
  <si>
    <t>44713B3Energia horáriaNão se aplicaNão se aplicaNão se aplicaNão se aplicaPonta</t>
  </si>
  <si>
    <t>44378B3Energia convencionalNão se aplicaNão se aplicaNão se aplicaNão se aplicaNão se aplica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</si>
  <si>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</si>
  <si>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</si>
  <si>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</si>
  <si>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</si>
  <si>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</si>
  <si>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</si>
  <si>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</si>
  <si>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</si>
  <si>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</si>
  <si>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44682B3Energia convencionalNão se aplicaNão se aplicaNão se aplicaNão se aplicaNão se aplica</t>
  </si>
  <si>
    <t>44713B3Energia convencionalNão se aplicaNão se aplicaNão se aplicaNão se aplicaNão se aplica</t>
  </si>
  <si>
    <t>44378B4Energia convencionalIluminação públicaIluminação pública – B4aNão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</si>
  <si>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</si>
  <si>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</si>
  <si>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</si>
  <si>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</si>
  <si>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</si>
  <si>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</si>
  <si>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</si>
  <si>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</si>
  <si>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</si>
  <si>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44682B4Energia convencionalIluminação públicaIluminação pública – B4aNão se aplicaNão se aplicaNão se aplica</t>
  </si>
  <si>
    <t>44713B4Energia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</si>
  <si>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</si>
  <si>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</si>
  <si>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</si>
  <si>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</si>
  <si>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</si>
  <si>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</si>
  <si>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</si>
  <si>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</si>
  <si>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</si>
  <si>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</si>
  <si>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</si>
  <si>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</si>
  <si>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</si>
  <si>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</si>
  <si>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</si>
  <si>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</si>
  <si>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</si>
  <si>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</si>
  <si>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</si>
  <si>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</si>
  <si>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</si>
  <si>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</si>
  <si>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</si>
  <si>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</si>
  <si>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</si>
  <si>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</si>
  <si>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</si>
  <si>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</si>
  <si>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</si>
  <si>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</si>
  <si>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</si>
  <si>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</si>
  <si>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CDE ELET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</si>
  <si>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</si>
  <si>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</si>
  <si>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</si>
  <si>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</si>
  <si>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</si>
  <si>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</si>
  <si>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</si>
  <si>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</si>
  <si>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</si>
  <si>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</si>
  <si>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</si>
  <si>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</si>
  <si>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</si>
  <si>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</si>
  <si>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</si>
  <si>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</si>
  <si>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</si>
  <si>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</si>
  <si>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</si>
  <si>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</si>
  <si>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</si>
  <si>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</si>
  <si>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</si>
  <si>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</si>
  <si>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</si>
  <si>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</si>
  <si>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</si>
  <si>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</si>
  <si>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</si>
  <si>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</si>
  <si>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</si>
  <si>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</si>
  <si>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</si>
  <si>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</si>
  <si>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</si>
  <si>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</si>
  <si>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</si>
  <si>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</si>
  <si>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</si>
  <si>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</si>
  <si>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</si>
  <si>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</si>
  <si>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</si>
  <si>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</si>
  <si>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</si>
  <si>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</si>
  <si>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</si>
  <si>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</si>
  <si>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</si>
  <si>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</si>
  <si>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</si>
  <si>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</si>
  <si>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</si>
  <si>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</si>
  <si>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</si>
  <si>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</si>
  <si>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</si>
  <si>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</si>
  <si>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</si>
  <si>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</si>
  <si>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</si>
  <si>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</si>
  <si>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</si>
  <si>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</si>
  <si>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</si>
  <si>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</si>
  <si>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</si>
  <si>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</si>
  <si>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2.899, DE 20 DE JULHO DE 2021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</si>
  <si>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</si>
  <si>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</si>
  <si>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</si>
  <si>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</si>
  <si>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</si>
  <si>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</si>
  <si>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</si>
  <si>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</si>
  <si>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</si>
  <si>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</si>
  <si>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</si>
  <si>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</si>
  <si>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</si>
  <si>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</si>
  <si>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</si>
  <si>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</si>
  <si>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</si>
  <si>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</si>
  <si>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</si>
  <si>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</si>
  <si>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</si>
  <si>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</si>
  <si>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</si>
  <si>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TOTAL ABAS</t>
  </si>
  <si>
    <t>AVALIAÇÃO</t>
  </si>
  <si>
    <t>Coeficientes de transição</t>
  </si>
  <si>
    <t>A2</t>
  </si>
  <si>
    <t>A3</t>
  </si>
  <si>
    <t>A3a</t>
  </si>
  <si>
    <t>AS</t>
  </si>
  <si>
    <t>Carga</t>
  </si>
  <si>
    <t>Ajustado para o passo 4 da transição. Não altere.</t>
  </si>
  <si>
    <t>TipoTarifa</t>
  </si>
  <si>
    <t>UP</t>
  </si>
  <si>
    <t>US</t>
  </si>
  <si>
    <t>UT</t>
  </si>
  <si>
    <t>AnoRef</t>
  </si>
  <si>
    <t>Evento</t>
  </si>
  <si>
    <t>Energia</t>
  </si>
  <si>
    <t>Ativa</t>
  </si>
  <si>
    <t>Potência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</si>
  <si>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</si>
  <si>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</si>
  <si>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</si>
  <si>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</si>
  <si>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</si>
  <si>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</si>
  <si>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</si>
  <si>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</si>
  <si>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</si>
  <si>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</si>
  <si>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</si>
  <si>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</si>
  <si>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</si>
  <si>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</si>
  <si>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</si>
  <si>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</si>
  <si>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</si>
  <si>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</si>
  <si>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</si>
  <si>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</si>
  <si>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</si>
  <si>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</si>
  <si>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</si>
  <si>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</si>
  <si>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</si>
  <si>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</si>
  <si>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</si>
  <si>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</si>
  <si>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</si>
  <si>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</si>
  <si>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</si>
  <si>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</si>
  <si>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</si>
  <si>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</si>
  <si>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</si>
  <si>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</si>
  <si>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</si>
  <si>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</si>
  <si>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</si>
  <si>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</si>
  <si>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</si>
  <si>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</si>
  <si>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</si>
  <si>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</si>
  <si>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</si>
  <si>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</si>
  <si>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</si>
  <si>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</si>
  <si>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</si>
  <si>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CARGA FONTE INCENTIVADA</t>
  </si>
  <si>
    <t>SUBSIDIO RURAL</t>
  </si>
  <si>
    <t>SUBSIDIO BAIXA RENDA</t>
  </si>
  <si>
    <t>SUBSIDIO ÁGUA, ESGOTO E SANEAMENTO</t>
  </si>
  <si>
    <t>R$ (TV)</t>
  </si>
  <si>
    <t>R$ (TN)</t>
  </si>
  <si>
    <t>SUBSIDIO GERAÇÃO FONTE INCENTIVADA</t>
  </si>
  <si>
    <t>SUBSIDIO DISTRIBUIÇÃO</t>
  </si>
  <si>
    <t>SUBSIDIO IRRIGANTE/AQUICULTOR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</si>
  <si>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</si>
  <si>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</si>
  <si>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</si>
  <si>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</si>
  <si>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</si>
  <si>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</si>
  <si>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</si>
  <si>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</si>
  <si>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Convencional1RuralNão se aplicaRuralB2</t>
  </si>
  <si>
    <t>2021</t>
  </si>
  <si>
    <t>Azul1RuralNão se aplicaPlanilha CustoA4</t>
  </si>
  <si>
    <t>Planilha Custo</t>
  </si>
  <si>
    <t>Verde1RuralNão se aplicaPlanilha CustoA4</t>
  </si>
  <si>
    <t>Convencional1RuralNão se aplicaPlanilha CustoA4</t>
  </si>
  <si>
    <t>Branca1RuralNão se aplicaRuralB2</t>
  </si>
  <si>
    <t>Convencional1RuralServiço público de irrigação ruralPlanilha CUSTOB2</t>
  </si>
  <si>
    <t>Planilha CUSTO</t>
  </si>
  <si>
    <t>Branca 1RuralServiço público de irrigação ruralPlanilha CUSTOB2</t>
  </si>
  <si>
    <t xml:space="preserve">Branca </t>
  </si>
  <si>
    <t>Azul1Serviço públicoÁgua, esgoto e saneamentoPlanilha CUSTOA4</t>
  </si>
  <si>
    <t>Verde1Serviço públicoÁgua, esgoto e saneamentoPlanilha CUSTOA4</t>
  </si>
  <si>
    <t>Convencional 1Serviço públicoÁgua, esgoto e saneamentoPlanilha CUSTOA4</t>
  </si>
  <si>
    <t xml:space="preserve">Convencional </t>
  </si>
  <si>
    <t>Convencional1Serviço públicoÁgua, esgoto e saneamentoPlanilha CUSTOB3</t>
  </si>
  <si>
    <t>Branca1Serviço públicoÁgua, esgoto e saneamentoPlanilha CUSTOB3</t>
  </si>
  <si>
    <t>Convencional1RuralCooperativa de eletrificação ruralPlanilha CUSTOB2</t>
  </si>
  <si>
    <t>Branca 1RuralCooperativa de eletrificação ruralPlanilha CUSTOB2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</si>
  <si>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</si>
  <si>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</si>
  <si>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</si>
  <si>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</si>
  <si>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</si>
  <si>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</si>
  <si>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</si>
  <si>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</si>
  <si>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</si>
  <si>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</si>
  <si>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</si>
  <si>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</si>
  <si>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</si>
  <si>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</si>
  <si>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</si>
  <si>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</si>
  <si>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</si>
  <si>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</si>
  <si>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</si>
  <si>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</si>
  <si>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</si>
  <si>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</si>
  <si>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</si>
  <si>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</si>
  <si>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</si>
  <si>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</si>
  <si>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</si>
  <si>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</si>
  <si>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</si>
  <si>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</si>
  <si>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</si>
  <si>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</si>
  <si>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</si>
  <si>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</si>
  <si>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</si>
  <si>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</si>
  <si>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</si>
  <si>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</si>
  <si>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</si>
  <si>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</si>
  <si>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</si>
  <si>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</si>
  <si>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</si>
  <si>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</si>
  <si>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</si>
  <si>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</si>
  <si>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</si>
  <si>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</si>
  <si>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</si>
  <si>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</si>
  <si>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</si>
  <si>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</si>
  <si>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</si>
  <si>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</si>
  <si>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</si>
  <si>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</si>
  <si>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</si>
  <si>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</si>
  <si>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</si>
  <si>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</si>
  <si>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</si>
  <si>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</si>
  <si>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</si>
  <si>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</si>
  <si>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</si>
  <si>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</si>
  <si>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</si>
  <si>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</si>
  <si>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GERAÇÃO</t>
  </si>
  <si>
    <t>TUSD BASE FINANCEIRA NOVA</t>
  </si>
  <si>
    <t>TUSD BASE FINANCEIRA VIGENTE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</si>
  <si>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</si>
  <si>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</si>
  <si>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</si>
  <si>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</si>
  <si>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</si>
  <si>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</si>
  <si>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</si>
  <si>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</si>
  <si>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</si>
  <si>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</si>
  <si>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</si>
  <si>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</si>
  <si>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</si>
  <si>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</si>
  <si>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</si>
  <si>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</si>
  <si>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</si>
  <si>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</si>
  <si>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</si>
  <si>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</si>
  <si>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</si>
  <si>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</si>
  <si>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</si>
  <si>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</si>
  <si>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</si>
  <si>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</si>
  <si>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</si>
  <si>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</si>
  <si>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</si>
  <si>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</si>
  <si>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</si>
  <si>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</si>
  <si>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</si>
  <si>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</si>
  <si>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</si>
  <si>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</si>
  <si>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</si>
  <si>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</si>
  <si>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</si>
  <si>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</si>
  <si>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</si>
  <si>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</si>
  <si>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</si>
  <si>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</si>
  <si>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</si>
  <si>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</si>
  <si>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</si>
  <si>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</si>
  <si>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</si>
  <si>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</si>
  <si>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</si>
  <si>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</si>
  <si>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</si>
  <si>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</si>
  <si>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</si>
  <si>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</si>
  <si>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</si>
  <si>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</si>
  <si>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</si>
  <si>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</si>
  <si>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</si>
  <si>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</si>
  <si>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</si>
  <si>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</si>
  <si>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</si>
  <si>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</si>
  <si>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</si>
  <si>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</si>
  <si>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</si>
  <si>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</si>
  <si>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</si>
  <si>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</si>
  <si>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</si>
  <si>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</si>
  <si>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</si>
  <si>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</si>
  <si>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</si>
  <si>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</si>
  <si>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</si>
  <si>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</si>
  <si>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</si>
  <si>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</si>
  <si>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</si>
  <si>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</si>
  <si>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</si>
  <si>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</si>
  <si>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</si>
  <si>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</si>
  <si>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</si>
  <si>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</si>
  <si>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</si>
  <si>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</si>
  <si>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</si>
  <si>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</si>
  <si>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</si>
  <si>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</si>
  <si>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</si>
  <si>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</si>
  <si>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</si>
  <si>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</si>
  <si>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</si>
  <si>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</si>
  <si>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</si>
  <si>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</si>
  <si>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</si>
  <si>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</si>
  <si>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</si>
  <si>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</si>
  <si>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</si>
  <si>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</si>
  <si>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</si>
  <si>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</si>
  <si>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</si>
  <si>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</si>
  <si>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</si>
  <si>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</si>
  <si>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</si>
  <si>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</si>
  <si>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</si>
  <si>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</si>
  <si>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</si>
  <si>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</si>
  <si>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</si>
  <si>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</si>
  <si>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</si>
  <si>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</si>
  <si>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</si>
  <si>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</si>
  <si>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</si>
  <si>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</si>
  <si>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</si>
  <si>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</si>
  <si>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</si>
  <si>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</si>
  <si>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</si>
  <si>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</si>
  <si>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</si>
  <si>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</si>
  <si>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</si>
  <si>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</si>
  <si>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</si>
  <si>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</si>
  <si>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</si>
  <si>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</si>
  <si>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</si>
  <si>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</si>
  <si>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</si>
  <si>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</si>
  <si>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</si>
  <si>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</si>
  <si>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</si>
  <si>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</si>
  <si>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</si>
  <si>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</si>
  <si>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</si>
  <si>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</si>
  <si>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</si>
  <si>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</si>
  <si>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</si>
  <si>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</si>
  <si>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</si>
  <si>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</si>
  <si>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</si>
  <si>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</si>
  <si>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</si>
  <si>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</si>
  <si>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</si>
  <si>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</si>
  <si>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</si>
  <si>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</si>
  <si>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</si>
  <si>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</si>
  <si>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</si>
  <si>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</si>
  <si>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</si>
  <si>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</si>
  <si>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</si>
  <si>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A4Energia convencional</t>
  </si>
  <si>
    <t>A4Energia convencionalNão se aplica</t>
  </si>
  <si>
    <t>A4Energia convencionalNão se aplicaNão se aplica</t>
  </si>
  <si>
    <t>A4Energia convencionalNão se aplicaNão se aplicaNão se aplica</t>
  </si>
  <si>
    <t>A4Energia convencionalNão se aplicaNão se aplicaNão se aplicaNão se aplica</t>
  </si>
  <si>
    <t>A4Energia convencionalNão se aplicaNão se aplicaNão se aplicaNão se aplicaE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</si>
  <si>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</si>
  <si>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</si>
  <si>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</si>
  <si>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</si>
  <si>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</si>
  <si>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</si>
  <si>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</si>
  <si>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</si>
  <si>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</si>
  <si>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</si>
  <si>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</si>
  <si>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</si>
  <si>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</si>
  <si>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</si>
  <si>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</si>
  <si>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</si>
  <si>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</si>
  <si>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</si>
  <si>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</si>
  <si>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</si>
  <si>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</si>
  <si>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</si>
  <si>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</si>
  <si>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</si>
  <si>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</si>
  <si>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</si>
  <si>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</si>
  <si>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</si>
  <si>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</si>
  <si>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</si>
  <si>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</si>
  <si>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</si>
  <si>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</si>
  <si>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</si>
  <si>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</si>
  <si>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</si>
  <si>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</si>
  <si>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</si>
  <si>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</si>
  <si>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</si>
  <si>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</si>
  <si>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</si>
  <si>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</si>
  <si>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</si>
  <si>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</si>
  <si>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</si>
  <si>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</si>
  <si>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</si>
  <si>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</si>
  <si>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</si>
  <si>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</si>
  <si>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</si>
  <si>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</si>
  <si>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</si>
  <si>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</si>
  <si>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</si>
  <si>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</si>
  <si>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</si>
  <si>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</si>
  <si>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</si>
  <si>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</si>
  <si>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</si>
  <si>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</si>
  <si>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</si>
  <si>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</si>
  <si>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</si>
  <si>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</si>
  <si>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</si>
  <si>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</si>
  <si>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</si>
  <si>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</si>
  <si>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</si>
  <si>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</si>
  <si>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</si>
  <si>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</si>
  <si>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</si>
  <si>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</si>
  <si>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</si>
  <si>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</si>
  <si>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</si>
  <si>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</si>
  <si>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</si>
  <si>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</si>
  <si>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</si>
  <si>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</si>
  <si>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</si>
  <si>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</si>
  <si>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</si>
  <si>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</si>
  <si>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</si>
  <si>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</si>
  <si>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</si>
  <si>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</si>
  <si>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</si>
  <si>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</si>
  <si>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</si>
  <si>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</si>
  <si>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</si>
  <si>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</si>
  <si>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</si>
  <si>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</si>
  <si>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</si>
  <si>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</si>
  <si>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</si>
  <si>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</si>
  <si>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</si>
  <si>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</si>
  <si>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</si>
  <si>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</si>
  <si>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</si>
  <si>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</si>
  <si>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</si>
  <si>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</si>
  <si>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</si>
  <si>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</si>
  <si>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</si>
  <si>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</si>
  <si>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</si>
  <si>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</si>
  <si>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</si>
  <si>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</si>
  <si>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</si>
  <si>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</si>
  <si>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</si>
  <si>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</si>
  <si>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</si>
  <si>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</si>
  <si>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</si>
  <si>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</si>
  <si>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</si>
  <si>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</si>
  <si>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</si>
  <si>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</si>
  <si>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</si>
  <si>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</si>
  <si>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</si>
  <si>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</si>
  <si>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</si>
  <si>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</si>
  <si>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</si>
  <si>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</si>
  <si>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(SUB)GRUPO</t>
  </si>
  <si>
    <t>TUSD (R$)</t>
  </si>
  <si>
    <t>TUSD (MWh)</t>
  </si>
  <si>
    <t>PNT (R$/MWh)</t>
  </si>
  <si>
    <t>VAR. AX01</t>
  </si>
  <si>
    <t>VAR. AX02</t>
  </si>
  <si>
    <t>IdAgente</t>
  </si>
  <si>
    <t>Ano</t>
  </si>
  <si>
    <t>MERCADO MuxEnergia</t>
  </si>
  <si>
    <t>TARIFAS MuxEnergia</t>
  </si>
  <si>
    <t>TARIFAS Adjacente (RGE (agrupada))</t>
  </si>
  <si>
    <t>RECEITA MuxEnergia</t>
  </si>
  <si>
    <t>RECEITA Adjacente (RGE (agrupada))</t>
  </si>
  <si>
    <t>Dp</t>
  </si>
  <si>
    <t>Dfp</t>
  </si>
  <si>
    <t>TE P</t>
  </si>
  <si>
    <t>TE FP</t>
  </si>
  <si>
    <t>TUSD_E P</t>
  </si>
  <si>
    <t>TUSD_E FP</t>
  </si>
  <si>
    <t>ORIGINAL</t>
  </si>
  <si>
    <t>ADJACENTE</t>
  </si>
  <si>
    <t>DECISÃO</t>
  </si>
  <si>
    <t>CONTROLE</t>
  </si>
  <si>
    <t>TARIFAS TUSD</t>
  </si>
  <si>
    <t>TARIFAS TE</t>
  </si>
  <si>
    <t>TARIFAS TOTAIS</t>
  </si>
  <si>
    <t>TARIFA B1 Resid.</t>
  </si>
  <si>
    <t>B1 Convenc.</t>
  </si>
  <si>
    <t>Aplica Lei?</t>
  </si>
  <si>
    <t>Var. Controle TUSD</t>
  </si>
  <si>
    <t>Tarifa Distribuidora</t>
  </si>
  <si>
    <t>Tarifa Adjacente</t>
  </si>
  <si>
    <t>Nova Componente</t>
  </si>
  <si>
    <t>CodTar</t>
  </si>
  <si>
    <t>2060201001010000000000000004022025</t>
  </si>
  <si>
    <t>2060201001010000000000000002022025</t>
  </si>
  <si>
    <t>2060201001010000000000000001032035</t>
  </si>
  <si>
    <t>2060201001020000000000000001032035</t>
  </si>
  <si>
    <t>2060601001010000000000000001022025</t>
  </si>
  <si>
    <t>2060301001010000000000000001022025</t>
  </si>
  <si>
    <t>2060301001010000000000000004032035</t>
  </si>
  <si>
    <t>2060301001010000000000000002032035</t>
  </si>
  <si>
    <t>2060301001020000000000000004032035</t>
  </si>
  <si>
    <t>2060301001020000000000000002032035</t>
  </si>
  <si>
    <t>2130601001120000000000000001022025</t>
  </si>
  <si>
    <t>2130601001130000000000000001022025</t>
  </si>
  <si>
    <t>2080702002010000000000000004032035</t>
  </si>
  <si>
    <t>2080702002010000000000000003032035</t>
  </si>
  <si>
    <t>2080702002010000000000000002032035</t>
  </si>
  <si>
    <t>2080402002010000000000000001032035</t>
  </si>
  <si>
    <t>2080402006010000000000000001032035</t>
  </si>
  <si>
    <t>2081302002010000000000000001032035</t>
  </si>
  <si>
    <t>2081302006010000000000000001032035</t>
  </si>
  <si>
    <t>2090705001010000000000000004032035</t>
  </si>
  <si>
    <t>2090705001010000000000000003032035</t>
  </si>
  <si>
    <t>2090705001010000000000000002032035</t>
  </si>
  <si>
    <t>2100701001010000000000000004032035</t>
  </si>
  <si>
    <t>2100701001010000000000000003032035</t>
  </si>
  <si>
    <t>2100701001010000000000000002032035</t>
  </si>
  <si>
    <t>2100401001010000000000000001032035</t>
  </si>
  <si>
    <t>2101301001010000000000000001032035</t>
  </si>
  <si>
    <t>2110407041010000000000000001032035</t>
  </si>
  <si>
    <t>2110407042010000000000000001032035</t>
  </si>
  <si>
    <t>Var. Controle TE</t>
  </si>
  <si>
    <t>3060801001010000000000000004032035</t>
  </si>
  <si>
    <t>3060801001010000000000000002032035</t>
  </si>
  <si>
    <t>3060901001010000000000000001032035</t>
  </si>
  <si>
    <t>3080802002010000000000000004032035</t>
  </si>
  <si>
    <t>3080802002010000000000000003032035</t>
  </si>
  <si>
    <t>3080802002010000000000000002032035</t>
  </si>
  <si>
    <t>3080902002010000000000000001032035</t>
  </si>
  <si>
    <t>3080902006010000000000000001032035</t>
  </si>
  <si>
    <t>3081402002010000000000000001032035</t>
  </si>
  <si>
    <t>3081402006010000000000000001032035</t>
  </si>
  <si>
    <t>3090805001010000000000000004032035</t>
  </si>
  <si>
    <t>3090805001010000000000000003032035</t>
  </si>
  <si>
    <t>3090805001010000000000000002032035</t>
  </si>
  <si>
    <t>3100801001010000000000000004032035</t>
  </si>
  <si>
    <t>3100801001010000000000000003032035</t>
  </si>
  <si>
    <t>3100801001010000000000000002032035</t>
  </si>
  <si>
    <t>3100901001010000000000000001032035</t>
  </si>
  <si>
    <t>3101401001010000000000000001032035</t>
  </si>
  <si>
    <t>3110907041010000000000000001032035</t>
  </si>
  <si>
    <t>3110907042010000000000000001032035</t>
  </si>
  <si>
    <t>Sparta</t>
  </si>
  <si>
    <t>Conferencia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</si>
  <si>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</si>
  <si>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</si>
  <si>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</si>
  <si>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</si>
  <si>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</si>
  <si>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</si>
  <si>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</si>
  <si>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</si>
  <si>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</si>
  <si>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</si>
  <si>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</si>
  <si>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</si>
  <si>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</si>
  <si>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</si>
  <si>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</si>
  <si>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</si>
  <si>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</si>
  <si>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</si>
  <si>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</si>
  <si>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</si>
  <si>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</si>
  <si>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</si>
  <si>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</si>
  <si>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</si>
  <si>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</si>
  <si>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</si>
  <si>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</si>
  <si>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</si>
  <si>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</si>
  <si>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</si>
  <si>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</si>
  <si>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</si>
  <si>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</si>
  <si>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</si>
  <si>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Outros</t>
  </si>
  <si>
    <t>TUSD_PT</t>
  </si>
  <si>
    <t>TUSD_Per_RB_D</t>
  </si>
  <si>
    <t>TUSD_PNT</t>
  </si>
  <si>
    <t>TUSD_RI</t>
  </si>
  <si>
    <t>TE_CDE_COVID</t>
  </si>
  <si>
    <t>TE_CDE_ELET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</si>
  <si>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</si>
  <si>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</si>
  <si>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</si>
  <si>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</si>
  <si>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</si>
  <si>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</si>
  <si>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</si>
  <si>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</si>
  <si>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TE_Per_RB</t>
  </si>
  <si>
    <t>Baixa Renda</t>
  </si>
  <si>
    <t>Perdas</t>
  </si>
  <si>
    <t xml:space="preserve">TUSD 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</si>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</sst>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.00_);_(* \(#,##0.00\);_(* &quot;-&quot;??_);_(@_)"/>
    <numFmt numFmtId="165" formatCode="#,##0.00%_);[Red]\(#,##0.00%\)"/>
    <numFmt numFmtId="166" formatCode="#0.00%;[Red]#0.00%"/>
    <numFmt numFmtId="167" formatCode="0.00%_);[Red]\(0.00%\)"/>
    <numFmt numFmtId="168" formatCode="#,##0.00_);[Red]\(#,##0.00\)"/>
    <numFmt numFmtId="169" formatCode="#,##0.00;[Red]#,##0.00"/>
  </numFmts>
  <fonts count="12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 style="thin">
        <color indexed="64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/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</cellStyleXfs>
  <cellXfs count="161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horizontal="left"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0" xfId="0" pivotButton="1" applyFont="1"/>
    <xf numFmtId="40" fontId="3" fillId="0" borderId="0" xfId="0" applyNumberFormat="1" applyFont="1"/>
    <xf numFmtId="167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165" fontId="3" fillId="0" borderId="0" xfId="0" applyNumberFormat="1" applyFont="1"/>
    <xf numFmtId="40" fontId="3" fillId="2" borderId="1" xfId="0" applyNumberFormat="1" applyFont="1" applyFill="1" applyBorder="1" applyAlignment="1">
      <alignment vertical="center"/>
    </xf>
    <xf numFmtId="40" fontId="3" fillId="0" borderId="9" xfId="0" applyNumberFormat="1" applyFont="1" applyBorder="1" applyAlignment="1">
      <alignment vertical="center"/>
    </xf>
    <xf numFmtId="40" fontId="3" fillId="0" borderId="9" xfId="0" applyNumberFormat="1" applyFont="1" applyBorder="1" applyAlignment="1">
      <alignment horizontal="center" vertical="center"/>
    </xf>
    <xf numFmtId="0" fontId="3" fillId="0" borderId="9" xfId="0" applyFont="1" applyBorder="1"/>
    <xf numFmtId="40" fontId="3" fillId="0" borderId="9" xfId="0" applyNumberFormat="1" applyFont="1" applyBorder="1"/>
    <xf numFmtId="0" fontId="3" fillId="0" borderId="9" xfId="0" applyFont="1" applyBorder="1" applyAlignment="1">
      <alignment vertical="center"/>
    </xf>
    <xf numFmtId="164" fontId="3" fillId="0" borderId="0" xfId="2" applyFont="1"/>
    <xf numFmtId="165" fontId="3" fillId="0" borderId="9" xfId="0" applyNumberFormat="1" applyFont="1" applyBorder="1" applyAlignment="1">
      <alignment vertical="center"/>
    </xf>
    <xf numFmtId="40" fontId="3" fillId="0" borderId="9" xfId="0" applyNumberFormat="1" applyFont="1" applyBorder="1" applyAlignment="1">
      <alignment horizontal="left" vertical="center" indent="1"/>
    </xf>
    <xf numFmtId="40" fontId="3" fillId="0" borderId="9" xfId="0" quotePrefix="1" applyNumberFormat="1" applyFont="1" applyBorder="1" applyAlignment="1">
      <alignment horizontal="left" vertical="center" indent="1"/>
    </xf>
    <xf numFmtId="0" fontId="4" fillId="0" borderId="9" xfId="0" applyFont="1" applyBorder="1" applyAlignment="1">
      <alignment horizontal="center" vertical="center"/>
    </xf>
    <xf numFmtId="40" fontId="3" fillId="0" borderId="10" xfId="0" applyNumberFormat="1" applyFont="1" applyBorder="1" applyAlignment="1">
      <alignment vertical="center"/>
    </xf>
    <xf numFmtId="40" fontId="3" fillId="0" borderId="10" xfId="0" applyNumberFormat="1" applyFont="1" applyBorder="1" applyAlignment="1">
      <alignment horizontal="left" vertical="center"/>
    </xf>
    <xf numFmtId="40" fontId="4" fillId="0" borderId="10" xfId="0" applyNumberFormat="1" applyFont="1" applyBorder="1" applyAlignment="1">
      <alignment horizontal="center" vertical="center"/>
    </xf>
    <xf numFmtId="40" fontId="3" fillId="0" borderId="11" xfId="0" applyNumberFormat="1" applyFont="1" applyBorder="1" applyAlignment="1">
      <alignment vertical="center"/>
    </xf>
    <xf numFmtId="40" fontId="4" fillId="0" borderId="11" xfId="0" applyNumberFormat="1" applyFont="1" applyBorder="1" applyAlignment="1">
      <alignment horizontal="center" vertical="center"/>
    </xf>
    <xf numFmtId="40" fontId="3" fillId="0" borderId="15" xfId="0" applyNumberFormat="1" applyFont="1" applyBorder="1" applyAlignment="1">
      <alignment vertical="center"/>
    </xf>
    <xf numFmtId="40" fontId="3" fillId="0" borderId="15" xfId="0" applyNumberFormat="1" applyFont="1" applyBorder="1" applyAlignment="1">
      <alignment horizontal="left" vertical="center"/>
    </xf>
    <xf numFmtId="0" fontId="4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vertical="center"/>
    </xf>
    <xf numFmtId="164" fontId="3" fillId="0" borderId="15" xfId="2" applyFont="1" applyBorder="1" applyAlignment="1">
      <alignment horizontal="center"/>
    </xf>
    <xf numFmtId="40" fontId="3" fillId="0" borderId="15" xfId="0" applyNumberFormat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40" fontId="4" fillId="0" borderId="15" xfId="0" applyNumberFormat="1" applyFont="1" applyBorder="1" applyAlignment="1">
      <alignment horizontal="center" vertical="center"/>
    </xf>
    <xf numFmtId="40" fontId="3" fillId="0" borderId="15" xfId="0" applyNumberFormat="1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0" fillId="0" borderId="12" xfId="0" applyBorder="1"/>
    <xf numFmtId="0" fontId="0" fillId="0" borderId="15" xfId="0" applyBorder="1"/>
    <xf numFmtId="0" fontId="2" fillId="0" borderId="15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40" fontId="1" fillId="0" borderId="15" xfId="0" applyNumberFormat="1" applyFont="1" applyBorder="1" applyAlignment="1">
      <alignment horizontal="center" vertical="center"/>
    </xf>
    <xf numFmtId="166" fontId="1" fillId="0" borderId="15" xfId="0" applyNumberFormat="1" applyFont="1" applyBorder="1" applyAlignment="1">
      <alignment horizontal="center" vertical="center"/>
    </xf>
    <xf numFmtId="0" fontId="3" fillId="0" borderId="15" xfId="0" applyFont="1" applyBorder="1"/>
    <xf numFmtId="0" fontId="4" fillId="0" borderId="15" xfId="0" applyFont="1" applyBorder="1"/>
    <xf numFmtId="40" fontId="1" fillId="2" borderId="0" xfId="0" applyNumberFormat="1" applyFont="1" applyFill="1" applyAlignment="1">
      <alignment horizontal="center" vertical="center"/>
    </xf>
    <xf numFmtId="14" fontId="2" fillId="0" borderId="15" xfId="0" applyNumberFormat="1" applyFont="1" applyBorder="1" applyAlignment="1">
      <alignment horizontal="center" vertical="center"/>
    </xf>
    <xf numFmtId="14" fontId="1" fillId="0" borderId="15" xfId="0" applyNumberFormat="1" applyFont="1" applyBorder="1" applyAlignment="1">
      <alignment horizontal="center" vertical="center"/>
    </xf>
    <xf numFmtId="40" fontId="3" fillId="0" borderId="15" xfId="0" applyNumberFormat="1" applyFont="1" applyBorder="1"/>
    <xf numFmtId="40" fontId="2" fillId="0" borderId="15" xfId="0" applyNumberFormat="1" applyFont="1" applyBorder="1" applyAlignment="1">
      <alignment horizontal="center" vertical="center"/>
    </xf>
    <xf numFmtId="0" fontId="6" fillId="0" borderId="0" xfId="0" applyFo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164" fontId="0" fillId="0" borderId="20" xfId="2" applyFont="1" applyBorder="1"/>
    <xf numFmtId="164" fontId="0" fillId="0" borderId="24" xfId="2" applyFont="1" applyBorder="1"/>
    <xf numFmtId="164" fontId="0" fillId="0" borderId="15" xfId="2" applyFont="1" applyBorder="1"/>
    <xf numFmtId="164" fontId="0" fillId="0" borderId="25" xfId="2" applyFont="1" applyBorder="1"/>
    <xf numFmtId="164" fontId="0" fillId="0" borderId="22" xfId="2" applyFont="1" applyBorder="1"/>
    <xf numFmtId="164" fontId="0" fillId="0" borderId="26" xfId="2" applyFont="1" applyBorder="1"/>
    <xf numFmtId="0" fontId="0" fillId="0" borderId="27" xfId="0" applyBorder="1"/>
    <xf numFmtId="164" fontId="0" fillId="0" borderId="12" xfId="2" applyFont="1" applyBorder="1"/>
    <xf numFmtId="164" fontId="0" fillId="0" borderId="28" xfId="2" applyFont="1" applyBorder="1"/>
    <xf numFmtId="0" fontId="0" fillId="0" borderId="29" xfId="0" applyBorder="1"/>
    <xf numFmtId="0" fontId="0" fillId="0" borderId="23" xfId="0" applyBorder="1"/>
    <xf numFmtId="0" fontId="0" fillId="0" borderId="30" xfId="0" applyBorder="1"/>
    <xf numFmtId="0" fontId="0" fillId="0" borderId="31" xfId="0" applyBorder="1"/>
    <xf numFmtId="164" fontId="0" fillId="0" borderId="30" xfId="2" applyFont="1" applyBorder="1"/>
    <xf numFmtId="164" fontId="0" fillId="0" borderId="27" xfId="2" applyFont="1" applyBorder="1"/>
    <xf numFmtId="0" fontId="0" fillId="0" borderId="32" xfId="0" applyBorder="1"/>
    <xf numFmtId="0" fontId="3" fillId="0" borderId="0" xfId="0" quotePrefix="1" applyFont="1" applyAlignment="1">
      <alignment vertical="center"/>
    </xf>
    <xf numFmtId="164" fontId="3" fillId="0" borderId="0" xfId="0" applyNumberFormat="1" applyFont="1"/>
    <xf numFmtId="168" fontId="3" fillId="0" borderId="0" xfId="0" applyNumberFormat="1" applyFont="1"/>
    <xf numFmtId="10" fontId="3" fillId="0" borderId="0" xfId="0" applyNumberFormat="1" applyFont="1"/>
    <xf numFmtId="2" fontId="8" fillId="3" borderId="33" xfId="0" applyNumberFormat="1" applyFont="1" applyFill="1" applyBorder="1" applyAlignment="1">
      <alignment horizontal="center" vertical="center"/>
    </xf>
    <xf numFmtId="0" fontId="8" fillId="3" borderId="33" xfId="0" applyFont="1" applyFill="1" applyBorder="1" applyAlignment="1">
      <alignment horizontal="left" vertical="center" indent="1"/>
    </xf>
    <xf numFmtId="4" fontId="8" fillId="4" borderId="0" xfId="0" applyNumberFormat="1" applyFont="1" applyFill="1" applyAlignment="1">
      <alignment vertical="center"/>
    </xf>
    <xf numFmtId="0" fontId="8" fillId="4" borderId="0" xfId="0" applyFont="1" applyFill="1" applyAlignment="1">
      <alignment horizontal="left" vertical="center" indent="1"/>
    </xf>
    <xf numFmtId="10" fontId="8" fillId="3" borderId="0" xfId="0" applyNumberFormat="1" applyFont="1" applyFill="1" applyAlignment="1">
      <alignment vertical="center"/>
    </xf>
    <xf numFmtId="0" fontId="8" fillId="3" borderId="0" xfId="0" applyFont="1" applyFill="1" applyAlignment="1">
      <alignment horizontal="left" vertical="center" indent="1"/>
    </xf>
    <xf numFmtId="10" fontId="8" fillId="4" borderId="0" xfId="0" applyNumberFormat="1" applyFont="1" applyFill="1" applyAlignment="1">
      <alignment vertical="center"/>
    </xf>
    <xf numFmtId="0" fontId="9" fillId="5" borderId="34" xfId="0" applyFont="1" applyFill="1" applyBorder="1" applyAlignment="1">
      <alignment horizontal="center" vertical="center"/>
    </xf>
    <xf numFmtId="40" fontId="8" fillId="3" borderId="33" xfId="0" applyNumberFormat="1" applyFont="1" applyFill="1" applyBorder="1" applyAlignment="1">
      <alignment horizontal="center" vertical="center"/>
    </xf>
    <xf numFmtId="169" fontId="8" fillId="4" borderId="0" xfId="0" applyNumberFormat="1" applyFont="1" applyFill="1" applyAlignment="1">
      <alignment horizontal="center" vertical="center"/>
    </xf>
    <xf numFmtId="4" fontId="11" fillId="6" borderId="36" xfId="0" applyNumberFormat="1" applyFont="1" applyFill="1" applyBorder="1"/>
    <xf numFmtId="4" fontId="11" fillId="6" borderId="14" xfId="0" applyNumberFormat="1" applyFont="1" applyFill="1" applyBorder="1"/>
    <xf numFmtId="4" fontId="11" fillId="6" borderId="37" xfId="0" applyNumberFormat="1" applyFont="1" applyFill="1" applyBorder="1"/>
    <xf numFmtId="4" fontId="11" fillId="6" borderId="6" xfId="0" applyNumberFormat="1" applyFont="1" applyFill="1" applyBorder="1"/>
    <xf numFmtId="4" fontId="11" fillId="6" borderId="15" xfId="0" applyNumberFormat="1" applyFont="1" applyFill="1" applyBorder="1"/>
    <xf numFmtId="4" fontId="11" fillId="6" borderId="5" xfId="0" applyNumberFormat="1" applyFont="1" applyFill="1" applyBorder="1"/>
    <xf numFmtId="4" fontId="11" fillId="6" borderId="38" xfId="0" applyNumberFormat="1" applyFont="1" applyFill="1" applyBorder="1"/>
    <xf numFmtId="4" fontId="11" fillId="6" borderId="12" xfId="0" applyNumberFormat="1" applyFont="1" applyFill="1" applyBorder="1"/>
    <xf numFmtId="4" fontId="11" fillId="6" borderId="35" xfId="0" applyNumberFormat="1" applyFont="1" applyFill="1" applyBorder="1"/>
    <xf numFmtId="4" fontId="11" fillId="6" borderId="14" xfId="0" applyNumberFormat="1" applyFont="1" applyFill="1" applyBorder="1" applyAlignment="1">
      <alignment horizontal="center"/>
    </xf>
    <xf numFmtId="4" fontId="11" fillId="6" borderId="37" xfId="0" applyNumberFormat="1" applyFont="1" applyFill="1" applyBorder="1" applyAlignment="1">
      <alignment horizont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3" fillId="0" borderId="15" xfId="0" applyFont="1" applyBorder="1" applyAlignment="1">
      <alignment vertical="center"/>
    </xf>
    <xf numFmtId="0" fontId="0" fillId="0" borderId="15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7" xfId="0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40" fontId="3" fillId="0" borderId="10" xfId="0" applyNumberFormat="1" applyFont="1" applyBorder="1" applyAlignment="1">
      <alignment horizontal="left" vertical="center"/>
    </xf>
    <xf numFmtId="40" fontId="4" fillId="0" borderId="12" xfId="0" applyNumberFormat="1" applyFont="1" applyBorder="1" applyAlignment="1">
      <alignment horizontal="center" vertical="center"/>
    </xf>
    <xf numFmtId="40" fontId="6" fillId="0" borderId="13" xfId="0" applyNumberFormat="1" applyFont="1" applyBorder="1" applyAlignment="1">
      <alignment horizontal="center" vertical="center"/>
    </xf>
    <xf numFmtId="40" fontId="6" fillId="0" borderId="14" xfId="0" applyNumberFormat="1" applyFont="1" applyBorder="1" applyAlignment="1">
      <alignment horizontal="center" vertical="center"/>
    </xf>
    <xf numFmtId="40" fontId="3" fillId="0" borderId="15" xfId="0" applyNumberFormat="1" applyFont="1" applyBorder="1" applyAlignment="1">
      <alignment horizontal="left" vertical="center"/>
    </xf>
    <xf numFmtId="0" fontId="4" fillId="0" borderId="15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vertical="center"/>
    </xf>
    <xf numFmtId="0" fontId="3" fillId="0" borderId="12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16" xfId="0" applyFont="1" applyBorder="1" applyAlignment="1">
      <alignment vertical="center"/>
    </xf>
    <xf numFmtId="0" fontId="0" fillId="0" borderId="16" xfId="0" applyBorder="1" applyAlignment="1">
      <alignment vertical="center"/>
    </xf>
    <xf numFmtId="4" fontId="11" fillId="6" borderId="15" xfId="0" applyNumberFormat="1" applyFont="1" applyFill="1" applyBorder="1" applyAlignment="1">
      <alignment horizontal="center"/>
    </xf>
    <xf numFmtId="4" fontId="11" fillId="6" borderId="5" xfId="0" applyNumberFormat="1" applyFont="1" applyFill="1" applyBorder="1" applyAlignment="1">
      <alignment horizontal="center"/>
    </xf>
    <xf numFmtId="4" fontId="11" fillId="6" borderId="14" xfId="0" applyNumberFormat="1" applyFont="1" applyFill="1" applyBorder="1" applyAlignment="1">
      <alignment horizontal="center"/>
    </xf>
    <xf numFmtId="4" fontId="11" fillId="6" borderId="37" xfId="0" applyNumberFormat="1" applyFont="1" applyFill="1" applyBorder="1" applyAlignment="1">
      <alignment horizontal="center"/>
    </xf>
    <xf numFmtId="164" fontId="1" fillId="0" borderId="0" xfId="2" applyFont="1" applyAlignment="1">
      <alignment horizontal="center" vertical="center"/>
    </xf>
  </cellXfs>
  <cellStyles count="3">
    <cellStyle name="Normal" xfId="0" builtinId="0"/>
    <cellStyle name="Vírgula" xfId="2" builtinId="3"/>
    <cellStyle name="Vírgula 2" xfId="1" xr:uid="{75689EAA-1221-4E79-BB04-CCD8C04C9B7F}"/>
  </cellStyles>
  <dxfs count="1018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8" formatCode="#,##0.00_);[Red]\(#,##0.00\)"/>
    </dxf>
    <dxf>
      <numFmt numFmtId="168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7" formatCode="0.00%_);[Red]\(0.00%\)"/>
    </dxf>
    <dxf>
      <numFmt numFmtId="167" formatCode="0.00%_);[Red]\(0.00%\)"/>
    </dxf>
    <dxf>
      <numFmt numFmtId="168" formatCode="#,##0.00_);[Red]\(#,##0.00\)"/>
    </dxf>
    <dxf>
      <numFmt numFmtId="168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'RESUMO TUSD'!$B$5:$W$5</c15:sqref>
                  </c15:fullRef>
                </c:ext>
              </c:extLst>
              <c:f>('RESUMO TUSD'!$B$5:$H$5,'RESUMO TUSD'!$J$5:$W$5)</c:f>
              <c:strCache>
                <c:ptCount val="21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TUSD RB</c:v>
                </c:pt>
                <c:pt idx="8">
                  <c:v>TUSD FR</c:v>
                </c:pt>
                <c:pt idx="9">
                  <c:v>CONEXAO T</c:v>
                </c:pt>
                <c:pt idx="10">
                  <c:v>CONEXAO D</c:v>
                </c:pt>
                <c:pt idx="11">
                  <c:v>CUSD</c:v>
                </c:pt>
                <c:pt idx="12">
                  <c:v>TUSDG-T</c:v>
                </c:pt>
                <c:pt idx="13">
                  <c:v>TUSDG-ONS</c:v>
                </c:pt>
                <c:pt idx="14">
                  <c:v>DISTRIBUICAO</c:v>
                </c:pt>
                <c:pt idx="15">
                  <c:v>SUBSIDIO</c:v>
                </c:pt>
                <c:pt idx="16">
                  <c:v>OUTROS</c:v>
                </c:pt>
                <c:pt idx="17">
                  <c:v>PERDAS TECNICAS</c:v>
                </c:pt>
                <c:pt idx="18">
                  <c:v>PERDAS RB/ PERDAS D</c:v>
                </c:pt>
                <c:pt idx="19">
                  <c:v>PERDAS NAO TECNICAS</c:v>
                </c:pt>
                <c:pt idx="20">
                  <c:v>RI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'RESUMO TUSD'!$B$14:$W$14</c15:sqref>
                  </c15:fullRef>
                </c:ext>
              </c:extLst>
              <c:f>('RESUMO TUSD'!$B$14:$H$14,'RESUMO TUSD'!$J$14:$W$14)</c:f>
              <c:numCache>
                <c:formatCode>#,##0.00%_);[Red]\(#,##0.00%\)</c:formatCode>
                <c:ptCount val="21"/>
                <c:pt idx="0">
                  <c:v>0</c:v>
                </c:pt>
                <c:pt idx="1">
                  <c:v>-8.4653837225952527E-4</c:v>
                </c:pt>
                <c:pt idx="2">
                  <c:v>-5.3440595403606407E-3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-0.12208285272360185</c:v>
                </c:pt>
                <c:pt idx="15">
                  <c:v>-4.2776915332000606E-2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47-4EF2-A0C6-532A0AE6104D}"/>
            </c:ext>
          </c:extLst>
        </c:ser>
        <c:ser>
          <c:idx val="3"/>
          <c:order val="3"/>
          <c:marker>
            <c:symbol val="none"/>
          </c:marker>
          <c:cat>
            <c:strLit>
              <c:ptCount val="21"/>
              <c:pt idx="0">
                <c:v>CDE Covid TUSD</c:v>
              </c:pt>
              <c:pt idx="1">
                <c:v>TFSEE</c:v>
              </c:pt>
              <c:pt idx="2">
                <c:v>P&amp;D</c:v>
              </c:pt>
              <c:pt idx="3">
                <c:v>ONS</c:v>
              </c:pt>
              <c:pt idx="4">
                <c:v>CCC</c:v>
              </c:pt>
              <c:pt idx="5">
                <c:v>CDE</c:v>
              </c:pt>
              <c:pt idx="6">
                <c:v>PROINFA</c:v>
              </c:pt>
              <c:pt idx="7">
                <c:v>LIMINAR 1</c:v>
              </c:pt>
              <c:pt idx="8">
                <c:v>TUSD RB</c:v>
              </c:pt>
              <c:pt idx="9">
                <c:v>TUSD FR</c:v>
              </c:pt>
              <c:pt idx="10">
                <c:v>CONEXAO T</c:v>
              </c:pt>
              <c:pt idx="11">
                <c:v>CONEXAO D</c:v>
              </c:pt>
              <c:pt idx="12">
                <c:v>CUSD</c:v>
              </c:pt>
              <c:pt idx="13">
                <c:v>TUSDG-T</c:v>
              </c:pt>
              <c:pt idx="14">
                <c:v>TUSDG-ONS</c:v>
              </c:pt>
              <c:pt idx="15">
                <c:v>DISTRIBUICAO</c:v>
              </c:pt>
              <c:pt idx="16">
                <c:v>SUBSIDIO</c:v>
              </c:pt>
              <c:pt idx="17">
                <c:v>OUTROS</c:v>
              </c:pt>
              <c:pt idx="18">
                <c:v>PERDAS TECNICAS</c:v>
              </c:pt>
              <c:pt idx="19">
                <c:v>PERDAS RB/ PERDAS D</c:v>
              </c:pt>
              <c:pt idx="20">
                <c:v>PERDAS NAO TECNICAS</c:v>
              </c:pt>
              <c:pt idx="21">
                <c:v>RI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extLst>
            <c:ext xmlns:c16="http://schemas.microsoft.com/office/drawing/2014/chart" uri="{C3380CC4-5D6E-409C-BE32-E72D297353CC}">
              <c16:uniqueId val="{00000003-AA47-4EF2-A0C6-532A0AE6104D}"/>
            </c:ext>
          </c:extLst>
        </c:ser>
        <c:ser>
          <c:idx val="4"/>
          <c:order val="4"/>
          <c:marker>
            <c:symbol val="none"/>
          </c:marker>
          <c:cat>
            <c:strLit>
              <c:ptCount val="21"/>
              <c:pt idx="0">
                <c:v>CDE Covid TUSD</c:v>
              </c:pt>
              <c:pt idx="1">
                <c:v>TFSEE</c:v>
              </c:pt>
              <c:pt idx="2">
                <c:v>P&amp;D</c:v>
              </c:pt>
              <c:pt idx="3">
                <c:v>ONS</c:v>
              </c:pt>
              <c:pt idx="4">
                <c:v>CCC</c:v>
              </c:pt>
              <c:pt idx="5">
                <c:v>CDE</c:v>
              </c:pt>
              <c:pt idx="6">
                <c:v>PROINFA</c:v>
              </c:pt>
              <c:pt idx="7">
                <c:v>LIMINAR 1</c:v>
              </c:pt>
              <c:pt idx="8">
                <c:v>TUSD RB</c:v>
              </c:pt>
              <c:pt idx="9">
                <c:v>TUSD FR</c:v>
              </c:pt>
              <c:pt idx="10">
                <c:v>CONEXAO T</c:v>
              </c:pt>
              <c:pt idx="11">
                <c:v>CONEXAO D</c:v>
              </c:pt>
              <c:pt idx="12">
                <c:v>CUSD</c:v>
              </c:pt>
              <c:pt idx="13">
                <c:v>TUSDG-T</c:v>
              </c:pt>
              <c:pt idx="14">
                <c:v>TUSDG-ONS</c:v>
              </c:pt>
              <c:pt idx="15">
                <c:v>DISTRIBUICAO</c:v>
              </c:pt>
              <c:pt idx="16">
                <c:v>SUBSIDIO</c:v>
              </c:pt>
              <c:pt idx="17">
                <c:v>OUTROS</c:v>
              </c:pt>
              <c:pt idx="18">
                <c:v>PERDAS TECNICAS</c:v>
              </c:pt>
              <c:pt idx="19">
                <c:v>PERDAS RB/ PERDAS D</c:v>
              </c:pt>
              <c:pt idx="20">
                <c:v>PERDAS NAO TECNICAS</c:v>
              </c:pt>
              <c:pt idx="21">
                <c:v>RI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extLst>
            <c:ext xmlns:c16="http://schemas.microsoft.com/office/drawing/2014/chart" uri="{C3380CC4-5D6E-409C-BE32-E72D297353CC}">
              <c16:uniqueId val="{00000004-AA47-4EF2-A0C6-532A0AE6104D}"/>
            </c:ext>
          </c:extLst>
        </c:ser>
        <c:ser>
          <c:idx val="5"/>
          <c:order val="5"/>
          <c:marker>
            <c:symbol val="none"/>
          </c:marker>
          <c:cat>
            <c:strLit>
              <c:ptCount val="21"/>
              <c:pt idx="0">
                <c:v>CDE Covid TUSD</c:v>
              </c:pt>
              <c:pt idx="1">
                <c:v>TFSEE</c:v>
              </c:pt>
              <c:pt idx="2">
                <c:v>P&amp;D</c:v>
              </c:pt>
              <c:pt idx="3">
                <c:v>ONS</c:v>
              </c:pt>
              <c:pt idx="4">
                <c:v>CCC</c:v>
              </c:pt>
              <c:pt idx="5">
                <c:v>CDE</c:v>
              </c:pt>
              <c:pt idx="6">
                <c:v>PROINFA</c:v>
              </c:pt>
              <c:pt idx="7">
                <c:v>LIMINAR 1</c:v>
              </c:pt>
              <c:pt idx="8">
                <c:v>TUSD RB</c:v>
              </c:pt>
              <c:pt idx="9">
                <c:v>TUSD FR</c:v>
              </c:pt>
              <c:pt idx="10">
                <c:v>CONEXAO T</c:v>
              </c:pt>
              <c:pt idx="11">
                <c:v>CONEXAO D</c:v>
              </c:pt>
              <c:pt idx="12">
                <c:v>CUSD</c:v>
              </c:pt>
              <c:pt idx="13">
                <c:v>TUSDG-T</c:v>
              </c:pt>
              <c:pt idx="14">
                <c:v>TUSDG-ONS</c:v>
              </c:pt>
              <c:pt idx="15">
                <c:v>DISTRIBUICAO</c:v>
              </c:pt>
              <c:pt idx="16">
                <c:v>SUBSIDIO</c:v>
              </c:pt>
              <c:pt idx="17">
                <c:v>OUTROS</c:v>
              </c:pt>
              <c:pt idx="18">
                <c:v>PERDAS TECNICAS</c:v>
              </c:pt>
              <c:pt idx="19">
                <c:v>PERDAS RB/ PERDAS D</c:v>
              </c:pt>
              <c:pt idx="20">
                <c:v>PERDAS NAO TECNICAS</c:v>
              </c:pt>
              <c:pt idx="21">
                <c:v>RI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extLst>
            <c:ext xmlns:c16="http://schemas.microsoft.com/office/drawing/2014/chart" uri="{C3380CC4-5D6E-409C-BE32-E72D297353CC}">
              <c16:uniqueId val="{00000005-AA47-4EF2-A0C6-532A0AE61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7324200"/>
        <c:axId val="887319280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'RESUMO TUSD'!$A$13</c15:sqref>
                        </c15:formulaRef>
                      </c:ext>
                    </c:extLst>
                    <c:strCache>
                      <c:ptCount val="1"/>
                      <c:pt idx="0">
                        <c:v>VAR. GLOBAL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'RESUMO TUSD'!$B$5:$W$5</c15:sqref>
                        </c15:fullRef>
                        <c15:formulaRef>
                          <c15:sqref>('RESUMO TUSD'!$B$5:$H$5,'RESUMO TUSD'!$J$5:$W$5)</c15:sqref>
                        </c15:formulaRef>
                      </c:ext>
                    </c:extLst>
                    <c:strCache>
                      <c:ptCount val="21"/>
                      <c:pt idx="0">
                        <c:v>CDE Covid TUSD</c:v>
                      </c:pt>
                      <c:pt idx="1">
                        <c:v>TFSEE</c:v>
                      </c:pt>
                      <c:pt idx="2">
                        <c:v>P&amp;D</c:v>
                      </c:pt>
                      <c:pt idx="3">
                        <c:v>ONS</c:v>
                      </c:pt>
                      <c:pt idx="4">
                        <c:v>CCC</c:v>
                      </c:pt>
                      <c:pt idx="5">
                        <c:v>CDE</c:v>
                      </c:pt>
                      <c:pt idx="6">
                        <c:v>PROINFA</c:v>
                      </c:pt>
                      <c:pt idx="7">
                        <c:v>TUSD RB</c:v>
                      </c:pt>
                      <c:pt idx="8">
                        <c:v>TUSD FR</c:v>
                      </c:pt>
                      <c:pt idx="9">
                        <c:v>CONEXAO T</c:v>
                      </c:pt>
                      <c:pt idx="10">
                        <c:v>CONEXAO D</c:v>
                      </c:pt>
                      <c:pt idx="11">
                        <c:v>CUSD</c:v>
                      </c:pt>
                      <c:pt idx="12">
                        <c:v>TUSDG-T</c:v>
                      </c:pt>
                      <c:pt idx="13">
                        <c:v>TUSDG-ONS</c:v>
                      </c:pt>
                      <c:pt idx="14">
                        <c:v>DISTRIBUICAO</c:v>
                      </c:pt>
                      <c:pt idx="15">
                        <c:v>SUBSIDIO</c:v>
                      </c:pt>
                      <c:pt idx="16">
                        <c:v>OUTROS</c:v>
                      </c:pt>
                      <c:pt idx="17">
                        <c:v>PERDAS TECNICAS</c:v>
                      </c:pt>
                      <c:pt idx="18">
                        <c:v>PERDAS RB/ PERDAS D</c:v>
                      </c:pt>
                      <c:pt idx="19">
                        <c:v>PERDAS NAO TECNICAS</c:v>
                      </c:pt>
                      <c:pt idx="20">
                        <c:v>RI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'RESUMO TUSD'!$B$13:$W$13</c15:sqref>
                        </c15:fullRef>
                        <c15:formulaRef>
                          <c15:sqref>('RESUMO TUSD'!$B$13:$H$13,'RESUMO TUSD'!$J$13:$W$13)</c15:sqref>
                        </c15:formulaRef>
                      </c:ext>
                    </c:extLst>
                    <c:numCache>
                      <c:formatCode>#,##0.00%_);[Red]\(#,##0.00%\)</c:formatCode>
                      <c:ptCount val="21"/>
                      <c:pt idx="0">
                        <c:v>9.1403371747404314E-4</c:v>
                      </c:pt>
                      <c:pt idx="1">
                        <c:v>-1.7519765014189671E-4</c:v>
                      </c:pt>
                      <c:pt idx="2">
                        <c:v>-9.1018993606682474E-5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0.14837263937925491</c:v>
                      </c:pt>
                      <c:pt idx="6">
                        <c:v>2.9195162284015811E-2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7.1796873026160571E-2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-5.1191368097987947E-3</c:v>
                      </c:pt>
                      <c:pt idx="15">
                        <c:v>-7.378627146841385E-2</c:v>
                      </c:pt>
                      <c:pt idx="16">
                        <c:v>0</c:v>
                      </c:pt>
                      <c:pt idx="17">
                        <c:v>1.3482326373308293E-4</c:v>
                      </c:pt>
                      <c:pt idx="18">
                        <c:v>2.063228658574101E-4</c:v>
                      </c:pt>
                      <c:pt idx="19">
                        <c:v>-1.304756836641399E-3</c:v>
                      </c:pt>
                      <c:pt idx="20">
                        <c:v>1.3724845711327769E-3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AA47-4EF2-A0C6-532A0AE6104D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'RESUMO TUSD'!$A$15</c15:sqref>
                        </c15:formulaRef>
                      </c:ext>
                    </c:extLst>
                    <c:strCache>
                      <c:ptCount val="1"/>
                      <c:pt idx="0">
                        <c:v>VAR. SELEÇÃO MDT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'RESUMO TUSD'!$B$5:$W$5</c15:sqref>
                        </c15:fullRef>
                        <c15:formulaRef>
                          <c15:sqref>('RESUMO TUSD'!$B$5:$H$5,'RESUMO TUSD'!$J$5:$W$5)</c15:sqref>
                        </c15:formulaRef>
                      </c:ext>
                    </c:extLst>
                    <c:strCache>
                      <c:ptCount val="21"/>
                      <c:pt idx="0">
                        <c:v>CDE Covid TUSD</c:v>
                      </c:pt>
                      <c:pt idx="1">
                        <c:v>TFSEE</c:v>
                      </c:pt>
                      <c:pt idx="2">
                        <c:v>P&amp;D</c:v>
                      </c:pt>
                      <c:pt idx="3">
                        <c:v>ONS</c:v>
                      </c:pt>
                      <c:pt idx="4">
                        <c:v>CCC</c:v>
                      </c:pt>
                      <c:pt idx="5">
                        <c:v>CDE</c:v>
                      </c:pt>
                      <c:pt idx="6">
                        <c:v>PROINFA</c:v>
                      </c:pt>
                      <c:pt idx="7">
                        <c:v>TUSD RB</c:v>
                      </c:pt>
                      <c:pt idx="8">
                        <c:v>TUSD FR</c:v>
                      </c:pt>
                      <c:pt idx="9">
                        <c:v>CONEXAO T</c:v>
                      </c:pt>
                      <c:pt idx="10">
                        <c:v>CONEXAO D</c:v>
                      </c:pt>
                      <c:pt idx="11">
                        <c:v>CUSD</c:v>
                      </c:pt>
                      <c:pt idx="12">
                        <c:v>TUSDG-T</c:v>
                      </c:pt>
                      <c:pt idx="13">
                        <c:v>TUSDG-ONS</c:v>
                      </c:pt>
                      <c:pt idx="14">
                        <c:v>DISTRIBUICAO</c:v>
                      </c:pt>
                      <c:pt idx="15">
                        <c:v>SUBSIDIO</c:v>
                      </c:pt>
                      <c:pt idx="16">
                        <c:v>OUTROS</c:v>
                      </c:pt>
                      <c:pt idx="17">
                        <c:v>PERDAS TECNICAS</c:v>
                      </c:pt>
                      <c:pt idx="18">
                        <c:v>PERDAS RB/ PERDAS D</c:v>
                      </c:pt>
                      <c:pt idx="19">
                        <c:v>PERDAS NAO TECNICAS</c:v>
                      </c:pt>
                      <c:pt idx="20">
                        <c:v>RI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'RESUMO TUSD'!$B$15:$W$15</c15:sqref>
                        </c15:fullRef>
                        <c15:formulaRef>
                          <c15:sqref>('RESUMO TUSD'!$B$15:$H$15,'RESUMO TUSD'!$J$15:$W$15)</c15:sqref>
                        </c15:formulaRef>
                      </c:ext>
                    </c:extLst>
                    <c:numCache>
                      <c:formatCode>#,##0.00%_);[Red]\(#,##0.00%\)</c:formatCode>
                      <c:ptCount val="21"/>
                      <c:pt idx="0">
                        <c:v>0</c:v>
                      </c:pt>
                      <c:pt idx="1">
                        <c:v>-8.4653837225952527E-4</c:v>
                      </c:pt>
                      <c:pt idx="2">
                        <c:v>-5.3440595403606407E-3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-0.12208285272360185</c:v>
                      </c:pt>
                      <c:pt idx="15">
                        <c:v>-4.2776915332000606E-2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A47-4EF2-A0C6-532A0AE6104D}"/>
                  </c:ext>
                </c:extLst>
              </c15:ser>
            </c15:filteredRadarSeries>
          </c:ext>
        </c:extLst>
      </c:radarChart>
      <c:catAx>
        <c:axId val="88732420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887319280"/>
        <c:crosses val="autoZero"/>
        <c:auto val="1"/>
        <c:lblAlgn val="ctr"/>
        <c:lblOffset val="100"/>
        <c:noMultiLvlLbl val="0"/>
      </c:catAx>
      <c:valAx>
        <c:axId val="887319280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8873242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TE'!$B$13:$L$13</c:f>
              <c:numCache>
                <c:formatCode>#,##0.00%_);[Red]\(#,##0.00%\)</c:formatCode>
                <c:ptCount val="11"/>
                <c:pt idx="0">
                  <c:v>3.9604315065783533E-4</c:v>
                </c:pt>
                <c:pt idx="1">
                  <c:v>7.4023832145659801E-2</c:v>
                </c:pt>
                <c:pt idx="2">
                  <c:v>0</c:v>
                </c:pt>
                <c:pt idx="3">
                  <c:v>9.9730464055245022E-3</c:v>
                </c:pt>
                <c:pt idx="4">
                  <c:v>-6.7081943112266548E-2</c:v>
                </c:pt>
                <c:pt idx="5">
                  <c:v>-2.8735065199169154E-2</c:v>
                </c:pt>
                <c:pt idx="6">
                  <c:v>1.0146368665582542E-2</c:v>
                </c:pt>
                <c:pt idx="7">
                  <c:v>-1.2839946691719649E-4</c:v>
                </c:pt>
                <c:pt idx="8">
                  <c:v>0</c:v>
                </c:pt>
                <c:pt idx="9">
                  <c:v>-5.3875901750463091E-2</c:v>
                </c:pt>
                <c:pt idx="10">
                  <c:v>2.6777098405130371E-3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26-4422-9757-73D1E6EF9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460208"/>
        <c:axId val="995159392"/>
        <c:extLst>
          <c:ext xmlns:c15="http://schemas.microsoft.com/office/drawing/2012/chart" uri="{02D57815-91ED-43cb-92C2-25804820EDAC}">
            <c15:filteredRad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'RESUMO TE'!$A$14</c15:sqref>
                        </c15:formulaRef>
                      </c:ext>
                    </c:extLst>
                    <c:strCache>
                      <c:ptCount val="1"/>
                      <c:pt idx="0">
                        <c:v>VAR. SELEÇÃO SUBG.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'RESUMO TE'!$B$5:$L$5</c15:sqref>
                        </c15:formulaRef>
                      </c:ext>
                    </c:extLst>
                    <c:strCache>
                      <c:ptCount val="11"/>
                      <c:pt idx="0">
                        <c:v>P&amp;D</c:v>
                      </c:pt>
                      <c:pt idx="1">
                        <c:v>ESS/ERR</c:v>
                      </c:pt>
                      <c:pt idx="2">
                        <c:v>CFURH</c:v>
                      </c:pt>
                      <c:pt idx="3">
                        <c:v>CDE Covid TE</c:v>
                      </c:pt>
                      <c:pt idx="4">
                        <c:v>CDE ELET</c:v>
                      </c:pt>
                      <c:pt idx="5">
                        <c:v>ENERGIA REVENDA</c:v>
                      </c:pt>
                      <c:pt idx="6">
                        <c:v>ITAIPU</c:v>
                      </c:pt>
                      <c:pt idx="7">
                        <c:v>TUST ITAIPU</c:v>
                      </c:pt>
                      <c:pt idx="8">
                        <c:v>TUST CI</c:v>
                      </c:pt>
                      <c:pt idx="9">
                        <c:v>SUBSIDIO</c:v>
                      </c:pt>
                      <c:pt idx="10">
                        <c:v>PERDAS RB/C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'RESUMO TE'!$B$14:$L$14</c15:sqref>
                        </c15:formulaRef>
                      </c:ext>
                    </c:extLst>
                    <c:numCache>
                      <c:formatCode>#,##0.00%_);[Red]\(#,##0.00%\)</c:formatCode>
                      <c:ptCount val="11"/>
                      <c:pt idx="0">
                        <c:v>3.9542602913963048E-4</c:v>
                      </c:pt>
                      <c:pt idx="1">
                        <c:v>7.3987562041083282E-2</c:v>
                      </c:pt>
                      <c:pt idx="2">
                        <c:v>0</c:v>
                      </c:pt>
                      <c:pt idx="3">
                        <c:v>9.9684742281577459E-3</c:v>
                      </c:pt>
                      <c:pt idx="4">
                        <c:v>-6.7051189165122968E-2</c:v>
                      </c:pt>
                      <c:pt idx="5">
                        <c:v>-2.8776618546345133E-2</c:v>
                      </c:pt>
                      <c:pt idx="6">
                        <c:v>1.0140810681525354E-2</c:v>
                      </c:pt>
                      <c:pt idx="7">
                        <c:v>-1.2914578893119327E-4</c:v>
                      </c:pt>
                      <c:pt idx="8">
                        <c:v>0</c:v>
                      </c:pt>
                      <c:pt idx="9">
                        <c:v>-5.3871379951553312E-2</c:v>
                      </c:pt>
                      <c:pt idx="10">
                        <c:v>2.6754465140540022E-3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C26-4422-9757-73D1E6EF9AD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'RESUMO TE'!$A$15</c15:sqref>
                        </c15:formulaRef>
                      </c:ext>
                    </c:extLst>
                    <c:strCache>
                      <c:ptCount val="1"/>
                      <c:pt idx="0">
                        <c:v>VAR. SELEÇÃO MDT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'RESUMO TE'!$B$5:$L$5</c15:sqref>
                        </c15:formulaRef>
                      </c:ext>
                    </c:extLst>
                    <c:strCache>
                      <c:ptCount val="11"/>
                      <c:pt idx="0">
                        <c:v>P&amp;D</c:v>
                      </c:pt>
                      <c:pt idx="1">
                        <c:v>ESS/ERR</c:v>
                      </c:pt>
                      <c:pt idx="2">
                        <c:v>CFURH</c:v>
                      </c:pt>
                      <c:pt idx="3">
                        <c:v>CDE Covid TE</c:v>
                      </c:pt>
                      <c:pt idx="4">
                        <c:v>CDE ELET</c:v>
                      </c:pt>
                      <c:pt idx="5">
                        <c:v>ENERGIA REVENDA</c:v>
                      </c:pt>
                      <c:pt idx="6">
                        <c:v>ITAIPU</c:v>
                      </c:pt>
                      <c:pt idx="7">
                        <c:v>TUST ITAIPU</c:v>
                      </c:pt>
                      <c:pt idx="8">
                        <c:v>TUST CI</c:v>
                      </c:pt>
                      <c:pt idx="9">
                        <c:v>SUBSIDIO</c:v>
                      </c:pt>
                      <c:pt idx="10">
                        <c:v>PERDAS RB/C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'RESUMO TE'!$B$15:$L$15</c15:sqref>
                        </c15:formulaRef>
                      </c:ext>
                    </c:extLst>
                    <c:numCache>
                      <c:formatCode>#,##0.00%_);[Red]\(#,##0.00%\)</c:formatCode>
                      <c:ptCount val="11"/>
                      <c:pt idx="0">
                        <c:v>3.9542602913963048E-4</c:v>
                      </c:pt>
                      <c:pt idx="1">
                        <c:v>7.3987562041083282E-2</c:v>
                      </c:pt>
                      <c:pt idx="2">
                        <c:v>0</c:v>
                      </c:pt>
                      <c:pt idx="3">
                        <c:v>9.9684742281577459E-3</c:v>
                      </c:pt>
                      <c:pt idx="4">
                        <c:v>-6.7051189165122968E-2</c:v>
                      </c:pt>
                      <c:pt idx="5">
                        <c:v>-2.8776618546345133E-2</c:v>
                      </c:pt>
                      <c:pt idx="6">
                        <c:v>1.0140810681525354E-2</c:v>
                      </c:pt>
                      <c:pt idx="7">
                        <c:v>-1.2914578893119327E-4</c:v>
                      </c:pt>
                      <c:pt idx="8">
                        <c:v>0</c:v>
                      </c:pt>
                      <c:pt idx="9">
                        <c:v>-5.3871379951553312E-2</c:v>
                      </c:pt>
                      <c:pt idx="10">
                        <c:v>2.6754465140540022E-3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C26-4422-9757-73D1E6EF9ADB}"/>
                  </c:ext>
                </c:extLst>
              </c15:ser>
            </c15:filteredRadarSeries>
            <c15:filteredRadarSeries>
              <c15:ser>
                <c:idx val="3"/>
                <c:order val="3"/>
                <c:marker>
                  <c:symbol val="none"/>
                </c:marker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C26-4422-9757-73D1E6EF9ADB}"/>
                  </c:ext>
                </c:extLst>
              </c15:ser>
            </c15:filteredRadarSeries>
            <c15:filteredRadarSeries>
              <c15:ser>
                <c:idx val="4"/>
                <c:order val="4"/>
                <c:marker>
                  <c:symbol val="none"/>
                </c:marker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C26-4422-9757-73D1E6EF9ADB}"/>
                  </c:ext>
                </c:extLst>
              </c15:ser>
            </c15:filteredRadarSeries>
            <c15:filteredRadarSeries>
              <c15:ser>
                <c:idx val="5"/>
                <c:order val="5"/>
                <c:marker>
                  <c:symbol val="none"/>
                </c:marker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C26-4422-9757-73D1E6EF9ADB}"/>
                  </c:ext>
                </c:extLst>
              </c15:ser>
            </c15:filteredRadarSeries>
          </c:ext>
        </c:extLst>
      </c:radarChart>
      <c:catAx>
        <c:axId val="99346020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995159392"/>
        <c:crosses val="autoZero"/>
        <c:auto val="1"/>
        <c:lblAlgn val="ctr"/>
        <c:lblOffset val="100"/>
        <c:noMultiLvlLbl val="0"/>
      </c:catAx>
      <c:valAx>
        <c:axId val="995159392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9934602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447676</xdr:colOff>
      <xdr:row>16</xdr:row>
      <xdr:rowOff>0</xdr:rowOff>
    </xdr:from>
    <xdr:to>
      <xdr:col>12</xdr:col>
      <xdr:colOff>200026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7FE57E3-8402-2C8A-E7C0-DBC41A7C9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447676</xdr:colOff>
      <xdr:row>16</xdr:row>
      <xdr:rowOff>0</xdr:rowOff>
    </xdr:from>
    <xdr:to>
      <xdr:col>11</xdr:col>
      <xdr:colOff>466726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9B5B259-2CC5-8337-83B8-8656DE3F3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56.506467939813" createdVersion="5" refreshedVersion="8" minRefreshableVersion="3" recordCount="177" xr:uid="{B9807DB6-7E3F-491B-A25F-AEC729892EB4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4">
        <s v="A4"/>
        <s v="B1"/>
        <s v="B2"/>
        <s v="B3"/>
      </sharedItems>
    </cacheField>
    <cacheField name="Modalidade" numFmtId="0">
      <sharedItems count="3">
        <s v="Azul"/>
        <s v="Verde"/>
        <s v="Convencional"/>
      </sharedItems>
    </cacheField>
    <cacheField name="Classe" numFmtId="0">
      <sharedItems count="4">
        <s v="Industrial"/>
        <s v="Rural"/>
        <s v="Residencial"/>
        <s v="Serviço público"/>
      </sharedItems>
    </cacheField>
    <cacheField name="Subclasse" numFmtId="0">
      <sharedItems count="7">
        <s v="Não se aplica"/>
        <s v="Residencial"/>
        <s v="Residencial baixa renda – faixa 01"/>
        <s v="Residencial baixa renda – faixa 02"/>
        <s v="Residencial baixa renda – faixa 03"/>
        <s v="Residencial baixa renda – faixa 04"/>
        <s v="Água, esgoto e saneamento"/>
      </sharedItems>
    </cacheField>
    <cacheField name="Detalhe" numFmtId="0">
      <sharedItems count="2">
        <s v="Fonte incentivada"/>
        <s v="Não se aplica"/>
      </sharedItems>
    </cacheField>
    <cacheField name="Agente" numFmtId="0">
      <sharedItems count="1">
        <s v="Não se aplica"/>
      </sharedItems>
    </cacheField>
    <cacheField name="Posto" numFmtId="0">
      <sharedItems count="3">
        <s v="Fora ponta"/>
        <s v="Não se aplica"/>
        <s v="Ponta"/>
      </sharedItems>
    </cacheField>
    <cacheField name="AnoMes" numFmtId="14">
      <sharedItems containsSemiMixedTypes="0" containsNonDate="0" containsDate="1" containsString="0" minDate="2021-07-01T00:00:00" maxDate="2022-06-02T00:00:00" count="12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</sharedItems>
    </cacheField>
    <cacheField name="D" numFmtId="40">
      <sharedItems containsSemiMixedTypes="0" containsString="0" containsNumber="1" containsInteger="1" minValue="0" maxValue="1813"/>
    </cacheField>
    <cacheField name="Daj" numFmtId="40">
      <sharedItems containsSemiMixedTypes="0" containsString="0" containsNumber="1" minValue="0" maxValue="990"/>
    </cacheField>
    <cacheField name="TUSD_E" numFmtId="40">
      <sharedItems containsSemiMixedTypes="0" containsString="0" containsNumber="1" minValue="0" maxValue="1892.0740000000001"/>
    </cacheField>
    <cacheField name="TUSD_Eaj" numFmtId="40">
      <sharedItems containsSemiMixedTypes="0" containsString="0" containsNumber="1" minValue="-5.7000000000000002E-2" maxValue="1892.0740000000001"/>
    </cacheField>
    <cacheField name="TE_E" numFmtId="40">
      <sharedItems containsSemiMixedTypes="0" containsString="0" containsNumber="1" minValue="0" maxValue="1892.0740000000001"/>
    </cacheField>
    <cacheField name="TE_Eaj" numFmtId="40">
      <sharedItems containsSemiMixedTypes="0" containsString="0" containsNumber="1" minValue="-5.7000000000000002E-2" maxValue="1892.0740000000001"/>
    </cacheField>
    <cacheField name="UC" numFmtId="40">
      <sharedItems containsSemiMixedTypes="0" containsString="0" containsNumber="1" containsInteger="1" minValue="0" maxValue="9963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0"/>
    </cacheField>
    <cacheField name="CóD. AUX. TUSD R$/kW" numFmtId="0">
      <sharedItems containsSemiMixedTypes="0" containsString="0" containsNumber="1" containsInteger="1" minValue="0" maxValue="36"/>
    </cacheField>
    <cacheField name="CóD. AUX. TUSD R$/MWh" numFmtId="0">
      <sharedItems containsSemiMixedTypes="0" containsString="0" containsNumber="1" containsInteger="1" minValue="0" maxValue="46"/>
    </cacheField>
    <cacheField name="CóD. AUX. TE R$/MWh" numFmtId="0">
      <sharedItems containsSemiMixedTypes="0" containsString="0" containsNumber="1" containsInteger="1" minValue="0" maxValue="83"/>
    </cacheField>
    <cacheField name="TUSD (R$/kW)" numFmtId="40">
      <sharedItems containsSemiMixedTypes="0" containsString="0" containsNumber="1" minValue="0" maxValue="35.54"/>
    </cacheField>
    <cacheField name="TUSD (R$/MWh)" numFmtId="40">
      <sharedItems containsSemiMixedTypes="0" containsString="0" containsNumber="1" minValue="0" maxValue="940.75"/>
    </cacheField>
    <cacheField name="TE (R$/MWh)" numFmtId="40">
      <sharedItems containsSemiMixedTypes="0" containsString="0" containsNumber="1" minValue="0" maxValue="373.71"/>
    </cacheField>
    <cacheField name="TUSD (R$/kW) NOVA" numFmtId="40">
      <sharedItems containsString="0" containsBlank="1" containsNumber="1" minValue="21.858018594146511" maxValue="39.070567946018087"/>
    </cacheField>
    <cacheField name="TUSD (R$/MWh) NOVA" numFmtId="40">
      <sharedItems containsString="0" containsBlank="1" containsNumber="1" minValue="99.630608534328061" maxValue="1073.2822448920531"/>
    </cacheField>
    <cacheField name="TE (R$/MWh) NOVA" numFmtId="40">
      <sharedItems containsString="0" containsBlank="1" containsNumber="1" minValue="79.64271102922558" maxValue="347.98834052804079"/>
    </cacheField>
    <cacheField name="SUBSIDIO kW - TV" numFmtId="40">
      <sharedItems containsSemiMixedTypes="0" containsString="0" containsNumber="1" minValue="0" maxValue="30727.284152325999"/>
    </cacheField>
    <cacheField name="SUBSIDIO MWh - TV" numFmtId="40">
      <sharedItems containsSemiMixedTypes="0" containsString="0" containsNumber="1" minValue="-5.8088289733859707E-13" maxValue="18644.745265000322"/>
    </cacheField>
    <cacheField name="SUBSIDIO kW - TN" numFmtId="40">
      <sharedItems containsSemiMixedTypes="0" containsString="0" containsNumber="1" minValue="0" maxValue="33779.75360917439"/>
    </cacheField>
    <cacheField name="SUBSIDIO MWh - TN" numFmtId="40">
      <sharedItems containsSemiMixedTypes="0" containsString="0" containsNumber="1" minValue="-1.1617657946771941E-12" maxValue="21271.404787095427"/>
    </cacheField>
    <cacheField name="TIPO" numFmtId="0">
      <sharedItems containsBlank="1" count="5">
        <s v="SUBSIDIO CARGA FONTE INCENTIVADA"/>
        <s v="SUBSIDIO RURAL"/>
        <m/>
        <s v="SUBSIDIO BAIXA RENDA"/>
        <s v="SUBSIDIO ÁGUA, ESGOTO E SANEAMENTO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56.51364571759" createdVersion="5" refreshedVersion="8" minRefreshableVersion="3" recordCount="443" xr:uid="{F6D5B091-CB65-402D-A465-61D846FA60C2}">
  <cacheSource type="worksheet">
    <worksheetSource name="Efeito"/>
  </cacheSource>
  <cacheFields count="36">
    <cacheField name="TipoMercado" numFmtId="0">
      <sharedItems/>
    </cacheField>
    <cacheField name="Subgrupo" numFmtId="0">
      <sharedItems count="5">
        <s v="A4"/>
        <s v="B1"/>
        <s v="B2"/>
        <s v="B3"/>
        <s v="B4"/>
      </sharedItems>
    </cacheField>
    <cacheField name="Modalidade" numFmtId="0">
      <sharedItems count="4">
        <s v="Azul"/>
        <s v="Verde"/>
        <s v="Convencional"/>
        <s v="Branca"/>
      </sharedItems>
    </cacheField>
    <cacheField name="Classe" numFmtId="0">
      <sharedItems count="8">
        <s v="Industrial"/>
        <s v="Comercial"/>
        <s v="Poder público"/>
        <s v="Rural"/>
        <s v="Residencial"/>
        <s v="Consumo próprio"/>
        <s v="Serviço público"/>
        <s v="Iluminação pública"/>
      </sharedItems>
    </cacheField>
    <cacheField name="Subclasse" numFmtId="0">
      <sharedItems count="8">
        <s v="Não se aplica"/>
        <s v="Residencial"/>
        <s v="Residencial baixa renda – faixa 01"/>
        <s v="Residencial baixa renda – faixa 02"/>
        <s v="Residencial baixa renda – faixa 03"/>
        <s v="Residencial baixa renda – faixa 04"/>
        <s v="Água, esgoto e saneamento"/>
        <s v="Iluminação pública – B4a"/>
      </sharedItems>
    </cacheField>
    <cacheField name="Detalhe" numFmtId="0">
      <sharedItems count="2">
        <s v="Fonte incentivada"/>
        <s v="Não se aplica"/>
      </sharedItems>
    </cacheField>
    <cacheField name="Agente" numFmtId="0">
      <sharedItems count="1">
        <s v="Não se aplica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07-01T00:00:00" maxDate="2022-06-02T00:00:00" count="12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</sharedItems>
    </cacheField>
    <cacheField name="D" numFmtId="40">
      <sharedItems containsSemiMixedTypes="0" containsString="0" containsNumber="1" containsInteger="1" minValue="0" maxValue="4799"/>
    </cacheField>
    <cacheField name="Daj" numFmtId="40">
      <sharedItems containsSemiMixedTypes="0" containsString="0" containsNumber="1" minValue="0" maxValue="4799"/>
    </cacheField>
    <cacheField name="TUSD_E" numFmtId="40">
      <sharedItems containsSemiMixedTypes="0" containsString="0" containsNumber="1" minValue="-4.1440000000000001" maxValue="1922.569"/>
    </cacheField>
    <cacheField name="TUSD_Eaj" numFmtId="40">
      <sharedItems containsSemiMixedTypes="0" containsString="0" containsNumber="1" minValue="-4.1440000000000001" maxValue="1922.569"/>
    </cacheField>
    <cacheField name="TE_E" numFmtId="40">
      <sharedItems containsSemiMixedTypes="0" containsString="0" containsNumber="1" minValue="-4.1440000000000001" maxValue="1922.569"/>
    </cacheField>
    <cacheField name="TE_Eaj" numFmtId="40">
      <sharedItems containsSemiMixedTypes="0" containsString="0" containsNumber="1" minValue="-4.1440000000000001" maxValue="1922.569"/>
    </cacheField>
    <cacheField name="UC" numFmtId="40">
      <sharedItems containsSemiMixedTypes="0" containsString="0" containsNumber="1" containsInteger="1" minValue="0" maxValue="9963"/>
    </cacheField>
    <cacheField name="OPÇÃO" numFmtId="0">
      <sharedItems count="2">
        <s v="LIVRE"/>
        <s v="CATIVO"/>
      </sharedItems>
    </cacheField>
    <cacheField name="CóD. AUX." numFmtId="0">
      <sharedItems containsSemiMixedTypes="0" containsString="0" containsNumber="1" containsInteger="1" minValue="0" maxValue="0"/>
    </cacheField>
    <cacheField name="CóD. AUX. TUSD R$/kW" numFmtId="40">
      <sharedItems containsSemiMixedTypes="0" containsString="0" containsNumber="1" containsInteger="1" minValue="0" maxValue="36"/>
    </cacheField>
    <cacheField name="CóD. AUX. TUSD R$/MWh" numFmtId="40">
      <sharedItems containsSemiMixedTypes="0" containsString="0" containsNumber="1" containsInteger="1" minValue="0" maxValue="56"/>
    </cacheField>
    <cacheField name="CóD. AUX. TE R$/MWh" numFmtId="40">
      <sharedItems containsSemiMixedTypes="0" containsString="0" containsNumber="1" containsInteger="1" minValue="0" maxValue="84"/>
    </cacheField>
    <cacheField name="TUSD (R$/kW)" numFmtId="40">
      <sharedItems containsSemiMixedTypes="0" containsString="0" containsNumber="1" minValue="0" maxValue="35.54"/>
    </cacheField>
    <cacheField name="TUSD (R$/MWh)" numFmtId="40">
      <sharedItems containsSemiMixedTypes="0" containsString="0" containsNumber="1" minValue="0" maxValue="940.75"/>
    </cacheField>
    <cacheField name="TE (R$/MWh)" numFmtId="40">
      <sharedItems containsSemiMixedTypes="0" containsString="0" containsNumber="1" minValue="0" maxValue="373.71"/>
    </cacheField>
    <cacheField name="TUSD (R$/kW) NOVA" numFmtId="40">
      <sharedItems containsString="0" containsBlank="1" containsNumber="1" minValue="19.241604957347008" maxValue="35.086170133817248"/>
    </cacheField>
    <cacheField name="TUSD (R$/MWh) NOVA" numFmtId="40">
      <sharedItems containsString="0" containsBlank="1" containsNumber="1" minValue="90.007547278019956" maxValue="1236.7078812289385"/>
    </cacheField>
    <cacheField name="TE (R$/MWh) NOVA" numFmtId="40">
      <sharedItems containsString="0" containsBlank="1" containsNumber="1" minValue="79.64271102922558" maxValue="347.98834052804079"/>
    </cacheField>
    <cacheField name="RA0 ou RV - TUSD (kW)" numFmtId="40">
      <sharedItems containsSemiMixedTypes="0" containsString="0" containsNumber="1" minValue="0" maxValue="71697.06"/>
    </cacheField>
    <cacheField name="RA0 ou RV - TUSD (MWh)" numFmtId="40">
      <sharedItems containsSemiMixedTypes="0" containsString="0" containsNumber="1" minValue="-1380.5735999999999" maxValue="630344.45309999993"/>
    </cacheField>
    <cacheField name="RA0 ou RV - TE (MWh)" numFmtId="40">
      <sharedItems containsSemiMixedTypes="0" containsString="0" containsNumber="1" minValue="-1002.2264" maxValue="457598.0969"/>
    </cacheField>
    <cacheField name="RA1 ou RRD - TUSD (kW)" numFmtId="40">
      <sharedItems containsSemiMixedTypes="0" containsString="0" containsNumber="1" minValue="0" maxValue="94224.961418681924"/>
    </cacheField>
    <cacheField name="RA1 ou RRD - TUSD (MWh)" numFmtId="40">
      <sharedItems containsSemiMixedTypes="0" containsString="0" containsNumber="1" minValue="-1558.6969585700203" maxValue="711672.29468856484"/>
    </cacheField>
    <cacheField name="RA1 ou RRD - TE (MWh)" numFmtId="40">
      <sharedItems containsSemiMixedTypes="0" containsString="0" containsNumber="1" minValue="-942.96969858603097" maxValue="430542.57950831705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7">
  <r>
    <s v="Regular"/>
    <x v="0"/>
    <x v="0"/>
    <x v="0"/>
    <x v="0"/>
    <x v="0"/>
    <x v="0"/>
    <x v="0"/>
    <x v="0"/>
    <n v="1800"/>
    <n v="905.36929199999997"/>
    <n v="0"/>
    <n v="0"/>
    <n v="0"/>
    <n v="0"/>
    <n v="0"/>
    <s v="LIVRE"/>
    <n v="0"/>
    <n v="2"/>
    <n v="0"/>
    <n v="0"/>
    <n v="14.94"/>
    <n v="0"/>
    <n v="0"/>
    <n v="21.858018594146511"/>
    <n v="124.29961477828176"/>
    <m/>
    <n v="13365.78277752"/>
    <n v="0"/>
    <n v="19554.854650358458"/>
    <n v="0"/>
    <x v="0"/>
  </r>
  <r>
    <s v="Regular"/>
    <x v="0"/>
    <x v="0"/>
    <x v="0"/>
    <x v="0"/>
    <x v="0"/>
    <x v="0"/>
    <x v="0"/>
    <x v="1"/>
    <n v="1802"/>
    <n v="918.92490845999998"/>
    <n v="0"/>
    <n v="0"/>
    <n v="0"/>
    <n v="0"/>
    <n v="0"/>
    <s v="LIVRE"/>
    <n v="0"/>
    <n v="2"/>
    <n v="0"/>
    <n v="0"/>
    <n v="14.94"/>
    <n v="0"/>
    <n v="0"/>
    <n v="21.858018594146511"/>
    <n v="124.29961477828176"/>
    <m/>
    <n v="13193.141867607599"/>
    <n v="0"/>
    <n v="19302.271770908952"/>
    <n v="0"/>
    <x v="0"/>
  </r>
  <r>
    <s v="Regular"/>
    <x v="0"/>
    <x v="0"/>
    <x v="0"/>
    <x v="0"/>
    <x v="0"/>
    <x v="0"/>
    <x v="0"/>
    <x v="2"/>
    <n v="1800"/>
    <n v="907.34920199999999"/>
    <n v="0"/>
    <n v="0"/>
    <n v="0"/>
    <n v="0"/>
    <n v="0"/>
    <s v="LIVRE"/>
    <n v="0"/>
    <n v="2"/>
    <n v="0"/>
    <n v="0"/>
    <n v="14.94"/>
    <n v="0"/>
    <n v="0"/>
    <n v="21.858018594146511"/>
    <n v="124.29961477828176"/>
    <m/>
    <n v="13336.202922119999"/>
    <n v="0"/>
    <n v="19511.577740763722"/>
    <n v="0"/>
    <x v="0"/>
  </r>
  <r>
    <s v="Regular"/>
    <x v="0"/>
    <x v="0"/>
    <x v="0"/>
    <x v="0"/>
    <x v="0"/>
    <x v="0"/>
    <x v="0"/>
    <x v="3"/>
    <n v="1813"/>
    <n v="906.93687861000001"/>
    <n v="0"/>
    <n v="0"/>
    <n v="0"/>
    <n v="0"/>
    <n v="0"/>
    <s v="LIVRE"/>
    <n v="0"/>
    <n v="2"/>
    <n v="0"/>
    <n v="0"/>
    <n v="14.94"/>
    <n v="0"/>
    <n v="0"/>
    <n v="21.858018594146511"/>
    <n v="124.29961477828176"/>
    <m/>
    <n v="13536.5830335666"/>
    <n v="0"/>
    <n v="19804.744554813045"/>
    <n v="0"/>
    <x v="0"/>
  </r>
  <r>
    <s v="Regular"/>
    <x v="0"/>
    <x v="0"/>
    <x v="0"/>
    <x v="0"/>
    <x v="0"/>
    <x v="0"/>
    <x v="0"/>
    <x v="4"/>
    <n v="1809"/>
    <n v="904.5"/>
    <n v="0"/>
    <n v="0"/>
    <n v="0"/>
    <n v="0"/>
    <n v="0"/>
    <s v="LIVRE"/>
    <n v="0"/>
    <n v="2"/>
    <n v="0"/>
    <n v="0"/>
    <n v="14.94"/>
    <n v="0"/>
    <n v="0"/>
    <n v="21.858018594146511"/>
    <n v="124.29961477828176"/>
    <m/>
    <n v="13513.23"/>
    <n v="0"/>
    <n v="19770.57781840552"/>
    <n v="0"/>
    <x v="0"/>
  </r>
  <r>
    <s v="Regular"/>
    <x v="0"/>
    <x v="0"/>
    <x v="0"/>
    <x v="0"/>
    <x v="0"/>
    <x v="0"/>
    <x v="0"/>
    <x v="5"/>
    <n v="1800"/>
    <n v="932.78597400000001"/>
    <n v="0"/>
    <n v="0"/>
    <n v="0"/>
    <n v="0"/>
    <n v="0"/>
    <s v="LIVRE"/>
    <n v="0"/>
    <n v="2"/>
    <n v="0"/>
    <n v="0"/>
    <n v="14.94"/>
    <n v="0"/>
    <n v="0"/>
    <n v="21.858018594146511"/>
    <n v="124.29961477828176"/>
    <m/>
    <n v="12956.177548439999"/>
    <n v="0"/>
    <n v="18955.580305412655"/>
    <n v="0"/>
    <x v="0"/>
  </r>
  <r>
    <s v="Regular"/>
    <x v="0"/>
    <x v="0"/>
    <x v="0"/>
    <x v="0"/>
    <x v="0"/>
    <x v="0"/>
    <x v="0"/>
    <x v="6"/>
    <n v="1800"/>
    <n v="901.16834400000005"/>
    <n v="0"/>
    <n v="0"/>
    <n v="0"/>
    <n v="0"/>
    <n v="0"/>
    <s v="LIVRE"/>
    <n v="0"/>
    <n v="2"/>
    <n v="0"/>
    <n v="0"/>
    <n v="14.94"/>
    <n v="0"/>
    <n v="0"/>
    <n v="21.858018594146511"/>
    <n v="124.29961477828176"/>
    <m/>
    <n v="13428.544940639998"/>
    <n v="0"/>
    <n v="19646.679049855498"/>
    <n v="0"/>
    <x v="0"/>
  </r>
  <r>
    <s v="Regular"/>
    <x v="0"/>
    <x v="0"/>
    <x v="0"/>
    <x v="0"/>
    <x v="0"/>
    <x v="0"/>
    <x v="0"/>
    <x v="7"/>
    <n v="1800"/>
    <n v="900.80544599999996"/>
    <n v="0"/>
    <n v="0"/>
    <n v="0"/>
    <n v="0"/>
    <n v="0"/>
    <s v="LIVRE"/>
    <n v="0"/>
    <n v="2"/>
    <n v="0"/>
    <n v="0"/>
    <n v="14.94"/>
    <n v="0"/>
    <n v="0"/>
    <n v="21.858018594146511"/>
    <n v="124.29961477828176"/>
    <m/>
    <n v="13433.96663676"/>
    <n v="0"/>
    <n v="19654.61128108728"/>
    <n v="0"/>
    <x v="0"/>
  </r>
  <r>
    <s v="Regular"/>
    <x v="0"/>
    <x v="0"/>
    <x v="0"/>
    <x v="0"/>
    <x v="0"/>
    <x v="0"/>
    <x v="0"/>
    <x v="8"/>
    <n v="1800"/>
    <n v="901.23863400000005"/>
    <n v="0"/>
    <n v="0"/>
    <n v="0"/>
    <n v="0"/>
    <n v="0"/>
    <s v="LIVRE"/>
    <n v="0"/>
    <n v="2"/>
    <n v="0"/>
    <n v="0"/>
    <n v="14.94"/>
    <n v="0"/>
    <n v="0"/>
    <n v="21.858018594146511"/>
    <n v="124.29961477828176"/>
    <m/>
    <n v="13427.494808039999"/>
    <n v="0"/>
    <n v="19645.142649728517"/>
    <n v="0"/>
    <x v="0"/>
  </r>
  <r>
    <s v="Regular"/>
    <x v="0"/>
    <x v="0"/>
    <x v="0"/>
    <x v="0"/>
    <x v="0"/>
    <x v="0"/>
    <x v="0"/>
    <x v="9"/>
    <n v="1800"/>
    <n v="901.65754800000002"/>
    <n v="0"/>
    <n v="0"/>
    <n v="0"/>
    <n v="0"/>
    <n v="0"/>
    <s v="LIVRE"/>
    <n v="0"/>
    <n v="2"/>
    <n v="0"/>
    <n v="0"/>
    <n v="14.94"/>
    <n v="0"/>
    <n v="0"/>
    <n v="21.858018594146511"/>
    <n v="124.29961477828176"/>
    <m/>
    <n v="13421.236232879999"/>
    <n v="0"/>
    <n v="19635.98601972717"/>
    <n v="0"/>
    <x v="0"/>
  </r>
  <r>
    <s v="Regular"/>
    <x v="0"/>
    <x v="0"/>
    <x v="0"/>
    <x v="0"/>
    <x v="0"/>
    <x v="0"/>
    <x v="0"/>
    <x v="10"/>
    <n v="1800"/>
    <n v="990"/>
    <n v="0"/>
    <n v="0"/>
    <n v="0"/>
    <n v="0"/>
    <n v="0"/>
    <s v="LIVRE"/>
    <n v="0"/>
    <n v="2"/>
    <n v="0"/>
    <n v="0"/>
    <n v="14.94"/>
    <n v="0"/>
    <n v="0"/>
    <n v="21.858018594146511"/>
    <n v="124.29961477828176"/>
    <m/>
    <n v="12101.4"/>
    <n v="0"/>
    <n v="17704.995061258673"/>
    <n v="0"/>
    <x v="0"/>
  </r>
  <r>
    <s v="Regular"/>
    <x v="0"/>
    <x v="0"/>
    <x v="0"/>
    <x v="0"/>
    <x v="0"/>
    <x v="0"/>
    <x v="0"/>
    <x v="11"/>
    <n v="1800"/>
    <n v="990"/>
    <n v="0"/>
    <n v="0"/>
    <n v="0"/>
    <n v="0"/>
    <n v="0"/>
    <s v="LIVRE"/>
    <n v="0"/>
    <n v="2"/>
    <n v="0"/>
    <n v="0"/>
    <n v="14.94"/>
    <n v="0"/>
    <n v="0"/>
    <n v="21.858018594146511"/>
    <n v="124.29961477828176"/>
    <m/>
    <n v="12101.4"/>
    <n v="0"/>
    <n v="17704.995061258673"/>
    <n v="0"/>
    <x v="0"/>
  </r>
  <r>
    <s v="Regular"/>
    <x v="0"/>
    <x v="0"/>
    <x v="0"/>
    <x v="0"/>
    <x v="0"/>
    <x v="0"/>
    <x v="1"/>
    <x v="0"/>
    <n v="0"/>
    <n v="0"/>
    <n v="816.21"/>
    <n v="816.21"/>
    <n v="0"/>
    <n v="0"/>
    <n v="1"/>
    <s v="LIVRE"/>
    <n v="0"/>
    <n v="0"/>
    <n v="19"/>
    <n v="0"/>
    <n v="0"/>
    <n v="78.650000000000006"/>
    <n v="0"/>
    <m/>
    <n v="124.29961477828176"/>
    <m/>
    <n v="0"/>
    <n v="0"/>
    <n v="0"/>
    <n v="0"/>
    <x v="0"/>
  </r>
  <r>
    <s v="Regular"/>
    <x v="0"/>
    <x v="0"/>
    <x v="0"/>
    <x v="0"/>
    <x v="0"/>
    <x v="0"/>
    <x v="1"/>
    <x v="1"/>
    <n v="0"/>
    <n v="0"/>
    <n v="769.80899999999997"/>
    <n v="769.80899999999997"/>
    <n v="0"/>
    <n v="0"/>
    <n v="1"/>
    <s v="LIVRE"/>
    <n v="0"/>
    <n v="0"/>
    <n v="19"/>
    <n v="0"/>
    <n v="0"/>
    <n v="78.650000000000006"/>
    <n v="0"/>
    <m/>
    <n v="124.29961477828176"/>
    <m/>
    <n v="0"/>
    <n v="0"/>
    <n v="0"/>
    <n v="0"/>
    <x v="0"/>
  </r>
  <r>
    <s v="Regular"/>
    <x v="0"/>
    <x v="0"/>
    <x v="0"/>
    <x v="0"/>
    <x v="0"/>
    <x v="0"/>
    <x v="1"/>
    <x v="2"/>
    <n v="0"/>
    <n v="0"/>
    <n v="736.49300000000005"/>
    <n v="736.49300000000005"/>
    <n v="0"/>
    <n v="0"/>
    <n v="1"/>
    <s v="LIVRE"/>
    <n v="0"/>
    <n v="0"/>
    <n v="19"/>
    <n v="0"/>
    <n v="0"/>
    <n v="78.650000000000006"/>
    <n v="0"/>
    <m/>
    <n v="124.29961477828176"/>
    <m/>
    <n v="0"/>
    <n v="0"/>
    <n v="0"/>
    <n v="0"/>
    <x v="0"/>
  </r>
  <r>
    <s v="Regular"/>
    <x v="0"/>
    <x v="0"/>
    <x v="0"/>
    <x v="0"/>
    <x v="0"/>
    <x v="0"/>
    <x v="1"/>
    <x v="3"/>
    <n v="0"/>
    <n v="0"/>
    <n v="814.29600000000005"/>
    <n v="814.29600000000005"/>
    <n v="0"/>
    <n v="0"/>
    <n v="1"/>
    <s v="LIVRE"/>
    <n v="0"/>
    <n v="0"/>
    <n v="19"/>
    <n v="0"/>
    <n v="0"/>
    <n v="78.650000000000006"/>
    <n v="0"/>
    <m/>
    <n v="124.29961477828176"/>
    <m/>
    <n v="0"/>
    <n v="0"/>
    <n v="0"/>
    <n v="0"/>
    <x v="0"/>
  </r>
  <r>
    <s v="Regular"/>
    <x v="0"/>
    <x v="0"/>
    <x v="0"/>
    <x v="0"/>
    <x v="0"/>
    <x v="0"/>
    <x v="1"/>
    <x v="4"/>
    <n v="0"/>
    <n v="0"/>
    <n v="772.84299999999996"/>
    <n v="772.84299999999996"/>
    <n v="0"/>
    <n v="0"/>
    <n v="1"/>
    <s v="LIVRE"/>
    <n v="0"/>
    <n v="0"/>
    <n v="19"/>
    <n v="0"/>
    <n v="0"/>
    <n v="78.650000000000006"/>
    <n v="0"/>
    <m/>
    <n v="124.29961477828176"/>
    <m/>
    <n v="0"/>
    <n v="0"/>
    <n v="0"/>
    <n v="0"/>
    <x v="0"/>
  </r>
  <r>
    <s v="Regular"/>
    <x v="0"/>
    <x v="0"/>
    <x v="0"/>
    <x v="0"/>
    <x v="0"/>
    <x v="0"/>
    <x v="1"/>
    <x v="5"/>
    <n v="0"/>
    <n v="0"/>
    <n v="596.46600000000001"/>
    <n v="596.46600000000001"/>
    <n v="0"/>
    <n v="0"/>
    <n v="1"/>
    <s v="LIVRE"/>
    <n v="0"/>
    <n v="0"/>
    <n v="19"/>
    <n v="0"/>
    <n v="0"/>
    <n v="78.650000000000006"/>
    <n v="0"/>
    <m/>
    <n v="124.29961477828176"/>
    <m/>
    <n v="0"/>
    <n v="0"/>
    <n v="0"/>
    <n v="0"/>
    <x v="0"/>
  </r>
  <r>
    <s v="Regular"/>
    <x v="0"/>
    <x v="0"/>
    <x v="0"/>
    <x v="0"/>
    <x v="0"/>
    <x v="0"/>
    <x v="1"/>
    <x v="6"/>
    <n v="0"/>
    <n v="0"/>
    <n v="601.54100000000005"/>
    <n v="601.54100000000005"/>
    <n v="0"/>
    <n v="0"/>
    <n v="1"/>
    <s v="LIVRE"/>
    <n v="0"/>
    <n v="0"/>
    <n v="19"/>
    <n v="0"/>
    <n v="0"/>
    <n v="78.650000000000006"/>
    <n v="0"/>
    <m/>
    <n v="124.29961477828176"/>
    <m/>
    <n v="0"/>
    <n v="0"/>
    <n v="0"/>
    <n v="0"/>
    <x v="0"/>
  </r>
  <r>
    <s v="Regular"/>
    <x v="0"/>
    <x v="0"/>
    <x v="0"/>
    <x v="0"/>
    <x v="0"/>
    <x v="0"/>
    <x v="1"/>
    <x v="7"/>
    <n v="0"/>
    <n v="0"/>
    <n v="705.21699999999998"/>
    <n v="705.21699999999998"/>
    <n v="0"/>
    <n v="0"/>
    <n v="1"/>
    <s v="LIVRE"/>
    <n v="0"/>
    <n v="0"/>
    <n v="19"/>
    <n v="0"/>
    <n v="0"/>
    <n v="78.650000000000006"/>
    <n v="0"/>
    <m/>
    <n v="124.29961477828176"/>
    <m/>
    <n v="0"/>
    <n v="0"/>
    <n v="0"/>
    <n v="0"/>
    <x v="0"/>
  </r>
  <r>
    <s v="Regular"/>
    <x v="0"/>
    <x v="0"/>
    <x v="0"/>
    <x v="0"/>
    <x v="0"/>
    <x v="0"/>
    <x v="1"/>
    <x v="8"/>
    <n v="0"/>
    <n v="0"/>
    <n v="761.19200000000001"/>
    <n v="761.19200000000001"/>
    <n v="0"/>
    <n v="0"/>
    <n v="1"/>
    <s v="LIVRE"/>
    <n v="0"/>
    <n v="0"/>
    <n v="19"/>
    <n v="0"/>
    <n v="0"/>
    <n v="78.650000000000006"/>
    <n v="0"/>
    <m/>
    <n v="124.29961477828176"/>
    <m/>
    <n v="0"/>
    <n v="0"/>
    <n v="0"/>
    <n v="0"/>
    <x v="0"/>
  </r>
  <r>
    <s v="Regular"/>
    <x v="0"/>
    <x v="0"/>
    <x v="0"/>
    <x v="0"/>
    <x v="0"/>
    <x v="0"/>
    <x v="1"/>
    <x v="9"/>
    <n v="0"/>
    <n v="0"/>
    <n v="683.74400000000003"/>
    <n v="683.74400000000003"/>
    <n v="0"/>
    <n v="0"/>
    <n v="1"/>
    <s v="LIVRE"/>
    <n v="0"/>
    <n v="0"/>
    <n v="19"/>
    <n v="0"/>
    <n v="0"/>
    <n v="78.650000000000006"/>
    <n v="0"/>
    <m/>
    <n v="124.29961477828176"/>
    <m/>
    <n v="0"/>
    <n v="0"/>
    <n v="0"/>
    <n v="0"/>
    <x v="0"/>
  </r>
  <r>
    <s v="Regular"/>
    <x v="0"/>
    <x v="0"/>
    <x v="0"/>
    <x v="0"/>
    <x v="0"/>
    <x v="0"/>
    <x v="1"/>
    <x v="10"/>
    <n v="0"/>
    <n v="0"/>
    <n v="709.04"/>
    <n v="709.04"/>
    <n v="0"/>
    <n v="0"/>
    <n v="1"/>
    <s v="LIVRE"/>
    <n v="0"/>
    <n v="0"/>
    <n v="19"/>
    <n v="0"/>
    <n v="0"/>
    <n v="78.650000000000006"/>
    <n v="0"/>
    <m/>
    <n v="124.29961477828176"/>
    <m/>
    <n v="0"/>
    <n v="0"/>
    <n v="0"/>
    <n v="0"/>
    <x v="0"/>
  </r>
  <r>
    <s v="Regular"/>
    <x v="0"/>
    <x v="0"/>
    <x v="0"/>
    <x v="0"/>
    <x v="0"/>
    <x v="0"/>
    <x v="1"/>
    <x v="11"/>
    <n v="0"/>
    <n v="0"/>
    <n v="709.08799999999997"/>
    <n v="709.08799999999997"/>
    <n v="0"/>
    <n v="0"/>
    <n v="1"/>
    <s v="LIVRE"/>
    <n v="0"/>
    <n v="0"/>
    <n v="19"/>
    <n v="0"/>
    <n v="0"/>
    <n v="78.650000000000006"/>
    <n v="0"/>
    <m/>
    <n v="124.29961477828176"/>
    <m/>
    <n v="0"/>
    <n v="0"/>
    <n v="0"/>
    <n v="0"/>
    <x v="0"/>
  </r>
  <r>
    <s v="Regular"/>
    <x v="0"/>
    <x v="0"/>
    <x v="0"/>
    <x v="0"/>
    <x v="0"/>
    <x v="0"/>
    <x v="2"/>
    <x v="0"/>
    <n v="1700"/>
    <n v="855.07099800000003"/>
    <n v="0"/>
    <n v="0"/>
    <n v="0"/>
    <n v="0"/>
    <n v="0"/>
    <s v="LIVRE"/>
    <n v="0"/>
    <n v="8"/>
    <n v="0"/>
    <n v="0"/>
    <n v="35.54"/>
    <n v="0"/>
    <n v="0"/>
    <n v="39.070567946018087"/>
    <n v="124.29961477828176"/>
    <m/>
    <n v="30028.776731079997"/>
    <n v="0"/>
    <n v="33011.855982202251"/>
    <n v="0"/>
    <x v="0"/>
  </r>
  <r>
    <s v="Regular"/>
    <x v="0"/>
    <x v="0"/>
    <x v="0"/>
    <x v="0"/>
    <x v="0"/>
    <x v="0"/>
    <x v="2"/>
    <x v="1"/>
    <n v="1757"/>
    <n v="895.97728311000003"/>
    <n v="0"/>
    <n v="0"/>
    <n v="0"/>
    <n v="0"/>
    <n v="0"/>
    <s v="LIVRE"/>
    <n v="0"/>
    <n v="8"/>
    <n v="0"/>
    <n v="0"/>
    <n v="35.54"/>
    <n v="0"/>
    <n v="0"/>
    <n v="39.070567946018087"/>
    <n v="124.29961477828176"/>
    <m/>
    <n v="30600.747358270597"/>
    <n v="0"/>
    <n v="33640.646563315837"/>
    <n v="0"/>
    <x v="0"/>
  </r>
  <r>
    <s v="Regular"/>
    <x v="0"/>
    <x v="0"/>
    <x v="0"/>
    <x v="0"/>
    <x v="0"/>
    <x v="0"/>
    <x v="2"/>
    <x v="2"/>
    <n v="1700"/>
    <n v="856.94091300000002"/>
    <n v="0"/>
    <n v="0"/>
    <n v="0"/>
    <n v="0"/>
    <n v="0"/>
    <s v="LIVRE"/>
    <n v="0"/>
    <n v="8"/>
    <n v="0"/>
    <n v="0"/>
    <n v="35.54"/>
    <n v="0"/>
    <n v="0"/>
    <n v="39.070567946018087"/>
    <n v="124.29961477828176"/>
    <m/>
    <n v="29962.31995198"/>
    <n v="0"/>
    <n v="32938.797341141471"/>
    <n v="0"/>
    <x v="0"/>
  </r>
  <r>
    <s v="Regular"/>
    <x v="0"/>
    <x v="0"/>
    <x v="0"/>
    <x v="0"/>
    <x v="0"/>
    <x v="0"/>
    <x v="2"/>
    <x v="3"/>
    <n v="1730"/>
    <n v="865.41687809999996"/>
    <n v="0"/>
    <n v="0"/>
    <n v="0"/>
    <n v="0"/>
    <n v="0"/>
    <s v="LIVRE"/>
    <n v="0"/>
    <n v="8"/>
    <n v="0"/>
    <n v="0"/>
    <n v="35.54"/>
    <n v="0"/>
    <n v="0"/>
    <n v="39.070567946018087"/>
    <n v="124.29961477828176"/>
    <m/>
    <n v="30727.284152325999"/>
    <n v="0"/>
    <n v="33779.75360917439"/>
    <n v="0"/>
    <x v="0"/>
  </r>
  <r>
    <s v="Regular"/>
    <x v="0"/>
    <x v="0"/>
    <x v="0"/>
    <x v="0"/>
    <x v="0"/>
    <x v="0"/>
    <x v="2"/>
    <x v="4"/>
    <n v="1700"/>
    <n v="850"/>
    <n v="0"/>
    <n v="0"/>
    <n v="0"/>
    <n v="0"/>
    <n v="0"/>
    <s v="LIVRE"/>
    <n v="0"/>
    <n v="8"/>
    <n v="0"/>
    <n v="0"/>
    <n v="35.54"/>
    <n v="0"/>
    <n v="0"/>
    <n v="39.070567946018087"/>
    <n v="124.29961477828176"/>
    <m/>
    <n v="30209"/>
    <n v="0"/>
    <n v="33209.982754115372"/>
    <n v="0"/>
    <x v="0"/>
  </r>
  <r>
    <s v="Regular"/>
    <x v="0"/>
    <x v="0"/>
    <x v="0"/>
    <x v="0"/>
    <x v="0"/>
    <x v="0"/>
    <x v="2"/>
    <x v="5"/>
    <n v="1700"/>
    <n v="880.96453099999997"/>
    <n v="0"/>
    <n v="0"/>
    <n v="0"/>
    <n v="0"/>
    <n v="0"/>
    <s v="LIVRE"/>
    <n v="0"/>
    <n v="8"/>
    <n v="0"/>
    <n v="0"/>
    <n v="35.54"/>
    <n v="0"/>
    <n v="0"/>
    <n v="39.070567946018087"/>
    <n v="124.29961477828176"/>
    <m/>
    <n v="29108.520568259999"/>
    <n v="0"/>
    <n v="32000.180941763294"/>
    <n v="0"/>
    <x v="0"/>
  </r>
  <r>
    <s v="Regular"/>
    <x v="0"/>
    <x v="0"/>
    <x v="0"/>
    <x v="0"/>
    <x v="0"/>
    <x v="0"/>
    <x v="2"/>
    <x v="6"/>
    <n v="1700"/>
    <n v="851.10343599999999"/>
    <n v="0"/>
    <n v="0"/>
    <n v="0"/>
    <n v="0"/>
    <n v="0"/>
    <s v="LIVRE"/>
    <n v="0"/>
    <n v="8"/>
    <n v="0"/>
    <n v="0"/>
    <n v="35.54"/>
    <n v="0"/>
    <n v="0"/>
    <n v="39.070567946018087"/>
    <n v="124.29961477828176"/>
    <m/>
    <n v="30169.783884559998"/>
    <n v="0"/>
    <n v="33166.870882903291"/>
    <n v="0"/>
    <x v="0"/>
  </r>
  <r>
    <s v="Regular"/>
    <x v="0"/>
    <x v="0"/>
    <x v="0"/>
    <x v="0"/>
    <x v="0"/>
    <x v="0"/>
    <x v="2"/>
    <x v="7"/>
    <n v="1700"/>
    <n v="850.76069900000005"/>
    <n v="0"/>
    <n v="0"/>
    <n v="0"/>
    <n v="0"/>
    <n v="0"/>
    <s v="LIVRE"/>
    <n v="0"/>
    <n v="8"/>
    <n v="0"/>
    <n v="0"/>
    <n v="35.54"/>
    <n v="0"/>
    <n v="0"/>
    <n v="39.070567946018087"/>
    <n v="124.29961477828176"/>
    <m/>
    <n v="30181.964757539998"/>
    <n v="0"/>
    <n v="33180.261812149402"/>
    <n v="0"/>
    <x v="0"/>
  </r>
  <r>
    <s v="Regular"/>
    <x v="0"/>
    <x v="0"/>
    <x v="0"/>
    <x v="0"/>
    <x v="0"/>
    <x v="0"/>
    <x v="2"/>
    <x v="8"/>
    <n v="1700"/>
    <n v="851.16982099999996"/>
    <n v="0"/>
    <n v="0"/>
    <n v="0"/>
    <n v="0"/>
    <n v="0"/>
    <s v="LIVRE"/>
    <n v="0"/>
    <n v="8"/>
    <n v="0"/>
    <n v="0"/>
    <n v="35.54"/>
    <n v="0"/>
    <n v="0"/>
    <n v="39.070567946018087"/>
    <n v="124.29961477828176"/>
    <m/>
    <n v="30167.424561660002"/>
    <n v="0"/>
    <n v="33164.277183250197"/>
    <n v="0"/>
    <x v="0"/>
  </r>
  <r>
    <s v="Regular"/>
    <x v="0"/>
    <x v="0"/>
    <x v="0"/>
    <x v="0"/>
    <x v="0"/>
    <x v="0"/>
    <x v="2"/>
    <x v="9"/>
    <n v="1700"/>
    <n v="851.56546200000003"/>
    <n v="0"/>
    <n v="0"/>
    <n v="0"/>
    <n v="0"/>
    <n v="0"/>
    <s v="LIVRE"/>
    <n v="0"/>
    <n v="8"/>
    <n v="0"/>
    <n v="0"/>
    <n v="35.54"/>
    <n v="0"/>
    <n v="0"/>
    <n v="39.070567946018087"/>
    <n v="124.29961477828176"/>
    <m/>
    <n v="30153.363480519998"/>
    <n v="0"/>
    <n v="33148.819264677462"/>
    <n v="0"/>
    <x v="0"/>
  </r>
  <r>
    <s v="Regular"/>
    <x v="0"/>
    <x v="0"/>
    <x v="0"/>
    <x v="0"/>
    <x v="0"/>
    <x v="0"/>
    <x v="2"/>
    <x v="10"/>
    <n v="1700"/>
    <n v="935"/>
    <n v="0"/>
    <n v="0"/>
    <n v="0"/>
    <n v="0"/>
    <n v="0"/>
    <s v="LIVRE"/>
    <n v="0"/>
    <n v="8"/>
    <n v="0"/>
    <n v="0"/>
    <n v="35.54"/>
    <n v="0"/>
    <n v="0"/>
    <n v="39.070567946018087"/>
    <n v="124.29961477828176"/>
    <m/>
    <n v="27188.1"/>
    <n v="0"/>
    <n v="29888.984478703838"/>
    <n v="0"/>
    <x v="0"/>
  </r>
  <r>
    <s v="Regular"/>
    <x v="0"/>
    <x v="0"/>
    <x v="0"/>
    <x v="0"/>
    <x v="0"/>
    <x v="0"/>
    <x v="2"/>
    <x v="11"/>
    <n v="1700"/>
    <n v="935"/>
    <n v="0"/>
    <n v="0"/>
    <n v="0"/>
    <n v="0"/>
    <n v="0"/>
    <s v="LIVRE"/>
    <n v="0"/>
    <n v="8"/>
    <n v="0"/>
    <n v="0"/>
    <n v="35.54"/>
    <n v="0"/>
    <n v="0"/>
    <n v="39.070567946018087"/>
    <n v="124.29961477828176"/>
    <m/>
    <n v="27188.1"/>
    <n v="0"/>
    <n v="29888.984478703838"/>
    <n v="0"/>
    <x v="0"/>
  </r>
  <r>
    <s v="Regular"/>
    <x v="0"/>
    <x v="1"/>
    <x v="0"/>
    <x v="0"/>
    <x v="0"/>
    <x v="0"/>
    <x v="0"/>
    <x v="0"/>
    <n v="0"/>
    <n v="0"/>
    <n v="203.71100000000001"/>
    <n v="203.71100000000001"/>
    <n v="0"/>
    <n v="0"/>
    <n v="0"/>
    <s v="LIVRE"/>
    <n v="0"/>
    <n v="0"/>
    <n v="13"/>
    <n v="0"/>
    <n v="0"/>
    <n v="78.650000000000006"/>
    <n v="0"/>
    <m/>
    <n v="124.29961477828176"/>
    <m/>
    <n v="0"/>
    <n v="0"/>
    <n v="0"/>
    <n v="0"/>
    <x v="0"/>
  </r>
  <r>
    <s v="Regular"/>
    <x v="0"/>
    <x v="1"/>
    <x v="0"/>
    <x v="0"/>
    <x v="0"/>
    <x v="0"/>
    <x v="0"/>
    <x v="1"/>
    <n v="0"/>
    <n v="0"/>
    <n v="190.25899999999999"/>
    <n v="190.25899999999999"/>
    <n v="0"/>
    <n v="0"/>
    <n v="0"/>
    <s v="LIVRE"/>
    <n v="0"/>
    <n v="0"/>
    <n v="13"/>
    <n v="0"/>
    <n v="0"/>
    <n v="78.650000000000006"/>
    <n v="0"/>
    <m/>
    <n v="124.29961477828176"/>
    <m/>
    <n v="0"/>
    <n v="0"/>
    <n v="0"/>
    <n v="0"/>
    <x v="0"/>
  </r>
  <r>
    <s v="Regular"/>
    <x v="0"/>
    <x v="1"/>
    <x v="0"/>
    <x v="0"/>
    <x v="0"/>
    <x v="0"/>
    <x v="0"/>
    <x v="2"/>
    <n v="0"/>
    <n v="0"/>
    <n v="195.62299999999999"/>
    <n v="195.62299999999999"/>
    <n v="0"/>
    <n v="0"/>
    <n v="0"/>
    <s v="LIVRE"/>
    <n v="0"/>
    <n v="0"/>
    <n v="13"/>
    <n v="0"/>
    <n v="0"/>
    <n v="78.650000000000006"/>
    <n v="0"/>
    <m/>
    <n v="124.29961477828176"/>
    <m/>
    <n v="0"/>
    <n v="0"/>
    <n v="0"/>
    <n v="0"/>
    <x v="0"/>
  </r>
  <r>
    <s v="Regular"/>
    <x v="0"/>
    <x v="1"/>
    <x v="0"/>
    <x v="0"/>
    <x v="0"/>
    <x v="0"/>
    <x v="0"/>
    <x v="3"/>
    <n v="0"/>
    <n v="0"/>
    <n v="207.36500000000001"/>
    <n v="207.36500000000001"/>
    <n v="0"/>
    <n v="0"/>
    <n v="0"/>
    <s v="LIVRE"/>
    <n v="0"/>
    <n v="0"/>
    <n v="13"/>
    <n v="0"/>
    <n v="0"/>
    <n v="78.650000000000006"/>
    <n v="0"/>
    <m/>
    <n v="124.29961477828176"/>
    <m/>
    <n v="0"/>
    <n v="0"/>
    <n v="0"/>
    <n v="0"/>
    <x v="0"/>
  </r>
  <r>
    <s v="Regular"/>
    <x v="0"/>
    <x v="1"/>
    <x v="0"/>
    <x v="0"/>
    <x v="0"/>
    <x v="0"/>
    <x v="0"/>
    <x v="4"/>
    <n v="0"/>
    <n v="0"/>
    <n v="204.29"/>
    <n v="204.29"/>
    <n v="0"/>
    <n v="0"/>
    <n v="0"/>
    <s v="LIVRE"/>
    <n v="0"/>
    <n v="0"/>
    <n v="13"/>
    <n v="0"/>
    <n v="0"/>
    <n v="78.650000000000006"/>
    <n v="0"/>
    <m/>
    <n v="124.29961477828176"/>
    <m/>
    <n v="0"/>
    <n v="0"/>
    <n v="0"/>
    <n v="0"/>
    <x v="0"/>
  </r>
  <r>
    <s v="Regular"/>
    <x v="0"/>
    <x v="1"/>
    <x v="0"/>
    <x v="0"/>
    <x v="0"/>
    <x v="0"/>
    <x v="0"/>
    <x v="5"/>
    <n v="0"/>
    <n v="0"/>
    <n v="141.66499999999999"/>
    <n v="141.66499999999999"/>
    <n v="0"/>
    <n v="0"/>
    <n v="0"/>
    <s v="LIVRE"/>
    <n v="0"/>
    <n v="0"/>
    <n v="13"/>
    <n v="0"/>
    <n v="0"/>
    <n v="78.650000000000006"/>
    <n v="0"/>
    <m/>
    <n v="124.29961477828176"/>
    <m/>
    <n v="0"/>
    <n v="0"/>
    <n v="0"/>
    <n v="0"/>
    <x v="0"/>
  </r>
  <r>
    <s v="Regular"/>
    <x v="0"/>
    <x v="1"/>
    <x v="0"/>
    <x v="0"/>
    <x v="0"/>
    <x v="0"/>
    <x v="0"/>
    <x v="6"/>
    <n v="0"/>
    <n v="0"/>
    <n v="332.79"/>
    <n v="332.79"/>
    <n v="0"/>
    <n v="0"/>
    <n v="0"/>
    <s v="LIVRE"/>
    <n v="0"/>
    <n v="0"/>
    <n v="13"/>
    <n v="0"/>
    <n v="0"/>
    <n v="78.650000000000006"/>
    <n v="0"/>
    <m/>
    <n v="124.29961477828176"/>
    <m/>
    <n v="0"/>
    <n v="0"/>
    <n v="0"/>
    <n v="0"/>
    <x v="0"/>
  </r>
  <r>
    <s v="Regular"/>
    <x v="0"/>
    <x v="1"/>
    <x v="0"/>
    <x v="0"/>
    <x v="0"/>
    <x v="0"/>
    <x v="0"/>
    <x v="7"/>
    <n v="0"/>
    <n v="0"/>
    <n v="302.23500000000001"/>
    <n v="302.23500000000001"/>
    <n v="0"/>
    <n v="0"/>
    <n v="0"/>
    <s v="LIVRE"/>
    <n v="0"/>
    <n v="0"/>
    <n v="13"/>
    <n v="0"/>
    <n v="0"/>
    <n v="78.650000000000006"/>
    <n v="0"/>
    <m/>
    <n v="124.29961477828176"/>
    <m/>
    <n v="0"/>
    <n v="0"/>
    <n v="0"/>
    <n v="0"/>
    <x v="0"/>
  </r>
  <r>
    <s v="Regular"/>
    <x v="0"/>
    <x v="1"/>
    <x v="0"/>
    <x v="0"/>
    <x v="0"/>
    <x v="0"/>
    <x v="0"/>
    <x v="8"/>
    <n v="0"/>
    <n v="0"/>
    <n v="346.10300000000001"/>
    <n v="346.10300000000001"/>
    <n v="0"/>
    <n v="0"/>
    <n v="0"/>
    <s v="LIVRE"/>
    <n v="0"/>
    <n v="0"/>
    <n v="13"/>
    <n v="0"/>
    <n v="0"/>
    <n v="78.650000000000006"/>
    <n v="0"/>
    <m/>
    <n v="124.29961477828176"/>
    <m/>
    <n v="0"/>
    <n v="0"/>
    <n v="0"/>
    <n v="0"/>
    <x v="0"/>
  </r>
  <r>
    <s v="Regular"/>
    <x v="0"/>
    <x v="1"/>
    <x v="0"/>
    <x v="0"/>
    <x v="0"/>
    <x v="0"/>
    <x v="0"/>
    <x v="9"/>
    <n v="0"/>
    <n v="0"/>
    <n v="285.63600000000002"/>
    <n v="285.63600000000002"/>
    <n v="0"/>
    <n v="0"/>
    <n v="0"/>
    <s v="LIVRE"/>
    <n v="0"/>
    <n v="0"/>
    <n v="13"/>
    <n v="0"/>
    <n v="0"/>
    <n v="78.650000000000006"/>
    <n v="0"/>
    <m/>
    <n v="124.29961477828176"/>
    <m/>
    <n v="0"/>
    <n v="0"/>
    <n v="0"/>
    <n v="0"/>
    <x v="0"/>
  </r>
  <r>
    <s v="Regular"/>
    <x v="0"/>
    <x v="1"/>
    <x v="0"/>
    <x v="0"/>
    <x v="0"/>
    <x v="0"/>
    <x v="0"/>
    <x v="10"/>
    <n v="0"/>
    <n v="0"/>
    <n v="303.78500000000003"/>
    <n v="303.78500000000003"/>
    <n v="0"/>
    <n v="0"/>
    <n v="0"/>
    <s v="LIVRE"/>
    <n v="0"/>
    <n v="0"/>
    <n v="13"/>
    <n v="0"/>
    <n v="0"/>
    <n v="78.650000000000006"/>
    <n v="0"/>
    <m/>
    <n v="124.29961477828176"/>
    <m/>
    <n v="0"/>
    <n v="0"/>
    <n v="0"/>
    <n v="0"/>
    <x v="0"/>
  </r>
  <r>
    <s v="Regular"/>
    <x v="0"/>
    <x v="1"/>
    <x v="0"/>
    <x v="0"/>
    <x v="0"/>
    <x v="0"/>
    <x v="0"/>
    <x v="11"/>
    <n v="0"/>
    <n v="0"/>
    <n v="301.58699999999999"/>
    <n v="301.58699999999999"/>
    <n v="0"/>
    <n v="0"/>
    <n v="0"/>
    <s v="LIVRE"/>
    <n v="0"/>
    <n v="0"/>
    <n v="13"/>
    <n v="0"/>
    <n v="0"/>
    <n v="78.650000000000006"/>
    <n v="0"/>
    <m/>
    <n v="124.29961477828176"/>
    <m/>
    <n v="0"/>
    <n v="0"/>
    <n v="0"/>
    <n v="0"/>
    <x v="0"/>
  </r>
  <r>
    <s v="Regular"/>
    <x v="0"/>
    <x v="1"/>
    <x v="0"/>
    <x v="0"/>
    <x v="0"/>
    <x v="0"/>
    <x v="1"/>
    <x v="0"/>
    <n v="750"/>
    <n v="376.36172249999998"/>
    <n v="0"/>
    <n v="0"/>
    <n v="0"/>
    <n v="0"/>
    <n v="1"/>
    <s v="LIVRE"/>
    <n v="0"/>
    <n v="36"/>
    <n v="0"/>
    <n v="0"/>
    <n v="14.94"/>
    <n v="0"/>
    <n v="0"/>
    <n v="21.858018594146511"/>
    <m/>
    <m/>
    <n v="5582.1558658499998"/>
    <n v="0"/>
    <n v="8166.992417079874"/>
    <n v="0"/>
    <x v="0"/>
  </r>
  <r>
    <s v="Regular"/>
    <x v="0"/>
    <x v="1"/>
    <x v="0"/>
    <x v="0"/>
    <x v="0"/>
    <x v="0"/>
    <x v="1"/>
    <x v="1"/>
    <n v="750"/>
    <n v="376.08338250000003"/>
    <n v="0"/>
    <n v="0"/>
    <n v="0"/>
    <n v="0"/>
    <n v="1"/>
    <s v="LIVRE"/>
    <n v="0"/>
    <n v="36"/>
    <n v="0"/>
    <n v="0"/>
    <n v="14.94"/>
    <n v="0"/>
    <n v="0"/>
    <n v="21.858018594146511"/>
    <m/>
    <m/>
    <n v="5586.3142654499998"/>
    <n v="0"/>
    <n v="8173.0763779753679"/>
    <n v="0"/>
    <x v="0"/>
  </r>
  <r>
    <s v="Regular"/>
    <x v="0"/>
    <x v="1"/>
    <x v="0"/>
    <x v="0"/>
    <x v="0"/>
    <x v="0"/>
    <x v="1"/>
    <x v="2"/>
    <n v="700"/>
    <n v="352.28124400000002"/>
    <n v="0"/>
    <n v="0"/>
    <n v="0"/>
    <n v="0"/>
    <n v="1"/>
    <s v="LIVRE"/>
    <n v="0"/>
    <n v="36"/>
    <n v="0"/>
    <n v="0"/>
    <n v="14.94"/>
    <n v="0"/>
    <n v="0"/>
    <n v="21.858018594146511"/>
    <m/>
    <m/>
    <n v="5194.9182146399999"/>
    <n v="0"/>
    <n v="7600.4430341814932"/>
    <n v="0"/>
    <x v="0"/>
  </r>
  <r>
    <s v="Regular"/>
    <x v="0"/>
    <x v="1"/>
    <x v="0"/>
    <x v="0"/>
    <x v="0"/>
    <x v="0"/>
    <x v="1"/>
    <x v="3"/>
    <n v="708"/>
    <n v="355.96836036000002"/>
    <n v="0"/>
    <n v="0"/>
    <n v="0"/>
    <n v="0"/>
    <n v="1"/>
    <s v="LIVRE"/>
    <n v="0"/>
    <n v="36"/>
    <n v="0"/>
    <n v="0"/>
    <n v="14.94"/>
    <n v="0"/>
    <n v="0"/>
    <n v="21.858018594146511"/>
    <m/>
    <m/>
    <n v="5259.3526962215992"/>
    <n v="0"/>
    <n v="7694.7141249790038"/>
    <n v="0"/>
    <x v="0"/>
  </r>
  <r>
    <s v="Regular"/>
    <x v="0"/>
    <x v="1"/>
    <x v="0"/>
    <x v="0"/>
    <x v="0"/>
    <x v="0"/>
    <x v="1"/>
    <x v="4"/>
    <n v="703"/>
    <n v="382.22738482"/>
    <n v="0"/>
    <n v="0"/>
    <n v="0"/>
    <n v="0"/>
    <n v="1"/>
    <s v="LIVRE"/>
    <n v="0"/>
    <n v="36"/>
    <n v="0"/>
    <n v="0"/>
    <n v="14.94"/>
    <n v="0"/>
    <n v="0"/>
    <n v="21.858018594146511"/>
    <m/>
    <m/>
    <n v="4792.3428707891999"/>
    <n v="0"/>
    <n v="7011.4537870974436"/>
    <n v="0"/>
    <x v="0"/>
  </r>
  <r>
    <s v="Regular"/>
    <x v="0"/>
    <x v="1"/>
    <x v="0"/>
    <x v="0"/>
    <x v="0"/>
    <x v="0"/>
    <x v="1"/>
    <x v="5"/>
    <n v="700"/>
    <n v="350.86538200000001"/>
    <n v="0"/>
    <n v="0"/>
    <n v="0"/>
    <n v="0"/>
    <n v="1"/>
    <s v="LIVRE"/>
    <n v="0"/>
    <n v="36"/>
    <n v="0"/>
    <n v="0"/>
    <n v="14.94"/>
    <n v="0"/>
    <n v="0"/>
    <n v="21.858018594146511"/>
    <m/>
    <m/>
    <n v="5216.0711929199997"/>
    <n v="0"/>
    <n v="7631.3909721042392"/>
    <n v="0"/>
    <x v="0"/>
  </r>
  <r>
    <s v="Regular"/>
    <x v="0"/>
    <x v="1"/>
    <x v="0"/>
    <x v="0"/>
    <x v="0"/>
    <x v="0"/>
    <x v="1"/>
    <x v="6"/>
    <n v="1160"/>
    <n v="645.33774240000002"/>
    <n v="0"/>
    <n v="0"/>
    <n v="0"/>
    <n v="0"/>
    <n v="2"/>
    <s v="LIVRE"/>
    <n v="0"/>
    <n v="36"/>
    <n v="0"/>
    <n v="0"/>
    <n v="14.94"/>
    <n v="0"/>
    <n v="0"/>
    <n v="21.858018594146511"/>
    <m/>
    <m/>
    <n v="7689.0541285439995"/>
    <n v="0"/>
    <n v="11249.497196326221"/>
    <n v="0"/>
    <x v="0"/>
  </r>
  <r>
    <s v="Regular"/>
    <x v="0"/>
    <x v="1"/>
    <x v="0"/>
    <x v="0"/>
    <x v="0"/>
    <x v="0"/>
    <x v="1"/>
    <x v="7"/>
    <n v="1191"/>
    <n v="665.26108613999997"/>
    <n v="0"/>
    <n v="0"/>
    <n v="0"/>
    <n v="0"/>
    <n v="2"/>
    <s v="LIVRE"/>
    <n v="0"/>
    <n v="36"/>
    <n v="0"/>
    <n v="0"/>
    <n v="14.94"/>
    <n v="0"/>
    <n v="0"/>
    <n v="21.858018594146511"/>
    <m/>
    <m/>
    <n v="7854.5393730684"/>
    <n v="0"/>
    <n v="11491.610954818272"/>
    <n v="0"/>
    <x v="0"/>
  </r>
  <r>
    <s v="Regular"/>
    <x v="0"/>
    <x v="1"/>
    <x v="0"/>
    <x v="0"/>
    <x v="0"/>
    <x v="0"/>
    <x v="1"/>
    <x v="8"/>
    <n v="1174"/>
    <n v="623.45041070000002"/>
    <n v="0"/>
    <n v="0"/>
    <n v="0"/>
    <n v="0"/>
    <n v="2"/>
    <s v="LIVRE"/>
    <n v="0"/>
    <n v="36"/>
    <n v="0"/>
    <n v="0"/>
    <n v="14.94"/>
    <n v="0"/>
    <n v="0"/>
    <n v="21.858018594146511"/>
    <m/>
    <m/>
    <n v="8225.210864142"/>
    <n v="0"/>
    <n v="12033.923159919124"/>
    <n v="0"/>
    <x v="0"/>
  </r>
  <r>
    <s v="Regular"/>
    <x v="0"/>
    <x v="1"/>
    <x v="0"/>
    <x v="0"/>
    <x v="0"/>
    <x v="0"/>
    <x v="1"/>
    <x v="9"/>
    <n v="1200"/>
    <n v="618.96823199999994"/>
    <n v="0"/>
    <n v="0"/>
    <n v="0"/>
    <n v="0"/>
    <n v="2"/>
    <s v="LIVRE"/>
    <n v="0"/>
    <n v="36"/>
    <n v="0"/>
    <n v="0"/>
    <n v="14.94"/>
    <n v="0"/>
    <n v="0"/>
    <n v="21.858018594146511"/>
    <m/>
    <m/>
    <n v="8680.6146139200009"/>
    <n v="0"/>
    <n v="12700.203188733823"/>
    <n v="0"/>
    <x v="0"/>
  </r>
  <r>
    <s v="Regular"/>
    <x v="0"/>
    <x v="1"/>
    <x v="0"/>
    <x v="0"/>
    <x v="0"/>
    <x v="0"/>
    <x v="1"/>
    <x v="10"/>
    <n v="1200"/>
    <n v="660"/>
    <n v="0"/>
    <n v="0"/>
    <n v="0"/>
    <n v="0"/>
    <n v="2"/>
    <s v="LIVRE"/>
    <n v="0"/>
    <n v="36"/>
    <n v="0"/>
    <n v="0"/>
    <n v="14.94"/>
    <n v="0"/>
    <n v="0"/>
    <n v="21.858018594146511"/>
    <m/>
    <m/>
    <n v="8067.5999999999995"/>
    <n v="0"/>
    <n v="11803.330040839115"/>
    <n v="0"/>
    <x v="0"/>
  </r>
  <r>
    <s v="Regular"/>
    <x v="0"/>
    <x v="1"/>
    <x v="0"/>
    <x v="0"/>
    <x v="0"/>
    <x v="0"/>
    <x v="1"/>
    <x v="11"/>
    <n v="1200"/>
    <n v="660"/>
    <n v="0"/>
    <n v="0"/>
    <n v="0"/>
    <n v="0"/>
    <n v="2"/>
    <s v="LIVRE"/>
    <n v="0"/>
    <n v="36"/>
    <n v="0"/>
    <n v="0"/>
    <n v="14.94"/>
    <n v="0"/>
    <n v="0"/>
    <n v="21.858018594146511"/>
    <m/>
    <m/>
    <n v="8067.5999999999995"/>
    <n v="0"/>
    <n v="11803.330040839115"/>
    <n v="0"/>
    <x v="0"/>
  </r>
  <r>
    <s v="Regular"/>
    <x v="0"/>
    <x v="1"/>
    <x v="0"/>
    <x v="0"/>
    <x v="0"/>
    <x v="0"/>
    <x v="2"/>
    <x v="0"/>
    <n v="0"/>
    <n v="0"/>
    <n v="27.850999999999999"/>
    <n v="15.163322376949999"/>
    <n v="0"/>
    <n v="0"/>
    <n v="0"/>
    <s v="LIVRE"/>
    <n v="0"/>
    <n v="0"/>
    <n v="15"/>
    <n v="0"/>
    <n v="0"/>
    <n v="940.75"/>
    <n v="0"/>
    <m/>
    <n v="1073.2822448920531"/>
    <m/>
    <n v="0"/>
    <n v="11935.932723884287"/>
    <n v="0"/>
    <n v="13617.459121733771"/>
    <x v="0"/>
  </r>
  <r>
    <s v="Regular"/>
    <x v="0"/>
    <x v="1"/>
    <x v="0"/>
    <x v="0"/>
    <x v="0"/>
    <x v="0"/>
    <x v="2"/>
    <x v="1"/>
    <n v="0"/>
    <n v="0"/>
    <n v="26.913"/>
    <n v="14.617136581500001"/>
    <n v="0"/>
    <n v="0"/>
    <n v="0"/>
    <s v="LIVRE"/>
    <n v="0"/>
    <n v="0"/>
    <n v="15"/>
    <n v="0"/>
    <n v="0"/>
    <n v="940.75"/>
    <n v="0"/>
    <m/>
    <n v="1073.2822448920531"/>
    <m/>
    <n v="0"/>
    <n v="11567.333510953875"/>
    <n v="0"/>
    <n v="13196.931892693754"/>
    <x v="0"/>
  </r>
  <r>
    <s v="Regular"/>
    <x v="0"/>
    <x v="1"/>
    <x v="0"/>
    <x v="0"/>
    <x v="0"/>
    <x v="0"/>
    <x v="2"/>
    <x v="2"/>
    <n v="0"/>
    <n v="0"/>
    <n v="27.526"/>
    <n v="14.99584054372"/>
    <n v="0"/>
    <n v="0"/>
    <n v="0"/>
    <s v="LIVRE"/>
    <n v="0"/>
    <n v="0"/>
    <n v="15"/>
    <n v="0"/>
    <n v="0"/>
    <n v="940.75"/>
    <n v="0"/>
    <m/>
    <n v="1073.2822448920531"/>
    <m/>
    <n v="0"/>
    <n v="11787.747508495409"/>
    <n v="0"/>
    <n v="13448.397670091586"/>
    <x v="0"/>
  </r>
  <r>
    <s v="Regular"/>
    <x v="0"/>
    <x v="1"/>
    <x v="0"/>
    <x v="0"/>
    <x v="0"/>
    <x v="0"/>
    <x v="2"/>
    <x v="3"/>
    <n v="0"/>
    <n v="0"/>
    <n v="27.867999999999999"/>
    <n v="15.169931587320001"/>
    <n v="0"/>
    <n v="0"/>
    <n v="0"/>
    <s v="LIVRE"/>
    <n v="0"/>
    <n v="0"/>
    <n v="15"/>
    <n v="0"/>
    <n v="0"/>
    <n v="940.75"/>
    <n v="0"/>
    <m/>
    <n v="1073.2822448920531"/>
    <m/>
    <n v="0"/>
    <n v="11945.707859228707"/>
    <n v="0"/>
    <n v="13628.611371754057"/>
    <x v="0"/>
  </r>
  <r>
    <s v="Regular"/>
    <x v="0"/>
    <x v="1"/>
    <x v="0"/>
    <x v="0"/>
    <x v="0"/>
    <x v="0"/>
    <x v="2"/>
    <x v="4"/>
    <n v="0"/>
    <n v="0"/>
    <n v="28.105"/>
    <n v="14.110991563900001"/>
    <n v="0"/>
    <n v="0"/>
    <n v="0"/>
    <s v="LIVRE"/>
    <n v="0"/>
    <n v="0"/>
    <n v="15"/>
    <n v="0"/>
    <n v="0"/>
    <n v="940.75"/>
    <n v="0"/>
    <m/>
    <n v="1073.2822448920531"/>
    <m/>
    <n v="0"/>
    <n v="13164.863436261076"/>
    <n v="0"/>
    <n v="15019.520789335736"/>
    <x v="0"/>
  </r>
  <r>
    <s v="Regular"/>
    <x v="0"/>
    <x v="1"/>
    <x v="0"/>
    <x v="0"/>
    <x v="0"/>
    <x v="0"/>
    <x v="2"/>
    <x v="5"/>
    <n v="0"/>
    <n v="0"/>
    <n v="18.141999999999999"/>
    <n v="9.8499206017199992"/>
    <n v="0"/>
    <n v="0"/>
    <n v="0"/>
    <s v="LIVRE"/>
    <n v="0"/>
    <n v="0"/>
    <n v="15"/>
    <n v="0"/>
    <n v="0"/>
    <n v="940.75"/>
    <n v="0"/>
    <m/>
    <n v="1073.2822448920531"/>
    <m/>
    <n v="0"/>
    <n v="7800.7736939319102"/>
    <n v="0"/>
    <n v="8899.7415914091034"/>
    <x v="0"/>
  </r>
  <r>
    <s v="Regular"/>
    <x v="0"/>
    <x v="1"/>
    <x v="0"/>
    <x v="0"/>
    <x v="0"/>
    <x v="0"/>
    <x v="2"/>
    <x v="6"/>
    <n v="0"/>
    <n v="0"/>
    <n v="46.316000000000003"/>
    <n v="27.48476568808"/>
    <n v="0"/>
    <n v="0"/>
    <n v="0"/>
    <s v="LIVRE"/>
    <n v="0"/>
    <n v="0"/>
    <n v="15"/>
    <n v="0"/>
    <n v="0"/>
    <n v="940.75"/>
    <n v="0"/>
    <m/>
    <n v="1073.2822448920531"/>
    <m/>
    <n v="0"/>
    <n v="17715.483678938745"/>
    <n v="0"/>
    <n v="20211.229436385758"/>
    <x v="0"/>
  </r>
  <r>
    <s v="Regular"/>
    <x v="0"/>
    <x v="1"/>
    <x v="0"/>
    <x v="0"/>
    <x v="0"/>
    <x v="0"/>
    <x v="2"/>
    <x v="7"/>
    <n v="0"/>
    <n v="0"/>
    <n v="41.395000000000003"/>
    <n v="24.649826298250002"/>
    <n v="0"/>
    <n v="0"/>
    <n v="0"/>
    <s v="LIVRE"/>
    <n v="0"/>
    <n v="0"/>
    <n v="15"/>
    <n v="0"/>
    <n v="0"/>
    <n v="940.75"/>
    <n v="0"/>
    <m/>
    <n v="1073.2822448920531"/>
    <m/>
    <n v="0"/>
    <n v="15753.022159921315"/>
    <n v="0"/>
    <n v="17972.297621721613"/>
    <x v="0"/>
  </r>
  <r>
    <s v="Regular"/>
    <x v="0"/>
    <x v="1"/>
    <x v="0"/>
    <x v="0"/>
    <x v="0"/>
    <x v="0"/>
    <x v="2"/>
    <x v="8"/>
    <n v="0"/>
    <n v="0"/>
    <n v="46.118000000000002"/>
    <n v="26.298977661439999"/>
    <n v="0"/>
    <n v="0"/>
    <n v="0"/>
    <s v="LIVRE"/>
    <n v="0"/>
    <n v="0"/>
    <n v="15"/>
    <n v="0"/>
    <n v="0"/>
    <n v="940.75"/>
    <n v="0"/>
    <m/>
    <n v="1073.2822448920531"/>
    <m/>
    <n v="0"/>
    <n v="18644.745265000322"/>
    <n v="0"/>
    <n v="21271.404787095427"/>
    <x v="0"/>
  </r>
  <r>
    <s v="Regular"/>
    <x v="0"/>
    <x v="1"/>
    <x v="0"/>
    <x v="0"/>
    <x v="0"/>
    <x v="0"/>
    <x v="2"/>
    <x v="9"/>
    <n v="0"/>
    <n v="0"/>
    <n v="36.996000000000002"/>
    <n v="20.580397551600001"/>
    <n v="0"/>
    <n v="0"/>
    <n v="0"/>
    <s v="LIVRE"/>
    <n v="0"/>
    <n v="0"/>
    <n v="15"/>
    <n v="0"/>
    <n v="0"/>
    <n v="940.75"/>
    <n v="0"/>
    <m/>
    <n v="1073.2822448920531"/>
    <m/>
    <n v="0"/>
    <n v="15442.9780033323"/>
    <n v="0"/>
    <n v="17618.574647074238"/>
    <x v="0"/>
  </r>
  <r>
    <s v="Regular"/>
    <x v="0"/>
    <x v="1"/>
    <x v="0"/>
    <x v="0"/>
    <x v="0"/>
    <x v="0"/>
    <x v="2"/>
    <x v="10"/>
    <n v="0"/>
    <n v="0"/>
    <n v="42.427"/>
    <n v="24.931020774659999"/>
    <n v="0"/>
    <n v="0"/>
    <n v="0"/>
    <s v="LIVRE"/>
    <n v="0"/>
    <n v="0"/>
    <n v="15"/>
    <n v="0"/>
    <n v="0"/>
    <n v="940.75"/>
    <n v="0"/>
    <m/>
    <n v="1073.2822448920531"/>
    <m/>
    <n v="0"/>
    <n v="16459.342456238606"/>
    <n v="0"/>
    <n v="18778.12385955764"/>
    <x v="0"/>
  </r>
  <r>
    <s v="Regular"/>
    <x v="0"/>
    <x v="1"/>
    <x v="0"/>
    <x v="0"/>
    <x v="0"/>
    <x v="0"/>
    <x v="2"/>
    <x v="11"/>
    <n v="0"/>
    <n v="0"/>
    <n v="42.43"/>
    <n v="24.9327836394"/>
    <n v="0"/>
    <n v="0"/>
    <n v="0"/>
    <s v="LIVRE"/>
    <n v="0"/>
    <n v="0"/>
    <n v="15"/>
    <n v="0"/>
    <n v="0"/>
    <n v="940.75"/>
    <n v="0"/>
    <m/>
    <n v="1073.2822448920531"/>
    <m/>
    <n v="0"/>
    <n v="16460.506291234451"/>
    <n v="0"/>
    <n v="18779.451654866727"/>
    <x v="0"/>
  </r>
  <r>
    <s v="Sistema de Compensação"/>
    <x v="0"/>
    <x v="1"/>
    <x v="1"/>
    <x v="0"/>
    <x v="1"/>
    <x v="0"/>
    <x v="0"/>
    <x v="9"/>
    <n v="0"/>
    <n v="0"/>
    <n v="10.224"/>
    <n v="9.8150399999999998"/>
    <n v="10.224"/>
    <n v="9.8150399999999998"/>
    <n v="0"/>
    <s v="CATIVO"/>
    <n v="0"/>
    <n v="0"/>
    <n v="13"/>
    <n v="16"/>
    <n v="0"/>
    <n v="78.650000000000006"/>
    <n v="229.87"/>
    <m/>
    <n v="124.29961477828176"/>
    <n v="216.60171770542672"/>
    <n v="0"/>
    <n v="126.17233920000012"/>
    <n v="0"/>
    <n v="139.41500893253757"/>
    <x v="1"/>
  </r>
  <r>
    <s v="Sistema de Compensação"/>
    <x v="0"/>
    <x v="1"/>
    <x v="1"/>
    <x v="0"/>
    <x v="1"/>
    <x v="0"/>
    <x v="0"/>
    <x v="10"/>
    <n v="0"/>
    <n v="0"/>
    <n v="6.71"/>
    <n v="6.4415999999999993"/>
    <n v="6.71"/>
    <n v="6.4415999999999993"/>
    <n v="0"/>
    <s v="CATIVO"/>
    <n v="0"/>
    <n v="0"/>
    <n v="13"/>
    <n v="16"/>
    <n v="0"/>
    <n v="78.650000000000006"/>
    <n v="229.87"/>
    <m/>
    <n v="124.29961477828176"/>
    <n v="216.60171770542672"/>
    <n v="0"/>
    <n v="82.806768000000204"/>
    <n v="0"/>
    <n v="91.49791763862757"/>
    <x v="1"/>
  </r>
  <r>
    <s v="Sistema de Compensação"/>
    <x v="0"/>
    <x v="1"/>
    <x v="1"/>
    <x v="0"/>
    <x v="1"/>
    <x v="0"/>
    <x v="0"/>
    <x v="11"/>
    <n v="0"/>
    <n v="0"/>
    <n v="2.5089999999999999"/>
    <n v="2.4086399999999997"/>
    <n v="2.5089999999999999"/>
    <n v="2.4086399999999997"/>
    <n v="0"/>
    <s v="CATIVO"/>
    <n v="0"/>
    <n v="0"/>
    <n v="13"/>
    <n v="16"/>
    <n v="0"/>
    <n v="78.650000000000006"/>
    <n v="229.87"/>
    <m/>
    <n v="124.29961477828176"/>
    <n v="216.60171770542672"/>
    <n v="0"/>
    <n v="30.963067200000072"/>
    <n v="0"/>
    <n v="34.21285772806506"/>
    <x v="1"/>
  </r>
  <r>
    <s v="Sistema de Compensação"/>
    <x v="0"/>
    <x v="1"/>
    <x v="1"/>
    <x v="0"/>
    <x v="1"/>
    <x v="0"/>
    <x v="1"/>
    <x v="0"/>
    <n v="100"/>
    <n v="96"/>
    <n v="0"/>
    <n v="0"/>
    <n v="0"/>
    <n v="0"/>
    <n v="1"/>
    <s v="CATIVO"/>
    <n v="0"/>
    <n v="36"/>
    <n v="0"/>
    <n v="0"/>
    <n v="14.94"/>
    <n v="0"/>
    <n v="0"/>
    <n v="21.858018594146511"/>
    <m/>
    <m/>
    <n v="59.76"/>
    <n v="0"/>
    <n v="87.432074376586044"/>
    <n v="0"/>
    <x v="1"/>
  </r>
  <r>
    <s v="Sistema de Compensação"/>
    <x v="0"/>
    <x v="1"/>
    <x v="1"/>
    <x v="0"/>
    <x v="1"/>
    <x v="0"/>
    <x v="1"/>
    <x v="1"/>
    <n v="100"/>
    <n v="96"/>
    <n v="0"/>
    <n v="0"/>
    <n v="0"/>
    <n v="0"/>
    <n v="1"/>
    <s v="CATIVO"/>
    <n v="0"/>
    <n v="36"/>
    <n v="0"/>
    <n v="0"/>
    <n v="14.94"/>
    <n v="0"/>
    <n v="0"/>
    <n v="21.858018594146511"/>
    <m/>
    <m/>
    <n v="59.76"/>
    <n v="0"/>
    <n v="87.432074376586044"/>
    <n v="0"/>
    <x v="1"/>
  </r>
  <r>
    <s v="Sistema de Compensação"/>
    <x v="0"/>
    <x v="1"/>
    <x v="1"/>
    <x v="0"/>
    <x v="1"/>
    <x v="0"/>
    <x v="1"/>
    <x v="2"/>
    <n v="100"/>
    <n v="96"/>
    <n v="0"/>
    <n v="0"/>
    <n v="0"/>
    <n v="0"/>
    <n v="1"/>
    <s v="CATIVO"/>
    <n v="0"/>
    <n v="36"/>
    <n v="0"/>
    <n v="0"/>
    <n v="14.94"/>
    <n v="0"/>
    <n v="0"/>
    <n v="21.858018594146511"/>
    <m/>
    <m/>
    <n v="59.76"/>
    <n v="0"/>
    <n v="87.432074376586044"/>
    <n v="0"/>
    <x v="1"/>
  </r>
  <r>
    <s v="Sistema de Compensação"/>
    <x v="0"/>
    <x v="1"/>
    <x v="1"/>
    <x v="0"/>
    <x v="1"/>
    <x v="0"/>
    <x v="1"/>
    <x v="3"/>
    <n v="100"/>
    <n v="96"/>
    <n v="0"/>
    <n v="0"/>
    <n v="0"/>
    <n v="0"/>
    <n v="1"/>
    <s v="CATIVO"/>
    <n v="0"/>
    <n v="36"/>
    <n v="0"/>
    <n v="0"/>
    <n v="14.94"/>
    <n v="0"/>
    <n v="0"/>
    <n v="21.858018594146511"/>
    <m/>
    <m/>
    <n v="59.76"/>
    <n v="0"/>
    <n v="87.432074376586044"/>
    <n v="0"/>
    <x v="1"/>
  </r>
  <r>
    <s v="Sistema de Compensação"/>
    <x v="0"/>
    <x v="1"/>
    <x v="1"/>
    <x v="0"/>
    <x v="1"/>
    <x v="0"/>
    <x v="1"/>
    <x v="4"/>
    <n v="100"/>
    <n v="96"/>
    <n v="0"/>
    <n v="0"/>
    <n v="0"/>
    <n v="0"/>
    <n v="1"/>
    <s v="CATIVO"/>
    <n v="0"/>
    <n v="36"/>
    <n v="0"/>
    <n v="0"/>
    <n v="14.94"/>
    <n v="0"/>
    <n v="0"/>
    <n v="21.858018594146511"/>
    <m/>
    <m/>
    <n v="59.76"/>
    <n v="0"/>
    <n v="87.432074376586044"/>
    <n v="0"/>
    <x v="1"/>
  </r>
  <r>
    <s v="Sistema de Compensação"/>
    <x v="0"/>
    <x v="1"/>
    <x v="1"/>
    <x v="0"/>
    <x v="1"/>
    <x v="0"/>
    <x v="1"/>
    <x v="5"/>
    <n v="126"/>
    <n v="120.96"/>
    <n v="0"/>
    <n v="0"/>
    <n v="0"/>
    <n v="0"/>
    <n v="1"/>
    <s v="CATIVO"/>
    <n v="0"/>
    <n v="36"/>
    <n v="0"/>
    <n v="0"/>
    <n v="14.94"/>
    <n v="0"/>
    <n v="0"/>
    <n v="21.858018594146511"/>
    <m/>
    <m/>
    <n v="75.297600000000088"/>
    <n v="0"/>
    <n v="110.16441371449855"/>
    <n v="0"/>
    <x v="1"/>
  </r>
  <r>
    <s v="Sistema de Compensação"/>
    <x v="0"/>
    <x v="1"/>
    <x v="1"/>
    <x v="0"/>
    <x v="1"/>
    <x v="0"/>
    <x v="1"/>
    <x v="6"/>
    <n v="100"/>
    <n v="96"/>
    <n v="0"/>
    <n v="0"/>
    <n v="0"/>
    <n v="0"/>
    <n v="1"/>
    <s v="CATIVO"/>
    <n v="0"/>
    <n v="36"/>
    <n v="0"/>
    <n v="0"/>
    <n v="14.94"/>
    <n v="0"/>
    <n v="0"/>
    <n v="21.858018594146511"/>
    <m/>
    <m/>
    <n v="59.76"/>
    <n v="0"/>
    <n v="87.432074376586044"/>
    <n v="0"/>
    <x v="1"/>
  </r>
  <r>
    <s v="Sistema de Compensação"/>
    <x v="0"/>
    <x v="1"/>
    <x v="1"/>
    <x v="0"/>
    <x v="1"/>
    <x v="0"/>
    <x v="1"/>
    <x v="7"/>
    <n v="139"/>
    <n v="133.44"/>
    <n v="0"/>
    <n v="0"/>
    <n v="0"/>
    <n v="0"/>
    <n v="1"/>
    <s v="CATIVO"/>
    <n v="0"/>
    <n v="36"/>
    <n v="0"/>
    <n v="0"/>
    <n v="14.94"/>
    <n v="0"/>
    <n v="0"/>
    <n v="21.858018594146511"/>
    <m/>
    <m/>
    <n v="83.06640000000003"/>
    <n v="0"/>
    <n v="121.53058338345465"/>
    <n v="0"/>
    <x v="1"/>
  </r>
  <r>
    <s v="Sistema de Compensação"/>
    <x v="0"/>
    <x v="1"/>
    <x v="1"/>
    <x v="0"/>
    <x v="1"/>
    <x v="0"/>
    <x v="1"/>
    <x v="8"/>
    <n v="189"/>
    <n v="181.44"/>
    <n v="0"/>
    <n v="0"/>
    <n v="0"/>
    <n v="0"/>
    <n v="1"/>
    <s v="CATIVO"/>
    <n v="0"/>
    <n v="36"/>
    <n v="0"/>
    <n v="0"/>
    <n v="14.94"/>
    <n v="0"/>
    <n v="0"/>
    <n v="21.858018594146511"/>
    <m/>
    <m/>
    <n v="112.94640000000003"/>
    <n v="0"/>
    <n v="165.24662057174768"/>
    <n v="0"/>
    <x v="1"/>
  </r>
  <r>
    <s v="Sistema de Compensação"/>
    <x v="0"/>
    <x v="1"/>
    <x v="1"/>
    <x v="0"/>
    <x v="1"/>
    <x v="0"/>
    <x v="1"/>
    <x v="9"/>
    <n v="211"/>
    <n v="202.56"/>
    <n v="0"/>
    <n v="0"/>
    <n v="0"/>
    <n v="0"/>
    <n v="1"/>
    <s v="CATIVO"/>
    <n v="0"/>
    <n v="36"/>
    <n v="0"/>
    <n v="0"/>
    <n v="14.94"/>
    <n v="0"/>
    <n v="0"/>
    <n v="21.858018594146511"/>
    <m/>
    <m/>
    <n v="126.09359999999997"/>
    <n v="0"/>
    <n v="184.48167693459649"/>
    <n v="0"/>
    <x v="1"/>
  </r>
  <r>
    <s v="Sistema de Compensação"/>
    <x v="0"/>
    <x v="1"/>
    <x v="1"/>
    <x v="0"/>
    <x v="1"/>
    <x v="0"/>
    <x v="1"/>
    <x v="10"/>
    <n v="186"/>
    <n v="178.56"/>
    <n v="0"/>
    <n v="0"/>
    <n v="0"/>
    <n v="0"/>
    <n v="1"/>
    <s v="CATIVO"/>
    <n v="0"/>
    <n v="36"/>
    <n v="0"/>
    <n v="0"/>
    <n v="14.94"/>
    <n v="0"/>
    <n v="0"/>
    <n v="21.858018594146511"/>
    <m/>
    <m/>
    <n v="111.15359999999997"/>
    <n v="0"/>
    <n v="162.62365834044999"/>
    <n v="0"/>
    <x v="1"/>
  </r>
  <r>
    <s v="Sistema de Compensação"/>
    <x v="0"/>
    <x v="1"/>
    <x v="1"/>
    <x v="0"/>
    <x v="1"/>
    <x v="0"/>
    <x v="1"/>
    <x v="11"/>
    <n v="155"/>
    <n v="148.79999999999998"/>
    <n v="0"/>
    <n v="0"/>
    <n v="0"/>
    <n v="0"/>
    <n v="1"/>
    <s v="CATIVO"/>
    <n v="0"/>
    <n v="36"/>
    <n v="0"/>
    <n v="0"/>
    <n v="14.94"/>
    <n v="0"/>
    <n v="0"/>
    <n v="21.858018594146511"/>
    <m/>
    <m/>
    <n v="92.628000000000256"/>
    <n v="0"/>
    <n v="135.51971528370873"/>
    <n v="0"/>
    <x v="1"/>
  </r>
  <r>
    <s v="Sistema de Compensação"/>
    <x v="0"/>
    <x v="1"/>
    <x v="1"/>
    <x v="0"/>
    <x v="1"/>
    <x v="0"/>
    <x v="2"/>
    <x v="9"/>
    <n v="0"/>
    <n v="0"/>
    <n v="1.532"/>
    <n v="1.47072"/>
    <n v="1.532"/>
    <n v="1.47072"/>
    <n v="0"/>
    <s v="CATIVO"/>
    <n v="0"/>
    <n v="0"/>
    <n v="15"/>
    <n v="9"/>
    <n v="0"/>
    <n v="940.75"/>
    <n v="373.71"/>
    <m/>
    <n v="1073.2822448920531"/>
    <n v="347.98834052804079"/>
    <n v="0"/>
    <n v="80.550108800000004"/>
    <n v="0"/>
    <n v="87.095461474543356"/>
    <x v="1"/>
  </r>
  <r>
    <s v="Sistema de Compensação"/>
    <x v="0"/>
    <x v="1"/>
    <x v="1"/>
    <x v="0"/>
    <x v="1"/>
    <x v="0"/>
    <x v="2"/>
    <x v="10"/>
    <n v="0"/>
    <n v="0"/>
    <n v="0.49099999999999999"/>
    <n v="0.47136"/>
    <n v="0.49099999999999999"/>
    <n v="0.47136"/>
    <n v="0"/>
    <s v="CATIVO"/>
    <n v="0"/>
    <n v="0"/>
    <n v="15"/>
    <n v="9"/>
    <n v="0"/>
    <n v="940.75"/>
    <n v="373.71"/>
    <m/>
    <n v="1073.2822448920531"/>
    <n v="347.98834052804079"/>
    <n v="0"/>
    <n v="25.815994399999987"/>
    <n v="0"/>
    <n v="27.91375429765063"/>
    <x v="1"/>
  </r>
  <r>
    <s v="Sistema de Compensação"/>
    <x v="0"/>
    <x v="1"/>
    <x v="1"/>
    <x v="0"/>
    <x v="1"/>
    <x v="0"/>
    <x v="2"/>
    <x v="11"/>
    <n v="0"/>
    <n v="0"/>
    <n v="0.42299999999999999"/>
    <n v="0.40608"/>
    <n v="0.42299999999999999"/>
    <n v="0.40608"/>
    <n v="0"/>
    <s v="CATIVO"/>
    <n v="0"/>
    <n v="0"/>
    <n v="15"/>
    <n v="9"/>
    <n v="0"/>
    <n v="940.75"/>
    <n v="373.71"/>
    <m/>
    <n v="1073.2822448920531"/>
    <n v="347.98834052804079"/>
    <n v="0"/>
    <n v="22.240663199999986"/>
    <n v="0"/>
    <n v="24.047898305307974"/>
    <x v="1"/>
  </r>
  <r>
    <s v="Regular"/>
    <x v="1"/>
    <x v="2"/>
    <x v="2"/>
    <x v="1"/>
    <x v="1"/>
    <x v="0"/>
    <x v="1"/>
    <x v="0"/>
    <n v="0"/>
    <n v="0"/>
    <n v="1892.0740000000001"/>
    <n v="1892.0740000000001"/>
    <n v="1892.0740000000001"/>
    <n v="1892.0740000000001"/>
    <n v="9963"/>
    <s v="CATIVO"/>
    <n v="0"/>
    <n v="0"/>
    <n v="21"/>
    <n v="7"/>
    <n v="0"/>
    <n v="333.15"/>
    <n v="241.85"/>
    <m/>
    <n v="415.33994181553646"/>
    <n v="227.55060294064452"/>
    <n v="0"/>
    <n v="0"/>
    <n v="0"/>
    <n v="0"/>
    <x v="2"/>
  </r>
  <r>
    <s v="Regular"/>
    <x v="1"/>
    <x v="2"/>
    <x v="2"/>
    <x v="2"/>
    <x v="1"/>
    <x v="0"/>
    <x v="1"/>
    <x v="0"/>
    <n v="0"/>
    <n v="0"/>
    <n v="8.43"/>
    <n v="8.43"/>
    <n v="8.43"/>
    <n v="8.43"/>
    <n v="4"/>
    <s v="CATIVO"/>
    <n v="0"/>
    <n v="0"/>
    <n v="33"/>
    <n v="1"/>
    <n v="0"/>
    <n v="90.5"/>
    <n v="84.65"/>
    <m/>
    <n v="99.630608534328061"/>
    <n v="79.64271102922558"/>
    <n v="0"/>
    <n v="2742.1103999999996"/>
    <n v="0"/>
    <n v="2806.6518701385489"/>
    <x v="3"/>
  </r>
  <r>
    <s v="Regular"/>
    <x v="1"/>
    <x v="2"/>
    <x v="2"/>
    <x v="2"/>
    <x v="1"/>
    <x v="0"/>
    <x v="1"/>
    <x v="1"/>
    <n v="0"/>
    <n v="0"/>
    <n v="8.6999999999999993"/>
    <n v="8.6999999999999993"/>
    <n v="8.6999999999999993"/>
    <n v="8.6999999999999993"/>
    <n v="4"/>
    <s v="CATIVO"/>
    <n v="0"/>
    <n v="0"/>
    <n v="33"/>
    <n v="1"/>
    <n v="0"/>
    <n v="90.5"/>
    <n v="84.65"/>
    <m/>
    <n v="99.630608534328061"/>
    <n v="79.64271102922558"/>
    <n v="0"/>
    <n v="2829.9359999999997"/>
    <n v="0"/>
    <n v="2896.544634662559"/>
    <x v="3"/>
  </r>
  <r>
    <s v="Regular"/>
    <x v="1"/>
    <x v="2"/>
    <x v="2"/>
    <x v="2"/>
    <x v="1"/>
    <x v="0"/>
    <x v="1"/>
    <x v="2"/>
    <n v="0"/>
    <n v="0"/>
    <n v="8.76"/>
    <n v="8.76"/>
    <n v="8.76"/>
    <n v="8.76"/>
    <n v="4"/>
    <s v="CATIVO"/>
    <n v="0"/>
    <n v="0"/>
    <n v="33"/>
    <n v="1"/>
    <n v="0"/>
    <n v="90.5"/>
    <n v="84.65"/>
    <m/>
    <n v="99.630608534328061"/>
    <n v="79.64271102922558"/>
    <n v="0"/>
    <n v="2849.4527999999996"/>
    <n v="0"/>
    <n v="2916.5208045567838"/>
    <x v="3"/>
  </r>
  <r>
    <s v="Regular"/>
    <x v="1"/>
    <x v="2"/>
    <x v="2"/>
    <x v="2"/>
    <x v="1"/>
    <x v="0"/>
    <x v="1"/>
    <x v="3"/>
    <n v="0"/>
    <n v="0"/>
    <n v="8.82"/>
    <n v="8.82"/>
    <n v="8.82"/>
    <n v="8.82"/>
    <n v="3"/>
    <s v="CATIVO"/>
    <n v="0"/>
    <n v="0"/>
    <n v="33"/>
    <n v="1"/>
    <n v="0"/>
    <n v="90.5"/>
    <n v="84.65"/>
    <m/>
    <n v="99.630608534328061"/>
    <n v="79.64271102922558"/>
    <n v="0"/>
    <n v="2868.9695999999999"/>
    <n v="0"/>
    <n v="2936.4969744510086"/>
    <x v="3"/>
  </r>
  <r>
    <s v="Regular"/>
    <x v="1"/>
    <x v="2"/>
    <x v="2"/>
    <x v="2"/>
    <x v="1"/>
    <x v="0"/>
    <x v="1"/>
    <x v="4"/>
    <n v="0"/>
    <n v="0"/>
    <n v="8.85"/>
    <n v="8.85"/>
    <n v="8.85"/>
    <n v="8.85"/>
    <n v="4"/>
    <s v="CATIVO"/>
    <n v="0"/>
    <n v="0"/>
    <n v="33"/>
    <n v="1"/>
    <n v="0"/>
    <n v="90.5"/>
    <n v="84.65"/>
    <m/>
    <n v="99.630608534328061"/>
    <n v="79.64271102922558"/>
    <n v="0"/>
    <n v="2878.7279999999996"/>
    <n v="0"/>
    <n v="2946.4850593981205"/>
    <x v="3"/>
  </r>
  <r>
    <s v="Regular"/>
    <x v="1"/>
    <x v="2"/>
    <x v="2"/>
    <x v="2"/>
    <x v="1"/>
    <x v="0"/>
    <x v="1"/>
    <x v="5"/>
    <n v="0"/>
    <n v="0"/>
    <n v="12.42"/>
    <n v="12.42"/>
    <n v="12.42"/>
    <n v="12.42"/>
    <n v="9"/>
    <s v="CATIVO"/>
    <n v="0"/>
    <n v="0"/>
    <n v="33"/>
    <n v="1"/>
    <n v="0"/>
    <n v="90.5"/>
    <n v="84.65"/>
    <m/>
    <n v="99.630608534328061"/>
    <n v="79.64271102922558"/>
    <n v="0"/>
    <n v="4039.9775999999997"/>
    <n v="0"/>
    <n v="4135.0671681044814"/>
    <x v="3"/>
  </r>
  <r>
    <s v="Regular"/>
    <x v="1"/>
    <x v="2"/>
    <x v="2"/>
    <x v="2"/>
    <x v="1"/>
    <x v="0"/>
    <x v="1"/>
    <x v="6"/>
    <n v="0"/>
    <n v="0"/>
    <n v="14.82"/>
    <n v="14.82"/>
    <n v="14.82"/>
    <n v="14.82"/>
    <n v="9"/>
    <s v="CATIVO"/>
    <n v="0"/>
    <n v="0"/>
    <n v="33"/>
    <n v="1"/>
    <n v="0"/>
    <n v="90.5"/>
    <n v="84.65"/>
    <m/>
    <n v="99.630608534328061"/>
    <n v="79.64271102922558"/>
    <n v="0"/>
    <n v="4820.6495999999997"/>
    <n v="0"/>
    <n v="4934.113963873463"/>
    <x v="3"/>
  </r>
  <r>
    <s v="Regular"/>
    <x v="1"/>
    <x v="2"/>
    <x v="2"/>
    <x v="2"/>
    <x v="1"/>
    <x v="0"/>
    <x v="1"/>
    <x v="7"/>
    <n v="0"/>
    <n v="0"/>
    <n v="16.29"/>
    <n v="16.29"/>
    <n v="16.29"/>
    <n v="16.29"/>
    <n v="7"/>
    <s v="CATIVO"/>
    <n v="0"/>
    <n v="0"/>
    <n v="33"/>
    <n v="1"/>
    <n v="0"/>
    <n v="90.5"/>
    <n v="84.65"/>
    <m/>
    <n v="99.630608534328061"/>
    <n v="79.64271102922558"/>
    <n v="0"/>
    <n v="5298.8111999999992"/>
    <n v="0"/>
    <n v="5423.5301262819639"/>
    <x v="3"/>
  </r>
  <r>
    <s v="Regular"/>
    <x v="1"/>
    <x v="2"/>
    <x v="2"/>
    <x v="2"/>
    <x v="1"/>
    <x v="0"/>
    <x v="1"/>
    <x v="8"/>
    <n v="0"/>
    <n v="0"/>
    <n v="17.309999999999999"/>
    <n v="17.309999999999999"/>
    <n v="17.309999999999999"/>
    <n v="17.309999999999999"/>
    <n v="12"/>
    <s v="CATIVO"/>
    <n v="0"/>
    <n v="0"/>
    <n v="33"/>
    <n v="1"/>
    <n v="0"/>
    <n v="90.5"/>
    <n v="84.65"/>
    <m/>
    <n v="99.630608534328061"/>
    <n v="79.64271102922558"/>
    <n v="0"/>
    <n v="5630.5967999999993"/>
    <n v="0"/>
    <n v="5763.1250144837813"/>
    <x v="3"/>
  </r>
  <r>
    <s v="Regular"/>
    <x v="1"/>
    <x v="2"/>
    <x v="2"/>
    <x v="2"/>
    <x v="1"/>
    <x v="0"/>
    <x v="1"/>
    <x v="9"/>
    <n v="0"/>
    <n v="0"/>
    <n v="18.989999999999998"/>
    <n v="18.989999999999998"/>
    <n v="18.989999999999998"/>
    <n v="18.989999999999998"/>
    <n v="13"/>
    <s v="CATIVO"/>
    <n v="0"/>
    <n v="0"/>
    <n v="33"/>
    <n v="1"/>
    <n v="0"/>
    <n v="90.5"/>
    <n v="84.65"/>
    <m/>
    <n v="99.630608534328061"/>
    <n v="79.64271102922558"/>
    <n v="0"/>
    <n v="6177.0671999999986"/>
    <n v="0"/>
    <n v="6322.4577715220685"/>
    <x v="3"/>
  </r>
  <r>
    <s v="Regular"/>
    <x v="1"/>
    <x v="2"/>
    <x v="2"/>
    <x v="2"/>
    <x v="1"/>
    <x v="0"/>
    <x v="1"/>
    <x v="10"/>
    <n v="0"/>
    <n v="0"/>
    <n v="19.745999999999999"/>
    <n v="19.745999999999999"/>
    <n v="19.745999999999999"/>
    <n v="19.745999999999999"/>
    <n v="18"/>
    <s v="CATIVO"/>
    <n v="0"/>
    <n v="0"/>
    <n v="33"/>
    <n v="1"/>
    <n v="0"/>
    <n v="90.5"/>
    <n v="84.65"/>
    <m/>
    <n v="99.630608534328061"/>
    <n v="79.64271102922558"/>
    <n v="0"/>
    <n v="6422.9788799999988"/>
    <n v="0"/>
    <n v="6574.1575121892984"/>
    <x v="3"/>
  </r>
  <r>
    <s v="Sistema de Compensação"/>
    <x v="1"/>
    <x v="2"/>
    <x v="2"/>
    <x v="2"/>
    <x v="1"/>
    <x v="0"/>
    <x v="1"/>
    <x v="10"/>
    <n v="0"/>
    <n v="0"/>
    <n v="0.03"/>
    <n v="-8.9999999999999993E-3"/>
    <n v="0.03"/>
    <n v="-8.9999999999999993E-3"/>
    <n v="0"/>
    <s v="CATIVO"/>
    <n v="0"/>
    <n v="0"/>
    <n v="33"/>
    <n v="1"/>
    <n v="0"/>
    <n v="90.5"/>
    <n v="84.65"/>
    <m/>
    <n v="99.630608534328061"/>
    <n v="79.64271102922558"/>
    <n v="0"/>
    <n v="16.58925"/>
    <n v="0"/>
    <n v="16.979744410090866"/>
    <x v="3"/>
  </r>
  <r>
    <s v="Regular"/>
    <x v="1"/>
    <x v="2"/>
    <x v="2"/>
    <x v="2"/>
    <x v="1"/>
    <x v="0"/>
    <x v="1"/>
    <x v="11"/>
    <n v="0"/>
    <n v="0"/>
    <n v="21.78"/>
    <n v="21.78"/>
    <n v="21.78"/>
    <n v="21.78"/>
    <n v="18"/>
    <s v="CATIVO"/>
    <n v="0"/>
    <n v="0"/>
    <n v="33"/>
    <n v="1"/>
    <n v="0"/>
    <n v="90.5"/>
    <n v="84.65"/>
    <m/>
    <n v="99.630608534328061"/>
    <n v="79.64271102922558"/>
    <n v="0"/>
    <n v="7084.5983999999999"/>
    <n v="0"/>
    <n v="7251.3496716035106"/>
    <x v="3"/>
  </r>
  <r>
    <s v="Sistema de Compensação"/>
    <x v="1"/>
    <x v="2"/>
    <x v="2"/>
    <x v="2"/>
    <x v="1"/>
    <x v="0"/>
    <x v="1"/>
    <x v="11"/>
    <n v="0"/>
    <n v="0"/>
    <n v="0.06"/>
    <n v="-5.7000000000000002E-2"/>
    <n v="0.06"/>
    <n v="-5.7000000000000002E-2"/>
    <n v="0"/>
    <s v="CATIVO"/>
    <n v="0"/>
    <n v="0"/>
    <n v="33"/>
    <n v="1"/>
    <n v="0"/>
    <n v="90.5"/>
    <n v="84.65"/>
    <m/>
    <n v="99.630608534328061"/>
    <n v="79.64271102922558"/>
    <n v="0"/>
    <n v="40.009349999999998"/>
    <n v="0"/>
    <n v="40.951148283160322"/>
    <x v="3"/>
  </r>
  <r>
    <s v="Regular"/>
    <x v="1"/>
    <x v="2"/>
    <x v="2"/>
    <x v="3"/>
    <x v="1"/>
    <x v="0"/>
    <x v="1"/>
    <x v="0"/>
    <n v="0"/>
    <n v="0"/>
    <n v="18.091000000000001"/>
    <n v="18.091000000000001"/>
    <n v="18.091000000000001"/>
    <n v="18.091000000000001"/>
    <n v="50"/>
    <s v="CATIVO"/>
    <n v="0"/>
    <n v="0"/>
    <n v="26"/>
    <n v="18"/>
    <n v="0"/>
    <n v="155.15"/>
    <n v="145.11000000000001"/>
    <m/>
    <n v="170.79532891599095"/>
    <n v="136.5303617643867"/>
    <n v="0"/>
    <n v="3621.2754699999996"/>
    <n v="0"/>
    <n v="3706.5527133991422"/>
    <x v="3"/>
  </r>
  <r>
    <s v="Regular"/>
    <x v="1"/>
    <x v="2"/>
    <x v="2"/>
    <x v="3"/>
    <x v="1"/>
    <x v="0"/>
    <x v="1"/>
    <x v="1"/>
    <n v="0"/>
    <n v="0"/>
    <n v="18.702000000000002"/>
    <n v="18.702000000000002"/>
    <n v="18.702000000000002"/>
    <n v="18.702000000000002"/>
    <n v="53"/>
    <s v="CATIVO"/>
    <n v="0"/>
    <n v="0"/>
    <n v="26"/>
    <n v="18"/>
    <n v="0"/>
    <n v="155.15"/>
    <n v="145.11000000000001"/>
    <m/>
    <n v="170.79532891599095"/>
    <n v="136.5303617643867"/>
    <n v="0"/>
    <n v="3743.5793399999998"/>
    <n v="0"/>
    <n v="3831.7367114029494"/>
    <x v="3"/>
  </r>
  <r>
    <s v="Regular"/>
    <x v="1"/>
    <x v="2"/>
    <x v="2"/>
    <x v="3"/>
    <x v="1"/>
    <x v="0"/>
    <x v="1"/>
    <x v="2"/>
    <n v="0"/>
    <n v="0"/>
    <n v="18.943999999999999"/>
    <n v="18.943999999999999"/>
    <n v="18.943999999999999"/>
    <n v="18.943999999999999"/>
    <n v="56"/>
    <s v="CATIVO"/>
    <n v="0"/>
    <n v="0"/>
    <n v="26"/>
    <n v="18"/>
    <n v="0"/>
    <n v="155.15"/>
    <n v="145.11000000000001"/>
    <m/>
    <n v="170.79532891599095"/>
    <n v="136.5303617643867"/>
    <n v="0"/>
    <n v="3792.0204799999992"/>
    <n v="0"/>
    <n v="3881.3185894993831"/>
    <x v="3"/>
  </r>
  <r>
    <s v="Regular"/>
    <x v="1"/>
    <x v="2"/>
    <x v="2"/>
    <x v="3"/>
    <x v="1"/>
    <x v="0"/>
    <x v="1"/>
    <x v="3"/>
    <n v="0"/>
    <n v="0"/>
    <n v="18.806000000000001"/>
    <n v="18.806000000000001"/>
    <n v="18.806000000000001"/>
    <n v="18.806000000000001"/>
    <n v="59"/>
    <s v="CATIVO"/>
    <n v="0"/>
    <n v="0"/>
    <n v="26"/>
    <n v="18"/>
    <n v="0"/>
    <n v="155.15"/>
    <n v="145.11000000000001"/>
    <m/>
    <n v="170.79532891599095"/>
    <n v="136.5303617643867"/>
    <n v="0"/>
    <n v="3764.3970199999994"/>
    <n v="0"/>
    <n v="3853.0446259567889"/>
    <x v="3"/>
  </r>
  <r>
    <s v="Regular"/>
    <x v="1"/>
    <x v="2"/>
    <x v="2"/>
    <x v="3"/>
    <x v="1"/>
    <x v="0"/>
    <x v="1"/>
    <x v="4"/>
    <n v="0"/>
    <n v="0"/>
    <n v="19.143999999999998"/>
    <n v="19.143999999999998"/>
    <n v="19.143999999999998"/>
    <n v="19.143999999999998"/>
    <n v="48"/>
    <s v="CATIVO"/>
    <n v="0"/>
    <n v="0"/>
    <n v="26"/>
    <n v="18"/>
    <n v="0"/>
    <n v="155.15"/>
    <n v="145.11000000000001"/>
    <m/>
    <n v="170.79532891599095"/>
    <n v="136.5303617643867"/>
    <n v="0"/>
    <n v="3832.0544799999989"/>
    <n v="0"/>
    <n v="3922.2953482567668"/>
    <x v="3"/>
  </r>
  <r>
    <s v="Regular"/>
    <x v="1"/>
    <x v="2"/>
    <x v="2"/>
    <x v="3"/>
    <x v="1"/>
    <x v="0"/>
    <x v="1"/>
    <x v="5"/>
    <n v="0"/>
    <n v="0"/>
    <n v="26.596"/>
    <n v="26.596"/>
    <n v="26.596"/>
    <n v="26.596"/>
    <n v="67"/>
    <s v="CATIVO"/>
    <n v="0"/>
    <n v="0"/>
    <n v="26"/>
    <n v="18"/>
    <n v="0"/>
    <n v="155.15"/>
    <n v="145.11000000000001"/>
    <m/>
    <n v="170.79532891599095"/>
    <n v="136.5303617643867"/>
    <n v="0"/>
    <n v="5323.7213199999987"/>
    <n v="0"/>
    <n v="5449.0893795568836"/>
    <x v="3"/>
  </r>
  <r>
    <s v="Regular"/>
    <x v="1"/>
    <x v="2"/>
    <x v="2"/>
    <x v="3"/>
    <x v="1"/>
    <x v="0"/>
    <x v="1"/>
    <x v="6"/>
    <n v="0"/>
    <n v="0"/>
    <n v="31.931000000000001"/>
    <n v="31.931000000000001"/>
    <n v="31.931000000000001"/>
    <n v="31.931000000000001"/>
    <n v="74"/>
    <s v="CATIVO"/>
    <n v="0"/>
    <n v="0"/>
    <n v="26"/>
    <n v="18"/>
    <n v="0"/>
    <n v="155.15"/>
    <n v="145.11000000000001"/>
    <m/>
    <n v="170.79532891599095"/>
    <n v="136.5303617643867"/>
    <n v="0"/>
    <n v="6391.6282699999992"/>
    <n v="0"/>
    <n v="6542.1444194100932"/>
    <x v="3"/>
  </r>
  <r>
    <s v="Regular"/>
    <x v="1"/>
    <x v="2"/>
    <x v="2"/>
    <x v="3"/>
    <x v="1"/>
    <x v="0"/>
    <x v="1"/>
    <x v="7"/>
    <n v="0"/>
    <n v="0"/>
    <n v="35.450000000000003"/>
    <n v="35.450000000000003"/>
    <n v="35.450000000000003"/>
    <n v="35.450000000000003"/>
    <n v="84"/>
    <s v="CATIVO"/>
    <n v="0"/>
    <n v="0"/>
    <n v="26"/>
    <n v="18"/>
    <n v="0"/>
    <n v="155.15"/>
    <n v="145.11000000000001"/>
    <m/>
    <n v="170.79532891599095"/>
    <n v="136.5303617643867"/>
    <n v="0"/>
    <n v="7096.026499999999"/>
    <n v="0"/>
    <n v="7263.1304897462596"/>
    <x v="3"/>
  </r>
  <r>
    <s v="Regular"/>
    <x v="1"/>
    <x v="2"/>
    <x v="2"/>
    <x v="3"/>
    <x v="1"/>
    <x v="0"/>
    <x v="1"/>
    <x v="8"/>
    <n v="0"/>
    <n v="0"/>
    <n v="36.933999999999997"/>
    <n v="36.933999999999997"/>
    <n v="36.933999999999997"/>
    <n v="36.933999999999997"/>
    <n v="114"/>
    <s v="CATIVO"/>
    <n v="0"/>
    <n v="0"/>
    <n v="26"/>
    <n v="18"/>
    <n v="0"/>
    <n v="155.15"/>
    <n v="145.11000000000001"/>
    <m/>
    <n v="170.79532891599095"/>
    <n v="136.5303617643867"/>
    <n v="0"/>
    <n v="7393.078779999998"/>
    <n v="0"/>
    <n v="7567.1780397260463"/>
    <x v="3"/>
  </r>
  <r>
    <s v="Regular"/>
    <x v="1"/>
    <x v="2"/>
    <x v="2"/>
    <x v="3"/>
    <x v="1"/>
    <x v="0"/>
    <x v="1"/>
    <x v="9"/>
    <n v="0"/>
    <n v="0"/>
    <n v="39.765000000000001"/>
    <n v="39.765000000000001"/>
    <n v="39.765000000000001"/>
    <n v="39.765000000000001"/>
    <n v="144"/>
    <s v="CATIVO"/>
    <n v="0"/>
    <n v="0"/>
    <n v="26"/>
    <n v="18"/>
    <n v="0"/>
    <n v="155.15"/>
    <n v="145.11000000000001"/>
    <m/>
    <n v="170.79532891599095"/>
    <n v="136.5303617643867"/>
    <n v="0"/>
    <n v="7959.760049999998"/>
    <n v="0"/>
    <n v="8147.2040599368129"/>
    <x v="3"/>
  </r>
  <r>
    <s v="Regular"/>
    <x v="1"/>
    <x v="2"/>
    <x v="2"/>
    <x v="3"/>
    <x v="1"/>
    <x v="0"/>
    <x v="1"/>
    <x v="10"/>
    <n v="0"/>
    <n v="0"/>
    <n v="40.735999999999997"/>
    <n v="40.735999999999997"/>
    <n v="40.735999999999997"/>
    <n v="40.735999999999997"/>
    <n v="140"/>
    <s v="CATIVO"/>
    <n v="0"/>
    <n v="0"/>
    <n v="26"/>
    <n v="18"/>
    <n v="0"/>
    <n v="155.15"/>
    <n v="145.11000000000001"/>
    <m/>
    <n v="170.79532891599095"/>
    <n v="136.5303617643867"/>
    <n v="0"/>
    <n v="8154.1251199999979"/>
    <n v="0"/>
    <n v="8346.1462237039104"/>
    <x v="3"/>
  </r>
  <r>
    <s v="Sistema de Compensação"/>
    <x v="1"/>
    <x v="2"/>
    <x v="2"/>
    <x v="3"/>
    <x v="1"/>
    <x v="0"/>
    <x v="1"/>
    <x v="10"/>
    <n v="0"/>
    <n v="0"/>
    <n v="7.0000000000000007E-2"/>
    <n v="1.4E-2"/>
    <n v="7.0000000000000007E-2"/>
    <n v="1.4E-2"/>
    <n v="0"/>
    <s v="CATIVO"/>
    <n v="0"/>
    <n v="0"/>
    <n v="26"/>
    <n v="18"/>
    <n v="0"/>
    <n v="155.15"/>
    <n v="145.11000000000001"/>
    <m/>
    <n v="170.79532891599095"/>
    <n v="136.5303617643867"/>
    <n v="0"/>
    <n v="30.826459999999997"/>
    <n v="0"/>
    <n v="31.552104243185447"/>
    <x v="3"/>
  </r>
  <r>
    <s v="Regular"/>
    <x v="1"/>
    <x v="2"/>
    <x v="2"/>
    <x v="3"/>
    <x v="1"/>
    <x v="0"/>
    <x v="1"/>
    <x v="11"/>
    <n v="0"/>
    <n v="0"/>
    <n v="45.326999999999998"/>
    <n v="45.326999999999998"/>
    <n v="45.326999999999998"/>
    <n v="45.326999999999998"/>
    <n v="154"/>
    <s v="CATIVO"/>
    <n v="0"/>
    <n v="0"/>
    <n v="26"/>
    <n v="18"/>
    <n v="0"/>
    <n v="155.15"/>
    <n v="145.11000000000001"/>
    <m/>
    <n v="170.79532891599095"/>
    <n v="136.5303617643867"/>
    <n v="0"/>
    <n v="9073.1055899999974"/>
    <n v="0"/>
    <n v="9286.7677209796529"/>
    <x v="3"/>
  </r>
  <r>
    <s v="Sistema de Compensação"/>
    <x v="1"/>
    <x v="2"/>
    <x v="2"/>
    <x v="3"/>
    <x v="1"/>
    <x v="0"/>
    <x v="1"/>
    <x v="11"/>
    <n v="0"/>
    <n v="0"/>
    <n v="7.0000000000000007E-2"/>
    <n v="-1.4E-2"/>
    <n v="7.0000000000000007E-2"/>
    <n v="-1.4E-2"/>
    <n v="0"/>
    <s v="CATIVO"/>
    <n v="0"/>
    <n v="0"/>
    <n v="26"/>
    <n v="18"/>
    <n v="0"/>
    <n v="155.15"/>
    <n v="145.11000000000001"/>
    <m/>
    <n v="170.79532891599095"/>
    <n v="136.5303617643867"/>
    <n v="0"/>
    <n v="39.233739999999997"/>
    <n v="0"/>
    <n v="40.157223582236014"/>
    <x v="3"/>
  </r>
  <r>
    <s v="Regular"/>
    <x v="1"/>
    <x v="2"/>
    <x v="2"/>
    <x v="4"/>
    <x v="1"/>
    <x v="0"/>
    <x v="1"/>
    <x v="0"/>
    <n v="0"/>
    <n v="0"/>
    <n v="18.306999999999999"/>
    <n v="18.306999999999999"/>
    <n v="18.306999999999999"/>
    <n v="18.306999999999999"/>
    <n v="145"/>
    <s v="CATIVO"/>
    <n v="0"/>
    <n v="0"/>
    <n v="45"/>
    <n v="53"/>
    <n v="0"/>
    <n v="232.73"/>
    <n v="217.67"/>
    <m/>
    <n v="256.19299337398644"/>
    <n v="204.79554264658009"/>
    <n v="0"/>
    <n v="915.8992099999989"/>
    <n v="0"/>
    <n v="937.70190321427776"/>
    <x v="3"/>
  </r>
  <r>
    <s v="Regular"/>
    <x v="1"/>
    <x v="2"/>
    <x v="2"/>
    <x v="4"/>
    <x v="1"/>
    <x v="0"/>
    <x v="1"/>
    <x v="1"/>
    <n v="0"/>
    <n v="0"/>
    <n v="19.001999999999999"/>
    <n v="19.001999999999999"/>
    <n v="19.001999999999999"/>
    <n v="19.001999999999999"/>
    <n v="148"/>
    <s v="CATIVO"/>
    <n v="0"/>
    <n v="0"/>
    <n v="45"/>
    <n v="53"/>
    <n v="0"/>
    <n v="232.73"/>
    <n v="217.67"/>
    <m/>
    <n v="256.19299337398644"/>
    <n v="204.79554264658009"/>
    <n v="0"/>
    <n v="950.6700599999989"/>
    <n v="0"/>
    <n v="973.30046238475484"/>
    <x v="3"/>
  </r>
  <r>
    <s v="Regular"/>
    <x v="1"/>
    <x v="2"/>
    <x v="2"/>
    <x v="4"/>
    <x v="1"/>
    <x v="0"/>
    <x v="1"/>
    <x v="2"/>
    <n v="0"/>
    <n v="0"/>
    <n v="18.817"/>
    <n v="18.817"/>
    <n v="18.817"/>
    <n v="18.817"/>
    <n v="153"/>
    <s v="CATIVO"/>
    <n v="0"/>
    <n v="0"/>
    <n v="45"/>
    <n v="53"/>
    <n v="0"/>
    <n v="232.73"/>
    <n v="217.67"/>
    <m/>
    <n v="256.19299337398644"/>
    <n v="204.79554264658009"/>
    <n v="0"/>
    <n v="941.41450999999893"/>
    <n v="0"/>
    <n v="963.82458692210992"/>
    <x v="3"/>
  </r>
  <r>
    <s v="Regular"/>
    <x v="1"/>
    <x v="2"/>
    <x v="2"/>
    <x v="4"/>
    <x v="1"/>
    <x v="0"/>
    <x v="1"/>
    <x v="3"/>
    <n v="0"/>
    <n v="0"/>
    <n v="17.649000000000001"/>
    <n v="17.649000000000001"/>
    <n v="17.649000000000001"/>
    <n v="17.649000000000001"/>
    <n v="170"/>
    <s v="CATIVO"/>
    <n v="0"/>
    <n v="0"/>
    <n v="45"/>
    <n v="53"/>
    <n v="0"/>
    <n v="232.73"/>
    <n v="217.67"/>
    <m/>
    <n v="256.19299337398644"/>
    <n v="204.79554264658009"/>
    <n v="0"/>
    <n v="882.97946999999908"/>
    <n v="0"/>
    <n v="903.99851913632995"/>
    <x v="3"/>
  </r>
  <r>
    <s v="Regular"/>
    <x v="1"/>
    <x v="2"/>
    <x v="2"/>
    <x v="4"/>
    <x v="1"/>
    <x v="0"/>
    <x v="1"/>
    <x v="4"/>
    <n v="0"/>
    <n v="0"/>
    <n v="19.239000000000001"/>
    <n v="19.239000000000001"/>
    <n v="19.239000000000001"/>
    <n v="19.239000000000001"/>
    <n v="160"/>
    <s v="CATIVO"/>
    <n v="0"/>
    <n v="0"/>
    <n v="45"/>
    <n v="53"/>
    <n v="0"/>
    <n v="232.73"/>
    <n v="217.67"/>
    <m/>
    <n v="256.19299337398644"/>
    <n v="204.79554264658009"/>
    <n v="0"/>
    <n v="962.52716999999893"/>
    <n v="0"/>
    <n v="985.43982716662993"/>
    <x v="3"/>
  </r>
  <r>
    <s v="Regular"/>
    <x v="1"/>
    <x v="2"/>
    <x v="2"/>
    <x v="4"/>
    <x v="1"/>
    <x v="0"/>
    <x v="1"/>
    <x v="5"/>
    <n v="0"/>
    <n v="0"/>
    <n v="26.501000000000001"/>
    <n v="26.501000000000001"/>
    <n v="26.501000000000001"/>
    <n v="26.501000000000001"/>
    <n v="226"/>
    <s v="CATIVO"/>
    <n v="0"/>
    <n v="0"/>
    <n v="45"/>
    <n v="53"/>
    <n v="0"/>
    <n v="232.73"/>
    <n v="217.67"/>
    <m/>
    <n v="256.19299337398644"/>
    <n v="204.79554264658009"/>
    <n v="0"/>
    <n v="1325.8450299999986"/>
    <n v="0"/>
    <n v="1357.40635478678"/>
    <x v="3"/>
  </r>
  <r>
    <s v="Regular"/>
    <x v="1"/>
    <x v="2"/>
    <x v="2"/>
    <x v="4"/>
    <x v="1"/>
    <x v="0"/>
    <x v="1"/>
    <x v="6"/>
    <n v="0"/>
    <n v="0"/>
    <n v="32.462000000000003"/>
    <n v="32.462000000000003"/>
    <n v="32.462000000000003"/>
    <n v="32.462000000000003"/>
    <n v="270"/>
    <s v="CATIVO"/>
    <n v="0"/>
    <n v="0"/>
    <n v="45"/>
    <n v="53"/>
    <n v="0"/>
    <n v="232.73"/>
    <n v="217.67"/>
    <m/>
    <n v="256.19299337398644"/>
    <n v="204.79554264658009"/>
    <n v="0"/>
    <n v="1624.0738599999984"/>
    <n v="0"/>
    <n v="1662.7344284777348"/>
    <x v="3"/>
  </r>
  <r>
    <s v="Regular"/>
    <x v="1"/>
    <x v="2"/>
    <x v="2"/>
    <x v="4"/>
    <x v="1"/>
    <x v="0"/>
    <x v="1"/>
    <x v="7"/>
    <n v="0"/>
    <n v="0"/>
    <n v="35.831000000000003"/>
    <n v="35.831000000000003"/>
    <n v="35.831000000000003"/>
    <n v="35.831000000000003"/>
    <n v="301"/>
    <s v="CATIVO"/>
    <n v="0"/>
    <n v="0"/>
    <n v="45"/>
    <n v="53"/>
    <n v="0"/>
    <n v="232.73"/>
    <n v="217.67"/>
    <m/>
    <n v="256.19299337398644"/>
    <n v="204.79554264658009"/>
    <n v="0"/>
    <n v="1792.6249299999981"/>
    <n v="0"/>
    <n v="1835.2978037947667"/>
    <x v="3"/>
  </r>
  <r>
    <s v="Regular"/>
    <x v="1"/>
    <x v="2"/>
    <x v="2"/>
    <x v="4"/>
    <x v="1"/>
    <x v="0"/>
    <x v="1"/>
    <x v="8"/>
    <n v="0"/>
    <n v="0"/>
    <n v="34.677999999999997"/>
    <n v="34.677999999999997"/>
    <n v="34.677999999999997"/>
    <n v="34.677999999999997"/>
    <n v="307"/>
    <s v="CATIVO"/>
    <n v="0"/>
    <n v="0"/>
    <n v="45"/>
    <n v="53"/>
    <n v="0"/>
    <n v="232.73"/>
    <n v="217.67"/>
    <m/>
    <n v="256.19299337398644"/>
    <n v="204.79554264658009"/>
    <n v="0"/>
    <n v="1734.9403399999978"/>
    <n v="0"/>
    <n v="1776.2400502356872"/>
    <x v="3"/>
  </r>
  <r>
    <s v="Regular"/>
    <x v="1"/>
    <x v="2"/>
    <x v="2"/>
    <x v="4"/>
    <x v="1"/>
    <x v="0"/>
    <x v="1"/>
    <x v="9"/>
    <n v="0"/>
    <n v="0"/>
    <n v="34.430999999999997"/>
    <n v="34.430999999999997"/>
    <n v="34.430999999999997"/>
    <n v="34.430999999999997"/>
    <n v="351"/>
    <s v="CATIVO"/>
    <n v="0"/>
    <n v="0"/>
    <n v="45"/>
    <n v="53"/>
    <n v="0"/>
    <n v="232.73"/>
    <n v="217.67"/>
    <m/>
    <n v="256.19299337398644"/>
    <n v="204.79554264658009"/>
    <n v="0"/>
    <n v="1722.582929999998"/>
    <n v="0"/>
    <n v="1763.5884759693449"/>
    <x v="3"/>
  </r>
  <r>
    <s v="Regular"/>
    <x v="1"/>
    <x v="2"/>
    <x v="2"/>
    <x v="4"/>
    <x v="1"/>
    <x v="0"/>
    <x v="1"/>
    <x v="10"/>
    <n v="0"/>
    <n v="0"/>
    <n v="37.392000000000003"/>
    <n v="37.392000000000003"/>
    <n v="37.392000000000003"/>
    <n v="37.392000000000003"/>
    <n v="353"/>
    <s v="CATIVO"/>
    <n v="0"/>
    <n v="0"/>
    <n v="45"/>
    <n v="53"/>
    <n v="0"/>
    <n v="232.73"/>
    <n v="217.67"/>
    <m/>
    <n v="256.19299337398644"/>
    <n v="204.79554264658009"/>
    <n v="0"/>
    <n v="1870.7217599999981"/>
    <n v="0"/>
    <n v="1915.2537043201116"/>
    <x v="3"/>
  </r>
  <r>
    <s v="Sistema de Compensação"/>
    <x v="1"/>
    <x v="2"/>
    <x v="2"/>
    <x v="4"/>
    <x v="1"/>
    <x v="0"/>
    <x v="1"/>
    <x v="10"/>
    <n v="0"/>
    <n v="0"/>
    <n v="0.12"/>
    <n v="9.6000000000000002E-2"/>
    <n v="0.12"/>
    <n v="9.6000000000000002E-2"/>
    <n v="1"/>
    <s v="CATIVO"/>
    <n v="0"/>
    <n v="0"/>
    <n v="45"/>
    <n v="53"/>
    <n v="0"/>
    <n v="232.73"/>
    <n v="217.67"/>
    <m/>
    <n v="256.19299337398644"/>
    <n v="204.79554264658009"/>
    <n v="0"/>
    <n v="16.813199999999988"/>
    <n v="0"/>
    <n v="17.210238678101142"/>
    <x v="3"/>
  </r>
  <r>
    <s v="Regular"/>
    <x v="1"/>
    <x v="2"/>
    <x v="2"/>
    <x v="4"/>
    <x v="1"/>
    <x v="0"/>
    <x v="1"/>
    <x v="11"/>
    <n v="0"/>
    <n v="0"/>
    <n v="44.087000000000003"/>
    <n v="44.087000000000003"/>
    <n v="44.087000000000003"/>
    <n v="44.087000000000003"/>
    <n v="350"/>
    <s v="CATIVO"/>
    <n v="0"/>
    <n v="0"/>
    <n v="45"/>
    <n v="53"/>
    <n v="0"/>
    <n v="232.73"/>
    <n v="217.67"/>
    <m/>
    <n v="256.19299337398644"/>
    <n v="204.79554264658009"/>
    <n v="0"/>
    <n v="2205.6726099999978"/>
    <n v="0"/>
    <n v="2258.1779541709657"/>
    <x v="3"/>
  </r>
  <r>
    <s v="Sistema de Compensação"/>
    <x v="1"/>
    <x v="2"/>
    <x v="2"/>
    <x v="4"/>
    <x v="1"/>
    <x v="0"/>
    <x v="1"/>
    <x v="11"/>
    <n v="0"/>
    <n v="0"/>
    <n v="0.12"/>
    <n v="8.4000000000000005E-2"/>
    <n v="0.12"/>
    <n v="8.4000000000000005E-2"/>
    <n v="1"/>
    <s v="CATIVO"/>
    <n v="0"/>
    <n v="0"/>
    <n v="45"/>
    <n v="53"/>
    <n v="0"/>
    <n v="232.73"/>
    <n v="217.67"/>
    <m/>
    <n v="256.19299337398644"/>
    <n v="204.79554264658009"/>
    <n v="0"/>
    <n v="22.217999999999989"/>
    <n v="0"/>
    <n v="22.742101110347939"/>
    <x v="3"/>
  </r>
  <r>
    <s v="Regular"/>
    <x v="1"/>
    <x v="2"/>
    <x v="2"/>
    <x v="5"/>
    <x v="1"/>
    <x v="0"/>
    <x v="1"/>
    <x v="0"/>
    <n v="0"/>
    <n v="0"/>
    <n v="6.7889999999999997"/>
    <n v="6.7889999999999997"/>
    <n v="6.7889999999999997"/>
    <n v="6.7889999999999997"/>
    <n v="82"/>
    <s v="CATIVO"/>
    <n v="0"/>
    <n v="0"/>
    <n v="37"/>
    <n v="59"/>
    <n v="0"/>
    <n v="258.58"/>
    <n v="241.85"/>
    <m/>
    <n v="284.65888152665161"/>
    <n v="227.55060294064452"/>
    <n v="0"/>
    <n v="-1.929549853230128E-13"/>
    <n v="0"/>
    <n v="-3.859099706460256E-13"/>
    <x v="3"/>
  </r>
  <r>
    <s v="Regular"/>
    <x v="1"/>
    <x v="2"/>
    <x v="2"/>
    <x v="5"/>
    <x v="1"/>
    <x v="0"/>
    <x v="1"/>
    <x v="1"/>
    <n v="0"/>
    <n v="0"/>
    <n v="5.9269999999999996"/>
    <n v="5.9269999999999996"/>
    <n v="5.9269999999999996"/>
    <n v="5.9269999999999996"/>
    <n v="85"/>
    <s v="CATIVO"/>
    <n v="0"/>
    <n v="0"/>
    <n v="37"/>
    <n v="59"/>
    <n v="0"/>
    <n v="258.58"/>
    <n v="241.85"/>
    <m/>
    <n v="284.65888152665161"/>
    <n v="227.55060294064452"/>
    <n v="0"/>
    <n v="-1.6845547179400454E-13"/>
    <n v="0"/>
    <n v="-3.3691094358800908E-13"/>
    <x v="3"/>
  </r>
  <r>
    <s v="Regular"/>
    <x v="1"/>
    <x v="2"/>
    <x v="2"/>
    <x v="5"/>
    <x v="1"/>
    <x v="0"/>
    <x v="1"/>
    <x v="2"/>
    <n v="0"/>
    <n v="0"/>
    <n v="4.8440000000000003"/>
    <n v="4.8440000000000003"/>
    <n v="4.8440000000000003"/>
    <n v="4.8440000000000003"/>
    <n v="79"/>
    <s v="CATIVO"/>
    <n v="0"/>
    <n v="0"/>
    <n v="37"/>
    <n v="59"/>
    <n v="0"/>
    <n v="258.58"/>
    <n v="241.85"/>
    <m/>
    <n v="284.65888152665161"/>
    <n v="227.55060294064452"/>
    <n v="0"/>
    <n v="-1.3767476048087702E-13"/>
    <n v="0"/>
    <n v="-2.7534952096175404E-13"/>
    <x v="3"/>
  </r>
  <r>
    <s v="Regular"/>
    <x v="1"/>
    <x v="2"/>
    <x v="2"/>
    <x v="5"/>
    <x v="1"/>
    <x v="0"/>
    <x v="1"/>
    <x v="3"/>
    <n v="0"/>
    <n v="0"/>
    <n v="4.0940000000000003"/>
    <n v="4.0940000000000003"/>
    <n v="4.0940000000000003"/>
    <n v="4.0940000000000003"/>
    <n v="62"/>
    <s v="CATIVO"/>
    <n v="0"/>
    <n v="0"/>
    <n v="37"/>
    <n v="59"/>
    <n v="0"/>
    <n v="258.58"/>
    <n v="241.85"/>
    <m/>
    <n v="284.65888152665161"/>
    <n v="227.55060294064452"/>
    <n v="0"/>
    <n v="-1.1635847840807402E-13"/>
    <n v="0"/>
    <n v="-2.3271695681614803E-13"/>
    <x v="3"/>
  </r>
  <r>
    <s v="Regular"/>
    <x v="1"/>
    <x v="2"/>
    <x v="2"/>
    <x v="5"/>
    <x v="1"/>
    <x v="0"/>
    <x v="1"/>
    <x v="4"/>
    <n v="0"/>
    <n v="0"/>
    <n v="5.2089999999999996"/>
    <n v="5.2089999999999996"/>
    <n v="5.2089999999999996"/>
    <n v="5.2089999999999996"/>
    <n v="83"/>
    <s v="CATIVO"/>
    <n v="0"/>
    <n v="0"/>
    <n v="37"/>
    <n v="59"/>
    <n v="0"/>
    <n v="258.58"/>
    <n v="241.85"/>
    <m/>
    <n v="284.65888152665161"/>
    <n v="227.55060294064452"/>
    <n v="0"/>
    <n v="-1.4804868442297446E-13"/>
    <n v="0"/>
    <n v="-2.9609736884594893E-13"/>
    <x v="3"/>
  </r>
  <r>
    <s v="Regular"/>
    <x v="1"/>
    <x v="2"/>
    <x v="2"/>
    <x v="5"/>
    <x v="1"/>
    <x v="0"/>
    <x v="1"/>
    <x v="5"/>
    <n v="0"/>
    <n v="0"/>
    <n v="8.6460000000000008"/>
    <n v="8.6460000000000008"/>
    <n v="8.6460000000000008"/>
    <n v="8.6460000000000008"/>
    <n v="112"/>
    <s v="CATIVO"/>
    <n v="0"/>
    <n v="0"/>
    <n v="37"/>
    <n v="59"/>
    <n v="0"/>
    <n v="258.58"/>
    <n v="241.85"/>
    <m/>
    <n v="284.65888152665161"/>
    <n v="227.55060294064452"/>
    <n v="0"/>
    <n v="-2.4573409973527307E-13"/>
    <n v="0"/>
    <n v="-4.9146819947054614E-13"/>
    <x v="3"/>
  </r>
  <r>
    <s v="Regular"/>
    <x v="1"/>
    <x v="2"/>
    <x v="2"/>
    <x v="5"/>
    <x v="1"/>
    <x v="0"/>
    <x v="1"/>
    <x v="6"/>
    <n v="0"/>
    <n v="0"/>
    <n v="12.211"/>
    <n v="12.211"/>
    <n v="12.211"/>
    <n v="12.211"/>
    <n v="141"/>
    <s v="CATIVO"/>
    <n v="0"/>
    <n v="0"/>
    <n v="37"/>
    <n v="59"/>
    <n v="0"/>
    <n v="258.58"/>
    <n v="241.85"/>
    <m/>
    <n v="284.65888152665161"/>
    <n v="227.55060294064452"/>
    <n v="0"/>
    <n v="-3.4705749385466334E-13"/>
    <n v="0"/>
    <n v="-6.9411498770932669E-13"/>
    <x v="3"/>
  </r>
  <r>
    <s v="Regular"/>
    <x v="1"/>
    <x v="2"/>
    <x v="2"/>
    <x v="5"/>
    <x v="1"/>
    <x v="0"/>
    <x v="1"/>
    <x v="7"/>
    <n v="0"/>
    <n v="0"/>
    <n v="13.118"/>
    <n v="13.118"/>
    <n v="13.118"/>
    <n v="13.118"/>
    <n v="151"/>
    <s v="CATIVO"/>
    <n v="0"/>
    <n v="0"/>
    <n v="37"/>
    <n v="59"/>
    <n v="0"/>
    <n v="258.58"/>
    <n v="241.85"/>
    <m/>
    <n v="284.65888152665161"/>
    <n v="227.55060294064452"/>
    <n v="0"/>
    <n v="-3.7283598430803978E-13"/>
    <n v="0"/>
    <n v="-7.4567196861607956E-13"/>
    <x v="3"/>
  </r>
  <r>
    <s v="Regular"/>
    <x v="1"/>
    <x v="2"/>
    <x v="2"/>
    <x v="5"/>
    <x v="1"/>
    <x v="0"/>
    <x v="1"/>
    <x v="8"/>
    <n v="0"/>
    <n v="0"/>
    <n v="11.275"/>
    <n v="11.275"/>
    <n v="11.275"/>
    <n v="11.275"/>
    <n v="144"/>
    <s v="CATIVO"/>
    <n v="0"/>
    <n v="0"/>
    <n v="37"/>
    <n v="59"/>
    <n v="0"/>
    <n v="258.58"/>
    <n v="241.85"/>
    <m/>
    <n v="284.65888152665161"/>
    <n v="227.55060294064452"/>
    <n v="0"/>
    <n v="-3.2045477382780519E-13"/>
    <n v="0"/>
    <n v="-6.4090954765561039E-13"/>
    <x v="3"/>
  </r>
  <r>
    <s v="Regular"/>
    <x v="1"/>
    <x v="2"/>
    <x v="2"/>
    <x v="5"/>
    <x v="1"/>
    <x v="0"/>
    <x v="1"/>
    <x v="9"/>
    <n v="0"/>
    <n v="0"/>
    <n v="8.8469999999999995"/>
    <n v="8.8469999999999995"/>
    <n v="8.8469999999999995"/>
    <n v="8.8469999999999995"/>
    <n v="125"/>
    <s v="CATIVO"/>
    <n v="0"/>
    <n v="0"/>
    <n v="37"/>
    <n v="59"/>
    <n v="0"/>
    <n v="258.58"/>
    <n v="241.85"/>
    <m/>
    <n v="284.65888152665161"/>
    <n v="227.55060294064452"/>
    <n v="0"/>
    <n v="-2.5144686333078424E-13"/>
    <n v="0"/>
    <n v="-5.0289372666156848E-13"/>
    <x v="3"/>
  </r>
  <r>
    <s v="Regular"/>
    <x v="1"/>
    <x v="2"/>
    <x v="2"/>
    <x v="5"/>
    <x v="1"/>
    <x v="0"/>
    <x v="1"/>
    <x v="10"/>
    <n v="0"/>
    <n v="0"/>
    <n v="12.144"/>
    <n v="12.144"/>
    <n v="12.144"/>
    <n v="12.144"/>
    <n v="148"/>
    <s v="CATIVO"/>
    <n v="0"/>
    <n v="0"/>
    <n v="37"/>
    <n v="59"/>
    <n v="0"/>
    <n v="258.58"/>
    <n v="241.85"/>
    <m/>
    <n v="284.65888152665161"/>
    <n v="227.55060294064452"/>
    <n v="0"/>
    <n v="-3.4515323932282627E-13"/>
    <n v="0"/>
    <n v="-6.9030647864565254E-13"/>
    <x v="3"/>
  </r>
  <r>
    <s v="Sistema de Compensação"/>
    <x v="1"/>
    <x v="2"/>
    <x v="2"/>
    <x v="5"/>
    <x v="1"/>
    <x v="0"/>
    <x v="1"/>
    <x v="10"/>
    <n v="0"/>
    <n v="0"/>
    <n v="6.0999999999999999E-2"/>
    <n v="6.0999999999999999E-2"/>
    <n v="6.0999999999999999E-2"/>
    <n v="6.0999999999999999E-2"/>
    <n v="1"/>
    <s v="CATIVO"/>
    <n v="0"/>
    <n v="0"/>
    <n v="37"/>
    <n v="59"/>
    <n v="0"/>
    <n v="258.58"/>
    <n v="241.85"/>
    <m/>
    <n v="284.65888152665161"/>
    <n v="227.55060294064452"/>
    <n v="0"/>
    <n v="-1.7337242752546444E-15"/>
    <n v="0"/>
    <n v="-3.4674485505092888E-15"/>
    <x v="3"/>
  </r>
  <r>
    <s v="Regular"/>
    <x v="1"/>
    <x v="2"/>
    <x v="2"/>
    <x v="5"/>
    <x v="1"/>
    <x v="0"/>
    <x v="1"/>
    <x v="11"/>
    <n v="0"/>
    <n v="0"/>
    <n v="20.437999999999999"/>
    <n v="20.437999999999999"/>
    <n v="20.437999999999999"/>
    <n v="20.437999999999999"/>
    <n v="204"/>
    <s v="CATIVO"/>
    <n v="0"/>
    <n v="0"/>
    <n v="37"/>
    <n v="59"/>
    <n v="0"/>
    <n v="258.58"/>
    <n v="241.85"/>
    <m/>
    <n v="284.65888152665161"/>
    <n v="227.55060294064452"/>
    <n v="0"/>
    <n v="-5.8088289733859707E-13"/>
    <n v="0"/>
    <n v="-1.1617657946771941E-12"/>
    <x v="3"/>
  </r>
  <r>
    <s v="Sistema de Compensação"/>
    <x v="1"/>
    <x v="2"/>
    <x v="2"/>
    <x v="5"/>
    <x v="1"/>
    <x v="0"/>
    <x v="1"/>
    <x v="11"/>
    <n v="0"/>
    <n v="0"/>
    <n v="6.4000000000000001E-2"/>
    <n v="6.4000000000000001E-2"/>
    <n v="6.4000000000000001E-2"/>
    <n v="6.4000000000000001E-2"/>
    <n v="2"/>
    <s v="CATIVO"/>
    <n v="0"/>
    <n v="0"/>
    <n v="37"/>
    <n v="59"/>
    <n v="0"/>
    <n v="258.58"/>
    <n v="241.85"/>
    <m/>
    <n v="284.65888152665161"/>
    <n v="227.55060294064452"/>
    <n v="0"/>
    <n v="-1.8189894035458565E-15"/>
    <n v="0"/>
    <n v="-3.637978807091713E-15"/>
    <x v="3"/>
  </r>
  <r>
    <s v="Regular"/>
    <x v="2"/>
    <x v="2"/>
    <x v="1"/>
    <x v="0"/>
    <x v="1"/>
    <x v="0"/>
    <x v="1"/>
    <x v="0"/>
    <n v="0"/>
    <n v="0"/>
    <n v="3.9630000000000001"/>
    <n v="3.9630000000000001"/>
    <n v="3.9630000000000001"/>
    <n v="3.9630000000000001"/>
    <n v="13"/>
    <s v="CATIVO"/>
    <n v="0"/>
    <n v="0"/>
    <n v="22"/>
    <n v="57"/>
    <n v="0"/>
    <n v="293.17"/>
    <n v="212.83"/>
    <m/>
    <n v="390.41954530660428"/>
    <n v="213.89756676420583"/>
    <n v="0"/>
    <n v="273.44699999999989"/>
    <n v="0"/>
    <n v="152.86651373212501"/>
    <x v="1"/>
  </r>
  <r>
    <s v="Regular"/>
    <x v="2"/>
    <x v="2"/>
    <x v="1"/>
    <x v="0"/>
    <x v="1"/>
    <x v="0"/>
    <x v="1"/>
    <x v="1"/>
    <n v="0"/>
    <n v="0"/>
    <n v="4.1479999999999997"/>
    <n v="4.1479999999999997"/>
    <n v="4.1479999999999997"/>
    <n v="4.1479999999999997"/>
    <n v="13"/>
    <s v="CATIVO"/>
    <n v="0"/>
    <n v="0"/>
    <n v="22"/>
    <n v="57"/>
    <n v="0"/>
    <n v="293.17"/>
    <n v="212.83"/>
    <m/>
    <n v="390.41954530660428"/>
    <n v="213.89756676420583"/>
    <n v="0"/>
    <n v="286.21199999999988"/>
    <n v="0"/>
    <n v="160.00259877891861"/>
    <x v="1"/>
  </r>
  <r>
    <s v="Regular"/>
    <x v="2"/>
    <x v="2"/>
    <x v="1"/>
    <x v="0"/>
    <x v="1"/>
    <x v="0"/>
    <x v="1"/>
    <x v="2"/>
    <n v="0"/>
    <n v="0"/>
    <n v="4.1529999999999996"/>
    <n v="4.1529999999999996"/>
    <n v="4.1529999999999996"/>
    <n v="4.1529999999999996"/>
    <n v="13"/>
    <s v="CATIVO"/>
    <n v="0"/>
    <n v="0"/>
    <n v="22"/>
    <n v="57"/>
    <n v="0"/>
    <n v="293.17"/>
    <n v="212.83"/>
    <m/>
    <n v="390.41954530660428"/>
    <n v="213.89756676420583"/>
    <n v="0"/>
    <n v="286.55699999999985"/>
    <n v="0"/>
    <n v="160.19546594234546"/>
    <x v="1"/>
  </r>
  <r>
    <s v="Regular"/>
    <x v="2"/>
    <x v="2"/>
    <x v="1"/>
    <x v="0"/>
    <x v="1"/>
    <x v="0"/>
    <x v="1"/>
    <x v="3"/>
    <n v="0"/>
    <n v="0"/>
    <n v="4.0789999999999997"/>
    <n v="4.0789999999999997"/>
    <n v="4.0789999999999997"/>
    <n v="4.0789999999999997"/>
    <n v="13"/>
    <s v="CATIVO"/>
    <n v="0"/>
    <n v="0"/>
    <n v="22"/>
    <n v="57"/>
    <n v="0"/>
    <n v="293.17"/>
    <n v="212.83"/>
    <m/>
    <n v="390.41954530660428"/>
    <n v="213.89756676420583"/>
    <n v="0"/>
    <n v="281.45099999999985"/>
    <n v="0"/>
    <n v="157.34103192362801"/>
    <x v="1"/>
  </r>
  <r>
    <s v="Regular"/>
    <x v="2"/>
    <x v="2"/>
    <x v="1"/>
    <x v="0"/>
    <x v="1"/>
    <x v="0"/>
    <x v="1"/>
    <x v="4"/>
    <n v="0"/>
    <n v="0"/>
    <n v="4.3499999999999996"/>
    <n v="4.3499999999999996"/>
    <n v="4.3499999999999996"/>
    <n v="4.3499999999999996"/>
    <n v="13"/>
    <s v="CATIVO"/>
    <n v="0"/>
    <n v="0"/>
    <n v="22"/>
    <n v="57"/>
    <n v="0"/>
    <n v="293.17"/>
    <n v="212.83"/>
    <m/>
    <n v="390.41954530660428"/>
    <n v="213.89756676420583"/>
    <n v="0"/>
    <n v="300.14999999999986"/>
    <n v="0"/>
    <n v="167.79443218136353"/>
    <x v="1"/>
  </r>
  <r>
    <s v="Regular"/>
    <x v="2"/>
    <x v="2"/>
    <x v="1"/>
    <x v="0"/>
    <x v="1"/>
    <x v="0"/>
    <x v="1"/>
    <x v="5"/>
    <n v="0"/>
    <n v="0"/>
    <n v="4.3620000000000001"/>
    <n v="4.3620000000000001"/>
    <n v="4.3620000000000001"/>
    <n v="4.3620000000000001"/>
    <n v="13"/>
    <s v="CATIVO"/>
    <n v="0"/>
    <n v="0"/>
    <n v="22"/>
    <n v="57"/>
    <n v="0"/>
    <n v="293.17"/>
    <n v="212.83"/>
    <m/>
    <n v="390.41954530660428"/>
    <n v="213.89756676420583"/>
    <n v="0"/>
    <n v="300.97799999999989"/>
    <n v="0"/>
    <n v="168.257313373588"/>
    <x v="1"/>
  </r>
  <r>
    <s v="Regular"/>
    <x v="2"/>
    <x v="2"/>
    <x v="1"/>
    <x v="0"/>
    <x v="1"/>
    <x v="0"/>
    <x v="1"/>
    <x v="6"/>
    <n v="0"/>
    <n v="0"/>
    <n v="2.8919999999999999"/>
    <n v="2.8919999999999999"/>
    <n v="2.8919999999999999"/>
    <n v="2.8919999999999999"/>
    <n v="11"/>
    <s v="CATIVO"/>
    <n v="0"/>
    <n v="0"/>
    <n v="22"/>
    <n v="57"/>
    <n v="0"/>
    <n v="293.17"/>
    <n v="212.83"/>
    <m/>
    <n v="390.41954530660428"/>
    <n v="213.89756676420583"/>
    <n v="0"/>
    <n v="199.54799999999992"/>
    <n v="0"/>
    <n v="111.55436732609273"/>
    <x v="1"/>
  </r>
  <r>
    <s v="Sistema de Compensação"/>
    <x v="2"/>
    <x v="2"/>
    <x v="1"/>
    <x v="0"/>
    <x v="1"/>
    <x v="0"/>
    <x v="1"/>
    <x v="6"/>
    <n v="0"/>
    <n v="0"/>
    <n v="0.36299999999999999"/>
    <n v="0.36299999999999999"/>
    <n v="0.36299999999999999"/>
    <n v="0.36299999999999999"/>
    <n v="1"/>
    <s v="CATIVO"/>
    <n v="0"/>
    <n v="0"/>
    <n v="22"/>
    <n v="57"/>
    <n v="0"/>
    <n v="293.17"/>
    <n v="212.83"/>
    <m/>
    <n v="390.41954530660428"/>
    <n v="213.89756676420583"/>
    <n v="0"/>
    <n v="25.04699999999999"/>
    <n v="0"/>
    <n v="14.002156064789649"/>
    <x v="1"/>
  </r>
  <r>
    <s v="Regular"/>
    <x v="2"/>
    <x v="2"/>
    <x v="1"/>
    <x v="0"/>
    <x v="1"/>
    <x v="0"/>
    <x v="1"/>
    <x v="7"/>
    <n v="0"/>
    <n v="0"/>
    <n v="3.7050000000000001"/>
    <n v="3.7050000000000001"/>
    <n v="3.7050000000000001"/>
    <n v="3.7050000000000001"/>
    <n v="12"/>
    <s v="CATIVO"/>
    <n v="0"/>
    <n v="0"/>
    <n v="22"/>
    <n v="57"/>
    <n v="0"/>
    <n v="293.17"/>
    <n v="212.83"/>
    <m/>
    <n v="390.41954530660428"/>
    <n v="213.89756676420583"/>
    <n v="0"/>
    <n v="255.6449999999999"/>
    <n v="0"/>
    <n v="142.91456809929932"/>
    <x v="1"/>
  </r>
  <r>
    <s v="Sistema de Compensação"/>
    <x v="2"/>
    <x v="2"/>
    <x v="1"/>
    <x v="0"/>
    <x v="1"/>
    <x v="0"/>
    <x v="1"/>
    <x v="7"/>
    <n v="0"/>
    <n v="0"/>
    <n v="0.1"/>
    <n v="0.1"/>
    <n v="0.1"/>
    <n v="0.1"/>
    <n v="1"/>
    <s v="CATIVO"/>
    <n v="0"/>
    <n v="0"/>
    <n v="22"/>
    <n v="57"/>
    <n v="0"/>
    <n v="293.17"/>
    <n v="212.83"/>
    <m/>
    <n v="390.41954530660428"/>
    <n v="213.89756676420583"/>
    <n v="0"/>
    <n v="6.8999999999999977"/>
    <n v="0"/>
    <n v="3.8573432685370932"/>
    <x v="1"/>
  </r>
  <r>
    <s v="Regular"/>
    <x v="2"/>
    <x v="2"/>
    <x v="1"/>
    <x v="0"/>
    <x v="1"/>
    <x v="0"/>
    <x v="1"/>
    <x v="8"/>
    <n v="0"/>
    <n v="0"/>
    <n v="3.218"/>
    <n v="3.218"/>
    <n v="3.218"/>
    <n v="3.218"/>
    <n v="12"/>
    <s v="CATIVO"/>
    <n v="0"/>
    <n v="0"/>
    <n v="22"/>
    <n v="57"/>
    <n v="0"/>
    <n v="293.17"/>
    <n v="212.83"/>
    <m/>
    <n v="390.41954530660428"/>
    <n v="213.89756676420583"/>
    <n v="0"/>
    <n v="222.04199999999992"/>
    <n v="0"/>
    <n v="124.12930638152366"/>
    <x v="1"/>
  </r>
  <r>
    <s v="Sistema de Compensação"/>
    <x v="2"/>
    <x v="2"/>
    <x v="1"/>
    <x v="0"/>
    <x v="1"/>
    <x v="0"/>
    <x v="1"/>
    <x v="8"/>
    <n v="0"/>
    <n v="0"/>
    <n v="0.1"/>
    <n v="0.1"/>
    <n v="0.1"/>
    <n v="0.1"/>
    <n v="1"/>
    <s v="CATIVO"/>
    <n v="0"/>
    <n v="0"/>
    <n v="22"/>
    <n v="57"/>
    <n v="0"/>
    <n v="293.17"/>
    <n v="212.83"/>
    <m/>
    <n v="390.41954530660428"/>
    <n v="213.89756676420583"/>
    <n v="0"/>
    <n v="6.8999999999999977"/>
    <n v="0"/>
    <n v="3.8573432685370932"/>
    <x v="1"/>
  </r>
  <r>
    <s v="Regular"/>
    <x v="2"/>
    <x v="2"/>
    <x v="1"/>
    <x v="0"/>
    <x v="1"/>
    <x v="0"/>
    <x v="1"/>
    <x v="9"/>
    <n v="0"/>
    <n v="0"/>
    <n v="3.097"/>
    <n v="3.097"/>
    <n v="3.097"/>
    <n v="3.097"/>
    <n v="12"/>
    <s v="CATIVO"/>
    <n v="0"/>
    <n v="0"/>
    <n v="22"/>
    <n v="57"/>
    <n v="0"/>
    <n v="293.17"/>
    <n v="212.83"/>
    <m/>
    <n v="390.41954530660428"/>
    <n v="213.89756676420583"/>
    <n v="0"/>
    <n v="213.6929999999999"/>
    <n v="0"/>
    <n v="119.46192102659377"/>
    <x v="1"/>
  </r>
  <r>
    <s v="Sistema de Compensação"/>
    <x v="2"/>
    <x v="2"/>
    <x v="1"/>
    <x v="0"/>
    <x v="1"/>
    <x v="0"/>
    <x v="1"/>
    <x v="9"/>
    <n v="0"/>
    <n v="0"/>
    <n v="0.1"/>
    <n v="0.1"/>
    <n v="0.1"/>
    <n v="0.1"/>
    <n v="1"/>
    <s v="CATIVO"/>
    <n v="0"/>
    <n v="0"/>
    <n v="22"/>
    <n v="57"/>
    <n v="0"/>
    <n v="293.17"/>
    <n v="212.83"/>
    <m/>
    <n v="390.41954530660428"/>
    <n v="213.89756676420583"/>
    <n v="0"/>
    <n v="6.8999999999999977"/>
    <n v="0"/>
    <n v="3.8573432685370932"/>
    <x v="1"/>
  </r>
  <r>
    <s v="Regular"/>
    <x v="2"/>
    <x v="2"/>
    <x v="1"/>
    <x v="0"/>
    <x v="1"/>
    <x v="0"/>
    <x v="1"/>
    <x v="10"/>
    <n v="0"/>
    <n v="0"/>
    <n v="3.1269999999999998"/>
    <n v="3.1269999999999998"/>
    <n v="3.1269999999999998"/>
    <n v="3.1269999999999998"/>
    <n v="12"/>
    <s v="CATIVO"/>
    <n v="0"/>
    <n v="0"/>
    <n v="22"/>
    <n v="57"/>
    <n v="0"/>
    <n v="293.17"/>
    <n v="212.83"/>
    <m/>
    <n v="390.41954530660428"/>
    <n v="213.89756676420583"/>
    <n v="0"/>
    <n v="215.76299999999989"/>
    <n v="0"/>
    <n v="120.61912400715489"/>
    <x v="1"/>
  </r>
  <r>
    <s v="Sistema de Compensação"/>
    <x v="2"/>
    <x v="2"/>
    <x v="1"/>
    <x v="0"/>
    <x v="1"/>
    <x v="0"/>
    <x v="1"/>
    <x v="10"/>
    <n v="0"/>
    <n v="0"/>
    <n v="0.1"/>
    <n v="0.1"/>
    <n v="0.1"/>
    <n v="0.1"/>
    <n v="1"/>
    <s v="CATIVO"/>
    <n v="0"/>
    <n v="0"/>
    <n v="22"/>
    <n v="57"/>
    <n v="0"/>
    <n v="293.17"/>
    <n v="212.83"/>
    <m/>
    <n v="390.41954530660428"/>
    <n v="213.89756676420583"/>
    <n v="0"/>
    <n v="6.8999999999999977"/>
    <n v="0"/>
    <n v="3.8573432685370932"/>
    <x v="1"/>
  </r>
  <r>
    <s v="Regular"/>
    <x v="2"/>
    <x v="2"/>
    <x v="1"/>
    <x v="0"/>
    <x v="1"/>
    <x v="0"/>
    <x v="1"/>
    <x v="11"/>
    <n v="0"/>
    <n v="0"/>
    <n v="3.5150000000000001"/>
    <n v="3.5150000000000001"/>
    <n v="3.5150000000000001"/>
    <n v="3.5150000000000001"/>
    <n v="12"/>
    <s v="CATIVO"/>
    <n v="0"/>
    <n v="0"/>
    <n v="22"/>
    <n v="57"/>
    <n v="0"/>
    <n v="293.17"/>
    <n v="212.83"/>
    <m/>
    <n v="390.41954530660428"/>
    <n v="213.89756676420583"/>
    <n v="0"/>
    <n v="242.53499999999991"/>
    <n v="0"/>
    <n v="135.58561588907884"/>
    <x v="1"/>
  </r>
  <r>
    <s v="Sistema de Compensação"/>
    <x v="2"/>
    <x v="2"/>
    <x v="1"/>
    <x v="0"/>
    <x v="1"/>
    <x v="0"/>
    <x v="1"/>
    <x v="11"/>
    <n v="0"/>
    <n v="0"/>
    <n v="0.1"/>
    <n v="0.1"/>
    <n v="0.1"/>
    <n v="0.1"/>
    <n v="1"/>
    <s v="CATIVO"/>
    <n v="0"/>
    <n v="0"/>
    <n v="22"/>
    <n v="57"/>
    <n v="0"/>
    <n v="293.17"/>
    <n v="212.83"/>
    <m/>
    <n v="390.41954530660428"/>
    <n v="213.89756676420583"/>
    <n v="0"/>
    <n v="6.8999999999999977"/>
    <n v="0"/>
    <n v="3.8573432685370932"/>
    <x v="1"/>
  </r>
  <r>
    <s v="Regular"/>
    <x v="3"/>
    <x v="2"/>
    <x v="3"/>
    <x v="6"/>
    <x v="1"/>
    <x v="0"/>
    <x v="1"/>
    <x v="0"/>
    <n v="0"/>
    <n v="0"/>
    <n v="145.33199999999999"/>
    <n v="136.61207999999999"/>
    <n v="145.33199999999999"/>
    <n v="136.61207999999999"/>
    <n v="17"/>
    <s v="CATIVO"/>
    <n v="0"/>
    <n v="0"/>
    <n v="46"/>
    <n v="83"/>
    <n v="0"/>
    <n v="333.15"/>
    <n v="241.85"/>
    <m/>
    <n v="415.33994181553646"/>
    <n v="227.55060294064452"/>
    <n v="0"/>
    <n v="5013.9540000000015"/>
    <n v="0"/>
    <n v="5605.9541190303189"/>
    <x v="4"/>
  </r>
  <r>
    <s v="Regular"/>
    <x v="3"/>
    <x v="2"/>
    <x v="3"/>
    <x v="6"/>
    <x v="1"/>
    <x v="0"/>
    <x v="1"/>
    <x v="1"/>
    <n v="0"/>
    <n v="0"/>
    <n v="154.017"/>
    <n v="144.77598"/>
    <n v="154.017"/>
    <n v="144.77598"/>
    <n v="18"/>
    <s v="CATIVO"/>
    <n v="0"/>
    <n v="0"/>
    <n v="46"/>
    <n v="83"/>
    <n v="0"/>
    <n v="333.15"/>
    <n v="241.85"/>
    <m/>
    <n v="415.33994181553646"/>
    <n v="227.55060294064452"/>
    <n v="0"/>
    <n v="5313.5864999999949"/>
    <n v="0"/>
    <n v="5940.9643819027588"/>
    <x v="4"/>
  </r>
  <r>
    <s v="Regular"/>
    <x v="3"/>
    <x v="2"/>
    <x v="3"/>
    <x v="6"/>
    <x v="1"/>
    <x v="0"/>
    <x v="1"/>
    <x v="2"/>
    <n v="0"/>
    <n v="0"/>
    <n v="155.10900000000001"/>
    <n v="145.80246"/>
    <n v="155.10900000000001"/>
    <n v="145.80246"/>
    <n v="18"/>
    <s v="CATIVO"/>
    <n v="0"/>
    <n v="0"/>
    <n v="46"/>
    <n v="83"/>
    <n v="0"/>
    <n v="333.15"/>
    <n v="241.85"/>
    <m/>
    <n v="415.33994181553646"/>
    <n v="227.55060294064452"/>
    <n v="0"/>
    <n v="5351.2605000000067"/>
    <n v="0"/>
    <n v="5983.0865703951968"/>
    <x v="4"/>
  </r>
  <r>
    <s v="Regular"/>
    <x v="3"/>
    <x v="2"/>
    <x v="3"/>
    <x v="6"/>
    <x v="1"/>
    <x v="0"/>
    <x v="1"/>
    <x v="3"/>
    <n v="0"/>
    <n v="0"/>
    <n v="151.489"/>
    <n v="142.39966000000001"/>
    <n v="151.489"/>
    <n v="142.39966000000001"/>
    <n v="18"/>
    <s v="CATIVO"/>
    <n v="0"/>
    <n v="0"/>
    <n v="46"/>
    <n v="83"/>
    <n v="0"/>
    <n v="333.15"/>
    <n v="241.85"/>
    <m/>
    <n v="415.33994181553646"/>
    <n v="227.55060294064452"/>
    <n v="0"/>
    <n v="5226.3704999999954"/>
    <n v="0"/>
    <n v="5843.4507440741418"/>
    <x v="4"/>
  </r>
  <r>
    <s v="Regular"/>
    <x v="3"/>
    <x v="2"/>
    <x v="3"/>
    <x v="6"/>
    <x v="1"/>
    <x v="0"/>
    <x v="1"/>
    <x v="4"/>
    <n v="0"/>
    <n v="0"/>
    <n v="161.55500000000001"/>
    <n v="151.86170000000001"/>
    <n v="161.55500000000001"/>
    <n v="151.86170000000001"/>
    <n v="18"/>
    <s v="CATIVO"/>
    <n v="0"/>
    <n v="0"/>
    <n v="46"/>
    <n v="83"/>
    <n v="0"/>
    <n v="333.15"/>
    <n v="241.85"/>
    <m/>
    <n v="415.33994181553646"/>
    <n v="227.55060294064452"/>
    <n v="0"/>
    <n v="5573.6474999999955"/>
    <n v="0"/>
    <n v="6231.7309174850852"/>
    <x v="4"/>
  </r>
  <r>
    <s v="Regular"/>
    <x v="3"/>
    <x v="2"/>
    <x v="3"/>
    <x v="6"/>
    <x v="1"/>
    <x v="0"/>
    <x v="1"/>
    <x v="5"/>
    <n v="0"/>
    <n v="0"/>
    <n v="156.51300000000001"/>
    <n v="147.12222"/>
    <n v="156.51300000000001"/>
    <n v="147.12222"/>
    <n v="18"/>
    <s v="CATIVO"/>
    <n v="0"/>
    <n v="0"/>
    <n v="46"/>
    <n v="83"/>
    <n v="0"/>
    <n v="333.15"/>
    <n v="241.85"/>
    <m/>
    <n v="415.33994181553646"/>
    <n v="227.55060294064452"/>
    <n v="0"/>
    <n v="5399.6985000000041"/>
    <n v="0"/>
    <n v="6037.2436698854526"/>
    <x v="4"/>
  </r>
  <r>
    <s v="Regular"/>
    <x v="3"/>
    <x v="2"/>
    <x v="3"/>
    <x v="6"/>
    <x v="1"/>
    <x v="0"/>
    <x v="1"/>
    <x v="6"/>
    <n v="0"/>
    <n v="0"/>
    <n v="180.785"/>
    <n v="169.93790000000001"/>
    <n v="180.785"/>
    <n v="169.93790000000001"/>
    <n v="18"/>
    <s v="CATIVO"/>
    <n v="0"/>
    <n v="0"/>
    <n v="46"/>
    <n v="83"/>
    <n v="0"/>
    <n v="333.15"/>
    <n v="241.85"/>
    <m/>
    <n v="415.33994181553646"/>
    <n v="227.55060294064452"/>
    <n v="0"/>
    <n v="6237.0824999999895"/>
    <n v="0"/>
    <n v="6973.4980280247601"/>
    <x v="4"/>
  </r>
  <r>
    <s v="Regular"/>
    <x v="3"/>
    <x v="2"/>
    <x v="3"/>
    <x v="6"/>
    <x v="1"/>
    <x v="0"/>
    <x v="1"/>
    <x v="7"/>
    <n v="0"/>
    <n v="0"/>
    <n v="169.27"/>
    <n v="159.1138"/>
    <n v="169.27"/>
    <n v="159.1138"/>
    <n v="18"/>
    <s v="CATIVO"/>
    <n v="0"/>
    <n v="0"/>
    <n v="46"/>
    <n v="83"/>
    <n v="0"/>
    <n v="333.15"/>
    <n v="241.85"/>
    <m/>
    <n v="415.33994181553646"/>
    <n v="227.55060294064452"/>
    <n v="0"/>
    <n v="5839.8150000000069"/>
    <n v="0"/>
    <n v="6529.3249506527336"/>
    <x v="4"/>
  </r>
  <r>
    <s v="Regular"/>
    <x v="3"/>
    <x v="2"/>
    <x v="3"/>
    <x v="6"/>
    <x v="1"/>
    <x v="0"/>
    <x v="1"/>
    <x v="8"/>
    <n v="0"/>
    <n v="0"/>
    <n v="156.37100000000001"/>
    <n v="146.98874000000001"/>
    <n v="156.37100000000001"/>
    <n v="146.98874000000001"/>
    <n v="19"/>
    <s v="CATIVO"/>
    <n v="0"/>
    <n v="0"/>
    <n v="46"/>
    <n v="83"/>
    <n v="0"/>
    <n v="333.15"/>
    <n v="241.85"/>
    <m/>
    <n v="415.33994181553646"/>
    <n v="227.55060294064452"/>
    <n v="0"/>
    <n v="5394.799500000001"/>
    <n v="0"/>
    <n v="6031.7662424441278"/>
    <x v="4"/>
  </r>
  <r>
    <s v="Regular"/>
    <x v="3"/>
    <x v="2"/>
    <x v="3"/>
    <x v="6"/>
    <x v="1"/>
    <x v="0"/>
    <x v="1"/>
    <x v="9"/>
    <n v="0"/>
    <n v="0"/>
    <n v="163.58500000000001"/>
    <n v="153.76990000000001"/>
    <n v="163.58500000000001"/>
    <n v="153.76990000000001"/>
    <n v="19"/>
    <s v="CATIVO"/>
    <n v="0"/>
    <n v="0"/>
    <n v="46"/>
    <n v="83"/>
    <n v="0"/>
    <n v="333.15"/>
    <n v="241.85"/>
    <m/>
    <n v="415.33994181553646"/>
    <n v="227.55060294064452"/>
    <n v="0"/>
    <n v="5643.6824999999999"/>
    <n v="0"/>
    <n v="6310.0349858363925"/>
    <x v="4"/>
  </r>
  <r>
    <s v="Regular"/>
    <x v="3"/>
    <x v="2"/>
    <x v="3"/>
    <x v="6"/>
    <x v="1"/>
    <x v="0"/>
    <x v="1"/>
    <x v="10"/>
    <n v="0"/>
    <n v="0"/>
    <n v="163.441"/>
    <n v="153.63453999999999"/>
    <n v="163.441"/>
    <n v="153.63453999999999"/>
    <n v="19"/>
    <s v="CATIVO"/>
    <n v="0"/>
    <n v="0"/>
    <n v="46"/>
    <n v="83"/>
    <n v="0"/>
    <n v="333.15"/>
    <n v="241.85"/>
    <m/>
    <n v="415.33994181553646"/>
    <n v="227.55060294064452"/>
    <n v="0"/>
    <n v="5638.7145000000091"/>
    <n v="0"/>
    <n v="6304.4804115297084"/>
    <x v="4"/>
  </r>
  <r>
    <s v="Regular"/>
    <x v="3"/>
    <x v="2"/>
    <x v="3"/>
    <x v="6"/>
    <x v="1"/>
    <x v="0"/>
    <x v="1"/>
    <x v="11"/>
    <n v="0"/>
    <n v="0"/>
    <n v="165.161"/>
    <n v="155.25134"/>
    <n v="165.161"/>
    <n v="155.25134"/>
    <n v="19"/>
    <s v="CATIVO"/>
    <n v="0"/>
    <n v="0"/>
    <n v="46"/>
    <n v="83"/>
    <n v="0"/>
    <n v="333.15"/>
    <n v="241.85"/>
    <m/>
    <n v="415.33994181553646"/>
    <n v="227.55060294064452"/>
    <n v="0"/>
    <n v="5698.0545000000011"/>
    <n v="0"/>
    <n v="6370.8267157485379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3">
  <r>
    <s v="Regular"/>
    <x v="0"/>
    <x v="0"/>
    <x v="0"/>
    <x v="0"/>
    <x v="0"/>
    <x v="0"/>
    <x v="0"/>
    <x v="0"/>
    <n v="1800"/>
    <n v="905.36929199999997"/>
    <n v="0"/>
    <n v="0"/>
    <n v="0"/>
    <n v="0"/>
    <n v="0"/>
    <x v="0"/>
    <n v="0"/>
    <n v="2"/>
    <n v="0"/>
    <n v="0"/>
    <n v="14.94"/>
    <n v="0"/>
    <n v="0"/>
    <n v="19.63429077280307"/>
    <n v="114.48039155571371"/>
    <m/>
    <n v="13526.21722248"/>
    <n v="0"/>
    <n v="0"/>
    <n v="17776.283935894848"/>
    <n v="0"/>
    <n v="0"/>
  </r>
  <r>
    <s v="Regular"/>
    <x v="0"/>
    <x v="0"/>
    <x v="0"/>
    <x v="0"/>
    <x v="0"/>
    <x v="0"/>
    <x v="0"/>
    <x v="1"/>
    <n v="1802"/>
    <n v="918.92490845999998"/>
    <n v="0"/>
    <n v="0"/>
    <n v="0"/>
    <n v="0"/>
    <n v="0"/>
    <x v="0"/>
    <n v="0"/>
    <n v="2"/>
    <n v="0"/>
    <n v="0"/>
    <n v="14.94"/>
    <n v="0"/>
    <n v="0"/>
    <n v="19.63429077280307"/>
    <n v="114.48039155571371"/>
    <m/>
    <n v="13728.7381323924"/>
    <n v="0"/>
    <n v="0"/>
    <n v="18042.438851075083"/>
    <n v="0"/>
    <n v="0"/>
  </r>
  <r>
    <s v="Regular"/>
    <x v="0"/>
    <x v="0"/>
    <x v="0"/>
    <x v="0"/>
    <x v="0"/>
    <x v="0"/>
    <x v="0"/>
    <x v="2"/>
    <n v="1800"/>
    <n v="907.34920199999999"/>
    <n v="0"/>
    <n v="0"/>
    <n v="0"/>
    <n v="0"/>
    <n v="0"/>
    <x v="0"/>
    <n v="0"/>
    <n v="2"/>
    <n v="0"/>
    <n v="0"/>
    <n v="14.94"/>
    <n v="0"/>
    <n v="0"/>
    <n v="19.63429077280307"/>
    <n v="114.48039155571371"/>
    <m/>
    <n v="13555.797077879999"/>
    <n v="0"/>
    <n v="0"/>
    <n v="17815.158064538828"/>
    <n v="0"/>
    <n v="0"/>
  </r>
  <r>
    <s v="Regular"/>
    <x v="0"/>
    <x v="0"/>
    <x v="0"/>
    <x v="0"/>
    <x v="0"/>
    <x v="0"/>
    <x v="0"/>
    <x v="3"/>
    <n v="1813"/>
    <n v="906.93687861000001"/>
    <n v="0"/>
    <n v="0"/>
    <n v="0"/>
    <n v="0"/>
    <n v="0"/>
    <x v="0"/>
    <n v="0"/>
    <n v="2"/>
    <n v="0"/>
    <n v="0"/>
    <n v="14.94"/>
    <n v="0"/>
    <n v="0"/>
    <n v="19.63429077280307"/>
    <n v="114.48039155571371"/>
    <m/>
    <n v="13549.6369664334"/>
    <n v="0"/>
    <n v="0"/>
    <n v="17807.062387207141"/>
    <n v="0"/>
    <n v="0"/>
  </r>
  <r>
    <s v="Regular"/>
    <x v="0"/>
    <x v="0"/>
    <x v="0"/>
    <x v="0"/>
    <x v="0"/>
    <x v="0"/>
    <x v="0"/>
    <x v="4"/>
    <n v="1809"/>
    <n v="904.5"/>
    <n v="0"/>
    <n v="0"/>
    <n v="0"/>
    <n v="0"/>
    <n v="0"/>
    <x v="0"/>
    <n v="0"/>
    <n v="2"/>
    <n v="0"/>
    <n v="0"/>
    <n v="14.94"/>
    <n v="0"/>
    <n v="0"/>
    <n v="19.63429077280307"/>
    <n v="114.48039155571371"/>
    <m/>
    <n v="13513.23"/>
    <n v="0"/>
    <n v="0"/>
    <n v="17759.216004000376"/>
    <n v="0"/>
    <n v="0"/>
  </r>
  <r>
    <s v="Regular"/>
    <x v="0"/>
    <x v="0"/>
    <x v="0"/>
    <x v="0"/>
    <x v="0"/>
    <x v="0"/>
    <x v="0"/>
    <x v="5"/>
    <n v="1800"/>
    <n v="932.78597400000001"/>
    <n v="0"/>
    <n v="0"/>
    <n v="0"/>
    <n v="0"/>
    <n v="0"/>
    <x v="0"/>
    <n v="0"/>
    <n v="2"/>
    <n v="0"/>
    <n v="0"/>
    <n v="14.94"/>
    <n v="0"/>
    <n v="0"/>
    <n v="19.63429077280307"/>
    <n v="114.48039155571371"/>
    <m/>
    <n v="13935.82245156"/>
    <n v="0"/>
    <n v="0"/>
    <n v="18314.591042308322"/>
    <n v="0"/>
    <n v="0"/>
  </r>
  <r>
    <s v="Regular"/>
    <x v="0"/>
    <x v="0"/>
    <x v="0"/>
    <x v="0"/>
    <x v="0"/>
    <x v="0"/>
    <x v="0"/>
    <x v="6"/>
    <n v="1800"/>
    <n v="901.16834400000005"/>
    <n v="0"/>
    <n v="0"/>
    <n v="0"/>
    <n v="0"/>
    <n v="0"/>
    <x v="0"/>
    <n v="0"/>
    <n v="2"/>
    <n v="0"/>
    <n v="0"/>
    <n v="14.94"/>
    <n v="0"/>
    <n v="0"/>
    <n v="19.63429077280307"/>
    <n v="114.48039155571371"/>
    <m/>
    <n v="13463.45505936"/>
    <n v="0"/>
    <n v="0"/>
    <n v="17693.801301341424"/>
    <n v="0"/>
    <n v="0"/>
  </r>
  <r>
    <s v="Regular"/>
    <x v="0"/>
    <x v="0"/>
    <x v="0"/>
    <x v="0"/>
    <x v="0"/>
    <x v="0"/>
    <x v="0"/>
    <x v="7"/>
    <n v="1800"/>
    <n v="900.80544599999996"/>
    <n v="0"/>
    <n v="0"/>
    <n v="0"/>
    <n v="0"/>
    <n v="0"/>
    <x v="0"/>
    <n v="0"/>
    <n v="2"/>
    <n v="0"/>
    <n v="0"/>
    <n v="14.94"/>
    <n v="0"/>
    <n v="0"/>
    <n v="19.63429077280307"/>
    <n v="114.48039155571371"/>
    <m/>
    <n v="13458.03336324"/>
    <n v="0"/>
    <n v="0"/>
    <n v="17686.676056488552"/>
    <n v="0"/>
    <n v="0"/>
  </r>
  <r>
    <s v="Regular"/>
    <x v="0"/>
    <x v="0"/>
    <x v="0"/>
    <x v="0"/>
    <x v="0"/>
    <x v="0"/>
    <x v="0"/>
    <x v="8"/>
    <n v="1800"/>
    <n v="901.23863400000005"/>
    <n v="0"/>
    <n v="0"/>
    <n v="0"/>
    <n v="0"/>
    <n v="0"/>
    <x v="0"/>
    <n v="0"/>
    <n v="2"/>
    <n v="0"/>
    <n v="0"/>
    <n v="14.94"/>
    <n v="0"/>
    <n v="0"/>
    <n v="19.63429077280307"/>
    <n v="114.48039155571371"/>
    <m/>
    <n v="13464.505191960001"/>
    <n v="0"/>
    <n v="0"/>
    <n v="17695.181395639844"/>
    <n v="0"/>
    <n v="0"/>
  </r>
  <r>
    <s v="Regular"/>
    <x v="0"/>
    <x v="0"/>
    <x v="0"/>
    <x v="0"/>
    <x v="0"/>
    <x v="0"/>
    <x v="0"/>
    <x v="9"/>
    <n v="1800"/>
    <n v="901.65754800000002"/>
    <n v="0"/>
    <n v="0"/>
    <n v="0"/>
    <n v="0"/>
    <n v="0"/>
    <x v="0"/>
    <n v="0"/>
    <n v="2"/>
    <n v="0"/>
    <n v="0"/>
    <n v="14.94"/>
    <n v="0"/>
    <n v="0"/>
    <n v="19.63429077280307"/>
    <n v="114.48039155571371"/>
    <m/>
    <n v="13470.763767119999"/>
    <n v="0"/>
    <n v="0"/>
    <n v="17703.406474924643"/>
    <n v="0"/>
    <n v="0"/>
  </r>
  <r>
    <s v="Regular"/>
    <x v="0"/>
    <x v="0"/>
    <x v="0"/>
    <x v="0"/>
    <x v="0"/>
    <x v="0"/>
    <x v="0"/>
    <x v="10"/>
    <n v="1800"/>
    <n v="990"/>
    <n v="0"/>
    <n v="0"/>
    <n v="0"/>
    <n v="0"/>
    <n v="0"/>
    <x v="0"/>
    <n v="0"/>
    <n v="2"/>
    <n v="0"/>
    <n v="0"/>
    <n v="14.94"/>
    <n v="0"/>
    <n v="0"/>
    <n v="19.63429077280307"/>
    <n v="114.48039155571371"/>
    <m/>
    <n v="14790.6"/>
    <n v="0"/>
    <n v="0"/>
    <n v="19437.947865075039"/>
    <n v="0"/>
    <n v="0"/>
  </r>
  <r>
    <s v="Regular"/>
    <x v="0"/>
    <x v="0"/>
    <x v="0"/>
    <x v="0"/>
    <x v="0"/>
    <x v="0"/>
    <x v="0"/>
    <x v="11"/>
    <n v="1800"/>
    <n v="990"/>
    <n v="0"/>
    <n v="0"/>
    <n v="0"/>
    <n v="0"/>
    <n v="0"/>
    <x v="0"/>
    <n v="0"/>
    <n v="2"/>
    <n v="0"/>
    <n v="0"/>
    <n v="14.94"/>
    <n v="0"/>
    <n v="0"/>
    <n v="19.63429077280307"/>
    <n v="114.48039155571371"/>
    <m/>
    <n v="14790.6"/>
    <n v="0"/>
    <n v="0"/>
    <n v="19437.947865075039"/>
    <n v="0"/>
    <n v="0"/>
  </r>
  <r>
    <s v="Regular"/>
    <x v="0"/>
    <x v="0"/>
    <x v="0"/>
    <x v="0"/>
    <x v="0"/>
    <x v="0"/>
    <x v="1"/>
    <x v="0"/>
    <n v="0"/>
    <n v="0"/>
    <n v="816.21"/>
    <n v="816.21"/>
    <n v="0"/>
    <n v="0"/>
    <n v="1"/>
    <x v="0"/>
    <n v="0"/>
    <n v="0"/>
    <n v="19"/>
    <n v="0"/>
    <n v="0"/>
    <n v="78.650000000000006"/>
    <n v="0"/>
    <m/>
    <n v="114.48039155571371"/>
    <m/>
    <n v="0"/>
    <n v="64194.916500000007"/>
    <n v="0"/>
    <n v="0"/>
    <n v="93440.040391689094"/>
    <n v="0"/>
  </r>
  <r>
    <s v="Regular"/>
    <x v="0"/>
    <x v="0"/>
    <x v="0"/>
    <x v="0"/>
    <x v="0"/>
    <x v="0"/>
    <x v="1"/>
    <x v="1"/>
    <n v="0"/>
    <n v="0"/>
    <n v="769.80899999999997"/>
    <n v="769.80899999999997"/>
    <n v="0"/>
    <n v="0"/>
    <n v="1"/>
    <x v="0"/>
    <n v="0"/>
    <n v="0"/>
    <n v="19"/>
    <n v="0"/>
    <n v="0"/>
    <n v="78.650000000000006"/>
    <n v="0"/>
    <m/>
    <n v="114.48039155571371"/>
    <m/>
    <n v="0"/>
    <n v="60545.477850000003"/>
    <n v="0"/>
    <n v="0"/>
    <n v="88128.035743112414"/>
    <n v="0"/>
  </r>
  <r>
    <s v="Regular"/>
    <x v="0"/>
    <x v="0"/>
    <x v="0"/>
    <x v="0"/>
    <x v="0"/>
    <x v="0"/>
    <x v="1"/>
    <x v="2"/>
    <n v="0"/>
    <n v="0"/>
    <n v="736.49300000000005"/>
    <n v="736.49300000000005"/>
    <n v="0"/>
    <n v="0"/>
    <n v="1"/>
    <x v="0"/>
    <n v="0"/>
    <n v="0"/>
    <n v="19"/>
    <n v="0"/>
    <n v="0"/>
    <n v="78.650000000000006"/>
    <n v="0"/>
    <m/>
    <n v="114.48039155571371"/>
    <m/>
    <n v="0"/>
    <n v="57925.174450000006"/>
    <n v="0"/>
    <n v="0"/>
    <n v="84314.007018042263"/>
    <n v="0"/>
  </r>
  <r>
    <s v="Regular"/>
    <x v="0"/>
    <x v="0"/>
    <x v="0"/>
    <x v="0"/>
    <x v="0"/>
    <x v="0"/>
    <x v="1"/>
    <x v="3"/>
    <n v="0"/>
    <n v="0"/>
    <n v="814.29600000000005"/>
    <n v="814.29600000000005"/>
    <n v="0"/>
    <n v="0"/>
    <n v="1"/>
    <x v="0"/>
    <n v="0"/>
    <n v="0"/>
    <n v="19"/>
    <n v="0"/>
    <n v="0"/>
    <n v="78.650000000000006"/>
    <n v="0"/>
    <m/>
    <n v="114.48039155571371"/>
    <m/>
    <n v="0"/>
    <n v="64044.380400000009"/>
    <n v="0"/>
    <n v="0"/>
    <n v="93220.924922251463"/>
    <n v="0"/>
  </r>
  <r>
    <s v="Regular"/>
    <x v="0"/>
    <x v="0"/>
    <x v="0"/>
    <x v="0"/>
    <x v="0"/>
    <x v="0"/>
    <x v="1"/>
    <x v="4"/>
    <n v="0"/>
    <n v="0"/>
    <n v="772.84299999999996"/>
    <n v="772.84299999999996"/>
    <n v="0"/>
    <n v="0"/>
    <n v="1"/>
    <x v="0"/>
    <n v="0"/>
    <n v="0"/>
    <n v="19"/>
    <n v="0"/>
    <n v="0"/>
    <n v="78.650000000000006"/>
    <n v="0"/>
    <m/>
    <n v="114.48039155571371"/>
    <m/>
    <n v="0"/>
    <n v="60784.101950000004"/>
    <n v="0"/>
    <n v="0"/>
    <n v="88475.369251092445"/>
    <n v="0"/>
  </r>
  <r>
    <s v="Regular"/>
    <x v="0"/>
    <x v="0"/>
    <x v="0"/>
    <x v="0"/>
    <x v="0"/>
    <x v="0"/>
    <x v="1"/>
    <x v="5"/>
    <n v="0"/>
    <n v="0"/>
    <n v="596.46600000000001"/>
    <n v="596.46600000000001"/>
    <n v="0"/>
    <n v="0"/>
    <n v="1"/>
    <x v="0"/>
    <n v="0"/>
    <n v="0"/>
    <n v="19"/>
    <n v="0"/>
    <n v="0"/>
    <n v="78.650000000000006"/>
    <n v="0"/>
    <m/>
    <n v="114.48039155571371"/>
    <m/>
    <n v="0"/>
    <n v="46912.050900000002"/>
    <n v="0"/>
    <n v="0"/>
    <n v="68283.661229670339"/>
    <n v="0"/>
  </r>
  <r>
    <s v="Regular"/>
    <x v="0"/>
    <x v="0"/>
    <x v="0"/>
    <x v="0"/>
    <x v="0"/>
    <x v="0"/>
    <x v="1"/>
    <x v="6"/>
    <n v="0"/>
    <n v="0"/>
    <n v="601.54100000000005"/>
    <n v="601.54100000000005"/>
    <n v="0"/>
    <n v="0"/>
    <n v="1"/>
    <x v="0"/>
    <n v="0"/>
    <n v="0"/>
    <n v="19"/>
    <n v="0"/>
    <n v="0"/>
    <n v="78.650000000000006"/>
    <n v="0"/>
    <m/>
    <n v="114.48039155571371"/>
    <m/>
    <n v="0"/>
    <n v="47311.19965000001"/>
    <n v="0"/>
    <n v="0"/>
    <n v="68864.649216815582"/>
    <n v="0"/>
  </r>
  <r>
    <s v="Regular"/>
    <x v="0"/>
    <x v="0"/>
    <x v="0"/>
    <x v="0"/>
    <x v="0"/>
    <x v="0"/>
    <x v="1"/>
    <x v="7"/>
    <n v="0"/>
    <n v="0"/>
    <n v="705.21699999999998"/>
    <n v="705.21699999999998"/>
    <n v="0"/>
    <n v="0"/>
    <n v="1"/>
    <x v="0"/>
    <n v="0"/>
    <n v="0"/>
    <n v="19"/>
    <n v="0"/>
    <n v="0"/>
    <n v="78.650000000000006"/>
    <n v="0"/>
    <m/>
    <n v="114.48039155571371"/>
    <m/>
    <n v="0"/>
    <n v="55465.317050000005"/>
    <n v="0"/>
    <n v="0"/>
    <n v="80733.518291745757"/>
    <n v="0"/>
  </r>
  <r>
    <s v="Regular"/>
    <x v="0"/>
    <x v="0"/>
    <x v="0"/>
    <x v="0"/>
    <x v="0"/>
    <x v="0"/>
    <x v="1"/>
    <x v="8"/>
    <n v="0"/>
    <n v="0"/>
    <n v="761.19200000000001"/>
    <n v="761.19200000000001"/>
    <n v="0"/>
    <n v="0"/>
    <n v="1"/>
    <x v="0"/>
    <n v="0"/>
    <n v="0"/>
    <n v="19"/>
    <n v="0"/>
    <n v="0"/>
    <n v="78.650000000000006"/>
    <n v="0"/>
    <m/>
    <n v="114.48039155571371"/>
    <m/>
    <n v="0"/>
    <n v="59867.750800000002"/>
    <n v="0"/>
    <n v="0"/>
    <n v="87141.558209076829"/>
    <n v="0"/>
  </r>
  <r>
    <s v="Regular"/>
    <x v="0"/>
    <x v="0"/>
    <x v="0"/>
    <x v="0"/>
    <x v="0"/>
    <x v="0"/>
    <x v="1"/>
    <x v="9"/>
    <n v="0"/>
    <n v="0"/>
    <n v="683.74400000000003"/>
    <n v="683.74400000000003"/>
    <n v="0"/>
    <n v="0"/>
    <n v="1"/>
    <x v="0"/>
    <n v="0"/>
    <n v="0"/>
    <n v="19"/>
    <n v="0"/>
    <n v="0"/>
    <n v="78.650000000000006"/>
    <n v="0"/>
    <m/>
    <n v="114.48039155571371"/>
    <m/>
    <n v="0"/>
    <n v="53776.465600000003"/>
    <n v="0"/>
    <n v="0"/>
    <n v="78275.280843869914"/>
    <n v="0"/>
  </r>
  <r>
    <s v="Regular"/>
    <x v="0"/>
    <x v="0"/>
    <x v="0"/>
    <x v="0"/>
    <x v="0"/>
    <x v="0"/>
    <x v="1"/>
    <x v="10"/>
    <n v="0"/>
    <n v="0"/>
    <n v="709.04"/>
    <n v="709.04"/>
    <n v="0"/>
    <n v="0"/>
    <n v="1"/>
    <x v="0"/>
    <n v="0"/>
    <n v="0"/>
    <n v="19"/>
    <n v="0"/>
    <n v="0"/>
    <n v="78.650000000000006"/>
    <n v="0"/>
    <m/>
    <n v="114.48039155571371"/>
    <m/>
    <n v="0"/>
    <n v="55765.995999999999"/>
    <n v="0"/>
    <n v="0"/>
    <n v="81171.176828663243"/>
    <n v="0"/>
  </r>
  <r>
    <s v="Regular"/>
    <x v="0"/>
    <x v="0"/>
    <x v="0"/>
    <x v="0"/>
    <x v="0"/>
    <x v="0"/>
    <x v="1"/>
    <x v="11"/>
    <n v="0"/>
    <n v="0"/>
    <n v="709.08799999999997"/>
    <n v="709.08799999999997"/>
    <n v="0"/>
    <n v="0"/>
    <n v="1"/>
    <x v="0"/>
    <n v="0"/>
    <n v="0"/>
    <n v="19"/>
    <n v="0"/>
    <n v="0"/>
    <n v="78.650000000000006"/>
    <n v="0"/>
    <m/>
    <n v="114.48039155571371"/>
    <m/>
    <n v="0"/>
    <n v="55769.771200000003"/>
    <n v="0"/>
    <n v="0"/>
    <n v="81176.671887457924"/>
    <n v="0"/>
  </r>
  <r>
    <s v="Regular"/>
    <x v="0"/>
    <x v="0"/>
    <x v="0"/>
    <x v="0"/>
    <x v="0"/>
    <x v="0"/>
    <x v="2"/>
    <x v="0"/>
    <n v="1700"/>
    <n v="855.07099800000003"/>
    <n v="0"/>
    <n v="0"/>
    <n v="0"/>
    <n v="0"/>
    <n v="0"/>
    <x v="0"/>
    <n v="0"/>
    <n v="8"/>
    <n v="0"/>
    <n v="0"/>
    <n v="35.54"/>
    <n v="0"/>
    <n v="0"/>
    <n v="35.086170133817248"/>
    <n v="114.48039155571371"/>
    <m/>
    <n v="30389.223268919999"/>
    <n v="0"/>
    <n v="0"/>
    <n v="30001.16651232091"/>
    <n v="0"/>
    <n v="0"/>
  </r>
  <r>
    <s v="Regular"/>
    <x v="0"/>
    <x v="0"/>
    <x v="0"/>
    <x v="0"/>
    <x v="0"/>
    <x v="0"/>
    <x v="2"/>
    <x v="1"/>
    <n v="1757"/>
    <n v="895.97728311000003"/>
    <n v="0"/>
    <n v="0"/>
    <n v="0"/>
    <n v="0"/>
    <n v="0"/>
    <x v="0"/>
    <n v="0"/>
    <n v="8"/>
    <n v="0"/>
    <n v="0"/>
    <n v="35.54"/>
    <n v="0"/>
    <n v="0"/>
    <n v="35.086170133817248"/>
    <n v="114.48039155571371"/>
    <m/>
    <n v="31843.032641729402"/>
    <n v="0"/>
    <n v="0"/>
    <n v="31436.411391232803"/>
    <n v="0"/>
    <n v="0"/>
  </r>
  <r>
    <s v="Regular"/>
    <x v="0"/>
    <x v="0"/>
    <x v="0"/>
    <x v="0"/>
    <x v="0"/>
    <x v="0"/>
    <x v="2"/>
    <x v="2"/>
    <n v="1700"/>
    <n v="856.94091300000002"/>
    <n v="0"/>
    <n v="0"/>
    <n v="0"/>
    <n v="0"/>
    <n v="0"/>
    <x v="0"/>
    <n v="0"/>
    <n v="8"/>
    <n v="0"/>
    <n v="0"/>
    <n v="35.54"/>
    <n v="0"/>
    <n v="0"/>
    <n v="35.086170133817248"/>
    <n v="114.48039155571371"/>
    <m/>
    <n v="30455.68004802"/>
    <n v="0"/>
    <n v="0"/>
    <n v="30066.774668146685"/>
    <n v="0"/>
    <n v="0"/>
  </r>
  <r>
    <s v="Regular"/>
    <x v="0"/>
    <x v="0"/>
    <x v="0"/>
    <x v="0"/>
    <x v="0"/>
    <x v="0"/>
    <x v="2"/>
    <x v="3"/>
    <n v="1730"/>
    <n v="865.41687809999996"/>
    <n v="0"/>
    <n v="0"/>
    <n v="0"/>
    <n v="0"/>
    <n v="0"/>
    <x v="0"/>
    <n v="0"/>
    <n v="8"/>
    <n v="0"/>
    <n v="0"/>
    <n v="35.54"/>
    <n v="0"/>
    <n v="0"/>
    <n v="35.086170133817248"/>
    <n v="114.48039155571371"/>
    <m/>
    <n v="30756.915847673998"/>
    <n v="0"/>
    <n v="0"/>
    <n v="30364.163821693579"/>
    <n v="0"/>
    <n v="0"/>
  </r>
  <r>
    <s v="Regular"/>
    <x v="0"/>
    <x v="0"/>
    <x v="0"/>
    <x v="0"/>
    <x v="0"/>
    <x v="0"/>
    <x v="2"/>
    <x v="4"/>
    <n v="1700"/>
    <n v="850"/>
    <n v="0"/>
    <n v="0"/>
    <n v="0"/>
    <n v="0"/>
    <n v="0"/>
    <x v="0"/>
    <n v="0"/>
    <n v="8"/>
    <n v="0"/>
    <n v="0"/>
    <n v="35.54"/>
    <n v="0"/>
    <n v="0"/>
    <n v="35.086170133817248"/>
    <n v="114.48039155571371"/>
    <m/>
    <n v="30209"/>
    <n v="0"/>
    <n v="0"/>
    <n v="29823.24461374466"/>
    <n v="0"/>
    <n v="0"/>
  </r>
  <r>
    <s v="Regular"/>
    <x v="0"/>
    <x v="0"/>
    <x v="0"/>
    <x v="0"/>
    <x v="0"/>
    <x v="0"/>
    <x v="2"/>
    <x v="5"/>
    <n v="1700"/>
    <n v="880.96453099999997"/>
    <n v="0"/>
    <n v="0"/>
    <n v="0"/>
    <n v="0"/>
    <n v="0"/>
    <x v="0"/>
    <n v="0"/>
    <n v="8"/>
    <n v="0"/>
    <n v="0"/>
    <n v="35.54"/>
    <n v="0"/>
    <n v="0"/>
    <n v="35.086170133817248"/>
    <n v="114.48039155571371"/>
    <m/>
    <n v="31309.479431739997"/>
    <n v="0"/>
    <n v="0"/>
    <n v="30909.671416524518"/>
    <n v="0"/>
    <n v="0"/>
  </r>
  <r>
    <s v="Regular"/>
    <x v="0"/>
    <x v="0"/>
    <x v="0"/>
    <x v="0"/>
    <x v="0"/>
    <x v="0"/>
    <x v="2"/>
    <x v="6"/>
    <n v="1700"/>
    <n v="851.10343599999999"/>
    <n v="0"/>
    <n v="0"/>
    <n v="0"/>
    <n v="0"/>
    <n v="0"/>
    <x v="0"/>
    <n v="0"/>
    <n v="8"/>
    <n v="0"/>
    <n v="0"/>
    <n v="35.54"/>
    <n v="0"/>
    <n v="0"/>
    <n v="35.086170133817248"/>
    <n v="114.48039155571371"/>
    <m/>
    <n v="30248.216115439998"/>
    <n v="0"/>
    <n v="0"/>
    <n v="29861.959956972438"/>
    <n v="0"/>
    <n v="0"/>
  </r>
  <r>
    <s v="Regular"/>
    <x v="0"/>
    <x v="0"/>
    <x v="0"/>
    <x v="0"/>
    <x v="0"/>
    <x v="0"/>
    <x v="2"/>
    <x v="7"/>
    <n v="1700"/>
    <n v="850.76069900000005"/>
    <n v="0"/>
    <n v="0"/>
    <n v="0"/>
    <n v="0"/>
    <n v="0"/>
    <x v="0"/>
    <n v="0"/>
    <n v="8"/>
    <n v="0"/>
    <n v="0"/>
    <n v="35.54"/>
    <n v="0"/>
    <n v="0"/>
    <n v="35.086170133817248"/>
    <n v="114.48039155571371"/>
    <m/>
    <n v="30236.035242460002"/>
    <n v="0"/>
    <n v="0"/>
    <n v="29849.934628279287"/>
    <n v="0"/>
    <n v="0"/>
  </r>
  <r>
    <s v="Regular"/>
    <x v="0"/>
    <x v="0"/>
    <x v="0"/>
    <x v="0"/>
    <x v="0"/>
    <x v="0"/>
    <x v="2"/>
    <x v="8"/>
    <n v="1700"/>
    <n v="851.16982099999996"/>
    <n v="0"/>
    <n v="0"/>
    <n v="0"/>
    <n v="0"/>
    <n v="0"/>
    <x v="0"/>
    <n v="0"/>
    <n v="8"/>
    <n v="0"/>
    <n v="0"/>
    <n v="35.54"/>
    <n v="0"/>
    <n v="0"/>
    <n v="35.086170133817248"/>
    <n v="114.48039155571371"/>
    <m/>
    <n v="30250.575438339998"/>
    <n v="0"/>
    <n v="0"/>
    <n v="29864.289152376772"/>
    <n v="0"/>
    <n v="0"/>
  </r>
  <r>
    <s v="Regular"/>
    <x v="0"/>
    <x v="0"/>
    <x v="0"/>
    <x v="0"/>
    <x v="0"/>
    <x v="0"/>
    <x v="2"/>
    <x v="9"/>
    <n v="1700"/>
    <n v="851.56546200000003"/>
    <n v="0"/>
    <n v="0"/>
    <n v="0"/>
    <n v="0"/>
    <n v="0"/>
    <x v="0"/>
    <n v="0"/>
    <n v="8"/>
    <n v="0"/>
    <n v="0"/>
    <n v="35.54"/>
    <n v="0"/>
    <n v="0"/>
    <n v="35.086170133817248"/>
    <n v="114.48039155571371"/>
    <m/>
    <n v="30264.636519480002"/>
    <n v="0"/>
    <n v="0"/>
    <n v="29878.170679814688"/>
    <n v="0"/>
    <n v="0"/>
  </r>
  <r>
    <s v="Regular"/>
    <x v="0"/>
    <x v="0"/>
    <x v="0"/>
    <x v="0"/>
    <x v="0"/>
    <x v="0"/>
    <x v="2"/>
    <x v="10"/>
    <n v="1700"/>
    <n v="935"/>
    <n v="0"/>
    <n v="0"/>
    <n v="0"/>
    <n v="0"/>
    <n v="0"/>
    <x v="0"/>
    <n v="0"/>
    <n v="8"/>
    <n v="0"/>
    <n v="0"/>
    <n v="35.54"/>
    <n v="0"/>
    <n v="0"/>
    <n v="35.086170133817248"/>
    <n v="114.48039155571371"/>
    <m/>
    <n v="33229.9"/>
    <n v="0"/>
    <n v="0"/>
    <n v="32805.569075119129"/>
    <n v="0"/>
    <n v="0"/>
  </r>
  <r>
    <s v="Regular"/>
    <x v="0"/>
    <x v="0"/>
    <x v="0"/>
    <x v="0"/>
    <x v="0"/>
    <x v="0"/>
    <x v="2"/>
    <x v="11"/>
    <n v="1700"/>
    <n v="935"/>
    <n v="0"/>
    <n v="0"/>
    <n v="0"/>
    <n v="0"/>
    <n v="0"/>
    <x v="0"/>
    <n v="0"/>
    <n v="8"/>
    <n v="0"/>
    <n v="0"/>
    <n v="35.54"/>
    <n v="0"/>
    <n v="0"/>
    <n v="35.086170133817248"/>
    <n v="114.48039155571371"/>
    <m/>
    <n v="33229.9"/>
    <n v="0"/>
    <n v="0"/>
    <n v="32805.569075119129"/>
    <n v="0"/>
    <n v="0"/>
  </r>
  <r>
    <s v="Regular"/>
    <x v="0"/>
    <x v="1"/>
    <x v="1"/>
    <x v="0"/>
    <x v="1"/>
    <x v="0"/>
    <x v="0"/>
    <x v="0"/>
    <n v="0"/>
    <n v="0"/>
    <n v="178.31800000000001"/>
    <n v="178.31800000000001"/>
    <n v="178.31800000000001"/>
    <n v="178.31800000000001"/>
    <n v="0"/>
    <x v="1"/>
    <n v="0"/>
    <n v="0"/>
    <n v="13"/>
    <n v="16"/>
    <n v="0"/>
    <n v="78.650000000000006"/>
    <n v="229.87"/>
    <m/>
    <n v="114.48039155571371"/>
    <n v="216.60171770542672"/>
    <n v="0"/>
    <n v="14024.710700000001"/>
    <n v="40989.958660000004"/>
    <n v="0"/>
    <n v="20413.914461431759"/>
    <n v="38623.985097796285"/>
  </r>
  <r>
    <s v="Sistema de Compensação"/>
    <x v="0"/>
    <x v="1"/>
    <x v="1"/>
    <x v="0"/>
    <x v="1"/>
    <x v="0"/>
    <x v="0"/>
    <x v="0"/>
    <n v="0"/>
    <n v="0"/>
    <n v="12.545"/>
    <n v="12.545"/>
    <n v="12.545"/>
    <n v="12.545"/>
    <n v="0"/>
    <x v="1"/>
    <n v="0"/>
    <n v="0"/>
    <n v="13"/>
    <n v="16"/>
    <n v="0"/>
    <n v="78.650000000000006"/>
    <n v="229.87"/>
    <m/>
    <n v="114.48039155571371"/>
    <n v="216.60171770542672"/>
    <n v="0"/>
    <n v="986.66425000000004"/>
    <n v="2883.7191499999999"/>
    <n v="0"/>
    <n v="1436.1565120664284"/>
    <n v="2717.2685486145783"/>
  </r>
  <r>
    <s v="Regular"/>
    <x v="0"/>
    <x v="1"/>
    <x v="1"/>
    <x v="0"/>
    <x v="1"/>
    <x v="0"/>
    <x v="0"/>
    <x v="1"/>
    <n v="0"/>
    <n v="0"/>
    <n v="172.43899999999999"/>
    <n v="172.43899999999999"/>
    <n v="172.43899999999999"/>
    <n v="172.43899999999999"/>
    <n v="0"/>
    <x v="1"/>
    <n v="0"/>
    <n v="0"/>
    <n v="13"/>
    <n v="16"/>
    <n v="0"/>
    <n v="78.650000000000006"/>
    <n v="229.87"/>
    <m/>
    <n v="114.48039155571371"/>
    <n v="216.60171770542672"/>
    <n v="0"/>
    <n v="13562.32735"/>
    <n v="39638.552929999998"/>
    <n v="0"/>
    <n v="19740.884239475716"/>
    <n v="37350.583599406076"/>
  </r>
  <r>
    <s v="Sistema de Compensação"/>
    <x v="0"/>
    <x v="1"/>
    <x v="1"/>
    <x v="0"/>
    <x v="1"/>
    <x v="0"/>
    <x v="0"/>
    <x v="1"/>
    <n v="0"/>
    <n v="0"/>
    <n v="9.2539999999999996"/>
    <n v="9.2539999999999996"/>
    <n v="9.2539999999999996"/>
    <n v="9.2539999999999996"/>
    <n v="0"/>
    <x v="1"/>
    <n v="0"/>
    <n v="0"/>
    <n v="13"/>
    <n v="16"/>
    <n v="0"/>
    <n v="78.650000000000006"/>
    <n v="229.87"/>
    <m/>
    <n v="114.48039155571371"/>
    <n v="216.60171770542672"/>
    <n v="0"/>
    <n v="727.82709999999997"/>
    <n v="2127.2169800000001"/>
    <n v="0"/>
    <n v="1059.4015434565747"/>
    <n v="2004.4322956460187"/>
  </r>
  <r>
    <s v="Regular"/>
    <x v="0"/>
    <x v="1"/>
    <x v="1"/>
    <x v="0"/>
    <x v="1"/>
    <x v="0"/>
    <x v="0"/>
    <x v="2"/>
    <n v="0"/>
    <n v="0"/>
    <n v="166.48099999999999"/>
    <n v="166.48099999999999"/>
    <n v="166.48099999999999"/>
    <n v="166.48099999999999"/>
    <n v="0"/>
    <x v="1"/>
    <n v="0"/>
    <n v="0"/>
    <n v="13"/>
    <n v="16"/>
    <n v="0"/>
    <n v="78.650000000000006"/>
    <n v="229.87"/>
    <m/>
    <n v="114.48039155571371"/>
    <n v="216.60171770542672"/>
    <n v="0"/>
    <n v="13093.730650000001"/>
    <n v="38268.98747"/>
    <n v="0"/>
    <n v="19058.810066586775"/>
    <n v="36060.070565317146"/>
  </r>
  <r>
    <s v="Sistema de Compensação"/>
    <x v="0"/>
    <x v="1"/>
    <x v="1"/>
    <x v="0"/>
    <x v="1"/>
    <x v="0"/>
    <x v="0"/>
    <x v="2"/>
    <n v="0"/>
    <n v="0"/>
    <n v="7.24"/>
    <n v="7.24"/>
    <n v="7.24"/>
    <n v="7.24"/>
    <n v="0"/>
    <x v="1"/>
    <n v="0"/>
    <n v="0"/>
    <n v="13"/>
    <n v="16"/>
    <n v="0"/>
    <n v="78.650000000000006"/>
    <n v="229.87"/>
    <m/>
    <n v="114.48039155571371"/>
    <n v="216.60171770542672"/>
    <n v="0"/>
    <n v="569.42600000000004"/>
    <n v="1664.2588000000001"/>
    <n v="0"/>
    <n v="828.83803486336728"/>
    <n v="1568.1964361872895"/>
  </r>
  <r>
    <s v="Regular"/>
    <x v="0"/>
    <x v="1"/>
    <x v="1"/>
    <x v="0"/>
    <x v="1"/>
    <x v="0"/>
    <x v="0"/>
    <x v="3"/>
    <n v="0"/>
    <n v="0"/>
    <n v="175.33600000000001"/>
    <n v="175.33600000000001"/>
    <n v="175.33600000000001"/>
    <n v="175.33600000000001"/>
    <n v="0"/>
    <x v="1"/>
    <n v="0"/>
    <n v="0"/>
    <n v="13"/>
    <n v="16"/>
    <n v="0"/>
    <n v="78.650000000000006"/>
    <n v="229.87"/>
    <m/>
    <n v="114.48039155571371"/>
    <n v="216.60171770542672"/>
    <n v="0"/>
    <n v="13790.176400000002"/>
    <n v="40304.486320000004"/>
    <n v="0"/>
    <n v="20072.533933812621"/>
    <n v="37978.078775598704"/>
  </r>
  <r>
    <s v="Sistema de Compensação"/>
    <x v="0"/>
    <x v="1"/>
    <x v="1"/>
    <x v="0"/>
    <x v="1"/>
    <x v="0"/>
    <x v="0"/>
    <x v="3"/>
    <n v="0"/>
    <n v="0"/>
    <n v="8.6389999999999993"/>
    <n v="8.6389999999999993"/>
    <n v="8.6389999999999993"/>
    <n v="8.6389999999999993"/>
    <n v="0"/>
    <x v="1"/>
    <n v="0"/>
    <n v="0"/>
    <n v="13"/>
    <n v="16"/>
    <n v="0"/>
    <n v="78.650000000000006"/>
    <n v="229.87"/>
    <m/>
    <n v="114.48039155571371"/>
    <n v="216.60171770542672"/>
    <n v="0"/>
    <n v="679.45735000000002"/>
    <n v="1985.8469299999999"/>
    <n v="0"/>
    <n v="988.99610264981061"/>
    <n v="1871.2222392571814"/>
  </r>
  <r>
    <s v="Regular"/>
    <x v="0"/>
    <x v="1"/>
    <x v="1"/>
    <x v="0"/>
    <x v="1"/>
    <x v="0"/>
    <x v="0"/>
    <x v="4"/>
    <n v="0"/>
    <n v="0"/>
    <n v="205.268"/>
    <n v="205.268"/>
    <n v="205.268"/>
    <n v="205.268"/>
    <n v="0"/>
    <x v="1"/>
    <n v="0"/>
    <n v="0"/>
    <n v="13"/>
    <n v="16"/>
    <n v="0"/>
    <n v="78.650000000000006"/>
    <n v="229.87"/>
    <m/>
    <n v="114.48039155571371"/>
    <n v="216.60171770542672"/>
    <n v="0"/>
    <n v="16144.328200000002"/>
    <n v="47184.955159999998"/>
    <n v="0"/>
    <n v="23499.16101385824"/>
    <n v="44461.401389957529"/>
  </r>
  <r>
    <s v="Sistema de Compensação"/>
    <x v="0"/>
    <x v="1"/>
    <x v="1"/>
    <x v="0"/>
    <x v="1"/>
    <x v="0"/>
    <x v="0"/>
    <x v="4"/>
    <n v="0"/>
    <n v="0"/>
    <n v="32.134999999999998"/>
    <n v="32.134999999999998"/>
    <n v="32.134999999999998"/>
    <n v="32.134999999999998"/>
    <n v="0"/>
    <x v="1"/>
    <n v="0"/>
    <n v="0"/>
    <n v="13"/>
    <n v="16"/>
    <n v="0"/>
    <n v="78.650000000000006"/>
    <n v="229.87"/>
    <m/>
    <n v="114.48039155571371"/>
    <n v="216.60171770542672"/>
    <n v="0"/>
    <n v="2527.4177500000001"/>
    <n v="7386.8724499999998"/>
    <n v="0"/>
    <n v="3678.8273826428599"/>
    <n v="6960.4961984638876"/>
  </r>
  <r>
    <s v="Regular"/>
    <x v="0"/>
    <x v="1"/>
    <x v="1"/>
    <x v="0"/>
    <x v="1"/>
    <x v="0"/>
    <x v="0"/>
    <x v="5"/>
    <n v="0"/>
    <n v="0"/>
    <n v="219.99600000000001"/>
    <n v="219.99600000000001"/>
    <n v="219.99600000000001"/>
    <n v="219.99600000000001"/>
    <n v="0"/>
    <x v="1"/>
    <n v="0"/>
    <n v="0"/>
    <n v="13"/>
    <n v="16"/>
    <n v="0"/>
    <n v="78.650000000000006"/>
    <n v="229.87"/>
    <m/>
    <n v="114.48039155571371"/>
    <n v="216.60171770542672"/>
    <n v="0"/>
    <n v="17302.685400000002"/>
    <n v="50570.480520000005"/>
    <n v="0"/>
    <n v="25185.228220690795"/>
    <n v="47651.511488323056"/>
  </r>
  <r>
    <s v="Sistema de Compensação"/>
    <x v="0"/>
    <x v="1"/>
    <x v="1"/>
    <x v="0"/>
    <x v="1"/>
    <x v="0"/>
    <x v="0"/>
    <x v="5"/>
    <n v="0"/>
    <n v="0"/>
    <n v="16.257999999999999"/>
    <n v="16.257999999999999"/>
    <n v="16.257999999999999"/>
    <n v="16.257999999999999"/>
    <n v="0"/>
    <x v="1"/>
    <n v="0"/>
    <n v="0"/>
    <n v="13"/>
    <n v="16"/>
    <n v="0"/>
    <n v="78.650000000000006"/>
    <n v="229.87"/>
    <m/>
    <n v="114.48039155571371"/>
    <n v="216.60171770542672"/>
    <n v="0"/>
    <n v="1278.6917000000001"/>
    <n v="3737.2264599999999"/>
    <n v="0"/>
    <n v="1861.2222059127935"/>
    <n v="3521.5107264548274"/>
  </r>
  <r>
    <s v="Regular"/>
    <x v="0"/>
    <x v="1"/>
    <x v="1"/>
    <x v="0"/>
    <x v="1"/>
    <x v="0"/>
    <x v="0"/>
    <x v="6"/>
    <n v="0"/>
    <n v="0"/>
    <n v="234.53899999999999"/>
    <n v="234.53899999999999"/>
    <n v="234.53899999999999"/>
    <n v="234.53899999999999"/>
    <n v="0"/>
    <x v="1"/>
    <n v="0"/>
    <n v="0"/>
    <n v="13"/>
    <n v="16"/>
    <n v="0"/>
    <n v="78.650000000000006"/>
    <n v="229.87"/>
    <m/>
    <n v="114.48039155571371"/>
    <n v="216.60171770542672"/>
    <n v="0"/>
    <n v="18446.49235"/>
    <n v="53913.479930000001"/>
    <n v="0"/>
    <n v="26850.116555085537"/>
    <n v="50801.550268913074"/>
  </r>
  <r>
    <s v="Sistema de Compensação"/>
    <x v="0"/>
    <x v="1"/>
    <x v="1"/>
    <x v="0"/>
    <x v="1"/>
    <x v="0"/>
    <x v="0"/>
    <x v="6"/>
    <n v="0"/>
    <n v="0"/>
    <n v="20.654"/>
    <n v="20.654"/>
    <n v="20.654"/>
    <n v="20.654"/>
    <n v="0"/>
    <x v="1"/>
    <n v="0"/>
    <n v="0"/>
    <n v="13"/>
    <n v="16"/>
    <n v="0"/>
    <n v="78.650000000000006"/>
    <n v="229.87"/>
    <m/>
    <n v="114.48039155571371"/>
    <n v="216.60171770542672"/>
    <n v="0"/>
    <n v="1624.4371000000001"/>
    <n v="4747.7349800000002"/>
    <n v="0"/>
    <n v="2364.4780071917107"/>
    <n v="4473.6918774878832"/>
  </r>
  <r>
    <s v="Regular"/>
    <x v="0"/>
    <x v="1"/>
    <x v="1"/>
    <x v="0"/>
    <x v="1"/>
    <x v="0"/>
    <x v="0"/>
    <x v="7"/>
    <n v="0"/>
    <n v="0"/>
    <n v="208.126"/>
    <n v="208.126"/>
    <n v="208.126"/>
    <n v="208.126"/>
    <n v="0"/>
    <x v="1"/>
    <n v="0"/>
    <n v="0"/>
    <n v="13"/>
    <n v="16"/>
    <n v="0"/>
    <n v="78.650000000000006"/>
    <n v="229.87"/>
    <m/>
    <n v="114.48039155571371"/>
    <n v="216.60171770542672"/>
    <n v="0"/>
    <n v="16369.109900000001"/>
    <n v="47841.923620000001"/>
    <n v="0"/>
    <n v="23826.345972924471"/>
    <n v="45080.449099159639"/>
  </r>
  <r>
    <s v="Sistema de Compensação"/>
    <x v="0"/>
    <x v="1"/>
    <x v="1"/>
    <x v="0"/>
    <x v="1"/>
    <x v="0"/>
    <x v="0"/>
    <x v="7"/>
    <n v="0"/>
    <n v="0"/>
    <n v="41.901000000000003"/>
    <n v="41.901000000000003"/>
    <n v="41.901000000000003"/>
    <n v="41.901000000000003"/>
    <n v="0"/>
    <x v="1"/>
    <n v="0"/>
    <n v="0"/>
    <n v="13"/>
    <n v="16"/>
    <n v="0"/>
    <n v="78.650000000000006"/>
    <n v="229.87"/>
    <m/>
    <n v="114.48039155571371"/>
    <n v="216.60171770542672"/>
    <n v="0"/>
    <n v="3295.5136500000003"/>
    <n v="9631.7828700000009"/>
    <n v="0"/>
    <n v="4796.8428865759606"/>
    <n v="9075.8285735750851"/>
  </r>
  <r>
    <s v="Regular"/>
    <x v="0"/>
    <x v="1"/>
    <x v="1"/>
    <x v="0"/>
    <x v="1"/>
    <x v="0"/>
    <x v="0"/>
    <x v="8"/>
    <n v="0"/>
    <n v="0"/>
    <n v="209.947"/>
    <n v="209.947"/>
    <n v="209.947"/>
    <n v="209.947"/>
    <n v="0"/>
    <x v="1"/>
    <n v="0"/>
    <n v="0"/>
    <n v="13"/>
    <n v="16"/>
    <n v="0"/>
    <n v="78.650000000000006"/>
    <n v="229.87"/>
    <m/>
    <n v="114.48039155571371"/>
    <n v="216.60171770542672"/>
    <n v="0"/>
    <n v="16512.331550000003"/>
    <n v="48260.516889999999"/>
    <n v="0"/>
    <n v="24034.814765947427"/>
    <n v="45474.880827101224"/>
  </r>
  <r>
    <s v="Sistema de Compensação"/>
    <x v="0"/>
    <x v="1"/>
    <x v="1"/>
    <x v="0"/>
    <x v="1"/>
    <x v="0"/>
    <x v="0"/>
    <x v="8"/>
    <n v="0"/>
    <n v="0"/>
    <n v="32.024000000000001"/>
    <n v="32.024000000000001"/>
    <n v="32.024000000000001"/>
    <n v="32.024000000000001"/>
    <n v="0"/>
    <x v="1"/>
    <n v="0"/>
    <n v="0"/>
    <n v="13"/>
    <n v="16"/>
    <n v="0"/>
    <n v="78.650000000000006"/>
    <n v="229.87"/>
    <m/>
    <n v="114.48039155571371"/>
    <n v="216.60171770542672"/>
    <n v="0"/>
    <n v="2518.6876000000002"/>
    <n v="7361.3568800000003"/>
    <n v="0"/>
    <n v="3666.1200591801758"/>
    <n v="6936.4534077985854"/>
  </r>
  <r>
    <s v="Regular"/>
    <x v="0"/>
    <x v="1"/>
    <x v="1"/>
    <x v="0"/>
    <x v="1"/>
    <x v="0"/>
    <x v="0"/>
    <x v="9"/>
    <n v="0"/>
    <n v="0"/>
    <n v="178.52699999999999"/>
    <n v="178.52699999999999"/>
    <n v="178.52699999999999"/>
    <n v="178.52699999999999"/>
    <n v="0"/>
    <x v="1"/>
    <n v="0"/>
    <n v="0"/>
    <n v="13"/>
    <n v="16"/>
    <n v="0"/>
    <n v="78.650000000000006"/>
    <n v="229.87"/>
    <m/>
    <n v="114.48039155571371"/>
    <n v="216.60171770542672"/>
    <n v="0"/>
    <n v="14041.14855"/>
    <n v="41038.001489999995"/>
    <n v="0"/>
    <n v="20437.840863266902"/>
    <n v="38669.254856796717"/>
  </r>
  <r>
    <s v="Sistema de Compensação"/>
    <x v="0"/>
    <x v="1"/>
    <x v="1"/>
    <x v="0"/>
    <x v="1"/>
    <x v="0"/>
    <x v="0"/>
    <x v="9"/>
    <n v="0"/>
    <n v="0"/>
    <n v="46.622"/>
    <n v="46.622"/>
    <n v="46.622"/>
    <n v="46.622"/>
    <n v="0"/>
    <x v="1"/>
    <n v="0"/>
    <n v="0"/>
    <n v="13"/>
    <n v="16"/>
    <n v="0"/>
    <n v="78.650000000000006"/>
    <n v="229.87"/>
    <m/>
    <n v="114.48039155571371"/>
    <n v="216.60171770542672"/>
    <n v="0"/>
    <n v="3666.8203000000003"/>
    <n v="10716.99914"/>
    <n v="0"/>
    <n v="5337.3048151104849"/>
    <n v="10098.405282862404"/>
  </r>
  <r>
    <s v="Regular"/>
    <x v="0"/>
    <x v="1"/>
    <x v="1"/>
    <x v="0"/>
    <x v="1"/>
    <x v="0"/>
    <x v="0"/>
    <x v="10"/>
    <n v="0"/>
    <n v="0"/>
    <n v="187.43799999999999"/>
    <n v="187.43799999999999"/>
    <n v="187.43799999999999"/>
    <n v="187.43799999999999"/>
    <n v="0"/>
    <x v="1"/>
    <n v="0"/>
    <n v="0"/>
    <n v="13"/>
    <n v="16"/>
    <n v="0"/>
    <n v="78.650000000000006"/>
    <n v="229.87"/>
    <m/>
    <n v="114.48039155571371"/>
    <n v="216.60171770542672"/>
    <n v="0"/>
    <n v="14741.9987"/>
    <n v="43086.373059999998"/>
    <n v="0"/>
    <n v="21457.975632419864"/>
    <n v="40599.392763269774"/>
  </r>
  <r>
    <s v="Sistema de Compensação"/>
    <x v="0"/>
    <x v="1"/>
    <x v="1"/>
    <x v="0"/>
    <x v="1"/>
    <x v="0"/>
    <x v="0"/>
    <x v="10"/>
    <n v="0"/>
    <n v="0"/>
    <n v="28.597999999999999"/>
    <n v="28.597999999999999"/>
    <n v="28.597999999999999"/>
    <n v="28.597999999999999"/>
    <n v="0"/>
    <x v="1"/>
    <n v="0"/>
    <n v="0"/>
    <n v="13"/>
    <n v="16"/>
    <n v="0"/>
    <n v="78.650000000000006"/>
    <n v="229.87"/>
    <m/>
    <n v="114.48039155571371"/>
    <n v="216.60171770542672"/>
    <n v="0"/>
    <n v="2249.2327"/>
    <n v="6573.8222599999999"/>
    <n v="0"/>
    <n v="3273.9102377103004"/>
    <n v="6194.3759229397929"/>
  </r>
  <r>
    <s v="Regular"/>
    <x v="0"/>
    <x v="1"/>
    <x v="1"/>
    <x v="0"/>
    <x v="1"/>
    <x v="0"/>
    <x v="0"/>
    <x v="11"/>
    <n v="0"/>
    <n v="0"/>
    <n v="177.31899999999999"/>
    <n v="177.31899999999999"/>
    <n v="177.31899999999999"/>
    <n v="177.31899999999999"/>
    <n v="0"/>
    <x v="1"/>
    <n v="0"/>
    <n v="0"/>
    <n v="13"/>
    <n v="16"/>
    <n v="0"/>
    <n v="78.650000000000006"/>
    <n v="229.87"/>
    <m/>
    <n v="114.48039155571371"/>
    <n v="216.60171770542672"/>
    <n v="0"/>
    <n v="13946.139349999999"/>
    <n v="40760.318529999997"/>
    <n v="0"/>
    <n v="20299.548550267598"/>
    <n v="38407.599981808562"/>
  </r>
  <r>
    <s v="Sistema de Compensação"/>
    <x v="0"/>
    <x v="1"/>
    <x v="1"/>
    <x v="0"/>
    <x v="1"/>
    <x v="0"/>
    <x v="0"/>
    <x v="11"/>
    <n v="0"/>
    <n v="0"/>
    <n v="22.238"/>
    <n v="22.238"/>
    <n v="22.238"/>
    <n v="22.238"/>
    <n v="0"/>
    <x v="1"/>
    <n v="0"/>
    <n v="0"/>
    <n v="13"/>
    <n v="16"/>
    <n v="0"/>
    <n v="78.650000000000006"/>
    <n v="229.87"/>
    <m/>
    <n v="114.48039155571371"/>
    <n v="216.60171770542672"/>
    <n v="0"/>
    <n v="1749.0187000000001"/>
    <n v="5111.8490599999996"/>
    <n v="0"/>
    <n v="2545.8149474159613"/>
    <n v="4816.7889983332798"/>
  </r>
  <r>
    <s v="Regular"/>
    <x v="0"/>
    <x v="1"/>
    <x v="1"/>
    <x v="0"/>
    <x v="1"/>
    <x v="0"/>
    <x v="1"/>
    <x v="0"/>
    <n v="900"/>
    <n v="900"/>
    <n v="0"/>
    <n v="0"/>
    <n v="0"/>
    <n v="0"/>
    <n v="9"/>
    <x v="1"/>
    <n v="0"/>
    <n v="36"/>
    <n v="0"/>
    <n v="0"/>
    <n v="14.94"/>
    <n v="0"/>
    <n v="0"/>
    <n v="19.63429077280307"/>
    <m/>
    <m/>
    <n v="13446"/>
    <n v="0"/>
    <n v="0"/>
    <n v="17670.861695522763"/>
    <n v="0"/>
    <n v="0"/>
  </r>
  <r>
    <s v="Sistema de Compensação"/>
    <x v="0"/>
    <x v="1"/>
    <x v="1"/>
    <x v="0"/>
    <x v="1"/>
    <x v="0"/>
    <x v="1"/>
    <x v="0"/>
    <n v="150"/>
    <n v="150"/>
    <n v="0"/>
    <n v="0"/>
    <n v="0"/>
    <n v="0"/>
    <n v="1"/>
    <x v="1"/>
    <n v="0"/>
    <n v="36"/>
    <n v="0"/>
    <n v="0"/>
    <n v="14.94"/>
    <n v="0"/>
    <n v="0"/>
    <n v="19.63429077280307"/>
    <m/>
    <m/>
    <n v="2241"/>
    <n v="0"/>
    <n v="0"/>
    <n v="2945.1436159204604"/>
    <n v="0"/>
    <n v="0"/>
  </r>
  <r>
    <s v="Regular"/>
    <x v="0"/>
    <x v="1"/>
    <x v="1"/>
    <x v="0"/>
    <x v="1"/>
    <x v="0"/>
    <x v="1"/>
    <x v="1"/>
    <n v="877"/>
    <n v="877"/>
    <n v="0"/>
    <n v="0"/>
    <n v="0"/>
    <n v="0"/>
    <n v="9"/>
    <x v="1"/>
    <n v="0"/>
    <n v="36"/>
    <n v="0"/>
    <n v="0"/>
    <n v="14.94"/>
    <n v="0"/>
    <n v="0"/>
    <n v="19.63429077280307"/>
    <m/>
    <m/>
    <n v="13102.38"/>
    <n v="0"/>
    <n v="0"/>
    <n v="17219.273007748292"/>
    <n v="0"/>
    <n v="0"/>
  </r>
  <r>
    <s v="Sistema de Compensação"/>
    <x v="0"/>
    <x v="1"/>
    <x v="1"/>
    <x v="0"/>
    <x v="1"/>
    <x v="0"/>
    <x v="1"/>
    <x v="1"/>
    <n v="150"/>
    <n v="150"/>
    <n v="0"/>
    <n v="0"/>
    <n v="0"/>
    <n v="0"/>
    <n v="1"/>
    <x v="1"/>
    <n v="0"/>
    <n v="36"/>
    <n v="0"/>
    <n v="0"/>
    <n v="14.94"/>
    <n v="0"/>
    <n v="0"/>
    <n v="19.63429077280307"/>
    <m/>
    <m/>
    <n v="2241"/>
    <n v="0"/>
    <n v="0"/>
    <n v="2945.1436159204604"/>
    <n v="0"/>
    <n v="0"/>
  </r>
  <r>
    <s v="Regular"/>
    <x v="0"/>
    <x v="1"/>
    <x v="1"/>
    <x v="0"/>
    <x v="1"/>
    <x v="0"/>
    <x v="1"/>
    <x v="2"/>
    <n v="877"/>
    <n v="877"/>
    <n v="0"/>
    <n v="0"/>
    <n v="0"/>
    <n v="0"/>
    <n v="9"/>
    <x v="1"/>
    <n v="0"/>
    <n v="36"/>
    <n v="0"/>
    <n v="0"/>
    <n v="14.94"/>
    <n v="0"/>
    <n v="0"/>
    <n v="19.63429077280307"/>
    <m/>
    <m/>
    <n v="13102.38"/>
    <n v="0"/>
    <n v="0"/>
    <n v="17219.273007748292"/>
    <n v="0"/>
    <n v="0"/>
  </r>
  <r>
    <s v="Sistema de Compensação"/>
    <x v="0"/>
    <x v="1"/>
    <x v="1"/>
    <x v="0"/>
    <x v="1"/>
    <x v="0"/>
    <x v="1"/>
    <x v="2"/>
    <n v="150"/>
    <n v="150"/>
    <n v="0"/>
    <n v="0"/>
    <n v="0"/>
    <n v="0"/>
    <n v="1"/>
    <x v="1"/>
    <n v="0"/>
    <n v="36"/>
    <n v="0"/>
    <n v="0"/>
    <n v="14.94"/>
    <n v="0"/>
    <n v="0"/>
    <n v="19.63429077280307"/>
    <m/>
    <m/>
    <n v="2241"/>
    <n v="0"/>
    <n v="0"/>
    <n v="2945.1436159204604"/>
    <n v="0"/>
    <n v="0"/>
  </r>
  <r>
    <s v="Regular"/>
    <x v="0"/>
    <x v="1"/>
    <x v="1"/>
    <x v="0"/>
    <x v="1"/>
    <x v="0"/>
    <x v="1"/>
    <x v="3"/>
    <n v="877"/>
    <n v="877"/>
    <n v="0"/>
    <n v="0"/>
    <n v="0"/>
    <n v="0"/>
    <n v="9"/>
    <x v="1"/>
    <n v="0"/>
    <n v="36"/>
    <n v="0"/>
    <n v="0"/>
    <n v="14.94"/>
    <n v="0"/>
    <n v="0"/>
    <n v="19.63429077280307"/>
    <m/>
    <m/>
    <n v="13102.38"/>
    <n v="0"/>
    <n v="0"/>
    <n v="17219.273007748292"/>
    <n v="0"/>
    <n v="0"/>
  </r>
  <r>
    <s v="Sistema de Compensação"/>
    <x v="0"/>
    <x v="1"/>
    <x v="1"/>
    <x v="0"/>
    <x v="1"/>
    <x v="0"/>
    <x v="1"/>
    <x v="3"/>
    <n v="150"/>
    <n v="150"/>
    <n v="0"/>
    <n v="0"/>
    <n v="0"/>
    <n v="0"/>
    <n v="1"/>
    <x v="1"/>
    <n v="0"/>
    <n v="36"/>
    <n v="0"/>
    <n v="0"/>
    <n v="14.94"/>
    <n v="0"/>
    <n v="0"/>
    <n v="19.63429077280307"/>
    <m/>
    <m/>
    <n v="2241"/>
    <n v="0"/>
    <n v="0"/>
    <n v="2945.1436159204604"/>
    <n v="0"/>
    <n v="0"/>
  </r>
  <r>
    <s v="Regular"/>
    <x v="0"/>
    <x v="1"/>
    <x v="1"/>
    <x v="0"/>
    <x v="1"/>
    <x v="0"/>
    <x v="1"/>
    <x v="4"/>
    <n v="880"/>
    <n v="880"/>
    <n v="0"/>
    <n v="0"/>
    <n v="0"/>
    <n v="0"/>
    <n v="9"/>
    <x v="1"/>
    <n v="0"/>
    <n v="36"/>
    <n v="0"/>
    <n v="0"/>
    <n v="14.94"/>
    <n v="0"/>
    <n v="0"/>
    <n v="19.63429077280307"/>
    <m/>
    <m/>
    <n v="13147.199999999999"/>
    <n v="0"/>
    <n v="0"/>
    <n v="17278.175880066701"/>
    <n v="0"/>
    <n v="0"/>
  </r>
  <r>
    <s v="Sistema de Compensação"/>
    <x v="0"/>
    <x v="1"/>
    <x v="1"/>
    <x v="0"/>
    <x v="1"/>
    <x v="0"/>
    <x v="1"/>
    <x v="4"/>
    <n v="187"/>
    <n v="187"/>
    <n v="0"/>
    <n v="0"/>
    <n v="0"/>
    <n v="0"/>
    <n v="1"/>
    <x v="1"/>
    <n v="0"/>
    <n v="36"/>
    <n v="0"/>
    <n v="0"/>
    <n v="14.94"/>
    <n v="0"/>
    <n v="0"/>
    <n v="19.63429077280307"/>
    <m/>
    <m/>
    <n v="2793.7799999999997"/>
    <n v="0"/>
    <n v="0"/>
    <n v="3671.612374514174"/>
    <n v="0"/>
    <n v="0"/>
  </r>
  <r>
    <s v="Regular"/>
    <x v="0"/>
    <x v="1"/>
    <x v="1"/>
    <x v="0"/>
    <x v="1"/>
    <x v="0"/>
    <x v="1"/>
    <x v="5"/>
    <n v="890"/>
    <n v="890"/>
    <n v="0"/>
    <n v="0"/>
    <n v="0"/>
    <n v="0"/>
    <n v="9"/>
    <x v="1"/>
    <n v="0"/>
    <n v="36"/>
    <n v="0"/>
    <n v="0"/>
    <n v="14.94"/>
    <n v="0"/>
    <n v="0"/>
    <n v="19.63429077280307"/>
    <m/>
    <m/>
    <n v="13296.6"/>
    <n v="0"/>
    <n v="0"/>
    <n v="17474.518787794732"/>
    <n v="0"/>
    <n v="0"/>
  </r>
  <r>
    <s v="Sistema de Compensação"/>
    <x v="0"/>
    <x v="1"/>
    <x v="1"/>
    <x v="0"/>
    <x v="1"/>
    <x v="0"/>
    <x v="1"/>
    <x v="5"/>
    <n v="150"/>
    <n v="150"/>
    <n v="0"/>
    <n v="0"/>
    <n v="0"/>
    <n v="0"/>
    <n v="1"/>
    <x v="1"/>
    <n v="0"/>
    <n v="36"/>
    <n v="0"/>
    <n v="0"/>
    <n v="14.94"/>
    <n v="0"/>
    <n v="0"/>
    <n v="19.63429077280307"/>
    <m/>
    <m/>
    <n v="2241"/>
    <n v="0"/>
    <n v="0"/>
    <n v="2945.1436159204604"/>
    <n v="0"/>
    <n v="0"/>
  </r>
  <r>
    <s v="Regular"/>
    <x v="0"/>
    <x v="1"/>
    <x v="1"/>
    <x v="0"/>
    <x v="1"/>
    <x v="0"/>
    <x v="1"/>
    <x v="6"/>
    <n v="933"/>
    <n v="933"/>
    <n v="0"/>
    <n v="0"/>
    <n v="0"/>
    <n v="0"/>
    <n v="9"/>
    <x v="1"/>
    <n v="0"/>
    <n v="36"/>
    <n v="0"/>
    <n v="0"/>
    <n v="14.94"/>
    <n v="0"/>
    <n v="0"/>
    <n v="19.63429077280307"/>
    <m/>
    <m/>
    <n v="13939.02"/>
    <n v="0"/>
    <n v="0"/>
    <n v="18318.793291025264"/>
    <n v="0"/>
    <n v="0"/>
  </r>
  <r>
    <s v="Sistema de Compensação"/>
    <x v="0"/>
    <x v="1"/>
    <x v="1"/>
    <x v="0"/>
    <x v="1"/>
    <x v="0"/>
    <x v="1"/>
    <x v="6"/>
    <n v="150"/>
    <n v="150"/>
    <n v="0"/>
    <n v="0"/>
    <n v="0"/>
    <n v="0"/>
    <n v="1"/>
    <x v="1"/>
    <n v="0"/>
    <n v="36"/>
    <n v="0"/>
    <n v="0"/>
    <n v="14.94"/>
    <n v="0"/>
    <n v="0"/>
    <n v="19.63429077280307"/>
    <m/>
    <m/>
    <n v="2241"/>
    <n v="0"/>
    <n v="0"/>
    <n v="2945.1436159204604"/>
    <n v="0"/>
    <n v="0"/>
  </r>
  <r>
    <s v="Regular"/>
    <x v="0"/>
    <x v="1"/>
    <x v="1"/>
    <x v="0"/>
    <x v="1"/>
    <x v="0"/>
    <x v="1"/>
    <x v="7"/>
    <n v="891"/>
    <n v="891"/>
    <n v="0"/>
    <n v="0"/>
    <n v="0"/>
    <n v="0"/>
    <n v="9"/>
    <x v="1"/>
    <n v="0"/>
    <n v="36"/>
    <n v="0"/>
    <n v="0"/>
    <n v="14.94"/>
    <n v="0"/>
    <n v="0"/>
    <n v="19.63429077280307"/>
    <m/>
    <m/>
    <n v="13311.539999999999"/>
    <n v="0"/>
    <n v="0"/>
    <n v="17494.153078567535"/>
    <n v="0"/>
    <n v="0"/>
  </r>
  <r>
    <s v="Sistema de Compensação"/>
    <x v="0"/>
    <x v="1"/>
    <x v="1"/>
    <x v="0"/>
    <x v="1"/>
    <x v="0"/>
    <x v="1"/>
    <x v="7"/>
    <n v="191"/>
    <n v="191"/>
    <n v="0"/>
    <n v="0"/>
    <n v="0"/>
    <n v="0"/>
    <n v="1"/>
    <x v="1"/>
    <n v="0"/>
    <n v="36"/>
    <n v="0"/>
    <n v="0"/>
    <n v="14.94"/>
    <n v="0"/>
    <n v="0"/>
    <n v="19.63429077280307"/>
    <m/>
    <m/>
    <n v="2853.54"/>
    <n v="0"/>
    <n v="0"/>
    <n v="3750.1495376053863"/>
    <n v="0"/>
    <n v="0"/>
  </r>
  <r>
    <s v="Regular"/>
    <x v="0"/>
    <x v="1"/>
    <x v="1"/>
    <x v="0"/>
    <x v="1"/>
    <x v="0"/>
    <x v="1"/>
    <x v="8"/>
    <n v="882"/>
    <n v="882"/>
    <n v="0"/>
    <n v="0"/>
    <n v="0"/>
    <n v="0"/>
    <n v="9"/>
    <x v="1"/>
    <n v="0"/>
    <n v="36"/>
    <n v="0"/>
    <n v="0"/>
    <n v="14.94"/>
    <n v="0"/>
    <n v="0"/>
    <n v="19.63429077280307"/>
    <m/>
    <m/>
    <n v="13177.08"/>
    <n v="0"/>
    <n v="0"/>
    <n v="17317.444461612307"/>
    <n v="0"/>
    <n v="0"/>
  </r>
  <r>
    <s v="Sistema de Compensação"/>
    <x v="0"/>
    <x v="1"/>
    <x v="1"/>
    <x v="0"/>
    <x v="1"/>
    <x v="0"/>
    <x v="1"/>
    <x v="8"/>
    <n v="155"/>
    <n v="155"/>
    <n v="0"/>
    <n v="0"/>
    <n v="0"/>
    <n v="0"/>
    <n v="1"/>
    <x v="1"/>
    <n v="0"/>
    <n v="36"/>
    <n v="0"/>
    <n v="0"/>
    <n v="14.94"/>
    <n v="0"/>
    <n v="0"/>
    <n v="19.63429077280307"/>
    <m/>
    <m/>
    <n v="2315.6999999999998"/>
    <n v="0"/>
    <n v="0"/>
    <n v="3043.3150697844758"/>
    <n v="0"/>
    <n v="0"/>
  </r>
  <r>
    <s v="Regular"/>
    <x v="0"/>
    <x v="1"/>
    <x v="1"/>
    <x v="0"/>
    <x v="1"/>
    <x v="0"/>
    <x v="1"/>
    <x v="9"/>
    <n v="887"/>
    <n v="887"/>
    <n v="0"/>
    <n v="0"/>
    <n v="0"/>
    <n v="0"/>
    <n v="9"/>
    <x v="1"/>
    <n v="0"/>
    <n v="36"/>
    <n v="0"/>
    <n v="0"/>
    <n v="14.94"/>
    <n v="0"/>
    <n v="0"/>
    <n v="19.63429077280307"/>
    <m/>
    <m/>
    <n v="13251.779999999999"/>
    <n v="0"/>
    <n v="0"/>
    <n v="17415.615915476323"/>
    <n v="0"/>
    <n v="0"/>
  </r>
  <r>
    <s v="Sistema de Compensação"/>
    <x v="0"/>
    <x v="1"/>
    <x v="1"/>
    <x v="0"/>
    <x v="1"/>
    <x v="0"/>
    <x v="1"/>
    <x v="9"/>
    <n v="199"/>
    <n v="199"/>
    <n v="0"/>
    <n v="0"/>
    <n v="0"/>
    <n v="0"/>
    <n v="1"/>
    <x v="1"/>
    <n v="0"/>
    <n v="36"/>
    <n v="0"/>
    <n v="0"/>
    <n v="14.94"/>
    <n v="0"/>
    <n v="0"/>
    <n v="19.63429077280307"/>
    <m/>
    <m/>
    <n v="2973.06"/>
    <n v="0"/>
    <n v="0"/>
    <n v="3907.2238637878108"/>
    <n v="0"/>
    <n v="0"/>
  </r>
  <r>
    <s v="Regular"/>
    <x v="0"/>
    <x v="1"/>
    <x v="1"/>
    <x v="0"/>
    <x v="1"/>
    <x v="0"/>
    <x v="1"/>
    <x v="10"/>
    <n v="887"/>
    <n v="887"/>
    <n v="0"/>
    <n v="0"/>
    <n v="0"/>
    <n v="0"/>
    <n v="9"/>
    <x v="1"/>
    <n v="0"/>
    <n v="36"/>
    <n v="0"/>
    <n v="0"/>
    <n v="14.94"/>
    <n v="0"/>
    <n v="0"/>
    <n v="19.63429077280307"/>
    <m/>
    <m/>
    <n v="13251.779999999999"/>
    <n v="0"/>
    <n v="0"/>
    <n v="17415.615915476323"/>
    <n v="0"/>
    <n v="0"/>
  </r>
  <r>
    <s v="Sistema de Compensação"/>
    <x v="0"/>
    <x v="1"/>
    <x v="1"/>
    <x v="0"/>
    <x v="1"/>
    <x v="0"/>
    <x v="1"/>
    <x v="10"/>
    <n v="181"/>
    <n v="181"/>
    <n v="0"/>
    <n v="0"/>
    <n v="0"/>
    <n v="0"/>
    <n v="1"/>
    <x v="1"/>
    <n v="0"/>
    <n v="36"/>
    <n v="0"/>
    <n v="0"/>
    <n v="14.94"/>
    <n v="0"/>
    <n v="0"/>
    <n v="19.63429077280307"/>
    <m/>
    <m/>
    <n v="2704.14"/>
    <n v="0"/>
    <n v="0"/>
    <n v="3553.8066298773556"/>
    <n v="0"/>
    <n v="0"/>
  </r>
  <r>
    <s v="Regular"/>
    <x v="0"/>
    <x v="1"/>
    <x v="1"/>
    <x v="0"/>
    <x v="1"/>
    <x v="0"/>
    <x v="1"/>
    <x v="11"/>
    <n v="887"/>
    <n v="887"/>
    <n v="0"/>
    <n v="0"/>
    <n v="0"/>
    <n v="0"/>
    <n v="9"/>
    <x v="1"/>
    <n v="0"/>
    <n v="36"/>
    <n v="0"/>
    <n v="0"/>
    <n v="14.94"/>
    <n v="0"/>
    <n v="0"/>
    <n v="19.63429077280307"/>
    <m/>
    <m/>
    <n v="13251.779999999999"/>
    <n v="0"/>
    <n v="0"/>
    <n v="17415.615915476323"/>
    <n v="0"/>
    <n v="0"/>
  </r>
  <r>
    <s v="Sistema de Compensação"/>
    <x v="0"/>
    <x v="1"/>
    <x v="1"/>
    <x v="0"/>
    <x v="1"/>
    <x v="0"/>
    <x v="1"/>
    <x v="11"/>
    <n v="150"/>
    <n v="150"/>
    <n v="0"/>
    <n v="0"/>
    <n v="0"/>
    <n v="0"/>
    <n v="1"/>
    <x v="1"/>
    <n v="0"/>
    <n v="36"/>
    <n v="0"/>
    <n v="0"/>
    <n v="14.94"/>
    <n v="0"/>
    <n v="0"/>
    <n v="19.63429077280307"/>
    <m/>
    <m/>
    <n v="2241"/>
    <n v="0"/>
    <n v="0"/>
    <n v="2945.1436159204604"/>
    <n v="0"/>
    <n v="0"/>
  </r>
  <r>
    <s v="Regular"/>
    <x v="0"/>
    <x v="1"/>
    <x v="1"/>
    <x v="0"/>
    <x v="1"/>
    <x v="0"/>
    <x v="2"/>
    <x v="0"/>
    <n v="0"/>
    <n v="0"/>
    <n v="16.327999999999999"/>
    <n v="16.327999999999999"/>
    <n v="16.327999999999999"/>
    <n v="16.327999999999999"/>
    <n v="0"/>
    <x v="1"/>
    <n v="0"/>
    <n v="0"/>
    <n v="15"/>
    <n v="9"/>
    <n v="0"/>
    <n v="940.75"/>
    <n v="373.71"/>
    <m/>
    <n v="966.5081601045739"/>
    <n v="347.98834052804079"/>
    <n v="0"/>
    <n v="15360.565999999999"/>
    <n v="6101.9368799999993"/>
    <n v="0"/>
    <n v="15781.145238187482"/>
    <n v="5681.95362414185"/>
  </r>
  <r>
    <s v="Sistema de Compensação"/>
    <x v="0"/>
    <x v="1"/>
    <x v="1"/>
    <x v="0"/>
    <x v="1"/>
    <x v="0"/>
    <x v="2"/>
    <x v="0"/>
    <n v="0"/>
    <n v="0"/>
    <n v="1.6339999999999999"/>
    <n v="1.6339999999999999"/>
    <n v="1.6339999999999999"/>
    <n v="1.6339999999999999"/>
    <n v="0"/>
    <x v="1"/>
    <n v="0"/>
    <n v="0"/>
    <n v="15"/>
    <n v="9"/>
    <n v="0"/>
    <n v="940.75"/>
    <n v="373.71"/>
    <m/>
    <n v="966.5081601045739"/>
    <n v="347.98834052804079"/>
    <n v="0"/>
    <n v="1537.1854999999998"/>
    <n v="610.64213999999993"/>
    <n v="0"/>
    <n v="1579.2743336108736"/>
    <n v="568.61294842281859"/>
  </r>
  <r>
    <s v="Regular"/>
    <x v="0"/>
    <x v="1"/>
    <x v="1"/>
    <x v="0"/>
    <x v="1"/>
    <x v="0"/>
    <x v="2"/>
    <x v="1"/>
    <n v="0"/>
    <n v="0"/>
    <n v="16.292999999999999"/>
    <n v="16.292999999999999"/>
    <n v="16.292999999999999"/>
    <n v="16.292999999999999"/>
    <n v="0"/>
    <x v="1"/>
    <n v="0"/>
    <n v="0"/>
    <n v="15"/>
    <n v="9"/>
    <n v="0"/>
    <n v="940.75"/>
    <n v="373.71"/>
    <m/>
    <n v="966.5081601045739"/>
    <n v="347.98834052804079"/>
    <n v="0"/>
    <n v="15327.639749999998"/>
    <n v="6088.8570299999992"/>
    <n v="0"/>
    <n v="15747.317452583822"/>
    <n v="5669.7740322233685"/>
  </r>
  <r>
    <s v="Sistema de Compensação"/>
    <x v="0"/>
    <x v="1"/>
    <x v="1"/>
    <x v="0"/>
    <x v="1"/>
    <x v="0"/>
    <x v="2"/>
    <x v="1"/>
    <n v="0"/>
    <n v="0"/>
    <n v="1.1910000000000001"/>
    <n v="1.1910000000000001"/>
    <n v="1.1910000000000001"/>
    <n v="1.1910000000000001"/>
    <n v="0"/>
    <x v="1"/>
    <n v="0"/>
    <n v="0"/>
    <n v="15"/>
    <n v="9"/>
    <n v="0"/>
    <n v="940.75"/>
    <n v="373.71"/>
    <m/>
    <n v="966.5081601045739"/>
    <n v="347.98834052804079"/>
    <n v="0"/>
    <n v="1120.43325"/>
    <n v="445.08861000000002"/>
    <n v="0"/>
    <n v="1151.1112186845476"/>
    <n v="414.45411356889662"/>
  </r>
  <r>
    <s v="Regular"/>
    <x v="0"/>
    <x v="1"/>
    <x v="1"/>
    <x v="0"/>
    <x v="1"/>
    <x v="0"/>
    <x v="2"/>
    <x v="2"/>
    <n v="0"/>
    <n v="0"/>
    <n v="16.042000000000002"/>
    <n v="16.042000000000002"/>
    <n v="16.042000000000002"/>
    <n v="16.042000000000002"/>
    <n v="0"/>
    <x v="1"/>
    <n v="0"/>
    <n v="0"/>
    <n v="15"/>
    <n v="9"/>
    <n v="0"/>
    <n v="940.75"/>
    <n v="373.71"/>
    <m/>
    <n v="966.5081601045739"/>
    <n v="347.98834052804079"/>
    <n v="0"/>
    <n v="15091.511500000002"/>
    <n v="5995.0558200000005"/>
    <n v="0"/>
    <n v="15504.723904397577"/>
    <n v="5582.428958750831"/>
  </r>
  <r>
    <s v="Sistema de Compensação"/>
    <x v="0"/>
    <x v="1"/>
    <x v="1"/>
    <x v="0"/>
    <x v="1"/>
    <x v="0"/>
    <x v="2"/>
    <x v="2"/>
    <n v="0"/>
    <n v="0"/>
    <n v="0.97299999999999998"/>
    <n v="0.97299999999999998"/>
    <n v="0.97299999999999998"/>
    <n v="0.97299999999999998"/>
    <n v="0"/>
    <x v="1"/>
    <n v="0"/>
    <n v="0"/>
    <n v="15"/>
    <n v="9"/>
    <n v="0"/>
    <n v="940.75"/>
    <n v="373.71"/>
    <m/>
    <n v="966.5081601045739"/>
    <n v="347.98834052804079"/>
    <n v="0"/>
    <n v="915.34974999999997"/>
    <n v="363.61982999999998"/>
    <n v="0"/>
    <n v="940.41243978175044"/>
    <n v="338.59265533378368"/>
  </r>
  <r>
    <s v="Regular"/>
    <x v="0"/>
    <x v="1"/>
    <x v="1"/>
    <x v="0"/>
    <x v="1"/>
    <x v="0"/>
    <x v="2"/>
    <x v="3"/>
    <n v="0"/>
    <n v="0"/>
    <n v="15.581"/>
    <n v="15.581"/>
    <n v="15.581"/>
    <n v="15.581"/>
    <n v="0"/>
    <x v="1"/>
    <n v="0"/>
    <n v="0"/>
    <n v="15"/>
    <n v="9"/>
    <n v="0"/>
    <n v="940.75"/>
    <n v="373.71"/>
    <m/>
    <n v="966.5081601045739"/>
    <n v="347.98834052804079"/>
    <n v="0"/>
    <n v="14657.82575"/>
    <n v="5822.7755099999995"/>
    <n v="0"/>
    <n v="15059.163642589365"/>
    <n v="5422.0063337674037"/>
  </r>
  <r>
    <s v="Sistema de Compensação"/>
    <x v="0"/>
    <x v="1"/>
    <x v="1"/>
    <x v="0"/>
    <x v="1"/>
    <x v="0"/>
    <x v="2"/>
    <x v="3"/>
    <n v="0"/>
    <n v="0"/>
    <n v="0.995"/>
    <n v="0.995"/>
    <n v="0.995"/>
    <n v="0.995"/>
    <n v="0"/>
    <x v="1"/>
    <n v="0"/>
    <n v="0"/>
    <n v="15"/>
    <n v="9"/>
    <n v="0"/>
    <n v="940.75"/>
    <n v="373.71"/>
    <m/>
    <n v="966.5081601045739"/>
    <n v="347.98834052804079"/>
    <n v="0"/>
    <n v="936.04624999999999"/>
    <n v="371.84144999999995"/>
    <n v="0"/>
    <n v="961.675619304051"/>
    <n v="346.24839882540061"/>
  </r>
  <r>
    <s v="Regular"/>
    <x v="0"/>
    <x v="1"/>
    <x v="1"/>
    <x v="0"/>
    <x v="1"/>
    <x v="0"/>
    <x v="2"/>
    <x v="4"/>
    <n v="0"/>
    <n v="0"/>
    <n v="18.66"/>
    <n v="18.66"/>
    <n v="18.66"/>
    <n v="18.66"/>
    <n v="0"/>
    <x v="1"/>
    <n v="0"/>
    <n v="0"/>
    <n v="15"/>
    <n v="9"/>
    <n v="0"/>
    <n v="940.75"/>
    <n v="373.71"/>
    <m/>
    <n v="966.5081601045739"/>
    <n v="347.98834052804079"/>
    <n v="0"/>
    <n v="17554.395"/>
    <n v="6973.4285999999993"/>
    <n v="0"/>
    <n v="18035.042267551351"/>
    <n v="6493.4624342532416"/>
  </r>
  <r>
    <s v="Sistema de Compensação"/>
    <x v="0"/>
    <x v="1"/>
    <x v="1"/>
    <x v="0"/>
    <x v="1"/>
    <x v="0"/>
    <x v="2"/>
    <x v="4"/>
    <n v="0"/>
    <n v="0"/>
    <n v="2.6749999999999998"/>
    <n v="2.6749999999999998"/>
    <n v="2.6749999999999998"/>
    <n v="2.6749999999999998"/>
    <n v="0"/>
    <x v="1"/>
    <n v="0"/>
    <n v="0"/>
    <n v="15"/>
    <n v="9"/>
    <n v="0"/>
    <n v="940.75"/>
    <n v="373.71"/>
    <m/>
    <n v="966.5081601045739"/>
    <n v="347.98834052804079"/>
    <n v="0"/>
    <n v="2516.5062499999999"/>
    <n v="999.67424999999992"/>
    <n v="0"/>
    <n v="2585.4093282797348"/>
    <n v="930.86881091250905"/>
  </r>
  <r>
    <s v="Regular"/>
    <x v="0"/>
    <x v="1"/>
    <x v="1"/>
    <x v="0"/>
    <x v="1"/>
    <x v="0"/>
    <x v="2"/>
    <x v="5"/>
    <n v="0"/>
    <n v="0"/>
    <n v="22.087"/>
    <n v="22.087"/>
    <n v="22.087"/>
    <n v="22.087"/>
    <n v="0"/>
    <x v="1"/>
    <n v="0"/>
    <n v="0"/>
    <n v="15"/>
    <n v="9"/>
    <n v="0"/>
    <n v="940.75"/>
    <n v="373.71"/>
    <m/>
    <n v="966.5081601045739"/>
    <n v="347.98834052804079"/>
    <n v="0"/>
    <n v="20778.345249999998"/>
    <n v="8254.1327700000002"/>
    <n v="0"/>
    <n v="21347.265732229724"/>
    <n v="7686.0184772428365"/>
  </r>
  <r>
    <s v="Sistema de Compensação"/>
    <x v="0"/>
    <x v="1"/>
    <x v="1"/>
    <x v="0"/>
    <x v="1"/>
    <x v="0"/>
    <x v="2"/>
    <x v="5"/>
    <n v="0"/>
    <n v="0"/>
    <n v="0.97"/>
    <n v="0.97"/>
    <n v="0.97"/>
    <n v="0.97"/>
    <n v="0"/>
    <x v="1"/>
    <n v="0"/>
    <n v="0"/>
    <n v="15"/>
    <n v="9"/>
    <n v="0"/>
    <n v="940.75"/>
    <n v="373.71"/>
    <m/>
    <n v="966.5081601045739"/>
    <n v="347.98834052804079"/>
    <n v="0"/>
    <n v="912.52749999999992"/>
    <n v="362.49869999999999"/>
    <n v="0"/>
    <n v="937.51291530143669"/>
    <n v="337.54869031219954"/>
  </r>
  <r>
    <s v="Regular"/>
    <x v="0"/>
    <x v="1"/>
    <x v="1"/>
    <x v="0"/>
    <x v="1"/>
    <x v="0"/>
    <x v="2"/>
    <x v="6"/>
    <n v="0"/>
    <n v="0"/>
    <n v="21.966000000000001"/>
    <n v="21.966000000000001"/>
    <n v="21.966000000000001"/>
    <n v="21.966000000000001"/>
    <n v="0"/>
    <x v="1"/>
    <n v="0"/>
    <n v="0"/>
    <n v="15"/>
    <n v="9"/>
    <n v="0"/>
    <n v="940.75"/>
    <n v="373.71"/>
    <m/>
    <n v="966.5081601045739"/>
    <n v="347.98834052804079"/>
    <n v="0"/>
    <n v="20664.514500000001"/>
    <n v="8208.9138600000006"/>
    <n v="0"/>
    <n v="21230.31824485707"/>
    <n v="7643.9118880389442"/>
  </r>
  <r>
    <s v="Sistema de Compensação"/>
    <x v="0"/>
    <x v="1"/>
    <x v="1"/>
    <x v="0"/>
    <x v="1"/>
    <x v="0"/>
    <x v="2"/>
    <x v="6"/>
    <n v="0"/>
    <n v="0"/>
    <n v="2.1240000000000001"/>
    <n v="2.1240000000000001"/>
    <n v="2.1240000000000001"/>
    <n v="2.1240000000000001"/>
    <n v="0"/>
    <x v="1"/>
    <n v="0"/>
    <n v="0"/>
    <n v="15"/>
    <n v="9"/>
    <n v="0"/>
    <n v="940.75"/>
    <n v="373.71"/>
    <m/>
    <n v="966.5081601045739"/>
    <n v="347.98834052804079"/>
    <n v="0"/>
    <n v="1998.153"/>
    <n v="793.76004"/>
    <n v="0"/>
    <n v="2052.8633320621152"/>
    <n v="739.12723528155868"/>
  </r>
  <r>
    <s v="Regular"/>
    <x v="0"/>
    <x v="1"/>
    <x v="1"/>
    <x v="0"/>
    <x v="1"/>
    <x v="0"/>
    <x v="2"/>
    <x v="7"/>
    <n v="0"/>
    <n v="0"/>
    <n v="20.425000000000001"/>
    <n v="20.425000000000001"/>
    <n v="20.425000000000001"/>
    <n v="20.425000000000001"/>
    <n v="0"/>
    <x v="1"/>
    <n v="0"/>
    <n v="0"/>
    <n v="15"/>
    <n v="9"/>
    <n v="0"/>
    <n v="940.75"/>
    <n v="373.71"/>
    <m/>
    <n v="966.5081601045739"/>
    <n v="347.98834052804079"/>
    <n v="0"/>
    <n v="19214.818750000002"/>
    <n v="7633.02675"/>
    <n v="0"/>
    <n v="19740.929170135922"/>
    <n v="7107.6618552852333"/>
  </r>
  <r>
    <s v="Sistema de Compensação"/>
    <x v="0"/>
    <x v="1"/>
    <x v="1"/>
    <x v="0"/>
    <x v="1"/>
    <x v="0"/>
    <x v="2"/>
    <x v="7"/>
    <n v="0"/>
    <n v="0"/>
    <n v="4.3490000000000002"/>
    <n v="4.3490000000000002"/>
    <n v="4.3490000000000002"/>
    <n v="4.3490000000000002"/>
    <n v="0"/>
    <x v="1"/>
    <n v="0"/>
    <n v="0"/>
    <n v="15"/>
    <n v="9"/>
    <n v="0"/>
    <n v="940.75"/>
    <n v="373.71"/>
    <m/>
    <n v="966.5081601045739"/>
    <n v="347.98834052804079"/>
    <n v="0"/>
    <n v="4091.3217500000001"/>
    <n v="1625.2647899999999"/>
    <n v="0"/>
    <n v="4203.3439882947923"/>
    <n v="1513.4012929564494"/>
  </r>
  <r>
    <s v="Regular"/>
    <x v="0"/>
    <x v="1"/>
    <x v="1"/>
    <x v="0"/>
    <x v="1"/>
    <x v="0"/>
    <x v="2"/>
    <x v="8"/>
    <n v="0"/>
    <n v="0"/>
    <n v="19.513000000000002"/>
    <n v="19.513000000000002"/>
    <n v="19.513000000000002"/>
    <n v="19.513000000000002"/>
    <n v="0"/>
    <x v="1"/>
    <n v="0"/>
    <n v="0"/>
    <n v="15"/>
    <n v="9"/>
    <n v="0"/>
    <n v="940.75"/>
    <n v="373.71"/>
    <m/>
    <n v="966.5081601045739"/>
    <n v="347.98834052804079"/>
    <n v="0"/>
    <n v="18356.854750000002"/>
    <n v="7292.2032300000001"/>
    <n v="0"/>
    <n v="18859.473728120553"/>
    <n v="6790.2964887236603"/>
  </r>
  <r>
    <s v="Sistema de Compensação"/>
    <x v="0"/>
    <x v="1"/>
    <x v="1"/>
    <x v="0"/>
    <x v="1"/>
    <x v="0"/>
    <x v="2"/>
    <x v="8"/>
    <n v="0"/>
    <n v="0"/>
    <n v="3.1930000000000001"/>
    <n v="3.1930000000000001"/>
    <n v="3.1930000000000001"/>
    <n v="3.1930000000000001"/>
    <n v="0"/>
    <x v="1"/>
    <n v="0"/>
    <n v="0"/>
    <n v="15"/>
    <n v="9"/>
    <n v="0"/>
    <n v="940.75"/>
    <n v="373.71"/>
    <m/>
    <n v="966.5081601045739"/>
    <n v="347.98834052804079"/>
    <n v="0"/>
    <n v="3003.81475"/>
    <n v="1193.25603"/>
    <n v="0"/>
    <n v="3086.0605552139045"/>
    <n v="1111.1267713060342"/>
  </r>
  <r>
    <s v="Regular"/>
    <x v="0"/>
    <x v="1"/>
    <x v="1"/>
    <x v="0"/>
    <x v="1"/>
    <x v="0"/>
    <x v="2"/>
    <x v="9"/>
    <n v="0"/>
    <n v="0"/>
    <n v="15.244999999999999"/>
    <n v="15.244999999999999"/>
    <n v="15.244999999999999"/>
    <n v="15.244999999999999"/>
    <n v="0"/>
    <x v="1"/>
    <n v="0"/>
    <n v="0"/>
    <n v="15"/>
    <n v="9"/>
    <n v="0"/>
    <n v="940.75"/>
    <n v="373.71"/>
    <m/>
    <n v="966.5081601045739"/>
    <n v="347.98834052804079"/>
    <n v="0"/>
    <n v="14341.733749999999"/>
    <n v="5697.2089499999993"/>
    <n v="0"/>
    <n v="14734.416900794229"/>
    <n v="5305.0822513499816"/>
  </r>
  <r>
    <s v="Sistema de Compensação"/>
    <x v="0"/>
    <x v="1"/>
    <x v="1"/>
    <x v="0"/>
    <x v="1"/>
    <x v="0"/>
    <x v="2"/>
    <x v="9"/>
    <n v="0"/>
    <n v="0"/>
    <n v="4.415"/>
    <n v="4.415"/>
    <n v="4.415"/>
    <n v="4.415"/>
    <n v="0"/>
    <x v="1"/>
    <n v="0"/>
    <n v="0"/>
    <n v="15"/>
    <n v="9"/>
    <n v="0"/>
    <n v="940.75"/>
    <n v="373.71"/>
    <m/>
    <n v="966.5081601045739"/>
    <n v="347.98834052804079"/>
    <n v="0"/>
    <n v="4153.4112500000001"/>
    <n v="1649.9296499999998"/>
    <n v="0"/>
    <n v="4267.133526861694"/>
    <n v="1536.3685234313002"/>
  </r>
  <r>
    <s v="Regular"/>
    <x v="0"/>
    <x v="1"/>
    <x v="1"/>
    <x v="0"/>
    <x v="1"/>
    <x v="0"/>
    <x v="2"/>
    <x v="10"/>
    <n v="0"/>
    <n v="0"/>
    <n v="16.850000000000001"/>
    <n v="16.850000000000001"/>
    <n v="16.850000000000001"/>
    <n v="16.850000000000001"/>
    <n v="0"/>
    <x v="1"/>
    <n v="0"/>
    <n v="0"/>
    <n v="15"/>
    <n v="9"/>
    <n v="0"/>
    <n v="940.75"/>
    <n v="373.71"/>
    <m/>
    <n v="966.5081601045739"/>
    <n v="347.98834052804079"/>
    <n v="0"/>
    <n v="15851.637500000001"/>
    <n v="6297.0135"/>
    <n v="0"/>
    <n v="16285.662497762072"/>
    <n v="5863.6035378974875"/>
  </r>
  <r>
    <s v="Sistema de Compensação"/>
    <x v="0"/>
    <x v="1"/>
    <x v="1"/>
    <x v="0"/>
    <x v="1"/>
    <x v="0"/>
    <x v="2"/>
    <x v="10"/>
    <n v="0"/>
    <n v="0"/>
    <n v="3.4889999999999999"/>
    <n v="3.4889999999999999"/>
    <n v="3.4889999999999999"/>
    <n v="3.4889999999999999"/>
    <n v="0"/>
    <x v="1"/>
    <n v="0"/>
    <n v="0"/>
    <n v="15"/>
    <n v="9"/>
    <n v="0"/>
    <n v="940.75"/>
    <n v="373.71"/>
    <m/>
    <n v="966.5081601045739"/>
    <n v="347.98834052804079"/>
    <n v="0"/>
    <n v="3282.27675"/>
    <n v="1303.8741899999998"/>
    <n v="0"/>
    <n v="3372.1469706048583"/>
    <n v="1214.1313201023343"/>
  </r>
  <r>
    <s v="Regular"/>
    <x v="0"/>
    <x v="1"/>
    <x v="1"/>
    <x v="0"/>
    <x v="1"/>
    <x v="0"/>
    <x v="2"/>
    <x v="11"/>
    <n v="0"/>
    <n v="0"/>
    <n v="16.263999999999999"/>
    <n v="16.263999999999999"/>
    <n v="16.263999999999999"/>
    <n v="16.263999999999999"/>
    <n v="0"/>
    <x v="1"/>
    <n v="0"/>
    <n v="0"/>
    <n v="15"/>
    <n v="9"/>
    <n v="0"/>
    <n v="940.75"/>
    <n v="373.71"/>
    <m/>
    <n v="966.5081601045739"/>
    <n v="347.98834052804079"/>
    <n v="0"/>
    <n v="15300.358"/>
    <n v="6078.0194399999991"/>
    <n v="0"/>
    <n v="15719.288715940789"/>
    <n v="5659.682370348055"/>
  </r>
  <r>
    <s v="Sistema de Compensação"/>
    <x v="0"/>
    <x v="1"/>
    <x v="1"/>
    <x v="0"/>
    <x v="1"/>
    <x v="0"/>
    <x v="2"/>
    <x v="11"/>
    <n v="0"/>
    <n v="0"/>
    <n v="1.599"/>
    <n v="1.599"/>
    <n v="1.599"/>
    <n v="1.599"/>
    <n v="0"/>
    <x v="1"/>
    <n v="0"/>
    <n v="0"/>
    <n v="15"/>
    <n v="9"/>
    <n v="0"/>
    <n v="940.75"/>
    <n v="373.71"/>
    <m/>
    <n v="966.5081601045739"/>
    <n v="347.98834052804079"/>
    <n v="0"/>
    <n v="1504.2592500000001"/>
    <n v="597.56228999999996"/>
    <n v="0"/>
    <n v="1545.4465480072136"/>
    <n v="556.43335650433721"/>
  </r>
  <r>
    <s v="Regular"/>
    <x v="0"/>
    <x v="1"/>
    <x v="0"/>
    <x v="0"/>
    <x v="0"/>
    <x v="0"/>
    <x v="0"/>
    <x v="0"/>
    <n v="0"/>
    <n v="0"/>
    <n v="203.71100000000001"/>
    <n v="203.71100000000001"/>
    <n v="0"/>
    <n v="0"/>
    <n v="0"/>
    <x v="0"/>
    <n v="0"/>
    <n v="0"/>
    <n v="13"/>
    <n v="0"/>
    <n v="0"/>
    <n v="78.650000000000006"/>
    <n v="0"/>
    <m/>
    <n v="114.48039155571371"/>
    <m/>
    <n v="0"/>
    <n v="16021.870150000002"/>
    <n v="0"/>
    <n v="0"/>
    <n v="23320.915044205998"/>
    <n v="0"/>
  </r>
  <r>
    <s v="Regular"/>
    <x v="0"/>
    <x v="1"/>
    <x v="0"/>
    <x v="0"/>
    <x v="0"/>
    <x v="0"/>
    <x v="0"/>
    <x v="1"/>
    <n v="0"/>
    <n v="0"/>
    <n v="190.25899999999999"/>
    <n v="190.25899999999999"/>
    <n v="0"/>
    <n v="0"/>
    <n v="0"/>
    <x v="0"/>
    <n v="0"/>
    <n v="0"/>
    <n v="13"/>
    <n v="0"/>
    <n v="0"/>
    <n v="78.650000000000006"/>
    <n v="0"/>
    <m/>
    <n v="114.48039155571371"/>
    <m/>
    <n v="0"/>
    <n v="14963.870349999999"/>
    <n v="0"/>
    <n v="0"/>
    <n v="21780.924816998533"/>
    <n v="0"/>
  </r>
  <r>
    <s v="Regular"/>
    <x v="0"/>
    <x v="1"/>
    <x v="0"/>
    <x v="0"/>
    <x v="0"/>
    <x v="0"/>
    <x v="0"/>
    <x v="2"/>
    <n v="0"/>
    <n v="0"/>
    <n v="195.62299999999999"/>
    <n v="195.62299999999999"/>
    <n v="0"/>
    <n v="0"/>
    <n v="0"/>
    <x v="0"/>
    <n v="0"/>
    <n v="0"/>
    <n v="13"/>
    <n v="0"/>
    <n v="0"/>
    <n v="78.650000000000006"/>
    <n v="0"/>
    <m/>
    <n v="114.48039155571371"/>
    <m/>
    <n v="0"/>
    <n v="15385.748950000001"/>
    <n v="0"/>
    <n v="0"/>
    <n v="22394.997637303382"/>
    <n v="0"/>
  </r>
  <r>
    <s v="Regular"/>
    <x v="0"/>
    <x v="1"/>
    <x v="0"/>
    <x v="0"/>
    <x v="0"/>
    <x v="0"/>
    <x v="0"/>
    <x v="3"/>
    <n v="0"/>
    <n v="0"/>
    <n v="207.36500000000001"/>
    <n v="207.36500000000001"/>
    <n v="0"/>
    <n v="0"/>
    <n v="0"/>
    <x v="0"/>
    <n v="0"/>
    <n v="0"/>
    <n v="13"/>
    <n v="0"/>
    <n v="0"/>
    <n v="78.650000000000006"/>
    <n v="0"/>
    <m/>
    <n v="114.48039155571371"/>
    <m/>
    <n v="0"/>
    <n v="16309.257250000002"/>
    <n v="0"/>
    <n v="0"/>
    <n v="23739.226394950576"/>
    <n v="0"/>
  </r>
  <r>
    <s v="Regular"/>
    <x v="0"/>
    <x v="1"/>
    <x v="0"/>
    <x v="0"/>
    <x v="0"/>
    <x v="0"/>
    <x v="0"/>
    <x v="4"/>
    <n v="0"/>
    <n v="0"/>
    <n v="204.29"/>
    <n v="204.29"/>
    <n v="0"/>
    <n v="0"/>
    <n v="0"/>
    <x v="0"/>
    <n v="0"/>
    <n v="0"/>
    <n v="13"/>
    <n v="0"/>
    <n v="0"/>
    <n v="78.650000000000006"/>
    <n v="0"/>
    <m/>
    <n v="114.48039155571371"/>
    <m/>
    <n v="0"/>
    <n v="16067.408500000001"/>
    <n v="0"/>
    <n v="0"/>
    <n v="23387.199190916752"/>
    <n v="0"/>
  </r>
  <r>
    <s v="Regular"/>
    <x v="0"/>
    <x v="1"/>
    <x v="0"/>
    <x v="0"/>
    <x v="0"/>
    <x v="0"/>
    <x v="0"/>
    <x v="5"/>
    <n v="0"/>
    <n v="0"/>
    <n v="141.66499999999999"/>
    <n v="141.66499999999999"/>
    <n v="0"/>
    <n v="0"/>
    <n v="0"/>
    <x v="0"/>
    <n v="0"/>
    <n v="0"/>
    <n v="13"/>
    <n v="0"/>
    <n v="0"/>
    <n v="78.650000000000006"/>
    <n v="0"/>
    <m/>
    <n v="114.48039155571371"/>
    <m/>
    <n v="0"/>
    <n v="11141.95225"/>
    <n v="0"/>
    <n v="0"/>
    <n v="16217.864669740182"/>
    <n v="0"/>
  </r>
  <r>
    <s v="Regular"/>
    <x v="0"/>
    <x v="1"/>
    <x v="0"/>
    <x v="0"/>
    <x v="0"/>
    <x v="0"/>
    <x v="0"/>
    <x v="6"/>
    <n v="0"/>
    <n v="0"/>
    <n v="332.79"/>
    <n v="332.79"/>
    <n v="0"/>
    <n v="0"/>
    <n v="0"/>
    <x v="0"/>
    <n v="0"/>
    <n v="0"/>
    <n v="13"/>
    <n v="0"/>
    <n v="0"/>
    <n v="78.650000000000006"/>
    <n v="0"/>
    <m/>
    <n v="114.48039155571371"/>
    <m/>
    <n v="0"/>
    <n v="26173.933500000003"/>
    <n v="0"/>
    <n v="0"/>
    <n v="38097.929505825967"/>
    <n v="0"/>
  </r>
  <r>
    <s v="Regular"/>
    <x v="0"/>
    <x v="1"/>
    <x v="0"/>
    <x v="0"/>
    <x v="0"/>
    <x v="0"/>
    <x v="0"/>
    <x v="7"/>
    <n v="0"/>
    <n v="0"/>
    <n v="302.23500000000001"/>
    <n v="302.23500000000001"/>
    <n v="0"/>
    <n v="0"/>
    <n v="0"/>
    <x v="0"/>
    <n v="0"/>
    <n v="0"/>
    <n v="13"/>
    <n v="0"/>
    <n v="0"/>
    <n v="78.650000000000006"/>
    <n v="0"/>
    <m/>
    <n v="114.48039155571371"/>
    <m/>
    <n v="0"/>
    <n v="23770.782750000002"/>
    <n v="0"/>
    <n v="0"/>
    <n v="34599.981141841134"/>
    <n v="0"/>
  </r>
  <r>
    <s v="Regular"/>
    <x v="0"/>
    <x v="1"/>
    <x v="0"/>
    <x v="0"/>
    <x v="0"/>
    <x v="0"/>
    <x v="0"/>
    <x v="8"/>
    <n v="0"/>
    <n v="0"/>
    <n v="346.10300000000001"/>
    <n v="346.10300000000001"/>
    <n v="0"/>
    <n v="0"/>
    <n v="0"/>
    <x v="0"/>
    <n v="0"/>
    <n v="0"/>
    <n v="13"/>
    <n v="0"/>
    <n v="0"/>
    <n v="78.650000000000006"/>
    <n v="0"/>
    <m/>
    <n v="114.48039155571371"/>
    <m/>
    <n v="0"/>
    <n v="27221.000950000001"/>
    <n v="0"/>
    <n v="0"/>
    <n v="39622.006958607184"/>
    <n v="0"/>
  </r>
  <r>
    <s v="Regular"/>
    <x v="0"/>
    <x v="1"/>
    <x v="0"/>
    <x v="0"/>
    <x v="0"/>
    <x v="0"/>
    <x v="0"/>
    <x v="9"/>
    <n v="0"/>
    <n v="0"/>
    <n v="285.63600000000002"/>
    <n v="285.63600000000002"/>
    <n v="0"/>
    <n v="0"/>
    <n v="0"/>
    <x v="0"/>
    <n v="0"/>
    <n v="0"/>
    <n v="13"/>
    <n v="0"/>
    <n v="0"/>
    <n v="78.650000000000006"/>
    <n v="0"/>
    <m/>
    <n v="114.48039155571371"/>
    <m/>
    <n v="0"/>
    <n v="22465.271400000005"/>
    <n v="0"/>
    <n v="0"/>
    <n v="32699.721122407842"/>
    <n v="0"/>
  </r>
  <r>
    <s v="Regular"/>
    <x v="0"/>
    <x v="1"/>
    <x v="0"/>
    <x v="0"/>
    <x v="0"/>
    <x v="0"/>
    <x v="0"/>
    <x v="10"/>
    <n v="0"/>
    <n v="0"/>
    <n v="303.78500000000003"/>
    <n v="303.78500000000003"/>
    <n v="0"/>
    <n v="0"/>
    <n v="0"/>
    <x v="0"/>
    <n v="0"/>
    <n v="0"/>
    <n v="13"/>
    <n v="0"/>
    <n v="0"/>
    <n v="78.650000000000006"/>
    <n v="0"/>
    <m/>
    <n v="114.48039155571371"/>
    <m/>
    <n v="0"/>
    <n v="23892.690250000003"/>
    <n v="0"/>
    <n v="0"/>
    <n v="34777.425748752488"/>
    <n v="0"/>
  </r>
  <r>
    <s v="Regular"/>
    <x v="0"/>
    <x v="1"/>
    <x v="0"/>
    <x v="0"/>
    <x v="0"/>
    <x v="0"/>
    <x v="0"/>
    <x v="11"/>
    <n v="0"/>
    <n v="0"/>
    <n v="301.58699999999999"/>
    <n v="301.58699999999999"/>
    <n v="0"/>
    <n v="0"/>
    <n v="0"/>
    <x v="0"/>
    <n v="0"/>
    <n v="0"/>
    <n v="13"/>
    <n v="0"/>
    <n v="0"/>
    <n v="78.650000000000006"/>
    <n v="0"/>
    <m/>
    <n v="114.48039155571371"/>
    <m/>
    <n v="0"/>
    <n v="23719.81755"/>
    <n v="0"/>
    <n v="0"/>
    <n v="34525.797848113027"/>
    <n v="0"/>
  </r>
  <r>
    <s v="Regular"/>
    <x v="0"/>
    <x v="1"/>
    <x v="0"/>
    <x v="0"/>
    <x v="0"/>
    <x v="0"/>
    <x v="1"/>
    <x v="0"/>
    <n v="750"/>
    <n v="376.36172249999998"/>
    <n v="0"/>
    <n v="0"/>
    <n v="0"/>
    <n v="0"/>
    <n v="1"/>
    <x v="0"/>
    <n v="0"/>
    <n v="36"/>
    <n v="0"/>
    <n v="0"/>
    <n v="14.94"/>
    <n v="0"/>
    <n v="0"/>
    <n v="19.63429077280307"/>
    <m/>
    <m/>
    <n v="5622.8441341499993"/>
    <n v="0"/>
    <n v="0"/>
    <n v="7389.5954953180189"/>
    <n v="0"/>
    <n v="0"/>
  </r>
  <r>
    <s v="Regular"/>
    <x v="0"/>
    <x v="1"/>
    <x v="0"/>
    <x v="0"/>
    <x v="0"/>
    <x v="0"/>
    <x v="1"/>
    <x v="1"/>
    <n v="750"/>
    <n v="376.08338250000003"/>
    <n v="0"/>
    <n v="0"/>
    <n v="0"/>
    <n v="0"/>
    <n v="1"/>
    <x v="0"/>
    <n v="0"/>
    <n v="36"/>
    <n v="0"/>
    <n v="0"/>
    <n v="14.94"/>
    <n v="0"/>
    <n v="0"/>
    <n v="19.63429077280307"/>
    <m/>
    <m/>
    <n v="5618.6857345500002"/>
    <n v="0"/>
    <n v="0"/>
    <n v="7384.1304868243178"/>
    <n v="0"/>
    <n v="0"/>
  </r>
  <r>
    <s v="Regular"/>
    <x v="0"/>
    <x v="1"/>
    <x v="0"/>
    <x v="0"/>
    <x v="0"/>
    <x v="0"/>
    <x v="1"/>
    <x v="2"/>
    <n v="700"/>
    <n v="352.28124400000002"/>
    <n v="0"/>
    <n v="0"/>
    <n v="0"/>
    <n v="0"/>
    <n v="1"/>
    <x v="0"/>
    <n v="0"/>
    <n v="36"/>
    <n v="0"/>
    <n v="0"/>
    <n v="14.94"/>
    <n v="0"/>
    <n v="0"/>
    <n v="19.63429077280307"/>
    <m/>
    <m/>
    <n v="5263.0817853600001"/>
    <n v="0"/>
    <n v="0"/>
    <n v="6916.792378500787"/>
    <n v="0"/>
    <n v="0"/>
  </r>
  <r>
    <s v="Regular"/>
    <x v="0"/>
    <x v="1"/>
    <x v="0"/>
    <x v="0"/>
    <x v="0"/>
    <x v="0"/>
    <x v="1"/>
    <x v="3"/>
    <n v="708"/>
    <n v="355.96836036000002"/>
    <n v="0"/>
    <n v="0"/>
    <n v="0"/>
    <n v="0"/>
    <n v="1"/>
    <x v="0"/>
    <n v="0"/>
    <n v="36"/>
    <n v="0"/>
    <n v="0"/>
    <n v="14.94"/>
    <n v="0"/>
    <n v="0"/>
    <n v="19.63429077280307"/>
    <m/>
    <m/>
    <n v="5318.1673037784003"/>
    <n v="0"/>
    <n v="0"/>
    <n v="6989.1862932261865"/>
    <n v="0"/>
    <n v="0"/>
  </r>
  <r>
    <s v="Regular"/>
    <x v="0"/>
    <x v="1"/>
    <x v="0"/>
    <x v="0"/>
    <x v="0"/>
    <x v="0"/>
    <x v="1"/>
    <x v="4"/>
    <n v="703"/>
    <n v="382.22738482"/>
    <n v="0"/>
    <n v="0"/>
    <n v="0"/>
    <n v="0"/>
    <n v="1"/>
    <x v="0"/>
    <n v="0"/>
    <n v="36"/>
    <n v="0"/>
    <n v="0"/>
    <n v="14.94"/>
    <n v="0"/>
    <n v="0"/>
    <n v="19.63429077280307"/>
    <m/>
    <m/>
    <n v="5710.4771292107998"/>
    <n v="0"/>
    <n v="0"/>
    <n v="7504.7636148839738"/>
    <n v="0"/>
    <n v="0"/>
  </r>
  <r>
    <s v="Regular"/>
    <x v="0"/>
    <x v="1"/>
    <x v="0"/>
    <x v="0"/>
    <x v="0"/>
    <x v="0"/>
    <x v="1"/>
    <x v="5"/>
    <n v="700"/>
    <n v="350.86538200000001"/>
    <n v="0"/>
    <n v="0"/>
    <n v="0"/>
    <n v="0"/>
    <n v="1"/>
    <x v="0"/>
    <n v="0"/>
    <n v="36"/>
    <n v="0"/>
    <n v="0"/>
    <n v="14.94"/>
    <n v="0"/>
    <n v="0"/>
    <n v="19.63429077280307"/>
    <m/>
    <m/>
    <n v="5241.9288070800003"/>
    <n v="0"/>
    <n v="0"/>
    <n v="6888.9929322986245"/>
    <n v="0"/>
    <n v="0"/>
  </r>
  <r>
    <s v="Regular"/>
    <x v="0"/>
    <x v="1"/>
    <x v="0"/>
    <x v="0"/>
    <x v="0"/>
    <x v="0"/>
    <x v="1"/>
    <x v="6"/>
    <n v="1160"/>
    <n v="645.33774240000002"/>
    <n v="0"/>
    <n v="0"/>
    <n v="0"/>
    <n v="0"/>
    <n v="2"/>
    <x v="0"/>
    <n v="0"/>
    <n v="36"/>
    <n v="0"/>
    <n v="0"/>
    <n v="14.94"/>
    <n v="0"/>
    <n v="0"/>
    <n v="19.63429077280307"/>
    <m/>
    <m/>
    <n v="9641.3458714560002"/>
    <n v="0"/>
    <n v="0"/>
    <n v="12670.748880945885"/>
    <n v="0"/>
    <n v="0"/>
  </r>
  <r>
    <s v="Regular"/>
    <x v="0"/>
    <x v="1"/>
    <x v="0"/>
    <x v="0"/>
    <x v="0"/>
    <x v="0"/>
    <x v="1"/>
    <x v="7"/>
    <n v="1191"/>
    <n v="665.26108613999997"/>
    <n v="0"/>
    <n v="0"/>
    <n v="0"/>
    <n v="0"/>
    <n v="2"/>
    <x v="0"/>
    <n v="0"/>
    <n v="36"/>
    <n v="0"/>
    <n v="0"/>
    <n v="14.94"/>
    <n v="0"/>
    <n v="0"/>
    <n v="19.63429077280307"/>
    <m/>
    <m/>
    <n v="9939.0006269316"/>
    <n v="0"/>
    <n v="0"/>
    <n v="13061.929605103549"/>
    <n v="0"/>
    <n v="0"/>
  </r>
  <r>
    <s v="Regular"/>
    <x v="0"/>
    <x v="1"/>
    <x v="0"/>
    <x v="0"/>
    <x v="0"/>
    <x v="0"/>
    <x v="1"/>
    <x v="8"/>
    <n v="1174"/>
    <n v="623.45041070000002"/>
    <n v="0"/>
    <n v="0"/>
    <n v="0"/>
    <n v="0"/>
    <n v="2"/>
    <x v="0"/>
    <n v="0"/>
    <n v="36"/>
    <n v="0"/>
    <n v="0"/>
    <n v="14.94"/>
    <n v="0"/>
    <n v="0"/>
    <n v="19.63429077280307"/>
    <m/>
    <m/>
    <n v="9314.3491358579995"/>
    <n v="0"/>
    <n v="0"/>
    <n v="12241.006646107295"/>
    <n v="0"/>
    <n v="0"/>
  </r>
  <r>
    <s v="Regular"/>
    <x v="0"/>
    <x v="1"/>
    <x v="0"/>
    <x v="0"/>
    <x v="0"/>
    <x v="0"/>
    <x v="1"/>
    <x v="9"/>
    <n v="1200"/>
    <n v="618.96823199999994"/>
    <n v="0"/>
    <n v="0"/>
    <n v="0"/>
    <n v="0"/>
    <n v="2"/>
    <x v="0"/>
    <n v="0"/>
    <n v="36"/>
    <n v="0"/>
    <n v="0"/>
    <n v="14.94"/>
    <n v="0"/>
    <n v="0"/>
    <n v="19.63429077280307"/>
    <m/>
    <m/>
    <n v="9247.3853860799991"/>
    <n v="0"/>
    <n v="0"/>
    <n v="12153.002246215829"/>
    <n v="0"/>
    <n v="0"/>
  </r>
  <r>
    <s v="Regular"/>
    <x v="0"/>
    <x v="1"/>
    <x v="0"/>
    <x v="0"/>
    <x v="0"/>
    <x v="0"/>
    <x v="1"/>
    <x v="10"/>
    <n v="1200"/>
    <n v="660"/>
    <n v="0"/>
    <n v="0"/>
    <n v="0"/>
    <n v="0"/>
    <n v="2"/>
    <x v="0"/>
    <n v="0"/>
    <n v="36"/>
    <n v="0"/>
    <n v="0"/>
    <n v="14.94"/>
    <n v="0"/>
    <n v="0"/>
    <n v="19.63429077280307"/>
    <m/>
    <m/>
    <n v="9860.4"/>
    <n v="0"/>
    <n v="0"/>
    <n v="12958.631910050026"/>
    <n v="0"/>
    <n v="0"/>
  </r>
  <r>
    <s v="Regular"/>
    <x v="0"/>
    <x v="1"/>
    <x v="0"/>
    <x v="0"/>
    <x v="0"/>
    <x v="0"/>
    <x v="1"/>
    <x v="11"/>
    <n v="1200"/>
    <n v="660"/>
    <n v="0"/>
    <n v="0"/>
    <n v="0"/>
    <n v="0"/>
    <n v="2"/>
    <x v="0"/>
    <n v="0"/>
    <n v="36"/>
    <n v="0"/>
    <n v="0"/>
    <n v="14.94"/>
    <n v="0"/>
    <n v="0"/>
    <n v="19.63429077280307"/>
    <m/>
    <m/>
    <n v="9860.4"/>
    <n v="0"/>
    <n v="0"/>
    <n v="12958.631910050026"/>
    <n v="0"/>
    <n v="0"/>
  </r>
  <r>
    <s v="Regular"/>
    <x v="0"/>
    <x v="1"/>
    <x v="0"/>
    <x v="0"/>
    <x v="0"/>
    <x v="0"/>
    <x v="2"/>
    <x v="0"/>
    <n v="0"/>
    <n v="0"/>
    <n v="27.850999999999999"/>
    <n v="15.163322376949999"/>
    <n v="0"/>
    <n v="0"/>
    <n v="0"/>
    <x v="0"/>
    <n v="0"/>
    <n v="0"/>
    <n v="15"/>
    <n v="0"/>
    <n v="0"/>
    <n v="940.75"/>
    <n v="0"/>
    <m/>
    <n v="966.5081601045739"/>
    <m/>
    <n v="0"/>
    <n v="14264.895526115712"/>
    <n v="0"/>
    <n v="0"/>
    <n v="14655.474811618458"/>
    <n v="0"/>
  </r>
  <r>
    <s v="Regular"/>
    <x v="0"/>
    <x v="1"/>
    <x v="0"/>
    <x v="0"/>
    <x v="0"/>
    <x v="0"/>
    <x v="2"/>
    <x v="1"/>
    <n v="0"/>
    <n v="0"/>
    <n v="26.913"/>
    <n v="14.617136581500001"/>
    <n v="0"/>
    <n v="0"/>
    <n v="0"/>
    <x v="0"/>
    <n v="0"/>
    <n v="0"/>
    <n v="15"/>
    <n v="0"/>
    <n v="0"/>
    <n v="940.75"/>
    <n v="0"/>
    <m/>
    <n v="966.5081601045739"/>
    <m/>
    <n v="0"/>
    <n v="13751.071239046125"/>
    <n v="0"/>
    <n v="0"/>
    <n v="14127.581783382826"/>
    <n v="0"/>
  </r>
  <r>
    <s v="Regular"/>
    <x v="0"/>
    <x v="1"/>
    <x v="0"/>
    <x v="0"/>
    <x v="0"/>
    <x v="0"/>
    <x v="2"/>
    <x v="2"/>
    <n v="0"/>
    <n v="0"/>
    <n v="27.526"/>
    <n v="14.99584054372"/>
    <n v="0"/>
    <n v="0"/>
    <n v="0"/>
    <x v="0"/>
    <n v="0"/>
    <n v="0"/>
    <n v="15"/>
    <n v="0"/>
    <n v="0"/>
    <n v="940.75"/>
    <n v="0"/>
    <m/>
    <n v="966.5081601045739"/>
    <m/>
    <n v="0"/>
    <n v="14107.33699150459"/>
    <n v="0"/>
    <n v="0"/>
    <n v="14493.602253132391"/>
    <n v="0"/>
  </r>
  <r>
    <s v="Regular"/>
    <x v="0"/>
    <x v="1"/>
    <x v="0"/>
    <x v="0"/>
    <x v="0"/>
    <x v="0"/>
    <x v="2"/>
    <x v="3"/>
    <n v="0"/>
    <n v="0"/>
    <n v="27.867999999999999"/>
    <n v="15.169931587320001"/>
    <n v="0"/>
    <n v="0"/>
    <n v="0"/>
    <x v="0"/>
    <n v="0"/>
    <n v="0"/>
    <n v="15"/>
    <n v="0"/>
    <n v="0"/>
    <n v="940.75"/>
    <n v="0"/>
    <m/>
    <n v="966.5081601045739"/>
    <m/>
    <n v="0"/>
    <n v="14271.113140771291"/>
    <n v="0"/>
    <n v="0"/>
    <n v="14661.862667372912"/>
    <n v="0"/>
  </r>
  <r>
    <s v="Regular"/>
    <x v="0"/>
    <x v="1"/>
    <x v="0"/>
    <x v="0"/>
    <x v="0"/>
    <x v="0"/>
    <x v="2"/>
    <x v="4"/>
    <n v="0"/>
    <n v="0"/>
    <n v="28.105"/>
    <n v="14.110991563900001"/>
    <n v="0"/>
    <n v="0"/>
    <n v="0"/>
    <x v="0"/>
    <n v="0"/>
    <n v="0"/>
    <n v="15"/>
    <n v="0"/>
    <n v="0"/>
    <n v="940.75"/>
    <n v="0"/>
    <m/>
    <n v="966.5081601045739"/>
    <m/>
    <n v="0"/>
    <n v="13274.915313738926"/>
    <n v="0"/>
    <n v="0"/>
    <n v="13638.388493676153"/>
    <n v="0"/>
  </r>
  <r>
    <s v="Regular"/>
    <x v="0"/>
    <x v="1"/>
    <x v="0"/>
    <x v="0"/>
    <x v="0"/>
    <x v="0"/>
    <x v="2"/>
    <x v="5"/>
    <n v="0"/>
    <n v="0"/>
    <n v="18.141999999999999"/>
    <n v="9.8499206017199992"/>
    <n v="0"/>
    <n v="0"/>
    <n v="0"/>
    <x v="0"/>
    <n v="0"/>
    <n v="0"/>
    <n v="15"/>
    <n v="0"/>
    <n v="0"/>
    <n v="940.75"/>
    <n v="0"/>
    <m/>
    <n v="966.5081601045739"/>
    <m/>
    <n v="0"/>
    <n v="9266.3128060680883"/>
    <n v="0"/>
    <n v="0"/>
    <n v="9520.0286379445333"/>
    <n v="0"/>
  </r>
  <r>
    <s v="Regular"/>
    <x v="0"/>
    <x v="1"/>
    <x v="0"/>
    <x v="0"/>
    <x v="0"/>
    <x v="0"/>
    <x v="2"/>
    <x v="6"/>
    <n v="0"/>
    <n v="0"/>
    <n v="46.316000000000003"/>
    <n v="27.48476568808"/>
    <n v="0"/>
    <n v="0"/>
    <n v="0"/>
    <x v="0"/>
    <n v="0"/>
    <n v="0"/>
    <n v="15"/>
    <n v="0"/>
    <n v="0"/>
    <n v="940.75"/>
    <n v="0"/>
    <m/>
    <n v="966.5081601045739"/>
    <m/>
    <n v="0"/>
    <n v="25856.293321061261"/>
    <n v="0"/>
    <n v="0"/>
    <n v="26564.250316091522"/>
    <n v="0"/>
  </r>
  <r>
    <s v="Regular"/>
    <x v="0"/>
    <x v="1"/>
    <x v="0"/>
    <x v="0"/>
    <x v="0"/>
    <x v="0"/>
    <x v="2"/>
    <x v="7"/>
    <n v="0"/>
    <n v="0"/>
    <n v="41.395000000000003"/>
    <n v="24.649826298250002"/>
    <n v="0"/>
    <n v="0"/>
    <n v="0"/>
    <x v="0"/>
    <n v="0"/>
    <n v="0"/>
    <n v="15"/>
    <n v="0"/>
    <n v="0"/>
    <n v="940.75"/>
    <n v="0"/>
    <m/>
    <n v="966.5081601045739"/>
    <m/>
    <n v="0"/>
    <n v="23189.324090078688"/>
    <n v="0"/>
    <n v="0"/>
    <n v="23824.258262418949"/>
    <n v="0"/>
  </r>
  <r>
    <s v="Regular"/>
    <x v="0"/>
    <x v="1"/>
    <x v="0"/>
    <x v="0"/>
    <x v="0"/>
    <x v="0"/>
    <x v="2"/>
    <x v="8"/>
    <n v="0"/>
    <n v="0"/>
    <n v="46.118000000000002"/>
    <n v="26.298977661439999"/>
    <n v="0"/>
    <n v="0"/>
    <n v="0"/>
    <x v="0"/>
    <n v="0"/>
    <n v="0"/>
    <n v="15"/>
    <n v="0"/>
    <n v="0"/>
    <n v="940.75"/>
    <n v="0"/>
    <m/>
    <n v="966.5081601045739"/>
    <m/>
    <n v="0"/>
    <n v="24740.763234999678"/>
    <n v="0"/>
    <n v="0"/>
    <n v="25418.176512189664"/>
    <n v="0"/>
  </r>
  <r>
    <s v="Regular"/>
    <x v="0"/>
    <x v="1"/>
    <x v="0"/>
    <x v="0"/>
    <x v="0"/>
    <x v="0"/>
    <x v="2"/>
    <x v="9"/>
    <n v="0"/>
    <n v="0"/>
    <n v="36.996000000000002"/>
    <n v="20.580397551600001"/>
    <n v="0"/>
    <n v="0"/>
    <n v="0"/>
    <x v="0"/>
    <n v="0"/>
    <n v="0"/>
    <n v="15"/>
    <n v="0"/>
    <n v="0"/>
    <n v="940.75"/>
    <n v="0"/>
    <m/>
    <n v="966.5081601045739"/>
    <m/>
    <n v="0"/>
    <n v="19361.008996667701"/>
    <n v="0"/>
    <n v="0"/>
    <n v="19891.122171817595"/>
    <n v="0"/>
  </r>
  <r>
    <s v="Regular"/>
    <x v="0"/>
    <x v="1"/>
    <x v="0"/>
    <x v="0"/>
    <x v="0"/>
    <x v="0"/>
    <x v="2"/>
    <x v="10"/>
    <n v="0"/>
    <n v="0"/>
    <n v="42.427"/>
    <n v="24.931020774659999"/>
    <n v="0"/>
    <n v="0"/>
    <n v="0"/>
    <x v="0"/>
    <n v="0"/>
    <n v="0"/>
    <n v="15"/>
    <n v="0"/>
    <n v="0"/>
    <n v="940.75"/>
    <n v="0"/>
    <m/>
    <n v="966.5081601045739"/>
    <m/>
    <n v="0"/>
    <n v="23453.857793761395"/>
    <n v="0"/>
    <n v="0"/>
    <n v="24096.035018445546"/>
    <n v="0"/>
  </r>
  <r>
    <s v="Regular"/>
    <x v="0"/>
    <x v="1"/>
    <x v="0"/>
    <x v="0"/>
    <x v="0"/>
    <x v="0"/>
    <x v="2"/>
    <x v="11"/>
    <n v="0"/>
    <n v="0"/>
    <n v="42.43"/>
    <n v="24.9327836394"/>
    <n v="0"/>
    <n v="0"/>
    <n v="0"/>
    <x v="0"/>
    <n v="0"/>
    <n v="0"/>
    <n v="15"/>
    <n v="0"/>
    <n v="0"/>
    <n v="940.75"/>
    <n v="0"/>
    <m/>
    <n v="966.5081601045739"/>
    <m/>
    <n v="0"/>
    <n v="23455.516208765552"/>
    <n v="0"/>
    <n v="0"/>
    <n v="24097.738841601917"/>
    <n v="0"/>
  </r>
  <r>
    <s v="Regular"/>
    <x v="0"/>
    <x v="1"/>
    <x v="0"/>
    <x v="0"/>
    <x v="1"/>
    <x v="0"/>
    <x v="0"/>
    <x v="0"/>
    <n v="0"/>
    <n v="0"/>
    <n v="1832.672"/>
    <n v="1832.672"/>
    <n v="1832.672"/>
    <n v="1832.672"/>
    <n v="0"/>
    <x v="1"/>
    <n v="0"/>
    <n v="0"/>
    <n v="13"/>
    <n v="16"/>
    <n v="0"/>
    <n v="78.650000000000006"/>
    <n v="229.87"/>
    <m/>
    <n v="114.48039155571371"/>
    <n v="216.60171770542672"/>
    <n v="0"/>
    <n v="144139.65280000001"/>
    <n v="421276.31264000002"/>
    <n v="0"/>
    <n v="209805.00815319296"/>
    <n v="396959.9031906398"/>
  </r>
  <r>
    <s v="Regular"/>
    <x v="0"/>
    <x v="1"/>
    <x v="0"/>
    <x v="0"/>
    <x v="1"/>
    <x v="0"/>
    <x v="0"/>
    <x v="1"/>
    <n v="0"/>
    <n v="0"/>
    <n v="1881.9169999999999"/>
    <n v="1881.9169999999999"/>
    <n v="1881.9169999999999"/>
    <n v="1881.9169999999999"/>
    <n v="0"/>
    <x v="1"/>
    <n v="0"/>
    <n v="0"/>
    <n v="13"/>
    <n v="16"/>
    <n v="0"/>
    <n v="78.650000000000006"/>
    <n v="229.87"/>
    <m/>
    <n v="114.48039155571371"/>
    <n v="216.60171770542672"/>
    <n v="0"/>
    <n v="148012.77205"/>
    <n v="432596.26078999997"/>
    <n v="0"/>
    <n v="215442.59503535405"/>
    <n v="407626.4547790435"/>
  </r>
  <r>
    <s v="Regular"/>
    <x v="0"/>
    <x v="1"/>
    <x v="0"/>
    <x v="0"/>
    <x v="1"/>
    <x v="0"/>
    <x v="0"/>
    <x v="2"/>
    <n v="0"/>
    <n v="0"/>
    <n v="1820.164"/>
    <n v="1820.164"/>
    <n v="1820.164"/>
    <n v="1820.164"/>
    <n v="0"/>
    <x v="1"/>
    <n v="0"/>
    <n v="0"/>
    <n v="13"/>
    <n v="16"/>
    <n v="0"/>
    <n v="78.650000000000006"/>
    <n v="229.87"/>
    <m/>
    <n v="114.48039155571371"/>
    <n v="216.60171770542672"/>
    <n v="0"/>
    <n v="143155.89860000001"/>
    <n v="418401.09868"/>
    <n v="0"/>
    <n v="208373.08741561408"/>
    <n v="394250.64890558034"/>
  </r>
  <r>
    <s v="Regular"/>
    <x v="0"/>
    <x v="1"/>
    <x v="0"/>
    <x v="0"/>
    <x v="1"/>
    <x v="0"/>
    <x v="0"/>
    <x v="3"/>
    <n v="0"/>
    <n v="0"/>
    <n v="1922.569"/>
    <n v="1922.569"/>
    <n v="1922.569"/>
    <n v="1922.569"/>
    <n v="0"/>
    <x v="1"/>
    <n v="0"/>
    <n v="0"/>
    <n v="13"/>
    <n v="16"/>
    <n v="0"/>
    <n v="78.650000000000006"/>
    <n v="229.87"/>
    <m/>
    <n v="114.48039155571371"/>
    <n v="216.60171770542672"/>
    <n v="0"/>
    <n v="151210.05185000002"/>
    <n v="441940.93602999998"/>
    <n v="0"/>
    <n v="220096.45191287695"/>
    <n v="416431.74780720455"/>
  </r>
  <r>
    <s v="Regular"/>
    <x v="0"/>
    <x v="1"/>
    <x v="0"/>
    <x v="0"/>
    <x v="1"/>
    <x v="0"/>
    <x v="0"/>
    <x v="4"/>
    <n v="0"/>
    <n v="0"/>
    <n v="1873.943"/>
    <n v="1873.943"/>
    <n v="1873.943"/>
    <n v="1873.943"/>
    <n v="0"/>
    <x v="1"/>
    <n v="0"/>
    <n v="0"/>
    <n v="13"/>
    <n v="16"/>
    <n v="0"/>
    <n v="78.650000000000006"/>
    <n v="229.87"/>
    <m/>
    <n v="114.48039155571371"/>
    <n v="216.60171770542672"/>
    <n v="0"/>
    <n v="147385.61695"/>
    <n v="430763.27740999998"/>
    <n v="0"/>
    <n v="214529.72839308882"/>
    <n v="405899.27268206049"/>
  </r>
  <r>
    <s v="Regular"/>
    <x v="0"/>
    <x v="1"/>
    <x v="0"/>
    <x v="0"/>
    <x v="1"/>
    <x v="0"/>
    <x v="0"/>
    <x v="5"/>
    <n v="0"/>
    <n v="0"/>
    <n v="1865.4459999999999"/>
    <n v="1865.4459999999999"/>
    <n v="1865.4459999999999"/>
    <n v="1865.4459999999999"/>
    <n v="0"/>
    <x v="1"/>
    <n v="0"/>
    <n v="0"/>
    <n v="13"/>
    <n v="16"/>
    <n v="0"/>
    <n v="78.650000000000006"/>
    <n v="229.87"/>
    <m/>
    <n v="114.48039155571371"/>
    <n v="216.60171770542672"/>
    <n v="0"/>
    <n v="146717.3279"/>
    <n v="428810.07201999996"/>
    <n v="0"/>
    <n v="213556.9885060399"/>
    <n v="404058.80788671743"/>
  </r>
  <r>
    <s v="Regular"/>
    <x v="0"/>
    <x v="1"/>
    <x v="0"/>
    <x v="0"/>
    <x v="1"/>
    <x v="0"/>
    <x v="0"/>
    <x v="6"/>
    <n v="0"/>
    <n v="0"/>
    <n v="1800.578"/>
    <n v="1800.578"/>
    <n v="1800.578"/>
    <n v="1800.578"/>
    <n v="0"/>
    <x v="1"/>
    <n v="0"/>
    <n v="0"/>
    <n v="13"/>
    <n v="16"/>
    <n v="0"/>
    <n v="78.650000000000006"/>
    <n v="229.87"/>
    <m/>
    <n v="114.48039155571371"/>
    <n v="216.60171770542672"/>
    <n v="0"/>
    <n v="141615.45970000001"/>
    <n v="413898.86486000003"/>
    <n v="0"/>
    <n v="206130.87446660388"/>
    <n v="390008.28766260186"/>
  </r>
  <r>
    <s v="Regular"/>
    <x v="0"/>
    <x v="1"/>
    <x v="0"/>
    <x v="0"/>
    <x v="1"/>
    <x v="0"/>
    <x v="0"/>
    <x v="7"/>
    <n v="0"/>
    <n v="0"/>
    <n v="1468.173"/>
    <n v="1468.173"/>
    <n v="1468.173"/>
    <n v="1468.173"/>
    <n v="0"/>
    <x v="1"/>
    <n v="0"/>
    <n v="0"/>
    <n v="13"/>
    <n v="16"/>
    <n v="0"/>
    <n v="78.650000000000006"/>
    <n v="229.87"/>
    <m/>
    <n v="114.48039155571371"/>
    <n v="216.60171770542672"/>
    <n v="0"/>
    <n v="115471.80645"/>
    <n v="337488.92751000001"/>
    <n v="0"/>
    <n v="168077.01991152688"/>
    <n v="318008.79368872946"/>
  </r>
  <r>
    <s v="Regular"/>
    <x v="0"/>
    <x v="1"/>
    <x v="0"/>
    <x v="0"/>
    <x v="1"/>
    <x v="0"/>
    <x v="0"/>
    <x v="8"/>
    <n v="0"/>
    <n v="0"/>
    <n v="1524.0909999999999"/>
    <n v="1524.0909999999999"/>
    <n v="1524.0909999999999"/>
    <n v="1524.0909999999999"/>
    <n v="0"/>
    <x v="1"/>
    <n v="0"/>
    <n v="0"/>
    <n v="13"/>
    <n v="16"/>
    <n v="0"/>
    <n v="78.650000000000006"/>
    <n v="229.87"/>
    <m/>
    <n v="114.48039155571371"/>
    <n v="216.60171770542672"/>
    <n v="0"/>
    <n v="119869.75715"/>
    <n v="350342.79816999997"/>
    <n v="0"/>
    <n v="174478.53444653924"/>
    <n v="330120.72853938147"/>
  </r>
  <r>
    <s v="Regular"/>
    <x v="0"/>
    <x v="1"/>
    <x v="0"/>
    <x v="0"/>
    <x v="1"/>
    <x v="0"/>
    <x v="0"/>
    <x v="9"/>
    <n v="0"/>
    <n v="0"/>
    <n v="1579.4380000000001"/>
    <n v="1579.4380000000001"/>
    <n v="1579.4380000000001"/>
    <n v="1579.4380000000001"/>
    <n v="0"/>
    <x v="1"/>
    <n v="0"/>
    <n v="0"/>
    <n v="13"/>
    <n v="16"/>
    <n v="0"/>
    <n v="78.650000000000006"/>
    <n v="229.87"/>
    <m/>
    <n v="114.48039155571371"/>
    <n v="216.60171770542672"/>
    <n v="0"/>
    <n v="124222.79870000001"/>
    <n v="363065.41306000005"/>
    <n v="0"/>
    <n v="180814.68067797337"/>
    <n v="342108.98380922381"/>
  </r>
  <r>
    <s v="Regular"/>
    <x v="0"/>
    <x v="1"/>
    <x v="0"/>
    <x v="0"/>
    <x v="1"/>
    <x v="0"/>
    <x v="0"/>
    <x v="10"/>
    <n v="0"/>
    <n v="0"/>
    <n v="1475.4010000000001"/>
    <n v="1475.4010000000001"/>
    <n v="1475.4010000000001"/>
    <n v="1475.4010000000001"/>
    <n v="0"/>
    <x v="1"/>
    <n v="0"/>
    <n v="0"/>
    <n v="13"/>
    <n v="16"/>
    <n v="0"/>
    <n v="78.650000000000006"/>
    <n v="229.87"/>
    <m/>
    <n v="114.48039155571371"/>
    <n v="216.60171770542672"/>
    <n v="0"/>
    <n v="116040.28865000002"/>
    <n v="339150.42787000001"/>
    <n v="0"/>
    <n v="168904.48418169157"/>
    <n v="319574.39090430428"/>
  </r>
  <r>
    <s v="Regular"/>
    <x v="0"/>
    <x v="1"/>
    <x v="0"/>
    <x v="0"/>
    <x v="1"/>
    <x v="0"/>
    <x v="0"/>
    <x v="11"/>
    <n v="0"/>
    <n v="0"/>
    <n v="1476.998"/>
    <n v="1476.998"/>
    <n v="1476.998"/>
    <n v="1476.998"/>
    <n v="0"/>
    <x v="1"/>
    <n v="0"/>
    <n v="0"/>
    <n v="13"/>
    <n v="16"/>
    <n v="0"/>
    <n v="78.650000000000006"/>
    <n v="229.87"/>
    <m/>
    <n v="114.48039155571371"/>
    <n v="216.60171770542672"/>
    <n v="0"/>
    <n v="116165.89270000001"/>
    <n v="339517.53026000003"/>
    <n v="0"/>
    <n v="169087.30936700603"/>
    <n v="319920.30384747987"/>
  </r>
  <r>
    <s v="Regular"/>
    <x v="0"/>
    <x v="1"/>
    <x v="0"/>
    <x v="0"/>
    <x v="1"/>
    <x v="0"/>
    <x v="1"/>
    <x v="0"/>
    <n v="4799"/>
    <n v="4799"/>
    <n v="0"/>
    <n v="0"/>
    <n v="0"/>
    <n v="0"/>
    <n v="13"/>
    <x v="1"/>
    <n v="0"/>
    <n v="36"/>
    <n v="0"/>
    <n v="0"/>
    <n v="14.94"/>
    <n v="0"/>
    <n v="0"/>
    <n v="19.63429077280307"/>
    <m/>
    <m/>
    <n v="71697.06"/>
    <n v="0"/>
    <n v="0"/>
    <n v="94224.961418681924"/>
    <n v="0"/>
    <n v="0"/>
  </r>
  <r>
    <s v="Regular"/>
    <x v="0"/>
    <x v="1"/>
    <x v="0"/>
    <x v="0"/>
    <x v="1"/>
    <x v="0"/>
    <x v="1"/>
    <x v="1"/>
    <n v="4673"/>
    <n v="4673"/>
    <n v="0"/>
    <n v="0"/>
    <n v="0"/>
    <n v="0"/>
    <n v="13"/>
    <x v="1"/>
    <n v="0"/>
    <n v="36"/>
    <n v="0"/>
    <n v="0"/>
    <n v="14.94"/>
    <n v="0"/>
    <n v="0"/>
    <n v="19.63429077280307"/>
    <m/>
    <m/>
    <n v="69814.62"/>
    <n v="0"/>
    <n v="0"/>
    <n v="91751.040781308751"/>
    <n v="0"/>
    <n v="0"/>
  </r>
  <r>
    <s v="Regular"/>
    <x v="0"/>
    <x v="1"/>
    <x v="0"/>
    <x v="0"/>
    <x v="1"/>
    <x v="0"/>
    <x v="1"/>
    <x v="2"/>
    <n v="4708"/>
    <n v="4708"/>
    <n v="0"/>
    <n v="0"/>
    <n v="0"/>
    <n v="0"/>
    <n v="13"/>
    <x v="1"/>
    <n v="0"/>
    <n v="36"/>
    <n v="0"/>
    <n v="0"/>
    <n v="14.94"/>
    <n v="0"/>
    <n v="0"/>
    <n v="19.63429077280307"/>
    <m/>
    <m/>
    <n v="70337.52"/>
    <n v="0"/>
    <n v="0"/>
    <n v="92438.240958356851"/>
    <n v="0"/>
    <n v="0"/>
  </r>
  <r>
    <s v="Regular"/>
    <x v="0"/>
    <x v="1"/>
    <x v="0"/>
    <x v="0"/>
    <x v="1"/>
    <x v="0"/>
    <x v="1"/>
    <x v="3"/>
    <n v="4705"/>
    <n v="4705"/>
    <n v="0"/>
    <n v="0"/>
    <n v="0"/>
    <n v="0"/>
    <n v="13"/>
    <x v="1"/>
    <n v="0"/>
    <n v="36"/>
    <n v="0"/>
    <n v="0"/>
    <n v="14.94"/>
    <n v="0"/>
    <n v="0"/>
    <n v="19.63429077280307"/>
    <m/>
    <m/>
    <n v="70292.7"/>
    <n v="0"/>
    <n v="0"/>
    <n v="92379.33808603845"/>
    <n v="0"/>
    <n v="0"/>
  </r>
  <r>
    <s v="Regular"/>
    <x v="0"/>
    <x v="1"/>
    <x v="0"/>
    <x v="0"/>
    <x v="1"/>
    <x v="0"/>
    <x v="1"/>
    <x v="4"/>
    <n v="4703"/>
    <n v="4703"/>
    <n v="0"/>
    <n v="0"/>
    <n v="0"/>
    <n v="0"/>
    <n v="13"/>
    <x v="1"/>
    <n v="0"/>
    <n v="36"/>
    <n v="0"/>
    <n v="0"/>
    <n v="14.94"/>
    <n v="0"/>
    <n v="0"/>
    <n v="19.63429077280307"/>
    <m/>
    <m/>
    <n v="70262.819999999992"/>
    <n v="0"/>
    <n v="0"/>
    <n v="92340.069504492829"/>
    <n v="0"/>
    <n v="0"/>
  </r>
  <r>
    <s v="Regular"/>
    <x v="0"/>
    <x v="1"/>
    <x v="0"/>
    <x v="0"/>
    <x v="1"/>
    <x v="0"/>
    <x v="1"/>
    <x v="5"/>
    <n v="4706"/>
    <n v="4706"/>
    <n v="0"/>
    <n v="0"/>
    <n v="0"/>
    <n v="0"/>
    <n v="13"/>
    <x v="1"/>
    <n v="0"/>
    <n v="36"/>
    <n v="0"/>
    <n v="0"/>
    <n v="14.94"/>
    <n v="0"/>
    <n v="0"/>
    <n v="19.63429077280307"/>
    <m/>
    <m/>
    <n v="70307.64"/>
    <n v="0"/>
    <n v="0"/>
    <n v="92398.972376811245"/>
    <n v="0"/>
    <n v="0"/>
  </r>
  <r>
    <s v="Regular"/>
    <x v="0"/>
    <x v="1"/>
    <x v="0"/>
    <x v="0"/>
    <x v="1"/>
    <x v="0"/>
    <x v="1"/>
    <x v="6"/>
    <n v="4259"/>
    <n v="4259"/>
    <n v="0"/>
    <n v="0"/>
    <n v="0"/>
    <n v="0"/>
    <n v="12"/>
    <x v="1"/>
    <n v="0"/>
    <n v="36"/>
    <n v="0"/>
    <n v="0"/>
    <n v="14.94"/>
    <n v="0"/>
    <n v="0"/>
    <n v="19.63429077280307"/>
    <m/>
    <m/>
    <n v="63629.46"/>
    <n v="0"/>
    <n v="0"/>
    <n v="83622.444401368266"/>
    <n v="0"/>
    <n v="0"/>
  </r>
  <r>
    <s v="Regular"/>
    <x v="0"/>
    <x v="1"/>
    <x v="0"/>
    <x v="0"/>
    <x v="1"/>
    <x v="0"/>
    <x v="1"/>
    <x v="7"/>
    <n v="4233"/>
    <n v="4233"/>
    <n v="0"/>
    <n v="0"/>
    <n v="0"/>
    <n v="0"/>
    <n v="12"/>
    <x v="1"/>
    <n v="0"/>
    <n v="36"/>
    <n v="0"/>
    <n v="0"/>
    <n v="14.94"/>
    <n v="0"/>
    <n v="0"/>
    <n v="19.63429077280307"/>
    <m/>
    <m/>
    <n v="63241.02"/>
    <n v="0"/>
    <n v="0"/>
    <n v="83111.952841275401"/>
    <n v="0"/>
    <n v="0"/>
  </r>
  <r>
    <s v="Regular"/>
    <x v="0"/>
    <x v="1"/>
    <x v="0"/>
    <x v="0"/>
    <x v="1"/>
    <x v="0"/>
    <x v="1"/>
    <x v="8"/>
    <n v="4232"/>
    <n v="4232"/>
    <n v="0"/>
    <n v="0"/>
    <n v="0"/>
    <n v="0"/>
    <n v="12"/>
    <x v="1"/>
    <n v="0"/>
    <n v="36"/>
    <n v="0"/>
    <n v="0"/>
    <n v="14.94"/>
    <n v="0"/>
    <n v="0"/>
    <n v="19.63429077280307"/>
    <m/>
    <m/>
    <n v="63226.079999999994"/>
    <n v="0"/>
    <n v="0"/>
    <n v="83092.31855050259"/>
    <n v="0"/>
    <n v="0"/>
  </r>
  <r>
    <s v="Regular"/>
    <x v="0"/>
    <x v="1"/>
    <x v="0"/>
    <x v="0"/>
    <x v="1"/>
    <x v="0"/>
    <x v="1"/>
    <x v="9"/>
    <n v="4288"/>
    <n v="4288"/>
    <n v="0"/>
    <n v="0"/>
    <n v="0"/>
    <n v="0"/>
    <n v="12"/>
    <x v="1"/>
    <n v="0"/>
    <n v="36"/>
    <n v="0"/>
    <n v="0"/>
    <n v="14.94"/>
    <n v="0"/>
    <n v="0"/>
    <n v="19.63429077280307"/>
    <m/>
    <m/>
    <n v="64062.720000000001"/>
    <n v="0"/>
    <n v="0"/>
    <n v="84191.838833779562"/>
    <n v="0"/>
    <n v="0"/>
  </r>
  <r>
    <s v="Regular"/>
    <x v="0"/>
    <x v="1"/>
    <x v="0"/>
    <x v="0"/>
    <x v="1"/>
    <x v="0"/>
    <x v="1"/>
    <x v="10"/>
    <n v="4222"/>
    <n v="4222"/>
    <n v="0"/>
    <n v="0"/>
    <n v="0"/>
    <n v="0"/>
    <n v="12"/>
    <x v="1"/>
    <n v="0"/>
    <n v="36"/>
    <n v="0"/>
    <n v="0"/>
    <n v="14.94"/>
    <n v="0"/>
    <n v="0"/>
    <n v="19.63429077280307"/>
    <m/>
    <m/>
    <n v="63076.68"/>
    <n v="0"/>
    <n v="0"/>
    <n v="82895.97564277456"/>
    <n v="0"/>
    <n v="0"/>
  </r>
  <r>
    <s v="Regular"/>
    <x v="0"/>
    <x v="1"/>
    <x v="0"/>
    <x v="0"/>
    <x v="1"/>
    <x v="0"/>
    <x v="1"/>
    <x v="11"/>
    <n v="4278"/>
    <n v="4278"/>
    <n v="0"/>
    <n v="0"/>
    <n v="0"/>
    <n v="0"/>
    <n v="12"/>
    <x v="1"/>
    <n v="0"/>
    <n v="36"/>
    <n v="0"/>
    <n v="0"/>
    <n v="14.94"/>
    <n v="0"/>
    <n v="0"/>
    <n v="19.63429077280307"/>
    <m/>
    <m/>
    <n v="63913.32"/>
    <n v="0"/>
    <n v="0"/>
    <n v="83995.495926051532"/>
    <n v="0"/>
    <n v="0"/>
  </r>
  <r>
    <s v="Regular"/>
    <x v="0"/>
    <x v="1"/>
    <x v="0"/>
    <x v="0"/>
    <x v="1"/>
    <x v="0"/>
    <x v="2"/>
    <x v="0"/>
    <n v="0"/>
    <n v="0"/>
    <n v="170.327"/>
    <n v="170.327"/>
    <n v="170.327"/>
    <n v="170.327"/>
    <n v="0"/>
    <x v="1"/>
    <n v="0"/>
    <n v="0"/>
    <n v="15"/>
    <n v="9"/>
    <n v="0"/>
    <n v="940.75"/>
    <n v="373.71"/>
    <m/>
    <n v="966.5081601045739"/>
    <n v="347.98834052804079"/>
    <n v="0"/>
    <n v="160235.12525000001"/>
    <n v="63652.903169999998"/>
    <n v="0"/>
    <n v="164622.43538613175"/>
    <n v="59271.810077119604"/>
  </r>
  <r>
    <s v="Regular"/>
    <x v="0"/>
    <x v="1"/>
    <x v="0"/>
    <x v="0"/>
    <x v="1"/>
    <x v="0"/>
    <x v="2"/>
    <x v="1"/>
    <n v="0"/>
    <n v="0"/>
    <n v="176.798"/>
    <n v="176.798"/>
    <n v="176.798"/>
    <n v="176.798"/>
    <n v="0"/>
    <x v="1"/>
    <n v="0"/>
    <n v="0"/>
    <n v="15"/>
    <n v="9"/>
    <n v="0"/>
    <n v="940.75"/>
    <n v="373.71"/>
    <m/>
    <n v="966.5081601045739"/>
    <n v="347.98834052804079"/>
    <n v="0"/>
    <n v="166322.71849999999"/>
    <n v="66071.18058"/>
    <n v="0"/>
    <n v="170876.70969016847"/>
    <n v="61523.642628676556"/>
  </r>
  <r>
    <s v="Regular"/>
    <x v="0"/>
    <x v="1"/>
    <x v="0"/>
    <x v="0"/>
    <x v="1"/>
    <x v="0"/>
    <x v="2"/>
    <x v="2"/>
    <n v="0"/>
    <n v="0"/>
    <n v="166.45699999999999"/>
    <n v="166.45699999999999"/>
    <n v="166.45699999999999"/>
    <n v="166.45699999999999"/>
    <n v="0"/>
    <x v="1"/>
    <n v="0"/>
    <n v="0"/>
    <n v="15"/>
    <n v="9"/>
    <n v="0"/>
    <n v="940.75"/>
    <n v="373.71"/>
    <m/>
    <n v="966.5081601045739"/>
    <n v="347.98834052804079"/>
    <n v="0"/>
    <n v="156594.42275"/>
    <n v="62206.645469999996"/>
    <n v="0"/>
    <n v="160882.04880652705"/>
    <n v="57925.095199276082"/>
  </r>
  <r>
    <s v="Regular"/>
    <x v="0"/>
    <x v="1"/>
    <x v="0"/>
    <x v="0"/>
    <x v="1"/>
    <x v="0"/>
    <x v="2"/>
    <x v="3"/>
    <n v="0"/>
    <n v="0"/>
    <n v="168.898"/>
    <n v="168.898"/>
    <n v="168.898"/>
    <n v="168.898"/>
    <n v="0"/>
    <x v="1"/>
    <n v="0"/>
    <n v="0"/>
    <n v="15"/>
    <n v="9"/>
    <n v="0"/>
    <n v="940.75"/>
    <n v="373.71"/>
    <m/>
    <n v="966.5081601045739"/>
    <n v="347.98834052804079"/>
    <n v="0"/>
    <n v="158890.7935"/>
    <n v="63118.871579999992"/>
    <n v="0"/>
    <n v="163241.29522534233"/>
    <n v="58774.534738505034"/>
  </r>
  <r>
    <s v="Regular"/>
    <x v="0"/>
    <x v="1"/>
    <x v="0"/>
    <x v="0"/>
    <x v="1"/>
    <x v="0"/>
    <x v="2"/>
    <x v="4"/>
    <n v="0"/>
    <n v="0"/>
    <n v="166.696"/>
    <n v="166.696"/>
    <n v="166.696"/>
    <n v="166.696"/>
    <n v="0"/>
    <x v="1"/>
    <n v="0"/>
    <n v="0"/>
    <n v="15"/>
    <n v="9"/>
    <n v="0"/>
    <n v="940.75"/>
    <n v="373.71"/>
    <m/>
    <n v="966.5081601045739"/>
    <n v="347.98834052804079"/>
    <n v="0"/>
    <n v="156819.26199999999"/>
    <n v="62295.962159999995"/>
    <n v="0"/>
    <n v="161113.04425679205"/>
    <n v="58008.264412662291"/>
  </r>
  <r>
    <s v="Regular"/>
    <x v="0"/>
    <x v="1"/>
    <x v="0"/>
    <x v="0"/>
    <x v="1"/>
    <x v="0"/>
    <x v="2"/>
    <x v="5"/>
    <n v="0"/>
    <n v="0"/>
    <n v="185.05600000000001"/>
    <n v="185.05600000000001"/>
    <n v="185.05600000000001"/>
    <n v="185.05600000000001"/>
    <n v="0"/>
    <x v="1"/>
    <n v="0"/>
    <n v="0"/>
    <n v="15"/>
    <n v="9"/>
    <n v="0"/>
    <n v="940.75"/>
    <n v="373.71"/>
    <m/>
    <n v="966.5081601045739"/>
    <n v="347.98834052804079"/>
    <n v="0"/>
    <n v="174091.432"/>
    <n v="69157.277759999997"/>
    <n v="0"/>
    <n v="178858.13407631204"/>
    <n v="64397.330344757123"/>
  </r>
  <r>
    <s v="Regular"/>
    <x v="0"/>
    <x v="1"/>
    <x v="0"/>
    <x v="0"/>
    <x v="1"/>
    <x v="0"/>
    <x v="2"/>
    <x v="6"/>
    <n v="0"/>
    <n v="0"/>
    <n v="165.161"/>
    <n v="165.161"/>
    <n v="165.161"/>
    <n v="165.161"/>
    <n v="0"/>
    <x v="1"/>
    <n v="0"/>
    <n v="0"/>
    <n v="15"/>
    <n v="9"/>
    <n v="0"/>
    <n v="940.75"/>
    <n v="373.71"/>
    <m/>
    <n v="966.5081601045739"/>
    <n v="347.98834052804079"/>
    <n v="0"/>
    <n v="155375.21075"/>
    <n v="61722.317309999999"/>
    <n v="0"/>
    <n v="159629.45423103153"/>
    <n v="57474.102309951748"/>
  </r>
  <r>
    <s v="Regular"/>
    <x v="0"/>
    <x v="1"/>
    <x v="0"/>
    <x v="0"/>
    <x v="1"/>
    <x v="0"/>
    <x v="2"/>
    <x v="7"/>
    <n v="0"/>
    <n v="0"/>
    <n v="144.17699999999999"/>
    <n v="144.17699999999999"/>
    <n v="144.17699999999999"/>
    <n v="144.17699999999999"/>
    <n v="0"/>
    <x v="1"/>
    <n v="0"/>
    <n v="0"/>
    <n v="15"/>
    <n v="9"/>
    <n v="0"/>
    <n v="940.75"/>
    <n v="373.71"/>
    <m/>
    <n v="966.5081601045739"/>
    <n v="347.98834052804079"/>
    <n v="0"/>
    <n v="135634.51274999999"/>
    <n v="53880.386669999993"/>
    <n v="0"/>
    <n v="139348.24699939715"/>
    <n v="50171.914972311337"/>
  </r>
  <r>
    <s v="Regular"/>
    <x v="0"/>
    <x v="1"/>
    <x v="0"/>
    <x v="0"/>
    <x v="1"/>
    <x v="0"/>
    <x v="2"/>
    <x v="8"/>
    <n v="0"/>
    <n v="0"/>
    <n v="145.80099999999999"/>
    <n v="145.80099999999999"/>
    <n v="145.80099999999999"/>
    <n v="145.80099999999999"/>
    <n v="0"/>
    <x v="1"/>
    <n v="0"/>
    <n v="0"/>
    <n v="15"/>
    <n v="9"/>
    <n v="0"/>
    <n v="940.75"/>
    <n v="373.71"/>
    <m/>
    <n v="966.5081601045739"/>
    <n v="347.98834052804079"/>
    <n v="0"/>
    <n v="137162.29074999999"/>
    <n v="54487.29170999999"/>
    <n v="0"/>
    <n v="140917.85625140698"/>
    <n v="50737.048037328874"/>
  </r>
  <r>
    <s v="Regular"/>
    <x v="0"/>
    <x v="1"/>
    <x v="0"/>
    <x v="0"/>
    <x v="1"/>
    <x v="0"/>
    <x v="2"/>
    <x v="9"/>
    <n v="0"/>
    <n v="0"/>
    <n v="136.58600000000001"/>
    <n v="136.58600000000001"/>
    <n v="136.58600000000001"/>
    <n v="136.58600000000001"/>
    <n v="0"/>
    <x v="1"/>
    <n v="0"/>
    <n v="0"/>
    <n v="15"/>
    <n v="9"/>
    <n v="0"/>
    <n v="940.75"/>
    <n v="373.71"/>
    <m/>
    <n v="966.5081601045739"/>
    <n v="347.98834052804079"/>
    <n v="0"/>
    <n v="128493.27950000002"/>
    <n v="51043.554060000002"/>
    <n v="0"/>
    <n v="132011.48355604336"/>
    <n v="47530.335479362984"/>
  </r>
  <r>
    <s v="Regular"/>
    <x v="0"/>
    <x v="1"/>
    <x v="0"/>
    <x v="0"/>
    <x v="1"/>
    <x v="0"/>
    <x v="2"/>
    <x v="10"/>
    <n v="0"/>
    <n v="0"/>
    <n v="141.852"/>
    <n v="141.852"/>
    <n v="141.852"/>
    <n v="141.852"/>
    <n v="0"/>
    <x v="1"/>
    <n v="0"/>
    <n v="0"/>
    <n v="15"/>
    <n v="9"/>
    <n v="0"/>
    <n v="940.75"/>
    <n v="373.71"/>
    <m/>
    <n v="966.5081601045739"/>
    <n v="347.98834052804079"/>
    <n v="0"/>
    <n v="133447.269"/>
    <n v="53011.510920000001"/>
    <n v="0"/>
    <n v="137101.11552715403"/>
    <n v="49362.842080583643"/>
  </r>
  <r>
    <s v="Regular"/>
    <x v="0"/>
    <x v="1"/>
    <x v="0"/>
    <x v="0"/>
    <x v="1"/>
    <x v="0"/>
    <x v="2"/>
    <x v="11"/>
    <n v="0"/>
    <n v="0"/>
    <n v="133.19300000000001"/>
    <n v="133.19300000000001"/>
    <n v="133.19300000000001"/>
    <n v="133.19300000000001"/>
    <n v="0"/>
    <x v="1"/>
    <n v="0"/>
    <n v="0"/>
    <n v="15"/>
    <n v="9"/>
    <n v="0"/>
    <n v="940.75"/>
    <n v="373.71"/>
    <m/>
    <n v="966.5081601045739"/>
    <n v="347.98834052804079"/>
    <n v="0"/>
    <n v="125301.31475000001"/>
    <n v="49775.55603"/>
    <n v="0"/>
    <n v="128732.12136880853"/>
    <n v="46349.611039951342"/>
  </r>
  <r>
    <s v="Regular"/>
    <x v="0"/>
    <x v="1"/>
    <x v="2"/>
    <x v="0"/>
    <x v="1"/>
    <x v="0"/>
    <x v="0"/>
    <x v="0"/>
    <n v="0"/>
    <n v="0"/>
    <n v="21.629000000000001"/>
    <n v="21.629000000000001"/>
    <n v="21.629000000000001"/>
    <n v="21.629000000000001"/>
    <n v="0"/>
    <x v="1"/>
    <n v="0"/>
    <n v="0"/>
    <n v="13"/>
    <n v="16"/>
    <n v="0"/>
    <n v="78.650000000000006"/>
    <n v="229.87"/>
    <m/>
    <n v="114.48039155571371"/>
    <n v="216.60171770542672"/>
    <n v="0"/>
    <n v="1701.1208500000002"/>
    <n v="4971.8582300000007"/>
    <n v="0"/>
    <n v="2476.0963889585319"/>
    <n v="4684.8785522506751"/>
  </r>
  <r>
    <s v="Regular"/>
    <x v="0"/>
    <x v="1"/>
    <x v="2"/>
    <x v="0"/>
    <x v="1"/>
    <x v="0"/>
    <x v="0"/>
    <x v="1"/>
    <n v="0"/>
    <n v="0"/>
    <n v="16.440000000000001"/>
    <n v="16.440000000000001"/>
    <n v="16.440000000000001"/>
    <n v="16.440000000000001"/>
    <n v="0"/>
    <x v="1"/>
    <n v="0"/>
    <n v="0"/>
    <n v="13"/>
    <n v="16"/>
    <n v="0"/>
    <n v="78.650000000000006"/>
    <n v="229.87"/>
    <m/>
    <n v="114.48039155571371"/>
    <n v="216.60171770542672"/>
    <n v="0"/>
    <n v="1293.0060000000001"/>
    <n v="3779.0628000000002"/>
    <n v="0"/>
    <n v="1882.0576371759335"/>
    <n v="3560.9322390772154"/>
  </r>
  <r>
    <s v="Regular"/>
    <x v="0"/>
    <x v="1"/>
    <x v="2"/>
    <x v="0"/>
    <x v="1"/>
    <x v="0"/>
    <x v="0"/>
    <x v="2"/>
    <n v="0"/>
    <n v="0"/>
    <n v="13.742000000000001"/>
    <n v="13.742000000000001"/>
    <n v="13.742000000000001"/>
    <n v="13.742000000000001"/>
    <n v="0"/>
    <x v="1"/>
    <n v="0"/>
    <n v="0"/>
    <n v="13"/>
    <n v="16"/>
    <n v="0"/>
    <n v="78.650000000000006"/>
    <n v="229.87"/>
    <m/>
    <n v="114.48039155571371"/>
    <n v="216.60171770542672"/>
    <n v="0"/>
    <n v="1080.8083000000001"/>
    <n v="3158.87354"/>
    <n v="0"/>
    <n v="1573.1895407586178"/>
    <n v="2976.5408047079741"/>
  </r>
  <r>
    <s v="Regular"/>
    <x v="0"/>
    <x v="1"/>
    <x v="2"/>
    <x v="0"/>
    <x v="1"/>
    <x v="0"/>
    <x v="0"/>
    <x v="3"/>
    <n v="0"/>
    <n v="0"/>
    <n v="13.641"/>
    <n v="13.641"/>
    <n v="13.641"/>
    <n v="13.641"/>
    <n v="0"/>
    <x v="1"/>
    <n v="0"/>
    <n v="0"/>
    <n v="13"/>
    <n v="16"/>
    <n v="0"/>
    <n v="78.650000000000006"/>
    <n v="229.87"/>
    <m/>
    <n v="114.48039155571371"/>
    <n v="216.60171770542672"/>
    <n v="0"/>
    <n v="1072.86465"/>
    <n v="3135.6566699999998"/>
    <n v="0"/>
    <n v="1561.6270212114907"/>
    <n v="2954.664031219726"/>
  </r>
  <r>
    <s v="Regular"/>
    <x v="0"/>
    <x v="1"/>
    <x v="2"/>
    <x v="0"/>
    <x v="1"/>
    <x v="0"/>
    <x v="0"/>
    <x v="4"/>
    <n v="0"/>
    <n v="0"/>
    <n v="19.138999999999999"/>
    <n v="19.138999999999999"/>
    <n v="19.138999999999999"/>
    <n v="19.138999999999999"/>
    <n v="0"/>
    <x v="1"/>
    <n v="0"/>
    <n v="0"/>
    <n v="13"/>
    <n v="16"/>
    <n v="0"/>
    <n v="78.650000000000006"/>
    <n v="229.87"/>
    <m/>
    <n v="114.48039155571371"/>
    <n v="216.60171770542672"/>
    <n v="0"/>
    <n v="1505.28235"/>
    <n v="4399.4819299999999"/>
    <n v="0"/>
    <n v="2191.0402139848047"/>
    <n v="4145.5402751641623"/>
  </r>
  <r>
    <s v="Regular"/>
    <x v="0"/>
    <x v="1"/>
    <x v="2"/>
    <x v="0"/>
    <x v="1"/>
    <x v="0"/>
    <x v="0"/>
    <x v="5"/>
    <n v="0"/>
    <n v="0"/>
    <n v="23.221"/>
    <n v="23.221"/>
    <n v="23.221"/>
    <n v="23.221"/>
    <n v="0"/>
    <x v="1"/>
    <n v="0"/>
    <n v="0"/>
    <n v="13"/>
    <n v="16"/>
    <n v="0"/>
    <n v="78.650000000000006"/>
    <n v="229.87"/>
    <m/>
    <n v="114.48039155571371"/>
    <n v="216.60171770542672"/>
    <n v="0"/>
    <n v="1826.3316500000001"/>
    <n v="5337.8112700000001"/>
    <n v="0"/>
    <n v="2658.3491723152279"/>
    <n v="5029.7084868377142"/>
  </r>
  <r>
    <s v="Regular"/>
    <x v="0"/>
    <x v="1"/>
    <x v="2"/>
    <x v="0"/>
    <x v="1"/>
    <x v="0"/>
    <x v="0"/>
    <x v="6"/>
    <n v="0"/>
    <n v="0"/>
    <n v="21.416"/>
    <n v="21.416"/>
    <n v="21.416"/>
    <n v="21.416"/>
    <n v="0"/>
    <x v="1"/>
    <n v="0"/>
    <n v="0"/>
    <n v="13"/>
    <n v="16"/>
    <n v="0"/>
    <n v="78.650000000000006"/>
    <n v="229.87"/>
    <m/>
    <n v="114.48039155571371"/>
    <n v="216.60171770542672"/>
    <n v="0"/>
    <n v="1684.3684000000001"/>
    <n v="4922.8959199999999"/>
    <n v="0"/>
    <n v="2451.7120655571648"/>
    <n v="4638.7423863794183"/>
  </r>
  <r>
    <s v="Regular"/>
    <x v="0"/>
    <x v="1"/>
    <x v="2"/>
    <x v="0"/>
    <x v="1"/>
    <x v="0"/>
    <x v="0"/>
    <x v="7"/>
    <n v="0"/>
    <n v="0"/>
    <n v="17.783000000000001"/>
    <n v="17.783000000000001"/>
    <n v="17.783000000000001"/>
    <n v="17.783000000000001"/>
    <n v="0"/>
    <x v="1"/>
    <n v="0"/>
    <n v="0"/>
    <n v="13"/>
    <n v="16"/>
    <n v="0"/>
    <n v="78.650000000000006"/>
    <n v="229.87"/>
    <m/>
    <n v="114.48039155571371"/>
    <n v="216.60171770542672"/>
    <n v="0"/>
    <n v="1398.6329500000002"/>
    <n v="4087.7782100000004"/>
    <n v="0"/>
    <n v="2035.804803035257"/>
    <n v="3851.8283459556037"/>
  </r>
  <r>
    <s v="Regular"/>
    <x v="0"/>
    <x v="1"/>
    <x v="2"/>
    <x v="0"/>
    <x v="1"/>
    <x v="0"/>
    <x v="0"/>
    <x v="8"/>
    <n v="0"/>
    <n v="0"/>
    <n v="21.353000000000002"/>
    <n v="21.353000000000002"/>
    <n v="21.353000000000002"/>
    <n v="21.353000000000002"/>
    <n v="0"/>
    <x v="1"/>
    <n v="0"/>
    <n v="0"/>
    <n v="13"/>
    <n v="16"/>
    <n v="0"/>
    <n v="78.650000000000006"/>
    <n v="229.87"/>
    <m/>
    <n v="114.48039155571371"/>
    <n v="216.60171770542672"/>
    <n v="0"/>
    <n v="1679.4134500000002"/>
    <n v="4908.4141100000006"/>
    <n v="0"/>
    <n v="2444.4998008891548"/>
    <n v="4625.0964781639768"/>
  </r>
  <r>
    <s v="Regular"/>
    <x v="0"/>
    <x v="1"/>
    <x v="2"/>
    <x v="0"/>
    <x v="1"/>
    <x v="0"/>
    <x v="0"/>
    <x v="9"/>
    <n v="0"/>
    <n v="0"/>
    <n v="13.961"/>
    <n v="13.961"/>
    <n v="13.961"/>
    <n v="13.961"/>
    <n v="0"/>
    <x v="1"/>
    <n v="0"/>
    <n v="0"/>
    <n v="13"/>
    <n v="16"/>
    <n v="0"/>
    <n v="78.650000000000006"/>
    <n v="229.87"/>
    <m/>
    <n v="114.48039155571371"/>
    <n v="216.60171770542672"/>
    <n v="0"/>
    <n v="1098.0326500000001"/>
    <n v="3209.2150700000002"/>
    <n v="0"/>
    <n v="1598.2607465093192"/>
    <n v="3023.9765808854627"/>
  </r>
  <r>
    <s v="Regular"/>
    <x v="0"/>
    <x v="1"/>
    <x v="2"/>
    <x v="0"/>
    <x v="1"/>
    <x v="0"/>
    <x v="0"/>
    <x v="10"/>
    <n v="0"/>
    <n v="0"/>
    <n v="19.73"/>
    <n v="19.73"/>
    <n v="19.73"/>
    <n v="19.73"/>
    <n v="0"/>
    <x v="1"/>
    <n v="0"/>
    <n v="0"/>
    <n v="13"/>
    <n v="16"/>
    <n v="0"/>
    <n v="78.650000000000006"/>
    <n v="229.87"/>
    <m/>
    <n v="114.48039155571371"/>
    <n v="216.60171770542672"/>
    <n v="0"/>
    <n v="1551.7645000000002"/>
    <n v="4535.3351000000002"/>
    <n v="0"/>
    <n v="2258.6981253942317"/>
    <n v="4273.551890328069"/>
  </r>
  <r>
    <s v="Regular"/>
    <x v="0"/>
    <x v="1"/>
    <x v="2"/>
    <x v="0"/>
    <x v="1"/>
    <x v="0"/>
    <x v="0"/>
    <x v="11"/>
    <n v="0"/>
    <n v="0"/>
    <n v="22.042999999999999"/>
    <n v="22.042999999999999"/>
    <n v="22.042999999999999"/>
    <n v="22.042999999999999"/>
    <n v="0"/>
    <x v="1"/>
    <n v="0"/>
    <n v="0"/>
    <n v="13"/>
    <n v="16"/>
    <n v="0"/>
    <n v="78.650000000000006"/>
    <n v="229.87"/>
    <m/>
    <n v="114.48039155571371"/>
    <n v="216.60171770542672"/>
    <n v="0"/>
    <n v="1733.6819500000001"/>
    <n v="5067.02441"/>
    <n v="0"/>
    <n v="2523.4912710625972"/>
    <n v="4774.551663380721"/>
  </r>
  <r>
    <s v="Regular"/>
    <x v="0"/>
    <x v="1"/>
    <x v="2"/>
    <x v="0"/>
    <x v="1"/>
    <x v="0"/>
    <x v="1"/>
    <x v="0"/>
    <n v="368"/>
    <n v="368"/>
    <n v="0"/>
    <n v="0"/>
    <n v="0"/>
    <n v="0"/>
    <n v="4"/>
    <x v="1"/>
    <n v="0"/>
    <n v="36"/>
    <n v="0"/>
    <n v="0"/>
    <n v="14.94"/>
    <n v="0"/>
    <n v="0"/>
    <n v="19.63429077280307"/>
    <m/>
    <m/>
    <n v="5497.92"/>
    <n v="0"/>
    <n v="0"/>
    <n v="7225.4190043915296"/>
    <n v="0"/>
    <n v="0"/>
  </r>
  <r>
    <s v="Regular"/>
    <x v="0"/>
    <x v="1"/>
    <x v="2"/>
    <x v="0"/>
    <x v="1"/>
    <x v="0"/>
    <x v="1"/>
    <x v="1"/>
    <n v="361"/>
    <n v="361"/>
    <n v="0"/>
    <n v="0"/>
    <n v="0"/>
    <n v="0"/>
    <n v="4"/>
    <x v="1"/>
    <n v="0"/>
    <n v="36"/>
    <n v="0"/>
    <n v="0"/>
    <n v="14.94"/>
    <n v="0"/>
    <n v="0"/>
    <n v="19.63429077280307"/>
    <m/>
    <m/>
    <n v="5393.34"/>
    <n v="0"/>
    <n v="0"/>
    <n v="7087.9789689819081"/>
    <n v="0"/>
    <n v="0"/>
  </r>
  <r>
    <s v="Regular"/>
    <x v="0"/>
    <x v="1"/>
    <x v="2"/>
    <x v="0"/>
    <x v="1"/>
    <x v="0"/>
    <x v="1"/>
    <x v="2"/>
    <n v="353"/>
    <n v="353"/>
    <n v="0"/>
    <n v="0"/>
    <n v="0"/>
    <n v="0"/>
    <n v="4"/>
    <x v="1"/>
    <n v="0"/>
    <n v="36"/>
    <n v="0"/>
    <n v="0"/>
    <n v="14.94"/>
    <n v="0"/>
    <n v="0"/>
    <n v="19.63429077280307"/>
    <m/>
    <m/>
    <n v="5273.82"/>
    <n v="0"/>
    <n v="0"/>
    <n v="6930.9046427994836"/>
    <n v="0"/>
    <n v="0"/>
  </r>
  <r>
    <s v="Regular"/>
    <x v="0"/>
    <x v="1"/>
    <x v="2"/>
    <x v="0"/>
    <x v="1"/>
    <x v="0"/>
    <x v="1"/>
    <x v="3"/>
    <n v="353"/>
    <n v="353"/>
    <n v="0"/>
    <n v="0"/>
    <n v="0"/>
    <n v="0"/>
    <n v="4"/>
    <x v="1"/>
    <n v="0"/>
    <n v="36"/>
    <n v="0"/>
    <n v="0"/>
    <n v="14.94"/>
    <n v="0"/>
    <n v="0"/>
    <n v="19.63429077280307"/>
    <m/>
    <m/>
    <n v="5273.82"/>
    <n v="0"/>
    <n v="0"/>
    <n v="6930.9046427994836"/>
    <n v="0"/>
    <n v="0"/>
  </r>
  <r>
    <s v="Regular"/>
    <x v="0"/>
    <x v="1"/>
    <x v="2"/>
    <x v="0"/>
    <x v="1"/>
    <x v="0"/>
    <x v="1"/>
    <x v="4"/>
    <n v="354"/>
    <n v="354"/>
    <n v="0"/>
    <n v="0"/>
    <n v="0"/>
    <n v="0"/>
    <n v="4"/>
    <x v="1"/>
    <n v="0"/>
    <n v="36"/>
    <n v="0"/>
    <n v="0"/>
    <n v="14.94"/>
    <n v="0"/>
    <n v="0"/>
    <n v="19.63429077280307"/>
    <m/>
    <m/>
    <n v="5288.76"/>
    <n v="0"/>
    <n v="0"/>
    <n v="6950.5389335722866"/>
    <n v="0"/>
    <n v="0"/>
  </r>
  <r>
    <s v="Regular"/>
    <x v="0"/>
    <x v="1"/>
    <x v="2"/>
    <x v="0"/>
    <x v="1"/>
    <x v="0"/>
    <x v="1"/>
    <x v="5"/>
    <n v="360"/>
    <n v="360"/>
    <n v="0"/>
    <n v="0"/>
    <n v="0"/>
    <n v="0"/>
    <n v="4"/>
    <x v="1"/>
    <n v="0"/>
    <n v="36"/>
    <n v="0"/>
    <n v="0"/>
    <n v="14.94"/>
    <n v="0"/>
    <n v="0"/>
    <n v="19.63429077280307"/>
    <m/>
    <m/>
    <n v="5378.4"/>
    <n v="0"/>
    <n v="0"/>
    <n v="7068.344678209105"/>
    <n v="0"/>
    <n v="0"/>
  </r>
  <r>
    <s v="Regular"/>
    <x v="0"/>
    <x v="1"/>
    <x v="2"/>
    <x v="0"/>
    <x v="1"/>
    <x v="0"/>
    <x v="1"/>
    <x v="6"/>
    <n v="364"/>
    <n v="364"/>
    <n v="0"/>
    <n v="0"/>
    <n v="0"/>
    <n v="0"/>
    <n v="4"/>
    <x v="1"/>
    <n v="0"/>
    <n v="36"/>
    <n v="0"/>
    <n v="0"/>
    <n v="14.94"/>
    <n v="0"/>
    <n v="0"/>
    <n v="19.63429077280307"/>
    <m/>
    <m/>
    <n v="5438.16"/>
    <n v="0"/>
    <n v="0"/>
    <n v="7146.8818413003173"/>
    <n v="0"/>
    <n v="0"/>
  </r>
  <r>
    <s v="Regular"/>
    <x v="0"/>
    <x v="1"/>
    <x v="2"/>
    <x v="0"/>
    <x v="1"/>
    <x v="0"/>
    <x v="1"/>
    <x v="7"/>
    <n v="353"/>
    <n v="353"/>
    <n v="0"/>
    <n v="0"/>
    <n v="0"/>
    <n v="0"/>
    <n v="4"/>
    <x v="1"/>
    <n v="0"/>
    <n v="36"/>
    <n v="0"/>
    <n v="0"/>
    <n v="14.94"/>
    <n v="0"/>
    <n v="0"/>
    <n v="19.63429077280307"/>
    <m/>
    <m/>
    <n v="5273.82"/>
    <n v="0"/>
    <n v="0"/>
    <n v="6930.9046427994836"/>
    <n v="0"/>
    <n v="0"/>
  </r>
  <r>
    <s v="Regular"/>
    <x v="0"/>
    <x v="1"/>
    <x v="2"/>
    <x v="0"/>
    <x v="1"/>
    <x v="0"/>
    <x v="1"/>
    <x v="8"/>
    <n v="356"/>
    <n v="356"/>
    <n v="0"/>
    <n v="0"/>
    <n v="0"/>
    <n v="0"/>
    <n v="4"/>
    <x v="1"/>
    <n v="0"/>
    <n v="36"/>
    <n v="0"/>
    <n v="0"/>
    <n v="14.94"/>
    <n v="0"/>
    <n v="0"/>
    <n v="19.63429077280307"/>
    <m/>
    <m/>
    <n v="5318.6399999999994"/>
    <n v="0"/>
    <n v="0"/>
    <n v="6989.8075151178928"/>
    <n v="0"/>
    <n v="0"/>
  </r>
  <r>
    <s v="Regular"/>
    <x v="0"/>
    <x v="1"/>
    <x v="2"/>
    <x v="0"/>
    <x v="1"/>
    <x v="0"/>
    <x v="1"/>
    <x v="9"/>
    <n v="353"/>
    <n v="353"/>
    <n v="0"/>
    <n v="0"/>
    <n v="0"/>
    <n v="0"/>
    <n v="4"/>
    <x v="1"/>
    <n v="0"/>
    <n v="36"/>
    <n v="0"/>
    <n v="0"/>
    <n v="14.94"/>
    <n v="0"/>
    <n v="0"/>
    <n v="19.63429077280307"/>
    <m/>
    <m/>
    <n v="5273.82"/>
    <n v="0"/>
    <n v="0"/>
    <n v="6930.9046427994836"/>
    <n v="0"/>
    <n v="0"/>
  </r>
  <r>
    <s v="Regular"/>
    <x v="0"/>
    <x v="1"/>
    <x v="2"/>
    <x v="0"/>
    <x v="1"/>
    <x v="0"/>
    <x v="1"/>
    <x v="10"/>
    <n v="354"/>
    <n v="354"/>
    <n v="0"/>
    <n v="0"/>
    <n v="0"/>
    <n v="0"/>
    <n v="4"/>
    <x v="1"/>
    <n v="0"/>
    <n v="36"/>
    <n v="0"/>
    <n v="0"/>
    <n v="14.94"/>
    <n v="0"/>
    <n v="0"/>
    <n v="19.63429077280307"/>
    <m/>
    <m/>
    <n v="5288.76"/>
    <n v="0"/>
    <n v="0"/>
    <n v="6950.5389335722866"/>
    <n v="0"/>
    <n v="0"/>
  </r>
  <r>
    <s v="Regular"/>
    <x v="0"/>
    <x v="1"/>
    <x v="2"/>
    <x v="0"/>
    <x v="1"/>
    <x v="0"/>
    <x v="1"/>
    <x v="11"/>
    <n v="361"/>
    <n v="361"/>
    <n v="0"/>
    <n v="0"/>
    <n v="0"/>
    <n v="0"/>
    <n v="4"/>
    <x v="1"/>
    <n v="0"/>
    <n v="36"/>
    <n v="0"/>
    <n v="0"/>
    <n v="14.94"/>
    <n v="0"/>
    <n v="0"/>
    <n v="19.63429077280307"/>
    <m/>
    <m/>
    <n v="5393.34"/>
    <n v="0"/>
    <n v="0"/>
    <n v="7087.9789689819081"/>
    <n v="0"/>
    <n v="0"/>
  </r>
  <r>
    <s v="Regular"/>
    <x v="0"/>
    <x v="1"/>
    <x v="2"/>
    <x v="0"/>
    <x v="1"/>
    <x v="0"/>
    <x v="2"/>
    <x v="0"/>
    <n v="0"/>
    <n v="0"/>
    <n v="0.93799999999999994"/>
    <n v="0.93799999999999994"/>
    <n v="0.93799999999999994"/>
    <n v="0.93799999999999994"/>
    <n v="0"/>
    <x v="1"/>
    <n v="0"/>
    <n v="0"/>
    <n v="15"/>
    <n v="9"/>
    <n v="0"/>
    <n v="940.75"/>
    <n v="373.71"/>
    <m/>
    <n v="966.5081601045739"/>
    <n v="347.98834052804079"/>
    <n v="0"/>
    <n v="882.42349999999999"/>
    <n v="350.53997999999996"/>
    <n v="0"/>
    <n v="906.58465417809032"/>
    <n v="326.41306341530225"/>
  </r>
  <r>
    <s v="Regular"/>
    <x v="0"/>
    <x v="1"/>
    <x v="2"/>
    <x v="0"/>
    <x v="1"/>
    <x v="0"/>
    <x v="2"/>
    <x v="1"/>
    <n v="0"/>
    <n v="0"/>
    <n v="0.749"/>
    <n v="0.749"/>
    <n v="0.749"/>
    <n v="0.749"/>
    <n v="0"/>
    <x v="1"/>
    <n v="0"/>
    <n v="0"/>
    <n v="15"/>
    <n v="9"/>
    <n v="0"/>
    <n v="940.75"/>
    <n v="373.71"/>
    <m/>
    <n v="966.5081601045739"/>
    <n v="347.98834052804079"/>
    <n v="0"/>
    <n v="704.62175000000002"/>
    <n v="279.90879000000001"/>
    <n v="0"/>
    <n v="723.91461191832582"/>
    <n v="260.64326705550258"/>
  </r>
  <r>
    <s v="Regular"/>
    <x v="0"/>
    <x v="1"/>
    <x v="2"/>
    <x v="0"/>
    <x v="1"/>
    <x v="0"/>
    <x v="2"/>
    <x v="2"/>
    <n v="0"/>
    <n v="0"/>
    <n v="0.73899999999999999"/>
    <n v="0.73899999999999999"/>
    <n v="0.73899999999999999"/>
    <n v="0.73899999999999999"/>
    <n v="0"/>
    <x v="1"/>
    <n v="0"/>
    <n v="0"/>
    <n v="15"/>
    <n v="9"/>
    <n v="0"/>
    <n v="940.75"/>
    <n v="373.71"/>
    <m/>
    <n v="966.5081601045739"/>
    <n v="347.98834052804079"/>
    <n v="0"/>
    <n v="695.21424999999999"/>
    <n v="276.17168999999996"/>
    <n v="0"/>
    <n v="714.24953031728012"/>
    <n v="257.16338365022216"/>
  </r>
  <r>
    <s v="Regular"/>
    <x v="0"/>
    <x v="1"/>
    <x v="2"/>
    <x v="0"/>
    <x v="1"/>
    <x v="0"/>
    <x v="2"/>
    <x v="3"/>
    <n v="0"/>
    <n v="0"/>
    <n v="0.70899999999999996"/>
    <n v="0.70899999999999996"/>
    <n v="0.70899999999999996"/>
    <n v="0.70899999999999996"/>
    <n v="0"/>
    <x v="1"/>
    <n v="0"/>
    <n v="0"/>
    <n v="15"/>
    <n v="9"/>
    <n v="0"/>
    <n v="940.75"/>
    <n v="373.71"/>
    <m/>
    <n v="966.5081601045739"/>
    <n v="347.98834052804079"/>
    <n v="0"/>
    <n v="666.99174999999991"/>
    <n v="264.96038999999996"/>
    <n v="0"/>
    <n v="685.25428551414291"/>
    <n v="246.7237334343809"/>
  </r>
  <r>
    <s v="Regular"/>
    <x v="0"/>
    <x v="1"/>
    <x v="2"/>
    <x v="0"/>
    <x v="1"/>
    <x v="0"/>
    <x v="2"/>
    <x v="4"/>
    <n v="0"/>
    <n v="0"/>
    <n v="0.81100000000000005"/>
    <n v="0.81100000000000005"/>
    <n v="0.81100000000000005"/>
    <n v="0.81100000000000005"/>
    <n v="0"/>
    <x v="1"/>
    <n v="0"/>
    <n v="0"/>
    <n v="15"/>
    <n v="9"/>
    <n v="0"/>
    <n v="940.75"/>
    <n v="373.71"/>
    <m/>
    <n v="966.5081601045739"/>
    <n v="347.98834052804079"/>
    <n v="0"/>
    <n v="762.94825000000003"/>
    <n v="303.07880999999998"/>
    <n v="0"/>
    <n v="783.83811784480952"/>
    <n v="282.21854416824112"/>
  </r>
  <r>
    <s v="Regular"/>
    <x v="0"/>
    <x v="1"/>
    <x v="2"/>
    <x v="0"/>
    <x v="1"/>
    <x v="0"/>
    <x v="2"/>
    <x v="5"/>
    <n v="0"/>
    <n v="0"/>
    <n v="0.92800000000000005"/>
    <n v="0.92800000000000005"/>
    <n v="0.92800000000000005"/>
    <n v="0.92800000000000005"/>
    <n v="0"/>
    <x v="1"/>
    <n v="0"/>
    <n v="0"/>
    <n v="15"/>
    <n v="9"/>
    <n v="0"/>
    <n v="940.75"/>
    <n v="373.71"/>
    <m/>
    <n v="966.5081601045739"/>
    <n v="347.98834052804079"/>
    <n v="0"/>
    <n v="873.01600000000008"/>
    <n v="346.80288000000002"/>
    <n v="0"/>
    <n v="896.91957257704462"/>
    <n v="322.93318001002189"/>
  </r>
  <r>
    <s v="Regular"/>
    <x v="0"/>
    <x v="1"/>
    <x v="2"/>
    <x v="0"/>
    <x v="1"/>
    <x v="0"/>
    <x v="2"/>
    <x v="6"/>
    <n v="0"/>
    <n v="0"/>
    <n v="0.92500000000000004"/>
    <n v="0.92500000000000004"/>
    <n v="0.92500000000000004"/>
    <n v="0.92500000000000004"/>
    <n v="0"/>
    <x v="1"/>
    <n v="0"/>
    <n v="0"/>
    <n v="15"/>
    <n v="9"/>
    <n v="0"/>
    <n v="940.75"/>
    <n v="373.71"/>
    <m/>
    <n v="966.5081601045739"/>
    <n v="347.98834052804079"/>
    <n v="0"/>
    <n v="870.19375000000002"/>
    <n v="345.68175000000002"/>
    <n v="0"/>
    <n v="894.02004809673087"/>
    <n v="321.88921498843774"/>
  </r>
  <r>
    <s v="Regular"/>
    <x v="0"/>
    <x v="1"/>
    <x v="2"/>
    <x v="0"/>
    <x v="1"/>
    <x v="0"/>
    <x v="2"/>
    <x v="7"/>
    <n v="0"/>
    <n v="0"/>
    <n v="0.86499999999999999"/>
    <n v="0.86499999999999999"/>
    <n v="0.86499999999999999"/>
    <n v="0.86499999999999999"/>
    <n v="0"/>
    <x v="1"/>
    <n v="0"/>
    <n v="0"/>
    <n v="15"/>
    <n v="9"/>
    <n v="0"/>
    <n v="940.75"/>
    <n v="373.71"/>
    <m/>
    <n v="966.5081601045739"/>
    <n v="347.98834052804079"/>
    <n v="0"/>
    <n v="813.74874999999997"/>
    <n v="323.25914999999998"/>
    <n v="0"/>
    <n v="836.02955849045645"/>
    <n v="301.00991455675529"/>
  </r>
  <r>
    <s v="Regular"/>
    <x v="0"/>
    <x v="1"/>
    <x v="2"/>
    <x v="0"/>
    <x v="1"/>
    <x v="0"/>
    <x v="2"/>
    <x v="8"/>
    <n v="0"/>
    <n v="0"/>
    <n v="0.878"/>
    <n v="0.878"/>
    <n v="0.878"/>
    <n v="0.878"/>
    <n v="0"/>
    <x v="1"/>
    <n v="0"/>
    <n v="0"/>
    <n v="15"/>
    <n v="9"/>
    <n v="0"/>
    <n v="940.75"/>
    <n v="373.71"/>
    <m/>
    <n v="966.5081601045739"/>
    <n v="347.98834052804079"/>
    <n v="0"/>
    <n v="825.97850000000005"/>
    <n v="328.11737999999997"/>
    <n v="0"/>
    <n v="848.5941645718159"/>
    <n v="305.53376298361979"/>
  </r>
  <r>
    <s v="Regular"/>
    <x v="0"/>
    <x v="1"/>
    <x v="2"/>
    <x v="0"/>
    <x v="1"/>
    <x v="0"/>
    <x v="2"/>
    <x v="9"/>
    <n v="0"/>
    <n v="0"/>
    <n v="0.67500000000000004"/>
    <n v="0.67500000000000004"/>
    <n v="0.67500000000000004"/>
    <n v="0.67500000000000004"/>
    <n v="0"/>
    <x v="1"/>
    <n v="0"/>
    <n v="0"/>
    <n v="15"/>
    <n v="9"/>
    <n v="0"/>
    <n v="940.75"/>
    <n v="373.71"/>
    <m/>
    <n v="966.5081601045739"/>
    <n v="347.98834052804079"/>
    <n v="0"/>
    <n v="635.00625000000002"/>
    <n v="252.25425000000001"/>
    <n v="0"/>
    <n v="652.39300807058748"/>
    <n v="234.89212985642754"/>
  </r>
  <r>
    <s v="Regular"/>
    <x v="0"/>
    <x v="1"/>
    <x v="2"/>
    <x v="0"/>
    <x v="1"/>
    <x v="0"/>
    <x v="2"/>
    <x v="10"/>
    <n v="0"/>
    <n v="0"/>
    <n v="0.82899999999999996"/>
    <n v="0.82899999999999996"/>
    <n v="0.82899999999999996"/>
    <n v="0.82899999999999996"/>
    <n v="0"/>
    <x v="1"/>
    <n v="0"/>
    <n v="0"/>
    <n v="15"/>
    <n v="9"/>
    <n v="0"/>
    <n v="940.75"/>
    <n v="373.71"/>
    <m/>
    <n v="966.5081601045739"/>
    <n v="347.98834052804079"/>
    <n v="0"/>
    <n v="779.88175000000001"/>
    <n v="309.80559"/>
    <n v="0"/>
    <n v="801.23526472669175"/>
    <n v="288.48233429774581"/>
  </r>
  <r>
    <s v="Regular"/>
    <x v="0"/>
    <x v="1"/>
    <x v="2"/>
    <x v="0"/>
    <x v="1"/>
    <x v="0"/>
    <x v="2"/>
    <x v="11"/>
    <n v="0"/>
    <n v="0"/>
    <n v="0.91500000000000004"/>
    <n v="0.91500000000000004"/>
    <n v="0.91500000000000004"/>
    <n v="0.91500000000000004"/>
    <n v="0"/>
    <x v="1"/>
    <n v="0"/>
    <n v="0"/>
    <n v="15"/>
    <n v="9"/>
    <n v="0"/>
    <n v="940.75"/>
    <n v="373.71"/>
    <m/>
    <n v="966.5081601045739"/>
    <n v="347.98834052804079"/>
    <n v="0"/>
    <n v="860.78625"/>
    <n v="341.94464999999997"/>
    <n v="0"/>
    <n v="884.35496649568518"/>
    <n v="318.40933158315732"/>
  </r>
  <r>
    <s v="Sistema de Compensação"/>
    <x v="0"/>
    <x v="1"/>
    <x v="3"/>
    <x v="0"/>
    <x v="1"/>
    <x v="0"/>
    <x v="0"/>
    <x v="9"/>
    <n v="0"/>
    <n v="0"/>
    <n v="10.224"/>
    <n v="10.224"/>
    <n v="10.224"/>
    <n v="10.224"/>
    <n v="0"/>
    <x v="1"/>
    <n v="0"/>
    <n v="0"/>
    <n v="13"/>
    <n v="16"/>
    <n v="0"/>
    <n v="75.504000000000005"/>
    <n v="220.67519999999999"/>
    <m/>
    <n v="112.19078372459943"/>
    <n v="212.26968335131818"/>
    <n v="0"/>
    <n v="771.95289600000001"/>
    <n v="2256.1832448"/>
    <n v="0"/>
    <n v="1147.0385728003046"/>
    <n v="2170.2452425838769"/>
  </r>
  <r>
    <s v="Sistema de Compensação"/>
    <x v="0"/>
    <x v="1"/>
    <x v="3"/>
    <x v="0"/>
    <x v="1"/>
    <x v="0"/>
    <x v="0"/>
    <x v="10"/>
    <n v="0"/>
    <n v="0"/>
    <n v="6.71"/>
    <n v="6.71"/>
    <n v="6.71"/>
    <n v="6.71"/>
    <n v="0"/>
    <x v="1"/>
    <n v="0"/>
    <n v="0"/>
    <n v="13"/>
    <n v="16"/>
    <n v="0"/>
    <n v="75.504000000000005"/>
    <n v="220.67519999999999"/>
    <m/>
    <n v="112.19078372459943"/>
    <n v="212.26968335131818"/>
    <n v="0"/>
    <n v="506.63184000000001"/>
    <n v="1480.7305919999999"/>
    <n v="0"/>
    <n v="752.80015879206212"/>
    <n v="1424.3295752873451"/>
  </r>
  <r>
    <s v="Sistema de Compensação"/>
    <x v="0"/>
    <x v="1"/>
    <x v="3"/>
    <x v="0"/>
    <x v="1"/>
    <x v="0"/>
    <x v="0"/>
    <x v="11"/>
    <n v="0"/>
    <n v="0"/>
    <n v="2.5089999999999999"/>
    <n v="2.5089999999999999"/>
    <n v="2.5089999999999999"/>
    <n v="2.5089999999999999"/>
    <n v="0"/>
    <x v="1"/>
    <n v="0"/>
    <n v="0"/>
    <n v="13"/>
    <n v="16"/>
    <n v="0"/>
    <n v="75.504000000000005"/>
    <n v="220.67519999999999"/>
    <m/>
    <n v="112.19078372459943"/>
    <n v="212.26968335131818"/>
    <n v="0"/>
    <n v="189.439536"/>
    <n v="553.67407679999997"/>
    <n v="0"/>
    <n v="281.48667636501995"/>
    <n v="532.58463552845728"/>
  </r>
  <r>
    <s v="Sistema de Compensação"/>
    <x v="0"/>
    <x v="1"/>
    <x v="3"/>
    <x v="0"/>
    <x v="1"/>
    <x v="0"/>
    <x v="1"/>
    <x v="0"/>
    <n v="100"/>
    <n v="100"/>
    <n v="0"/>
    <n v="0"/>
    <n v="0"/>
    <n v="0"/>
    <n v="1"/>
    <x v="1"/>
    <n v="0"/>
    <n v="36"/>
    <n v="0"/>
    <n v="0"/>
    <n v="14.3424"/>
    <n v="0"/>
    <n v="0"/>
    <n v="19.241604957347008"/>
    <m/>
    <m/>
    <n v="1434.24"/>
    <n v="0"/>
    <n v="0"/>
    <n v="1924.1604957347008"/>
    <n v="0"/>
    <n v="0"/>
  </r>
  <r>
    <s v="Sistema de Compensação"/>
    <x v="0"/>
    <x v="1"/>
    <x v="3"/>
    <x v="0"/>
    <x v="1"/>
    <x v="0"/>
    <x v="1"/>
    <x v="1"/>
    <n v="100"/>
    <n v="100"/>
    <n v="0"/>
    <n v="0"/>
    <n v="0"/>
    <n v="0"/>
    <n v="1"/>
    <x v="1"/>
    <n v="0"/>
    <n v="36"/>
    <n v="0"/>
    <n v="0"/>
    <n v="14.3424"/>
    <n v="0"/>
    <n v="0"/>
    <n v="19.241604957347008"/>
    <m/>
    <m/>
    <n v="1434.24"/>
    <n v="0"/>
    <n v="0"/>
    <n v="1924.1604957347008"/>
    <n v="0"/>
    <n v="0"/>
  </r>
  <r>
    <s v="Sistema de Compensação"/>
    <x v="0"/>
    <x v="1"/>
    <x v="3"/>
    <x v="0"/>
    <x v="1"/>
    <x v="0"/>
    <x v="1"/>
    <x v="2"/>
    <n v="100"/>
    <n v="100"/>
    <n v="0"/>
    <n v="0"/>
    <n v="0"/>
    <n v="0"/>
    <n v="1"/>
    <x v="1"/>
    <n v="0"/>
    <n v="36"/>
    <n v="0"/>
    <n v="0"/>
    <n v="14.3424"/>
    <n v="0"/>
    <n v="0"/>
    <n v="19.241604957347008"/>
    <m/>
    <m/>
    <n v="1434.24"/>
    <n v="0"/>
    <n v="0"/>
    <n v="1924.1604957347008"/>
    <n v="0"/>
    <n v="0"/>
  </r>
  <r>
    <s v="Sistema de Compensação"/>
    <x v="0"/>
    <x v="1"/>
    <x v="3"/>
    <x v="0"/>
    <x v="1"/>
    <x v="0"/>
    <x v="1"/>
    <x v="3"/>
    <n v="100"/>
    <n v="100"/>
    <n v="0"/>
    <n v="0"/>
    <n v="0"/>
    <n v="0"/>
    <n v="1"/>
    <x v="1"/>
    <n v="0"/>
    <n v="36"/>
    <n v="0"/>
    <n v="0"/>
    <n v="14.3424"/>
    <n v="0"/>
    <n v="0"/>
    <n v="19.241604957347008"/>
    <m/>
    <m/>
    <n v="1434.24"/>
    <n v="0"/>
    <n v="0"/>
    <n v="1924.1604957347008"/>
    <n v="0"/>
    <n v="0"/>
  </r>
  <r>
    <s v="Sistema de Compensação"/>
    <x v="0"/>
    <x v="1"/>
    <x v="3"/>
    <x v="0"/>
    <x v="1"/>
    <x v="0"/>
    <x v="1"/>
    <x v="4"/>
    <n v="100"/>
    <n v="100"/>
    <n v="0"/>
    <n v="0"/>
    <n v="0"/>
    <n v="0"/>
    <n v="1"/>
    <x v="1"/>
    <n v="0"/>
    <n v="36"/>
    <n v="0"/>
    <n v="0"/>
    <n v="14.3424"/>
    <n v="0"/>
    <n v="0"/>
    <n v="19.241604957347008"/>
    <m/>
    <m/>
    <n v="1434.24"/>
    <n v="0"/>
    <n v="0"/>
    <n v="1924.1604957347008"/>
    <n v="0"/>
    <n v="0"/>
  </r>
  <r>
    <s v="Sistema de Compensação"/>
    <x v="0"/>
    <x v="1"/>
    <x v="3"/>
    <x v="0"/>
    <x v="1"/>
    <x v="0"/>
    <x v="1"/>
    <x v="5"/>
    <n v="126"/>
    <n v="126"/>
    <n v="0"/>
    <n v="0"/>
    <n v="0"/>
    <n v="0"/>
    <n v="1"/>
    <x v="1"/>
    <n v="0"/>
    <n v="36"/>
    <n v="0"/>
    <n v="0"/>
    <n v="14.3424"/>
    <n v="0"/>
    <n v="0"/>
    <n v="19.241604957347008"/>
    <m/>
    <m/>
    <n v="1807.1424"/>
    <n v="0"/>
    <n v="0"/>
    <n v="2424.4422246257232"/>
    <n v="0"/>
    <n v="0"/>
  </r>
  <r>
    <s v="Sistema de Compensação"/>
    <x v="0"/>
    <x v="1"/>
    <x v="3"/>
    <x v="0"/>
    <x v="1"/>
    <x v="0"/>
    <x v="1"/>
    <x v="6"/>
    <n v="100"/>
    <n v="100"/>
    <n v="0"/>
    <n v="0"/>
    <n v="0"/>
    <n v="0"/>
    <n v="1"/>
    <x v="1"/>
    <n v="0"/>
    <n v="36"/>
    <n v="0"/>
    <n v="0"/>
    <n v="14.3424"/>
    <n v="0"/>
    <n v="0"/>
    <n v="19.241604957347008"/>
    <m/>
    <m/>
    <n v="1434.24"/>
    <n v="0"/>
    <n v="0"/>
    <n v="1924.1604957347008"/>
    <n v="0"/>
    <n v="0"/>
  </r>
  <r>
    <s v="Sistema de Compensação"/>
    <x v="0"/>
    <x v="1"/>
    <x v="3"/>
    <x v="0"/>
    <x v="1"/>
    <x v="0"/>
    <x v="1"/>
    <x v="7"/>
    <n v="139"/>
    <n v="139"/>
    <n v="0"/>
    <n v="0"/>
    <n v="0"/>
    <n v="0"/>
    <n v="1"/>
    <x v="1"/>
    <n v="0"/>
    <n v="36"/>
    <n v="0"/>
    <n v="0"/>
    <n v="14.3424"/>
    <n v="0"/>
    <n v="0"/>
    <n v="19.241604957347008"/>
    <m/>
    <m/>
    <n v="1993.5935999999999"/>
    <n v="0"/>
    <n v="0"/>
    <n v="2674.5830890712341"/>
    <n v="0"/>
    <n v="0"/>
  </r>
  <r>
    <s v="Sistema de Compensação"/>
    <x v="0"/>
    <x v="1"/>
    <x v="3"/>
    <x v="0"/>
    <x v="1"/>
    <x v="0"/>
    <x v="1"/>
    <x v="8"/>
    <n v="189"/>
    <n v="189"/>
    <n v="0"/>
    <n v="0"/>
    <n v="0"/>
    <n v="0"/>
    <n v="1"/>
    <x v="1"/>
    <n v="0"/>
    <n v="36"/>
    <n v="0"/>
    <n v="0"/>
    <n v="14.3424"/>
    <n v="0"/>
    <n v="0"/>
    <n v="19.241604957347008"/>
    <m/>
    <m/>
    <n v="2710.7136"/>
    <n v="0"/>
    <n v="0"/>
    <n v="3636.6633369385845"/>
    <n v="0"/>
    <n v="0"/>
  </r>
  <r>
    <s v="Sistema de Compensação"/>
    <x v="0"/>
    <x v="1"/>
    <x v="3"/>
    <x v="0"/>
    <x v="1"/>
    <x v="0"/>
    <x v="1"/>
    <x v="9"/>
    <n v="211"/>
    <n v="211"/>
    <n v="0"/>
    <n v="0"/>
    <n v="0"/>
    <n v="0"/>
    <n v="1"/>
    <x v="1"/>
    <n v="0"/>
    <n v="36"/>
    <n v="0"/>
    <n v="0"/>
    <n v="14.3424"/>
    <n v="0"/>
    <n v="0"/>
    <n v="19.241604957347008"/>
    <m/>
    <m/>
    <n v="3026.2464"/>
    <n v="0"/>
    <n v="0"/>
    <n v="4059.9786460002188"/>
    <n v="0"/>
    <n v="0"/>
  </r>
  <r>
    <s v="Sistema de Compensação"/>
    <x v="0"/>
    <x v="1"/>
    <x v="3"/>
    <x v="0"/>
    <x v="1"/>
    <x v="0"/>
    <x v="1"/>
    <x v="10"/>
    <n v="186"/>
    <n v="186"/>
    <n v="0"/>
    <n v="0"/>
    <n v="0"/>
    <n v="0"/>
    <n v="1"/>
    <x v="1"/>
    <n v="0"/>
    <n v="36"/>
    <n v="0"/>
    <n v="0"/>
    <n v="14.3424"/>
    <n v="0"/>
    <n v="0"/>
    <n v="19.241604957347008"/>
    <m/>
    <m/>
    <n v="2667.6864"/>
    <n v="0"/>
    <n v="0"/>
    <n v="3578.9385220665436"/>
    <n v="0"/>
    <n v="0"/>
  </r>
  <r>
    <s v="Sistema de Compensação"/>
    <x v="0"/>
    <x v="1"/>
    <x v="3"/>
    <x v="0"/>
    <x v="1"/>
    <x v="0"/>
    <x v="1"/>
    <x v="11"/>
    <n v="155"/>
    <n v="155"/>
    <n v="0"/>
    <n v="0"/>
    <n v="0"/>
    <n v="0"/>
    <n v="1"/>
    <x v="1"/>
    <n v="0"/>
    <n v="36"/>
    <n v="0"/>
    <n v="0"/>
    <n v="14.3424"/>
    <n v="0"/>
    <n v="0"/>
    <n v="19.241604957347008"/>
    <m/>
    <m/>
    <n v="2223.0720000000001"/>
    <n v="0"/>
    <n v="0"/>
    <n v="2982.448768388786"/>
    <n v="0"/>
    <n v="0"/>
  </r>
  <r>
    <s v="Sistema de Compensação"/>
    <x v="0"/>
    <x v="1"/>
    <x v="3"/>
    <x v="0"/>
    <x v="1"/>
    <x v="0"/>
    <x v="2"/>
    <x v="9"/>
    <n v="0"/>
    <n v="0"/>
    <n v="1.532"/>
    <n v="1.532"/>
    <n v="1.532"/>
    <n v="1.532"/>
    <n v="0"/>
    <x v="1"/>
    <n v="0"/>
    <n v="0"/>
    <n v="15"/>
    <n v="9"/>
    <n v="0"/>
    <n v="903.12"/>
    <n v="358.76159999999999"/>
    <m/>
    <n v="947.17799690248239"/>
    <n v="341.02857371747996"/>
    <n v="0"/>
    <n v="1383.5798400000001"/>
    <n v="549.62277119999999"/>
    <n v="0"/>
    <n v="1451.076691254603"/>
    <n v="522.45577493517931"/>
  </r>
  <r>
    <s v="Sistema de Compensação"/>
    <x v="0"/>
    <x v="1"/>
    <x v="3"/>
    <x v="0"/>
    <x v="1"/>
    <x v="0"/>
    <x v="2"/>
    <x v="10"/>
    <n v="0"/>
    <n v="0"/>
    <n v="0.49099999999999999"/>
    <n v="0.49099999999999999"/>
    <n v="0.49099999999999999"/>
    <n v="0.49099999999999999"/>
    <n v="0"/>
    <x v="1"/>
    <n v="0"/>
    <n v="0"/>
    <n v="15"/>
    <n v="9"/>
    <n v="0"/>
    <n v="903.12"/>
    <n v="358.76159999999999"/>
    <m/>
    <n v="947.17799690248239"/>
    <n v="341.02857371747996"/>
    <n v="0"/>
    <n v="443.43191999999999"/>
    <n v="176.1519456"/>
    <n v="0"/>
    <n v="465.06439647911884"/>
    <n v="167.44502969528267"/>
  </r>
  <r>
    <s v="Sistema de Compensação"/>
    <x v="0"/>
    <x v="1"/>
    <x v="3"/>
    <x v="0"/>
    <x v="1"/>
    <x v="0"/>
    <x v="2"/>
    <x v="11"/>
    <n v="0"/>
    <n v="0"/>
    <n v="0.42299999999999999"/>
    <n v="0.42299999999999999"/>
    <n v="0.42299999999999999"/>
    <n v="0.42299999999999999"/>
    <n v="0"/>
    <x v="1"/>
    <n v="0"/>
    <n v="0"/>
    <n v="15"/>
    <n v="9"/>
    <n v="0"/>
    <n v="903.12"/>
    <n v="358.76159999999999"/>
    <m/>
    <n v="947.17799690248239"/>
    <n v="341.02857371747996"/>
    <n v="0"/>
    <n v="382.01975999999996"/>
    <n v="151.75615679999999"/>
    <n v="0"/>
    <n v="400.65629268975005"/>
    <n v="144.25508668249401"/>
  </r>
  <r>
    <s v="Regular"/>
    <x v="1"/>
    <x v="2"/>
    <x v="4"/>
    <x v="1"/>
    <x v="1"/>
    <x v="0"/>
    <x v="1"/>
    <x v="0"/>
    <n v="0"/>
    <n v="0"/>
    <n v="1892.0740000000001"/>
    <n v="1892.0740000000001"/>
    <n v="1892.0740000000001"/>
    <n v="1892.0740000000001"/>
    <n v="9963"/>
    <x v="1"/>
    <n v="0"/>
    <n v="0"/>
    <n v="21"/>
    <n v="7"/>
    <n v="0"/>
    <n v="333.15"/>
    <n v="241.85"/>
    <m/>
    <n v="376.13343594836397"/>
    <n v="227.55060294064452"/>
    <n v="0"/>
    <n v="630344.45309999993"/>
    <n v="457598.0969"/>
    <n v="0"/>
    <n v="711672.29468856484"/>
    <n v="430542.57950831705"/>
  </r>
  <r>
    <s v="Sistema de Compensação"/>
    <x v="1"/>
    <x v="2"/>
    <x v="4"/>
    <x v="1"/>
    <x v="1"/>
    <x v="0"/>
    <x v="1"/>
    <x v="0"/>
    <n v="0"/>
    <n v="0"/>
    <n v="20.032"/>
    <n v="20.032"/>
    <n v="20.032"/>
    <n v="20.032"/>
    <n v="148"/>
    <x v="1"/>
    <n v="0"/>
    <n v="0"/>
    <n v="21"/>
    <n v="7"/>
    <n v="0"/>
    <n v="333.15"/>
    <n v="241.85"/>
    <m/>
    <n v="376.13343594836397"/>
    <n v="227.55060294064452"/>
    <n v="0"/>
    <n v="6673.6607999999997"/>
    <n v="4844.7392"/>
    <n v="0"/>
    <n v="7534.7049889176269"/>
    <n v="4558.2936781069911"/>
  </r>
  <r>
    <s v="Regular"/>
    <x v="1"/>
    <x v="2"/>
    <x v="4"/>
    <x v="1"/>
    <x v="1"/>
    <x v="0"/>
    <x v="1"/>
    <x v="1"/>
    <n v="0"/>
    <n v="0"/>
    <n v="1795.481"/>
    <n v="1795.481"/>
    <n v="1795.481"/>
    <n v="1795.481"/>
    <n v="9953"/>
    <x v="1"/>
    <n v="0"/>
    <n v="0"/>
    <n v="21"/>
    <n v="7"/>
    <n v="0"/>
    <n v="333.15"/>
    <n v="241.85"/>
    <m/>
    <n v="376.13343594836397"/>
    <n v="227.55060294064452"/>
    <n v="0"/>
    <n v="598164.49514999997"/>
    <n v="434237.07984999998"/>
    <n v="0"/>
    <n v="675340.43771000451"/>
    <n v="408562.78411847138"/>
  </r>
  <r>
    <s v="Sistema de Compensação"/>
    <x v="1"/>
    <x v="2"/>
    <x v="4"/>
    <x v="1"/>
    <x v="1"/>
    <x v="0"/>
    <x v="1"/>
    <x v="1"/>
    <n v="0"/>
    <n v="0"/>
    <n v="17.588000000000001"/>
    <n v="17.588000000000001"/>
    <n v="17.588000000000001"/>
    <n v="17.588000000000001"/>
    <n v="156"/>
    <x v="1"/>
    <n v="0"/>
    <n v="0"/>
    <n v="21"/>
    <n v="7"/>
    <n v="0"/>
    <n v="333.15"/>
    <n v="241.85"/>
    <m/>
    <n v="376.13343594836397"/>
    <n v="227.55060294064452"/>
    <n v="0"/>
    <n v="5859.4421999999995"/>
    <n v="4253.6578"/>
    <n v="0"/>
    <n v="6615.4348714598254"/>
    <n v="4002.1600045200562"/>
  </r>
  <r>
    <s v="Regular"/>
    <x v="1"/>
    <x v="2"/>
    <x v="4"/>
    <x v="1"/>
    <x v="1"/>
    <x v="0"/>
    <x v="1"/>
    <x v="2"/>
    <n v="0"/>
    <n v="0"/>
    <n v="1605.943"/>
    <n v="1605.943"/>
    <n v="1605.943"/>
    <n v="1605.943"/>
    <n v="9943"/>
    <x v="1"/>
    <n v="0"/>
    <n v="0"/>
    <n v="21"/>
    <n v="7"/>
    <n v="0"/>
    <n v="333.15"/>
    <n v="241.85"/>
    <m/>
    <n v="376.13343594836397"/>
    <n v="227.55060294064452"/>
    <n v="0"/>
    <n v="535019.91044999997"/>
    <n v="388397.31455000001"/>
    <n v="0"/>
    <n v="604048.85852722346"/>
    <n v="365433.29793830746"/>
  </r>
  <r>
    <s v="Sistema de Compensação"/>
    <x v="1"/>
    <x v="2"/>
    <x v="4"/>
    <x v="1"/>
    <x v="1"/>
    <x v="0"/>
    <x v="1"/>
    <x v="2"/>
    <n v="0"/>
    <n v="0"/>
    <n v="17.021999999999998"/>
    <n v="17.021999999999998"/>
    <n v="17.021999999999998"/>
    <n v="17.021999999999998"/>
    <n v="178"/>
    <x v="1"/>
    <n v="0"/>
    <n v="0"/>
    <n v="21"/>
    <n v="7"/>
    <n v="0"/>
    <n v="333.15"/>
    <n v="241.85"/>
    <m/>
    <n v="376.13343594836397"/>
    <n v="227.55060294064452"/>
    <n v="0"/>
    <n v="5670.8792999999987"/>
    <n v="4116.7706999999991"/>
    <n v="0"/>
    <n v="6402.5433467130506"/>
    <n v="3873.3663632556509"/>
  </r>
  <r>
    <s v="Regular"/>
    <x v="1"/>
    <x v="2"/>
    <x v="4"/>
    <x v="1"/>
    <x v="1"/>
    <x v="0"/>
    <x v="1"/>
    <x v="3"/>
    <n v="0"/>
    <n v="0"/>
    <n v="1543.865"/>
    <n v="1543.865"/>
    <n v="1543.865"/>
    <n v="1543.865"/>
    <n v="9932"/>
    <x v="1"/>
    <n v="0"/>
    <n v="0"/>
    <n v="21"/>
    <n v="7"/>
    <n v="0"/>
    <n v="333.15"/>
    <n v="241.85"/>
    <m/>
    <n v="376.13343594836397"/>
    <n v="227.55060294064452"/>
    <n v="0"/>
    <n v="514338.62474999996"/>
    <n v="373383.75024999998"/>
    <n v="0"/>
    <n v="580699.24709042092"/>
    <n v="351307.41160895815"/>
  </r>
  <r>
    <s v="Sistema de Compensação"/>
    <x v="1"/>
    <x v="2"/>
    <x v="4"/>
    <x v="1"/>
    <x v="1"/>
    <x v="0"/>
    <x v="1"/>
    <x v="3"/>
    <n v="0"/>
    <n v="0"/>
    <n v="16.579999999999998"/>
    <n v="16.579999999999998"/>
    <n v="16.579999999999998"/>
    <n v="16.579999999999998"/>
    <n v="198"/>
    <x v="1"/>
    <n v="0"/>
    <n v="0"/>
    <n v="21"/>
    <n v="7"/>
    <n v="0"/>
    <n v="333.15"/>
    <n v="241.85"/>
    <m/>
    <n v="376.13343594836397"/>
    <n v="227.55060294064452"/>
    <n v="0"/>
    <n v="5523.6269999999995"/>
    <n v="4009.8729999999996"/>
    <n v="0"/>
    <n v="6236.2923680238737"/>
    <n v="3772.7889967558858"/>
  </r>
  <r>
    <s v="Regular"/>
    <x v="1"/>
    <x v="2"/>
    <x v="4"/>
    <x v="1"/>
    <x v="1"/>
    <x v="0"/>
    <x v="1"/>
    <x v="4"/>
    <n v="0"/>
    <n v="0"/>
    <n v="1639.9559999999999"/>
    <n v="1639.9559999999999"/>
    <n v="1639.9559999999999"/>
    <n v="1639.9559999999999"/>
    <n v="9935"/>
    <x v="1"/>
    <n v="0"/>
    <n v="0"/>
    <n v="21"/>
    <n v="7"/>
    <n v="0"/>
    <n v="333.15"/>
    <n v="241.85"/>
    <m/>
    <n v="376.13343594836397"/>
    <n v="227.55060294064452"/>
    <n v="0"/>
    <n v="546351.34139999992"/>
    <n v="396623.35859999998"/>
    <n v="0"/>
    <n v="616842.28508413513"/>
    <n v="373172.97659612761"/>
  </r>
  <r>
    <s v="Refaturamento - Regular"/>
    <x v="1"/>
    <x v="2"/>
    <x v="4"/>
    <x v="1"/>
    <x v="1"/>
    <x v="0"/>
    <x v="1"/>
    <x v="4"/>
    <n v="0"/>
    <n v="0"/>
    <n v="-0.16700000000000001"/>
    <n v="-0.16700000000000001"/>
    <n v="-0.16700000000000001"/>
    <n v="-0.16700000000000001"/>
    <n v="0"/>
    <x v="1"/>
    <n v="0"/>
    <n v="0"/>
    <n v="21"/>
    <n v="7"/>
    <n v="0"/>
    <n v="333.15"/>
    <n v="241.85"/>
    <m/>
    <n v="376.13343594836397"/>
    <n v="227.55060294064452"/>
    <n v="0"/>
    <n v="-55.636049999999997"/>
    <n v="-40.388950000000001"/>
    <n v="0"/>
    <n v="-62.814283803376789"/>
    <n v="-38.000950691087638"/>
  </r>
  <r>
    <s v="Sistema de Compensação"/>
    <x v="1"/>
    <x v="2"/>
    <x v="4"/>
    <x v="1"/>
    <x v="1"/>
    <x v="0"/>
    <x v="1"/>
    <x v="4"/>
    <n v="0"/>
    <n v="0"/>
    <n v="13.473000000000001"/>
    <n v="13.473000000000001"/>
    <n v="13.473000000000001"/>
    <n v="13.473000000000001"/>
    <n v="218"/>
    <x v="1"/>
    <n v="0"/>
    <n v="0"/>
    <n v="21"/>
    <n v="7"/>
    <n v="0"/>
    <n v="333.15"/>
    <n v="241.85"/>
    <m/>
    <n v="376.13343594836397"/>
    <n v="227.55060294064452"/>
    <n v="0"/>
    <n v="4488.5299500000001"/>
    <n v="3258.4450500000003"/>
    <n v="0"/>
    <n v="5067.6457825323077"/>
    <n v="3065.7892734193038"/>
  </r>
  <r>
    <s v="Sistema de Compensação"/>
    <x v="1"/>
    <x v="2"/>
    <x v="4"/>
    <x v="1"/>
    <x v="1"/>
    <x v="0"/>
    <x v="1"/>
    <x v="4"/>
    <n v="0"/>
    <n v="0"/>
    <n v="0.11700000000000001"/>
    <n v="0.11700000000000001"/>
    <n v="0.11700000000000001"/>
    <n v="0.11700000000000001"/>
    <n v="1"/>
    <x v="1"/>
    <n v="0"/>
    <n v="0"/>
    <n v="21"/>
    <n v="7"/>
    <n v="0"/>
    <n v="333.15"/>
    <n v="241.85"/>
    <m/>
    <n v="376.13343594836397"/>
    <n v="227.55060294064452"/>
    <n v="0"/>
    <n v="38.978549999999998"/>
    <n v="28.29645"/>
    <n v="0"/>
    <n v="44.007612005958585"/>
    <n v="26.62342054405541"/>
  </r>
  <r>
    <s v="Regular"/>
    <x v="1"/>
    <x v="2"/>
    <x v="4"/>
    <x v="1"/>
    <x v="1"/>
    <x v="0"/>
    <x v="1"/>
    <x v="5"/>
    <n v="0"/>
    <n v="0"/>
    <n v="1644.258"/>
    <n v="1644.258"/>
    <n v="1644.258"/>
    <n v="1644.258"/>
    <n v="9827"/>
    <x v="1"/>
    <n v="0"/>
    <n v="0"/>
    <n v="21"/>
    <n v="7"/>
    <n v="0"/>
    <n v="333.15"/>
    <n v="241.85"/>
    <m/>
    <n v="376.13343594836397"/>
    <n v="227.55060294064452"/>
    <n v="0"/>
    <n v="547784.5527"/>
    <n v="397663.79729999998"/>
    <n v="0"/>
    <n v="618460.41112558509"/>
    <n v="374151.89928997832"/>
  </r>
  <r>
    <s v="Sistema de Compensação"/>
    <x v="1"/>
    <x v="2"/>
    <x v="4"/>
    <x v="1"/>
    <x v="1"/>
    <x v="0"/>
    <x v="1"/>
    <x v="5"/>
    <n v="0"/>
    <n v="0"/>
    <n v="16.202999999999999"/>
    <n v="16.202999999999999"/>
    <n v="16.202999999999999"/>
    <n v="16.202999999999999"/>
    <n v="236"/>
    <x v="1"/>
    <n v="0"/>
    <n v="0"/>
    <n v="21"/>
    <n v="7"/>
    <n v="0"/>
    <n v="333.15"/>
    <n v="241.85"/>
    <m/>
    <n v="376.13343594836397"/>
    <n v="227.55060294064452"/>
    <n v="0"/>
    <n v="5398.0294499999991"/>
    <n v="3918.6955499999999"/>
    <n v="0"/>
    <n v="6094.4900626713415"/>
    <n v="3687.002419447263"/>
  </r>
  <r>
    <s v="Regular"/>
    <x v="1"/>
    <x v="2"/>
    <x v="4"/>
    <x v="1"/>
    <x v="1"/>
    <x v="0"/>
    <x v="1"/>
    <x v="6"/>
    <n v="0"/>
    <n v="0"/>
    <n v="1832.442"/>
    <n v="1832.442"/>
    <n v="1832.442"/>
    <n v="1832.442"/>
    <n v="9725"/>
    <x v="1"/>
    <n v="0"/>
    <n v="0"/>
    <n v="21"/>
    <n v="7"/>
    <n v="0"/>
    <n v="333.15"/>
    <n v="241.85"/>
    <m/>
    <n v="376.13343594836397"/>
    <n v="227.55060294064452"/>
    <n v="0"/>
    <n v="610478.05229999998"/>
    <n v="443176.09769999998"/>
    <n v="0"/>
    <n v="689242.705636092"/>
    <n v="416973.28195376054"/>
  </r>
  <r>
    <s v="Sistema de Compensação"/>
    <x v="1"/>
    <x v="2"/>
    <x v="4"/>
    <x v="1"/>
    <x v="1"/>
    <x v="0"/>
    <x v="1"/>
    <x v="6"/>
    <n v="0"/>
    <n v="0"/>
    <n v="21.170999999999999"/>
    <n v="21.170999999999999"/>
    <n v="21.170999999999999"/>
    <n v="21.170999999999999"/>
    <n v="265"/>
    <x v="1"/>
    <n v="0"/>
    <n v="0"/>
    <n v="21"/>
    <n v="7"/>
    <n v="0"/>
    <n v="333.15"/>
    <n v="241.85"/>
    <m/>
    <n v="376.13343594836397"/>
    <n v="227.55060294064452"/>
    <n v="0"/>
    <n v="7053.1186499999994"/>
    <n v="5120.2063499999995"/>
    <n v="0"/>
    <n v="7963.1209724628134"/>
    <n v="4817.4738148563847"/>
  </r>
  <r>
    <s v="Sistema de Compensação"/>
    <x v="1"/>
    <x v="2"/>
    <x v="4"/>
    <x v="1"/>
    <x v="1"/>
    <x v="0"/>
    <x v="1"/>
    <x v="6"/>
    <n v="0"/>
    <n v="0"/>
    <n v="-0.2"/>
    <n v="-0.2"/>
    <n v="-0.2"/>
    <n v="-0.2"/>
    <n v="2"/>
    <x v="1"/>
    <n v="0"/>
    <n v="0"/>
    <n v="21"/>
    <n v="7"/>
    <n v="0"/>
    <n v="333.15"/>
    <n v="241.85"/>
    <m/>
    <n v="376.13343594836397"/>
    <n v="227.55060294064452"/>
    <n v="0"/>
    <n v="-66.63"/>
    <n v="-48.370000000000005"/>
    <n v="0"/>
    <n v="-75.226687189672802"/>
    <n v="-45.510120588128906"/>
  </r>
  <r>
    <s v="Regular"/>
    <x v="1"/>
    <x v="2"/>
    <x v="4"/>
    <x v="1"/>
    <x v="1"/>
    <x v="0"/>
    <x v="1"/>
    <x v="7"/>
    <n v="0"/>
    <n v="0"/>
    <n v="1819.846"/>
    <n v="1819.846"/>
    <n v="1819.846"/>
    <n v="1819.846"/>
    <n v="9665"/>
    <x v="1"/>
    <n v="0"/>
    <n v="0"/>
    <n v="21"/>
    <n v="7"/>
    <n v="0"/>
    <n v="333.15"/>
    <n v="241.85"/>
    <m/>
    <n v="376.13343594836397"/>
    <n v="227.55060294064452"/>
    <n v="0"/>
    <n v="606281.6949"/>
    <n v="440129.75510000001"/>
    <n v="0"/>
    <n v="684504.92887688638"/>
    <n v="414107.05455912015"/>
  </r>
  <r>
    <s v="Sistema de Compensação"/>
    <x v="1"/>
    <x v="2"/>
    <x v="4"/>
    <x v="1"/>
    <x v="1"/>
    <x v="0"/>
    <x v="1"/>
    <x v="7"/>
    <n v="0"/>
    <n v="0"/>
    <n v="19.988"/>
    <n v="19.988"/>
    <n v="19.988"/>
    <n v="19.988"/>
    <n v="288"/>
    <x v="1"/>
    <n v="0"/>
    <n v="0"/>
    <n v="21"/>
    <n v="7"/>
    <n v="0"/>
    <n v="333.15"/>
    <n v="241.85"/>
    <m/>
    <n v="376.13343594836397"/>
    <n v="227.55060294064452"/>
    <n v="0"/>
    <n v="6659.002199999999"/>
    <n v="4834.0977999999996"/>
    <n v="0"/>
    <n v="7518.1551177358988"/>
    <n v="4548.2814515776026"/>
  </r>
  <r>
    <s v="Regular"/>
    <x v="1"/>
    <x v="2"/>
    <x v="4"/>
    <x v="1"/>
    <x v="1"/>
    <x v="0"/>
    <x v="1"/>
    <x v="8"/>
    <n v="0"/>
    <n v="0"/>
    <n v="1630.7280000000001"/>
    <n v="1630.7280000000001"/>
    <n v="1630.7280000000001"/>
    <n v="1630.7280000000001"/>
    <n v="9614"/>
    <x v="1"/>
    <n v="0"/>
    <n v="0"/>
    <n v="21"/>
    <n v="7"/>
    <n v="0"/>
    <n v="333.15"/>
    <n v="241.85"/>
    <m/>
    <n v="376.13343594836397"/>
    <n v="227.55060294064452"/>
    <n v="0"/>
    <n v="543277.03319999995"/>
    <n v="394391.56680000003"/>
    <n v="0"/>
    <n v="613371.3257372037"/>
    <n v="371073.13963219139"/>
  </r>
  <r>
    <s v="Refaturamento - Regular"/>
    <x v="1"/>
    <x v="2"/>
    <x v="4"/>
    <x v="1"/>
    <x v="1"/>
    <x v="0"/>
    <x v="1"/>
    <x v="8"/>
    <n v="0"/>
    <n v="0"/>
    <n v="-1.526"/>
    <n v="-1.526"/>
    <n v="-1.526"/>
    <n v="-1.526"/>
    <n v="0"/>
    <x v="1"/>
    <n v="0"/>
    <n v="0"/>
    <n v="21"/>
    <n v="7"/>
    <n v="0"/>
    <n v="333.15"/>
    <n v="241.85"/>
    <m/>
    <n v="376.13343594836397"/>
    <n v="227.55060294064452"/>
    <n v="0"/>
    <n v="-508.38689999999997"/>
    <n v="-369.06310000000002"/>
    <n v="0"/>
    <n v="-573.97962325720346"/>
    <n v="-347.24222008742356"/>
  </r>
  <r>
    <s v="Sistema de Compensação"/>
    <x v="1"/>
    <x v="2"/>
    <x v="4"/>
    <x v="1"/>
    <x v="1"/>
    <x v="0"/>
    <x v="1"/>
    <x v="8"/>
    <n v="0"/>
    <n v="0"/>
    <n v="23.715"/>
    <n v="23.715"/>
    <n v="23.715"/>
    <n v="23.715"/>
    <n v="323"/>
    <x v="1"/>
    <n v="0"/>
    <n v="0"/>
    <n v="21"/>
    <n v="7"/>
    <n v="0"/>
    <n v="333.15"/>
    <n v="241.85"/>
    <m/>
    <n v="376.13343594836397"/>
    <n v="227.55060294064452"/>
    <n v="0"/>
    <n v="7900.6522499999992"/>
    <n v="5735.4727499999999"/>
    <n v="0"/>
    <n v="8920.0044335154507"/>
    <n v="5396.3625487373847"/>
  </r>
  <r>
    <s v="Regular"/>
    <x v="1"/>
    <x v="2"/>
    <x v="4"/>
    <x v="1"/>
    <x v="1"/>
    <x v="0"/>
    <x v="1"/>
    <x v="9"/>
    <n v="0"/>
    <n v="0"/>
    <n v="1510.454"/>
    <n v="1510.454"/>
    <n v="1510.454"/>
    <n v="1510.454"/>
    <n v="9551"/>
    <x v="1"/>
    <n v="0"/>
    <n v="0"/>
    <n v="21"/>
    <n v="7"/>
    <n v="0"/>
    <n v="333.15"/>
    <n v="241.85"/>
    <m/>
    <n v="376.13343594836397"/>
    <n v="227.55060294064452"/>
    <n v="0"/>
    <n v="503207.75009999995"/>
    <n v="365303.29989999998"/>
    <n v="0"/>
    <n v="568132.25286195008"/>
    <n v="343704.71841410827"/>
  </r>
  <r>
    <s v="Sistema de Compensação"/>
    <x v="1"/>
    <x v="2"/>
    <x v="4"/>
    <x v="1"/>
    <x v="1"/>
    <x v="0"/>
    <x v="1"/>
    <x v="9"/>
    <n v="0"/>
    <n v="0"/>
    <n v="25.372"/>
    <n v="25.372"/>
    <n v="25.372"/>
    <n v="25.372"/>
    <n v="352"/>
    <x v="1"/>
    <n v="0"/>
    <n v="0"/>
    <n v="21"/>
    <n v="7"/>
    <n v="0"/>
    <n v="333.15"/>
    <n v="241.85"/>
    <m/>
    <n v="376.13343594836397"/>
    <n v="227.55060294064452"/>
    <n v="0"/>
    <n v="8452.6818000000003"/>
    <n v="6136.2182000000003"/>
    <n v="0"/>
    <n v="9543.2575368818907"/>
    <n v="5773.4138978100327"/>
  </r>
  <r>
    <s v="Regular"/>
    <x v="1"/>
    <x v="2"/>
    <x v="4"/>
    <x v="1"/>
    <x v="1"/>
    <x v="0"/>
    <x v="1"/>
    <x v="10"/>
    <n v="0"/>
    <n v="0"/>
    <n v="1552.1790000000001"/>
    <n v="1552.1790000000001"/>
    <n v="1552.1790000000001"/>
    <n v="1552.1790000000001"/>
    <n v="9508"/>
    <x v="1"/>
    <n v="0"/>
    <n v="0"/>
    <n v="21"/>
    <n v="7"/>
    <n v="0"/>
    <n v="333.15"/>
    <n v="241.85"/>
    <m/>
    <n v="376.13343594836397"/>
    <n v="227.55060294064452"/>
    <n v="0"/>
    <n v="517108.43384999997"/>
    <n v="375394.49115000002"/>
    <n v="0"/>
    <n v="583826.42047689564"/>
    <n v="353199.26732180669"/>
  </r>
  <r>
    <s v="Sistema de Compensação"/>
    <x v="1"/>
    <x v="2"/>
    <x v="4"/>
    <x v="1"/>
    <x v="1"/>
    <x v="0"/>
    <x v="1"/>
    <x v="10"/>
    <n v="0"/>
    <n v="0"/>
    <n v="29.794"/>
    <n v="29.794"/>
    <n v="29.794"/>
    <n v="29.794"/>
    <n v="379"/>
    <x v="1"/>
    <n v="0"/>
    <n v="0"/>
    <n v="21"/>
    <n v="7"/>
    <n v="0"/>
    <n v="333.15"/>
    <n v="241.85"/>
    <m/>
    <n v="376.13343594836397"/>
    <n v="227.55060294064452"/>
    <n v="0"/>
    <n v="9925.8711000000003"/>
    <n v="7205.6788999999999"/>
    <n v="0"/>
    <n v="11206.519590645556"/>
    <n v="6779.6426640135633"/>
  </r>
  <r>
    <s v="Regular"/>
    <x v="1"/>
    <x v="2"/>
    <x v="4"/>
    <x v="1"/>
    <x v="1"/>
    <x v="0"/>
    <x v="1"/>
    <x v="11"/>
    <n v="0"/>
    <n v="0"/>
    <n v="1791.288"/>
    <n v="1791.288"/>
    <n v="1791.288"/>
    <n v="1791.288"/>
    <n v="9428"/>
    <x v="1"/>
    <n v="0"/>
    <n v="0"/>
    <n v="21"/>
    <n v="7"/>
    <n v="0"/>
    <n v="333.15"/>
    <n v="241.85"/>
    <m/>
    <n v="376.13343594836397"/>
    <n v="227.55060294064452"/>
    <n v="0"/>
    <n v="596767.59719999996"/>
    <n v="433223.00280000002"/>
    <n v="0"/>
    <n v="673763.31021307304"/>
    <n v="407608.66444034124"/>
  </r>
  <r>
    <s v="Sistema de Compensação"/>
    <x v="1"/>
    <x v="2"/>
    <x v="4"/>
    <x v="1"/>
    <x v="1"/>
    <x v="0"/>
    <x v="1"/>
    <x v="11"/>
    <n v="0"/>
    <n v="0"/>
    <n v="53.2"/>
    <n v="53.2"/>
    <n v="53.2"/>
    <n v="53.2"/>
    <n v="402"/>
    <x v="1"/>
    <n v="0"/>
    <n v="0"/>
    <n v="21"/>
    <n v="7"/>
    <n v="0"/>
    <n v="333.15"/>
    <n v="241.85"/>
    <m/>
    <n v="376.13343594836397"/>
    <n v="227.55060294064452"/>
    <n v="0"/>
    <n v="17723.579999999998"/>
    <n v="12866.42"/>
    <n v="0"/>
    <n v="20010.298792452963"/>
    <n v="12105.692076442288"/>
  </r>
  <r>
    <s v="Regular"/>
    <x v="1"/>
    <x v="2"/>
    <x v="4"/>
    <x v="2"/>
    <x v="1"/>
    <x v="0"/>
    <x v="1"/>
    <x v="0"/>
    <n v="0"/>
    <n v="0"/>
    <n v="8.43"/>
    <n v="8.43"/>
    <n v="8.43"/>
    <n v="8.43"/>
    <n v="4"/>
    <x v="1"/>
    <n v="0"/>
    <n v="0"/>
    <n v="33"/>
    <n v="1"/>
    <n v="0"/>
    <n v="90.5"/>
    <n v="84.65"/>
    <m/>
    <n v="90.007547278019956"/>
    <n v="79.64271102922558"/>
    <n v="0"/>
    <n v="762.91499999999996"/>
    <n v="713.59950000000003"/>
    <n v="0"/>
    <n v="758.76362355370816"/>
    <n v="671.38805397637157"/>
  </r>
  <r>
    <s v="Regular"/>
    <x v="1"/>
    <x v="2"/>
    <x v="4"/>
    <x v="2"/>
    <x v="1"/>
    <x v="0"/>
    <x v="1"/>
    <x v="1"/>
    <n v="0"/>
    <n v="0"/>
    <n v="8.6999999999999993"/>
    <n v="8.6999999999999993"/>
    <n v="8.6999999999999993"/>
    <n v="8.6999999999999993"/>
    <n v="4"/>
    <x v="1"/>
    <n v="0"/>
    <n v="0"/>
    <n v="33"/>
    <n v="1"/>
    <n v="0"/>
    <n v="90.5"/>
    <n v="84.65"/>
    <m/>
    <n v="90.007547278019956"/>
    <n v="79.64271102922558"/>
    <n v="0"/>
    <n v="787.34999999999991"/>
    <n v="736.45500000000004"/>
    <n v="0"/>
    <n v="783.06566131877355"/>
    <n v="692.8915859542625"/>
  </r>
  <r>
    <s v="Regular"/>
    <x v="1"/>
    <x v="2"/>
    <x v="4"/>
    <x v="2"/>
    <x v="1"/>
    <x v="0"/>
    <x v="1"/>
    <x v="2"/>
    <n v="0"/>
    <n v="0"/>
    <n v="8.76"/>
    <n v="8.76"/>
    <n v="8.76"/>
    <n v="8.76"/>
    <n v="4"/>
    <x v="1"/>
    <n v="0"/>
    <n v="0"/>
    <n v="33"/>
    <n v="1"/>
    <n v="0"/>
    <n v="90.5"/>
    <n v="84.65"/>
    <m/>
    <n v="90.007547278019956"/>
    <n v="79.64271102922558"/>
    <n v="0"/>
    <n v="792.78"/>
    <n v="741.53399999999999"/>
    <n v="0"/>
    <n v="788.46611415545476"/>
    <n v="697.67014861601604"/>
  </r>
  <r>
    <s v="Regular"/>
    <x v="1"/>
    <x v="2"/>
    <x v="4"/>
    <x v="2"/>
    <x v="1"/>
    <x v="0"/>
    <x v="1"/>
    <x v="3"/>
    <n v="0"/>
    <n v="0"/>
    <n v="8.82"/>
    <n v="8.82"/>
    <n v="8.82"/>
    <n v="8.82"/>
    <n v="3"/>
    <x v="1"/>
    <n v="0"/>
    <n v="0"/>
    <n v="33"/>
    <n v="1"/>
    <n v="0"/>
    <n v="90.5"/>
    <n v="84.65"/>
    <m/>
    <n v="90.007547278019956"/>
    <n v="79.64271102922558"/>
    <n v="0"/>
    <n v="798.21"/>
    <n v="746.61300000000006"/>
    <n v="0"/>
    <n v="793.86656699213609"/>
    <n v="702.44871127776969"/>
  </r>
  <r>
    <s v="Regular"/>
    <x v="1"/>
    <x v="2"/>
    <x v="4"/>
    <x v="2"/>
    <x v="1"/>
    <x v="0"/>
    <x v="1"/>
    <x v="4"/>
    <n v="0"/>
    <n v="0"/>
    <n v="8.85"/>
    <n v="8.85"/>
    <n v="8.85"/>
    <n v="8.85"/>
    <n v="4"/>
    <x v="1"/>
    <n v="0"/>
    <n v="0"/>
    <n v="33"/>
    <n v="1"/>
    <n v="0"/>
    <n v="90.5"/>
    <n v="84.65"/>
    <m/>
    <n v="90.007547278019956"/>
    <n v="79.64271102922558"/>
    <n v="0"/>
    <n v="800.92499999999995"/>
    <n v="749.15250000000003"/>
    <n v="0"/>
    <n v="796.56679341047663"/>
    <n v="704.83799260864635"/>
  </r>
  <r>
    <s v="Regular"/>
    <x v="1"/>
    <x v="2"/>
    <x v="4"/>
    <x v="2"/>
    <x v="1"/>
    <x v="0"/>
    <x v="1"/>
    <x v="5"/>
    <n v="0"/>
    <n v="0"/>
    <n v="12.42"/>
    <n v="12.42"/>
    <n v="12.42"/>
    <n v="12.42"/>
    <n v="9"/>
    <x v="1"/>
    <n v="0"/>
    <n v="0"/>
    <n v="33"/>
    <n v="1"/>
    <n v="0"/>
    <n v="90.5"/>
    <n v="84.65"/>
    <m/>
    <n v="90.007547278019956"/>
    <n v="79.64271102922558"/>
    <n v="0"/>
    <n v="1124.01"/>
    <n v="1051.3530000000001"/>
    <n v="0"/>
    <n v="1117.8937371930078"/>
    <n v="989.16247098298174"/>
  </r>
  <r>
    <s v="Regular"/>
    <x v="1"/>
    <x v="2"/>
    <x v="4"/>
    <x v="2"/>
    <x v="1"/>
    <x v="0"/>
    <x v="1"/>
    <x v="6"/>
    <n v="0"/>
    <n v="0"/>
    <n v="14.82"/>
    <n v="14.82"/>
    <n v="14.82"/>
    <n v="14.82"/>
    <n v="9"/>
    <x v="1"/>
    <n v="0"/>
    <n v="0"/>
    <n v="33"/>
    <n v="1"/>
    <n v="0"/>
    <n v="90.5"/>
    <n v="84.65"/>
    <m/>
    <n v="90.007547278019956"/>
    <n v="79.64271102922558"/>
    <n v="0"/>
    <n v="1341.21"/>
    <n v="1254.5130000000001"/>
    <n v="0"/>
    <n v="1333.9118506602558"/>
    <n v="1180.3049774531232"/>
  </r>
  <r>
    <s v="Regular"/>
    <x v="1"/>
    <x v="2"/>
    <x v="4"/>
    <x v="2"/>
    <x v="1"/>
    <x v="0"/>
    <x v="1"/>
    <x v="7"/>
    <n v="0"/>
    <n v="0"/>
    <n v="16.29"/>
    <n v="16.29"/>
    <n v="16.29"/>
    <n v="16.29"/>
    <n v="7"/>
    <x v="1"/>
    <n v="0"/>
    <n v="0"/>
    <n v="33"/>
    <n v="1"/>
    <n v="0"/>
    <n v="90.5"/>
    <n v="84.65"/>
    <m/>
    <n v="90.007547278019956"/>
    <n v="79.64271102922558"/>
    <n v="0"/>
    <n v="1474.2449999999999"/>
    <n v="1378.9485"/>
    <n v="0"/>
    <n v="1466.2229451589451"/>
    <n v="1297.3797626660846"/>
  </r>
  <r>
    <s v="Regular"/>
    <x v="1"/>
    <x v="2"/>
    <x v="4"/>
    <x v="2"/>
    <x v="1"/>
    <x v="0"/>
    <x v="1"/>
    <x v="8"/>
    <n v="0"/>
    <n v="0"/>
    <n v="17.309999999999999"/>
    <n v="17.309999999999999"/>
    <n v="17.309999999999999"/>
    <n v="17.309999999999999"/>
    <n v="12"/>
    <x v="1"/>
    <n v="0"/>
    <n v="0"/>
    <n v="33"/>
    <n v="1"/>
    <n v="0"/>
    <n v="90.5"/>
    <n v="84.65"/>
    <m/>
    <n v="90.007547278019956"/>
    <n v="79.64271102922558"/>
    <n v="0"/>
    <n v="1566.5549999999998"/>
    <n v="1465.2915"/>
    <n v="0"/>
    <n v="1558.0306433825253"/>
    <n v="1378.6153279158948"/>
  </r>
  <r>
    <s v="Regular"/>
    <x v="1"/>
    <x v="2"/>
    <x v="4"/>
    <x v="2"/>
    <x v="1"/>
    <x v="0"/>
    <x v="1"/>
    <x v="9"/>
    <n v="0"/>
    <n v="0"/>
    <n v="18.989999999999998"/>
    <n v="18.989999999999998"/>
    <n v="18.989999999999998"/>
    <n v="18.989999999999998"/>
    <n v="13"/>
    <x v="1"/>
    <n v="0"/>
    <n v="0"/>
    <n v="33"/>
    <n v="1"/>
    <n v="0"/>
    <n v="90.5"/>
    <n v="84.65"/>
    <m/>
    <n v="90.007547278019956"/>
    <n v="79.64271102922558"/>
    <n v="0"/>
    <n v="1718.5949999999998"/>
    <n v="1607.5035"/>
    <n v="0"/>
    <n v="1709.2433228095988"/>
    <n v="1512.4150824449937"/>
  </r>
  <r>
    <s v="Regular"/>
    <x v="1"/>
    <x v="2"/>
    <x v="4"/>
    <x v="2"/>
    <x v="1"/>
    <x v="0"/>
    <x v="1"/>
    <x v="10"/>
    <n v="0"/>
    <n v="0"/>
    <n v="19.745999999999999"/>
    <n v="19.745999999999999"/>
    <n v="19.745999999999999"/>
    <n v="19.745999999999999"/>
    <n v="18"/>
    <x v="1"/>
    <n v="0"/>
    <n v="0"/>
    <n v="33"/>
    <n v="1"/>
    <n v="0"/>
    <n v="90.5"/>
    <n v="84.65"/>
    <m/>
    <n v="90.007547278019956"/>
    <n v="79.64271102922558"/>
    <n v="0"/>
    <n v="1787.0129999999999"/>
    <n v="1671.4989"/>
    <n v="0"/>
    <n v="1777.2890285517819"/>
    <n v="1572.6249719830882"/>
  </r>
  <r>
    <s v="Sistema de Compensação"/>
    <x v="1"/>
    <x v="2"/>
    <x v="4"/>
    <x v="2"/>
    <x v="1"/>
    <x v="0"/>
    <x v="1"/>
    <x v="10"/>
    <n v="0"/>
    <n v="0"/>
    <n v="0.03"/>
    <n v="-8.9999999999999993E-3"/>
    <n v="0.03"/>
    <n v="-8.9999999999999993E-3"/>
    <n v="0"/>
    <x v="1"/>
    <n v="0"/>
    <n v="0"/>
    <n v="33"/>
    <n v="1"/>
    <n v="0"/>
    <n v="90.5"/>
    <n v="84.65"/>
    <m/>
    <n v="90.007547278019956"/>
    <n v="79.64271102922558"/>
    <n v="0"/>
    <n v="-0.81449999999999989"/>
    <n v="-0.76185000000000003"/>
    <n v="0"/>
    <n v="-0.81006792550217954"/>
    <n v="-0.71678439926303017"/>
  </r>
  <r>
    <s v="Regular"/>
    <x v="1"/>
    <x v="2"/>
    <x v="4"/>
    <x v="2"/>
    <x v="1"/>
    <x v="0"/>
    <x v="1"/>
    <x v="11"/>
    <n v="0"/>
    <n v="0"/>
    <n v="21.78"/>
    <n v="21.78"/>
    <n v="21.78"/>
    <n v="21.78"/>
    <n v="18"/>
    <x v="1"/>
    <n v="0"/>
    <n v="0"/>
    <n v="33"/>
    <n v="1"/>
    <n v="0"/>
    <n v="90.5"/>
    <n v="84.65"/>
    <m/>
    <n v="90.007547278019956"/>
    <n v="79.64271102922558"/>
    <n v="0"/>
    <n v="1971.0900000000001"/>
    <n v="1843.6770000000001"/>
    <n v="0"/>
    <n v="1960.3643797152747"/>
    <n v="1734.6182462165332"/>
  </r>
  <r>
    <s v="Sistema de Compensação"/>
    <x v="1"/>
    <x v="2"/>
    <x v="4"/>
    <x v="2"/>
    <x v="1"/>
    <x v="0"/>
    <x v="1"/>
    <x v="11"/>
    <n v="0"/>
    <n v="0"/>
    <n v="0.06"/>
    <n v="-5.7000000000000002E-2"/>
    <n v="0.06"/>
    <n v="-5.7000000000000002E-2"/>
    <n v="0"/>
    <x v="1"/>
    <n v="0"/>
    <n v="0"/>
    <n v="33"/>
    <n v="1"/>
    <n v="0"/>
    <n v="90.5"/>
    <n v="84.65"/>
    <m/>
    <n v="90.007547278019956"/>
    <n v="79.64271102922558"/>
    <n v="0"/>
    <n v="-5.1585000000000001"/>
    <n v="-4.8250500000000001"/>
    <n v="0"/>
    <n v="-5.130430194847138"/>
    <n v="-4.5396345286658581"/>
  </r>
  <r>
    <s v="Regular"/>
    <x v="1"/>
    <x v="2"/>
    <x v="4"/>
    <x v="3"/>
    <x v="1"/>
    <x v="0"/>
    <x v="1"/>
    <x v="0"/>
    <n v="0"/>
    <n v="0"/>
    <n v="18.091000000000001"/>
    <n v="18.091000000000001"/>
    <n v="18.091000000000001"/>
    <n v="18.091000000000001"/>
    <n v="50"/>
    <x v="1"/>
    <n v="0"/>
    <n v="0"/>
    <n v="26"/>
    <n v="18"/>
    <n v="0"/>
    <n v="155.15"/>
    <n v="145.11000000000001"/>
    <m/>
    <n v="154.29865247660564"/>
    <n v="136.5303617643867"/>
    <n v="0"/>
    <n v="2806.8186500000002"/>
    <n v="2625.1850100000006"/>
    <n v="0"/>
    <n v="2791.4169219542728"/>
    <n v="2469.9707746795198"/>
  </r>
  <r>
    <s v="Regular"/>
    <x v="1"/>
    <x v="2"/>
    <x v="4"/>
    <x v="3"/>
    <x v="1"/>
    <x v="0"/>
    <x v="1"/>
    <x v="1"/>
    <n v="0"/>
    <n v="0"/>
    <n v="18.702000000000002"/>
    <n v="18.702000000000002"/>
    <n v="18.702000000000002"/>
    <n v="18.702000000000002"/>
    <n v="53"/>
    <x v="1"/>
    <n v="0"/>
    <n v="0"/>
    <n v="26"/>
    <n v="18"/>
    <n v="0"/>
    <n v="155.15"/>
    <n v="145.11000000000001"/>
    <m/>
    <n v="154.29865247660564"/>
    <n v="136.5303617643867"/>
    <n v="0"/>
    <n v="2901.6153000000004"/>
    <n v="2713.8472200000006"/>
    <n v="0"/>
    <n v="2885.693398617479"/>
    <n v="2553.3908257175603"/>
  </r>
  <r>
    <s v="Regular"/>
    <x v="1"/>
    <x v="2"/>
    <x v="4"/>
    <x v="3"/>
    <x v="1"/>
    <x v="0"/>
    <x v="1"/>
    <x v="2"/>
    <n v="0"/>
    <n v="0"/>
    <n v="18.943999999999999"/>
    <n v="18.943999999999999"/>
    <n v="18.943999999999999"/>
    <n v="18.943999999999999"/>
    <n v="56"/>
    <x v="1"/>
    <n v="0"/>
    <n v="0"/>
    <n v="26"/>
    <n v="18"/>
    <n v="0"/>
    <n v="155.15"/>
    <n v="145.11000000000001"/>
    <m/>
    <n v="154.29865247660564"/>
    <n v="136.5303617643867"/>
    <n v="0"/>
    <n v="2939.1615999999999"/>
    <n v="2748.9638400000003"/>
    <n v="0"/>
    <n v="2923.0336725168172"/>
    <n v="2586.4311732645415"/>
  </r>
  <r>
    <s v="Regular"/>
    <x v="1"/>
    <x v="2"/>
    <x v="4"/>
    <x v="3"/>
    <x v="1"/>
    <x v="0"/>
    <x v="1"/>
    <x v="3"/>
    <n v="0"/>
    <n v="0"/>
    <n v="18.806000000000001"/>
    <n v="18.806000000000001"/>
    <n v="18.806000000000001"/>
    <n v="18.806000000000001"/>
    <n v="59"/>
    <x v="1"/>
    <n v="0"/>
    <n v="0"/>
    <n v="26"/>
    <n v="18"/>
    <n v="0"/>
    <n v="155.15"/>
    <n v="145.11000000000001"/>
    <m/>
    <n v="154.29865247660564"/>
    <n v="136.5303617643867"/>
    <n v="0"/>
    <n v="2917.7509000000005"/>
    <n v="2728.9386600000003"/>
    <n v="0"/>
    <n v="2901.7404584750457"/>
    <n v="2567.5899833410563"/>
  </r>
  <r>
    <s v="Regular"/>
    <x v="1"/>
    <x v="2"/>
    <x v="4"/>
    <x v="3"/>
    <x v="1"/>
    <x v="0"/>
    <x v="1"/>
    <x v="4"/>
    <n v="0"/>
    <n v="0"/>
    <n v="19.143999999999998"/>
    <n v="19.143999999999998"/>
    <n v="19.143999999999998"/>
    <n v="19.143999999999998"/>
    <n v="48"/>
    <x v="1"/>
    <n v="0"/>
    <n v="0"/>
    <n v="26"/>
    <n v="18"/>
    <n v="0"/>
    <n v="155.15"/>
    <n v="145.11000000000001"/>
    <m/>
    <n v="154.29865247660564"/>
    <n v="136.5303617643867"/>
    <n v="0"/>
    <n v="2970.1915999999997"/>
    <n v="2777.9858399999998"/>
    <n v="0"/>
    <n v="2953.8934030121382"/>
    <n v="2613.7372456174189"/>
  </r>
  <r>
    <s v="Regular"/>
    <x v="1"/>
    <x v="2"/>
    <x v="4"/>
    <x v="3"/>
    <x v="1"/>
    <x v="0"/>
    <x v="1"/>
    <x v="5"/>
    <n v="0"/>
    <n v="0"/>
    <n v="26.596"/>
    <n v="26.596"/>
    <n v="26.596"/>
    <n v="26.596"/>
    <n v="67"/>
    <x v="1"/>
    <n v="0"/>
    <n v="0"/>
    <n v="26"/>
    <n v="18"/>
    <n v="0"/>
    <n v="155.15"/>
    <n v="145.11000000000001"/>
    <m/>
    <n v="154.29865247660564"/>
    <n v="136.5303617643867"/>
    <n v="0"/>
    <n v="4126.3694000000005"/>
    <n v="3859.3455600000002"/>
    <n v="0"/>
    <n v="4103.7269612678037"/>
    <n v="3631.1615014856288"/>
  </r>
  <r>
    <s v="Regular"/>
    <x v="1"/>
    <x v="2"/>
    <x v="4"/>
    <x v="3"/>
    <x v="1"/>
    <x v="0"/>
    <x v="1"/>
    <x v="6"/>
    <n v="0"/>
    <n v="0"/>
    <n v="31.931000000000001"/>
    <n v="31.931000000000001"/>
    <n v="31.931000000000001"/>
    <n v="31.931000000000001"/>
    <n v="74"/>
    <x v="1"/>
    <n v="0"/>
    <n v="0"/>
    <n v="26"/>
    <n v="18"/>
    <n v="0"/>
    <n v="155.15"/>
    <n v="145.11000000000001"/>
    <m/>
    <n v="154.29865247660564"/>
    <n v="136.5303617643867"/>
    <n v="0"/>
    <n v="4954.09465"/>
    <n v="4633.5074100000002"/>
    <n v="0"/>
    <n v="4926.9102722304951"/>
    <n v="4359.5509814986317"/>
  </r>
  <r>
    <s v="Regular"/>
    <x v="1"/>
    <x v="2"/>
    <x v="4"/>
    <x v="3"/>
    <x v="1"/>
    <x v="0"/>
    <x v="1"/>
    <x v="7"/>
    <n v="0"/>
    <n v="0"/>
    <n v="35.450000000000003"/>
    <n v="35.450000000000003"/>
    <n v="35.450000000000003"/>
    <n v="35.450000000000003"/>
    <n v="84"/>
    <x v="1"/>
    <n v="0"/>
    <n v="0"/>
    <n v="26"/>
    <n v="18"/>
    <n v="0"/>
    <n v="155.15"/>
    <n v="145.11000000000001"/>
    <m/>
    <n v="154.29865247660564"/>
    <n v="136.5303617643867"/>
    <n v="0"/>
    <n v="5500.067500000001"/>
    <n v="5144.1495000000004"/>
    <n v="0"/>
    <n v="5469.8872302956706"/>
    <n v="4840.0013245475084"/>
  </r>
  <r>
    <s v="Regular"/>
    <x v="1"/>
    <x v="2"/>
    <x v="4"/>
    <x v="3"/>
    <x v="1"/>
    <x v="0"/>
    <x v="1"/>
    <x v="8"/>
    <n v="0"/>
    <n v="0"/>
    <n v="36.933999999999997"/>
    <n v="36.933999999999997"/>
    <n v="36.933999999999997"/>
    <n v="36.933999999999997"/>
    <n v="114"/>
    <x v="1"/>
    <n v="0"/>
    <n v="0"/>
    <n v="26"/>
    <n v="18"/>
    <n v="0"/>
    <n v="155.15"/>
    <n v="145.11000000000001"/>
    <m/>
    <n v="154.29865247660564"/>
    <n v="136.5303617643867"/>
    <n v="0"/>
    <n v="5730.3100999999997"/>
    <n v="5359.4927400000006"/>
    <n v="0"/>
    <n v="5698.8664305709526"/>
    <n v="5042.6123814058583"/>
  </r>
  <r>
    <s v="Regular"/>
    <x v="1"/>
    <x v="2"/>
    <x v="4"/>
    <x v="3"/>
    <x v="1"/>
    <x v="0"/>
    <x v="1"/>
    <x v="9"/>
    <n v="0"/>
    <n v="0"/>
    <n v="39.765000000000001"/>
    <n v="39.765000000000001"/>
    <n v="39.765000000000001"/>
    <n v="39.765000000000001"/>
    <n v="144"/>
    <x v="1"/>
    <n v="0"/>
    <n v="0"/>
    <n v="26"/>
    <n v="18"/>
    <n v="0"/>
    <n v="155.15"/>
    <n v="145.11000000000001"/>
    <m/>
    <n v="154.29865247660564"/>
    <n v="136.5303617643867"/>
    <n v="0"/>
    <n v="6169.5397499999999"/>
    <n v="5770.2991500000007"/>
    <n v="0"/>
    <n v="6135.6859157322233"/>
    <n v="5429.1298355608369"/>
  </r>
  <r>
    <s v="Regular"/>
    <x v="1"/>
    <x v="2"/>
    <x v="4"/>
    <x v="3"/>
    <x v="1"/>
    <x v="0"/>
    <x v="1"/>
    <x v="10"/>
    <n v="0"/>
    <n v="0"/>
    <n v="40.735999999999997"/>
    <n v="40.735999999999997"/>
    <n v="40.735999999999997"/>
    <n v="40.735999999999997"/>
    <n v="140"/>
    <x v="1"/>
    <n v="0"/>
    <n v="0"/>
    <n v="26"/>
    <n v="18"/>
    <n v="0"/>
    <n v="155.15"/>
    <n v="145.11000000000001"/>
    <m/>
    <n v="154.29865247660564"/>
    <n v="136.5303617643867"/>
    <n v="0"/>
    <n v="6320.1903999999995"/>
    <n v="5911.2009600000001"/>
    <n v="0"/>
    <n v="6285.5099072870071"/>
    <n v="5561.7008168340562"/>
  </r>
  <r>
    <s v="Sistema de Compensação"/>
    <x v="1"/>
    <x v="2"/>
    <x v="4"/>
    <x v="3"/>
    <x v="1"/>
    <x v="0"/>
    <x v="1"/>
    <x v="10"/>
    <n v="0"/>
    <n v="0"/>
    <n v="7.0000000000000007E-2"/>
    <n v="1.4E-2"/>
    <n v="7.0000000000000007E-2"/>
    <n v="1.4E-2"/>
    <n v="0"/>
    <x v="1"/>
    <n v="0"/>
    <n v="0"/>
    <n v="26"/>
    <n v="18"/>
    <n v="0"/>
    <n v="155.15"/>
    <n v="145.11000000000001"/>
    <m/>
    <n v="154.29865247660564"/>
    <n v="136.5303617643867"/>
    <n v="0"/>
    <n v="2.1720999999999999"/>
    <n v="2.0315400000000001"/>
    <n v="0"/>
    <n v="2.1601811346724791"/>
    <n v="1.9114250647014137"/>
  </r>
  <r>
    <s v="Regular"/>
    <x v="1"/>
    <x v="2"/>
    <x v="4"/>
    <x v="3"/>
    <x v="1"/>
    <x v="0"/>
    <x v="1"/>
    <x v="11"/>
    <n v="0"/>
    <n v="0"/>
    <n v="45.326999999999998"/>
    <n v="45.326999999999998"/>
    <n v="45.326999999999998"/>
    <n v="45.326999999999998"/>
    <n v="154"/>
    <x v="1"/>
    <n v="0"/>
    <n v="0"/>
    <n v="26"/>
    <n v="18"/>
    <n v="0"/>
    <n v="155.15"/>
    <n v="145.11000000000001"/>
    <m/>
    <n v="154.29865247660564"/>
    <n v="136.5303617643867"/>
    <n v="0"/>
    <n v="7032.48405"/>
    <n v="6577.4009700000006"/>
    <n v="0"/>
    <n v="6993.8950208071037"/>
    <n v="6188.5117076943552"/>
  </r>
  <r>
    <s v="Sistema de Compensação"/>
    <x v="1"/>
    <x v="2"/>
    <x v="4"/>
    <x v="3"/>
    <x v="1"/>
    <x v="0"/>
    <x v="1"/>
    <x v="11"/>
    <n v="0"/>
    <n v="0"/>
    <n v="7.0000000000000007E-2"/>
    <n v="-1.4E-2"/>
    <n v="7.0000000000000007E-2"/>
    <n v="-1.4E-2"/>
    <n v="0"/>
    <x v="1"/>
    <n v="0"/>
    <n v="0"/>
    <n v="26"/>
    <n v="18"/>
    <n v="0"/>
    <n v="155.15"/>
    <n v="145.11000000000001"/>
    <m/>
    <n v="154.29865247660564"/>
    <n v="136.5303617643867"/>
    <n v="0"/>
    <n v="-2.1720999999999999"/>
    <n v="-2.0315400000000001"/>
    <n v="0"/>
    <n v="-2.1601811346724791"/>
    <n v="-1.9114250647014137"/>
  </r>
  <r>
    <s v="Regular"/>
    <x v="1"/>
    <x v="2"/>
    <x v="4"/>
    <x v="4"/>
    <x v="1"/>
    <x v="0"/>
    <x v="1"/>
    <x v="0"/>
    <n v="0"/>
    <n v="0"/>
    <n v="18.306999999999999"/>
    <n v="18.306999999999999"/>
    <n v="18.306999999999999"/>
    <n v="18.306999999999999"/>
    <n v="145"/>
    <x v="1"/>
    <n v="0"/>
    <n v="0"/>
    <n v="45"/>
    <n v="53"/>
    <n v="0"/>
    <n v="232.73"/>
    <n v="217.67"/>
    <m/>
    <n v="231.44797871490846"/>
    <n v="204.79554264658009"/>
    <n v="0"/>
    <n v="4260.5881099999997"/>
    <n v="3984.8846899999994"/>
    <n v="0"/>
    <n v="4237.1181463338289"/>
    <n v="3749.1919992309413"/>
  </r>
  <r>
    <s v="Regular"/>
    <x v="1"/>
    <x v="2"/>
    <x v="4"/>
    <x v="4"/>
    <x v="1"/>
    <x v="0"/>
    <x v="1"/>
    <x v="1"/>
    <n v="0"/>
    <n v="0"/>
    <n v="19.001999999999999"/>
    <n v="19.001999999999999"/>
    <n v="19.001999999999999"/>
    <n v="19.001999999999999"/>
    <n v="148"/>
    <x v="1"/>
    <n v="0"/>
    <n v="0"/>
    <n v="45"/>
    <n v="53"/>
    <n v="0"/>
    <n v="232.73"/>
    <n v="217.67"/>
    <m/>
    <n v="231.44797871490846"/>
    <n v="204.79554264658009"/>
    <n v="0"/>
    <n v="4422.3354599999993"/>
    <n v="4136.1653399999996"/>
    <n v="0"/>
    <n v="4397.97449154069"/>
    <n v="3891.5249013703146"/>
  </r>
  <r>
    <s v="Regular"/>
    <x v="1"/>
    <x v="2"/>
    <x v="4"/>
    <x v="4"/>
    <x v="1"/>
    <x v="0"/>
    <x v="1"/>
    <x v="2"/>
    <n v="0"/>
    <n v="0"/>
    <n v="18.817"/>
    <n v="18.817"/>
    <n v="18.817"/>
    <n v="18.817"/>
    <n v="153"/>
    <x v="1"/>
    <n v="0"/>
    <n v="0"/>
    <n v="45"/>
    <n v="53"/>
    <n v="0"/>
    <n v="232.73"/>
    <n v="217.67"/>
    <m/>
    <n v="231.44797871490846"/>
    <n v="204.79554264658009"/>
    <n v="0"/>
    <n v="4379.2804099999994"/>
    <n v="4095.8963899999999"/>
    <n v="0"/>
    <n v="4355.1566154784323"/>
    <n v="3853.6377259806977"/>
  </r>
  <r>
    <s v="Regular"/>
    <x v="1"/>
    <x v="2"/>
    <x v="4"/>
    <x v="4"/>
    <x v="1"/>
    <x v="0"/>
    <x v="1"/>
    <x v="3"/>
    <n v="0"/>
    <n v="0"/>
    <n v="17.649000000000001"/>
    <n v="17.649000000000001"/>
    <n v="17.649000000000001"/>
    <n v="17.649000000000001"/>
    <n v="170"/>
    <x v="1"/>
    <n v="0"/>
    <n v="0"/>
    <n v="45"/>
    <n v="53"/>
    <n v="0"/>
    <n v="232.73"/>
    <n v="217.67"/>
    <m/>
    <n v="231.44797871490846"/>
    <n v="204.79554264658009"/>
    <n v="0"/>
    <n v="4107.4517699999997"/>
    <n v="3841.6578300000001"/>
    <n v="0"/>
    <n v="4084.8253763394196"/>
    <n v="3614.4365321694922"/>
  </r>
  <r>
    <s v="Regular"/>
    <x v="1"/>
    <x v="2"/>
    <x v="4"/>
    <x v="4"/>
    <x v="1"/>
    <x v="0"/>
    <x v="1"/>
    <x v="4"/>
    <n v="0"/>
    <n v="0"/>
    <n v="19.239000000000001"/>
    <n v="19.239000000000001"/>
    <n v="19.239000000000001"/>
    <n v="19.239000000000001"/>
    <n v="160"/>
    <x v="1"/>
    <n v="0"/>
    <n v="0"/>
    <n v="45"/>
    <n v="53"/>
    <n v="0"/>
    <n v="232.73"/>
    <n v="217.67"/>
    <m/>
    <n v="231.44797871490846"/>
    <n v="204.79554264658009"/>
    <n v="0"/>
    <n v="4477.4924700000001"/>
    <n v="4187.7531300000001"/>
    <n v="0"/>
    <n v="4452.8276624961236"/>
    <n v="3940.0614449775544"/>
  </r>
  <r>
    <s v="Regular"/>
    <x v="1"/>
    <x v="2"/>
    <x v="4"/>
    <x v="4"/>
    <x v="1"/>
    <x v="0"/>
    <x v="1"/>
    <x v="5"/>
    <n v="0"/>
    <n v="0"/>
    <n v="26.501000000000001"/>
    <n v="26.501000000000001"/>
    <n v="26.501000000000001"/>
    <n v="26.501000000000001"/>
    <n v="226"/>
    <x v="1"/>
    <n v="0"/>
    <n v="0"/>
    <n v="45"/>
    <n v="53"/>
    <n v="0"/>
    <n v="232.73"/>
    <n v="217.67"/>
    <m/>
    <n v="231.44797871490846"/>
    <n v="204.79554264658009"/>
    <n v="0"/>
    <n v="6167.57773"/>
    <n v="5768.4726700000001"/>
    <n v="0"/>
    <n v="6133.6028839237897"/>
    <n v="5427.286675677019"/>
  </r>
  <r>
    <s v="Regular"/>
    <x v="1"/>
    <x v="2"/>
    <x v="4"/>
    <x v="4"/>
    <x v="1"/>
    <x v="0"/>
    <x v="1"/>
    <x v="6"/>
    <n v="0"/>
    <n v="0"/>
    <n v="32.462000000000003"/>
    <n v="32.462000000000003"/>
    <n v="32.462000000000003"/>
    <n v="32.462000000000003"/>
    <n v="270"/>
    <x v="1"/>
    <n v="0"/>
    <n v="0"/>
    <n v="45"/>
    <n v="53"/>
    <n v="0"/>
    <n v="232.73"/>
    <n v="217.67"/>
    <m/>
    <n v="231.44797871490846"/>
    <n v="204.79554264658009"/>
    <n v="0"/>
    <n v="7554.8812600000001"/>
    <n v="7066.0035400000006"/>
    <n v="0"/>
    <n v="7513.2642850433595"/>
    <n v="6648.0729053932837"/>
  </r>
  <r>
    <s v="Regular"/>
    <x v="1"/>
    <x v="2"/>
    <x v="4"/>
    <x v="4"/>
    <x v="1"/>
    <x v="0"/>
    <x v="1"/>
    <x v="7"/>
    <n v="0"/>
    <n v="0"/>
    <n v="35.831000000000003"/>
    <n v="35.831000000000003"/>
    <n v="35.831000000000003"/>
    <n v="35.831000000000003"/>
    <n v="301"/>
    <x v="1"/>
    <n v="0"/>
    <n v="0"/>
    <n v="45"/>
    <n v="53"/>
    <n v="0"/>
    <n v="232.73"/>
    <n v="217.67"/>
    <m/>
    <n v="231.44797871490846"/>
    <n v="204.79554264658009"/>
    <n v="0"/>
    <n v="8338.9486300000008"/>
    <n v="7799.3337700000002"/>
    <n v="0"/>
    <n v="8293.0125253338865"/>
    <n v="7338.0290885696122"/>
  </r>
  <r>
    <s v="Regular"/>
    <x v="1"/>
    <x v="2"/>
    <x v="4"/>
    <x v="4"/>
    <x v="1"/>
    <x v="0"/>
    <x v="1"/>
    <x v="8"/>
    <n v="0"/>
    <n v="0"/>
    <n v="34.677999999999997"/>
    <n v="34.677999999999997"/>
    <n v="34.677999999999997"/>
    <n v="34.677999999999997"/>
    <n v="307"/>
    <x v="1"/>
    <n v="0"/>
    <n v="0"/>
    <n v="45"/>
    <n v="53"/>
    <n v="0"/>
    <n v="232.73"/>
    <n v="217.67"/>
    <m/>
    <n v="231.44797871490846"/>
    <n v="204.79554264658009"/>
    <n v="0"/>
    <n v="8070.6109399999987"/>
    <n v="7548.3602599999986"/>
    <n v="0"/>
    <n v="8026.1530058755952"/>
    <n v="7101.8998278981035"/>
  </r>
  <r>
    <s v="Regular"/>
    <x v="1"/>
    <x v="2"/>
    <x v="4"/>
    <x v="4"/>
    <x v="1"/>
    <x v="0"/>
    <x v="1"/>
    <x v="9"/>
    <n v="0"/>
    <n v="0"/>
    <n v="34.430999999999997"/>
    <n v="34.430999999999997"/>
    <n v="34.430999999999997"/>
    <n v="34.430999999999997"/>
    <n v="351"/>
    <x v="1"/>
    <n v="0"/>
    <n v="0"/>
    <n v="45"/>
    <n v="53"/>
    <n v="0"/>
    <n v="232.73"/>
    <n v="217.67"/>
    <m/>
    <n v="231.44797871490846"/>
    <n v="204.79554264658009"/>
    <n v="0"/>
    <n v="8013.1266299999988"/>
    <n v="7494.595769999999"/>
    <n v="0"/>
    <n v="7968.9853551330125"/>
    <n v="7051.3153288643989"/>
  </r>
  <r>
    <s v="Regular"/>
    <x v="1"/>
    <x v="2"/>
    <x v="4"/>
    <x v="4"/>
    <x v="1"/>
    <x v="0"/>
    <x v="1"/>
    <x v="10"/>
    <n v="0"/>
    <n v="0"/>
    <n v="37.392000000000003"/>
    <n v="37.392000000000003"/>
    <n v="37.392000000000003"/>
    <n v="37.392000000000003"/>
    <n v="353"/>
    <x v="1"/>
    <n v="0"/>
    <n v="0"/>
    <n v="45"/>
    <n v="53"/>
    <n v="0"/>
    <n v="232.73"/>
    <n v="217.67"/>
    <m/>
    <n v="231.44797871490846"/>
    <n v="204.79554264658009"/>
    <n v="0"/>
    <n v="8702.2401600000012"/>
    <n v="8139.1166400000002"/>
    <n v="0"/>
    <n v="8654.3028201078578"/>
    <n v="7657.7149306409228"/>
  </r>
  <r>
    <s v="Sistema de Compensação"/>
    <x v="1"/>
    <x v="2"/>
    <x v="4"/>
    <x v="4"/>
    <x v="1"/>
    <x v="0"/>
    <x v="1"/>
    <x v="10"/>
    <n v="0"/>
    <n v="0"/>
    <n v="0.12"/>
    <n v="9.6000000000000002E-2"/>
    <n v="0.12"/>
    <n v="9.6000000000000002E-2"/>
    <n v="1"/>
    <x v="1"/>
    <n v="0"/>
    <n v="0"/>
    <n v="45"/>
    <n v="53"/>
    <n v="0"/>
    <n v="232.73"/>
    <n v="217.67"/>
    <m/>
    <n v="231.44797871490846"/>
    <n v="204.79554264658009"/>
    <n v="0"/>
    <n v="22.342079999999999"/>
    <n v="20.896319999999999"/>
    <n v="0"/>
    <n v="22.219005956631211"/>
    <n v="19.66037209407169"/>
  </r>
  <r>
    <s v="Regular"/>
    <x v="1"/>
    <x v="2"/>
    <x v="4"/>
    <x v="4"/>
    <x v="1"/>
    <x v="0"/>
    <x v="1"/>
    <x v="11"/>
    <n v="0"/>
    <n v="0"/>
    <n v="44.087000000000003"/>
    <n v="44.087000000000003"/>
    <n v="44.087000000000003"/>
    <n v="44.087000000000003"/>
    <n v="350"/>
    <x v="1"/>
    <n v="0"/>
    <n v="0"/>
    <n v="45"/>
    <n v="53"/>
    <n v="0"/>
    <n v="232.73"/>
    <n v="217.67"/>
    <m/>
    <n v="231.44797871490846"/>
    <n v="204.79554264658009"/>
    <n v="0"/>
    <n v="10260.36751"/>
    <n v="9596.4172899999994"/>
    <n v="0"/>
    <n v="10203.84703760417"/>
    <n v="9028.8210886597772"/>
  </r>
  <r>
    <s v="Sistema de Compensação"/>
    <x v="1"/>
    <x v="2"/>
    <x v="4"/>
    <x v="4"/>
    <x v="1"/>
    <x v="0"/>
    <x v="1"/>
    <x v="11"/>
    <n v="0"/>
    <n v="0"/>
    <n v="0.12"/>
    <n v="8.4000000000000005E-2"/>
    <n v="0.12"/>
    <n v="8.4000000000000005E-2"/>
    <n v="1"/>
    <x v="1"/>
    <n v="0"/>
    <n v="0"/>
    <n v="45"/>
    <n v="53"/>
    <n v="0"/>
    <n v="232.73"/>
    <n v="217.67"/>
    <m/>
    <n v="231.44797871490846"/>
    <n v="204.79554264658009"/>
    <n v="0"/>
    <n v="19.549320000000002"/>
    <n v="18.284279999999999"/>
    <n v="0"/>
    <n v="19.441630212052313"/>
    <n v="17.202825582312727"/>
  </r>
  <r>
    <s v="Regular"/>
    <x v="1"/>
    <x v="2"/>
    <x v="4"/>
    <x v="5"/>
    <x v="1"/>
    <x v="0"/>
    <x v="1"/>
    <x v="0"/>
    <n v="0"/>
    <n v="0"/>
    <n v="6.7889999999999997"/>
    <n v="6.7889999999999997"/>
    <n v="6.7889999999999997"/>
    <n v="6.7889999999999997"/>
    <n v="82"/>
    <x v="1"/>
    <n v="0"/>
    <n v="0"/>
    <n v="37"/>
    <n v="59"/>
    <n v="0"/>
    <n v="258.58"/>
    <n v="241.85"/>
    <m/>
    <n v="257.16442079434273"/>
    <n v="227.55060294064452"/>
    <n v="0"/>
    <n v="1755.4996199999998"/>
    <n v="1641.9196499999998"/>
    <n v="0"/>
    <n v="1745.8892527727928"/>
    <n v="1544.8410433640356"/>
  </r>
  <r>
    <s v="Regular"/>
    <x v="1"/>
    <x v="2"/>
    <x v="4"/>
    <x v="5"/>
    <x v="1"/>
    <x v="0"/>
    <x v="1"/>
    <x v="1"/>
    <n v="0"/>
    <n v="0"/>
    <n v="5.9269999999999996"/>
    <n v="5.9269999999999996"/>
    <n v="5.9269999999999996"/>
    <n v="5.9269999999999996"/>
    <n v="85"/>
    <x v="1"/>
    <n v="0"/>
    <n v="0"/>
    <n v="37"/>
    <n v="59"/>
    <n v="0"/>
    <n v="258.58"/>
    <n v="241.85"/>
    <m/>
    <n v="257.16442079434273"/>
    <n v="227.55060294064452"/>
    <n v="0"/>
    <n v="1532.6036599999998"/>
    <n v="1433.4449499999998"/>
    <n v="0"/>
    <n v="1524.2135220480693"/>
    <n v="1348.6924236292"/>
  </r>
  <r>
    <s v="Regular"/>
    <x v="1"/>
    <x v="2"/>
    <x v="4"/>
    <x v="5"/>
    <x v="1"/>
    <x v="0"/>
    <x v="1"/>
    <x v="2"/>
    <n v="0"/>
    <n v="0"/>
    <n v="4.8440000000000003"/>
    <n v="4.8440000000000003"/>
    <n v="4.8440000000000003"/>
    <n v="4.8440000000000003"/>
    <n v="79"/>
    <x v="1"/>
    <n v="0"/>
    <n v="0"/>
    <n v="37"/>
    <n v="59"/>
    <n v="0"/>
    <n v="258.58"/>
    <n v="241.85"/>
    <m/>
    <n v="257.16442079434273"/>
    <n v="227.55060294064452"/>
    <n v="0"/>
    <n v="1252.56152"/>
    <n v="1171.5214000000001"/>
    <n v="0"/>
    <n v="1245.7044543277964"/>
    <n v="1102.2551206444821"/>
  </r>
  <r>
    <s v="Regular"/>
    <x v="1"/>
    <x v="2"/>
    <x v="4"/>
    <x v="5"/>
    <x v="1"/>
    <x v="0"/>
    <x v="1"/>
    <x v="3"/>
    <n v="0"/>
    <n v="0"/>
    <n v="4.0940000000000003"/>
    <n v="4.0940000000000003"/>
    <n v="4.0940000000000003"/>
    <n v="4.0940000000000003"/>
    <n v="62"/>
    <x v="1"/>
    <n v="0"/>
    <n v="0"/>
    <n v="37"/>
    <n v="59"/>
    <n v="0"/>
    <n v="258.58"/>
    <n v="241.85"/>
    <m/>
    <n v="257.16442079434273"/>
    <n v="227.55060294064452"/>
    <n v="0"/>
    <n v="1058.62652"/>
    <n v="990.13390000000004"/>
    <n v="0"/>
    <n v="1052.8311387320393"/>
    <n v="931.59216843899878"/>
  </r>
  <r>
    <s v="Regular"/>
    <x v="1"/>
    <x v="2"/>
    <x v="4"/>
    <x v="5"/>
    <x v="1"/>
    <x v="0"/>
    <x v="1"/>
    <x v="4"/>
    <n v="0"/>
    <n v="0"/>
    <n v="5.2089999999999996"/>
    <n v="5.2089999999999996"/>
    <n v="5.2089999999999996"/>
    <n v="5.2089999999999996"/>
    <n v="83"/>
    <x v="1"/>
    <n v="0"/>
    <n v="0"/>
    <n v="37"/>
    <n v="59"/>
    <n v="0"/>
    <n v="258.58"/>
    <n v="241.85"/>
    <m/>
    <n v="257.16442079434273"/>
    <n v="227.55060294064452"/>
    <n v="0"/>
    <n v="1346.9432199999999"/>
    <n v="1259.7966499999998"/>
    <n v="0"/>
    <n v="1339.5694679177311"/>
    <n v="1185.3110907178173"/>
  </r>
  <r>
    <s v="Regular"/>
    <x v="1"/>
    <x v="2"/>
    <x v="4"/>
    <x v="5"/>
    <x v="1"/>
    <x v="0"/>
    <x v="1"/>
    <x v="5"/>
    <n v="0"/>
    <n v="0"/>
    <n v="8.6460000000000008"/>
    <n v="8.6460000000000008"/>
    <n v="8.6460000000000008"/>
    <n v="8.6460000000000008"/>
    <n v="112"/>
    <x v="1"/>
    <n v="0"/>
    <n v="0"/>
    <n v="37"/>
    <n v="59"/>
    <n v="0"/>
    <n v="258.58"/>
    <n v="241.85"/>
    <m/>
    <n v="257.16442079434273"/>
    <n v="227.55060294064452"/>
    <n v="0"/>
    <n v="2235.6826799999999"/>
    <n v="2091.0351000000001"/>
    <n v="0"/>
    <n v="2223.4435821878874"/>
    <n v="1967.4025130248128"/>
  </r>
  <r>
    <s v="Regular"/>
    <x v="1"/>
    <x v="2"/>
    <x v="4"/>
    <x v="5"/>
    <x v="1"/>
    <x v="0"/>
    <x v="1"/>
    <x v="6"/>
    <n v="0"/>
    <n v="0"/>
    <n v="12.211"/>
    <n v="12.211"/>
    <n v="12.211"/>
    <n v="12.211"/>
    <n v="141"/>
    <x v="1"/>
    <n v="0"/>
    <n v="0"/>
    <n v="37"/>
    <n v="59"/>
    <n v="0"/>
    <n v="258.58"/>
    <n v="241.85"/>
    <m/>
    <n v="257.16442079434273"/>
    <n v="227.55060294064452"/>
    <n v="0"/>
    <n v="3157.5203799999999"/>
    <n v="2953.2303499999998"/>
    <n v="0"/>
    <n v="3140.2347423197193"/>
    <n v="2778.6204125082104"/>
  </r>
  <r>
    <s v="Regular"/>
    <x v="1"/>
    <x v="2"/>
    <x v="4"/>
    <x v="5"/>
    <x v="1"/>
    <x v="0"/>
    <x v="1"/>
    <x v="7"/>
    <n v="0"/>
    <n v="0"/>
    <n v="13.118"/>
    <n v="13.118"/>
    <n v="13.118"/>
    <n v="13.118"/>
    <n v="151"/>
    <x v="1"/>
    <n v="0"/>
    <n v="0"/>
    <n v="37"/>
    <n v="59"/>
    <n v="0"/>
    <n v="258.58"/>
    <n v="241.85"/>
    <m/>
    <n v="257.16442079434273"/>
    <n v="227.55060294064452"/>
    <n v="0"/>
    <n v="3392.0524399999999"/>
    <n v="3172.5882999999999"/>
    <n v="0"/>
    <n v="3373.4828719801881"/>
    <n v="2985.0088093753748"/>
  </r>
  <r>
    <s v="Regular"/>
    <x v="1"/>
    <x v="2"/>
    <x v="4"/>
    <x v="5"/>
    <x v="1"/>
    <x v="0"/>
    <x v="1"/>
    <x v="8"/>
    <n v="0"/>
    <n v="0"/>
    <n v="11.275"/>
    <n v="11.275"/>
    <n v="11.275"/>
    <n v="11.275"/>
    <n v="144"/>
    <x v="1"/>
    <n v="0"/>
    <n v="0"/>
    <n v="37"/>
    <n v="59"/>
    <n v="0"/>
    <n v="258.58"/>
    <n v="241.85"/>
    <m/>
    <n v="257.16442079434273"/>
    <n v="227.55060294064452"/>
    <n v="0"/>
    <n v="2915.4895000000001"/>
    <n v="2726.8587499999999"/>
    <n v="0"/>
    <n v="2899.5288444562143"/>
    <n v="2565.633048155767"/>
  </r>
  <r>
    <s v="Regular"/>
    <x v="1"/>
    <x v="2"/>
    <x v="4"/>
    <x v="5"/>
    <x v="1"/>
    <x v="0"/>
    <x v="1"/>
    <x v="9"/>
    <n v="0"/>
    <n v="0"/>
    <n v="8.8469999999999995"/>
    <n v="8.8469999999999995"/>
    <n v="8.8469999999999995"/>
    <n v="8.8469999999999995"/>
    <n v="125"/>
    <x v="1"/>
    <n v="0"/>
    <n v="0"/>
    <n v="37"/>
    <n v="59"/>
    <n v="0"/>
    <n v="258.58"/>
    <n v="241.85"/>
    <m/>
    <n v="257.16442079434273"/>
    <n v="227.55060294064452"/>
    <n v="0"/>
    <n v="2287.65726"/>
    <n v="2139.6469499999998"/>
    <n v="0"/>
    <n v="2275.1336307675501"/>
    <n v="2013.1401842158821"/>
  </r>
  <r>
    <s v="Regular"/>
    <x v="1"/>
    <x v="2"/>
    <x v="4"/>
    <x v="5"/>
    <x v="1"/>
    <x v="0"/>
    <x v="1"/>
    <x v="10"/>
    <n v="0"/>
    <n v="0"/>
    <n v="12.144"/>
    <n v="12.144"/>
    <n v="12.144"/>
    <n v="12.144"/>
    <n v="148"/>
    <x v="1"/>
    <n v="0"/>
    <n v="0"/>
    <n v="37"/>
    <n v="59"/>
    <n v="0"/>
    <n v="258.58"/>
    <n v="241.85"/>
    <m/>
    <n v="257.16442079434273"/>
    <n v="227.55060294064452"/>
    <n v="0"/>
    <n v="3140.1955199999998"/>
    <n v="2937.0263999999997"/>
    <n v="0"/>
    <n v="3123.0047261264981"/>
    <n v="2763.3745221111872"/>
  </r>
  <r>
    <s v="Sistema de Compensação"/>
    <x v="1"/>
    <x v="2"/>
    <x v="4"/>
    <x v="5"/>
    <x v="1"/>
    <x v="0"/>
    <x v="1"/>
    <x v="10"/>
    <n v="0"/>
    <n v="0"/>
    <n v="6.0999999999999999E-2"/>
    <n v="6.0999999999999999E-2"/>
    <n v="6.0999999999999999E-2"/>
    <n v="6.0999999999999999E-2"/>
    <n v="1"/>
    <x v="1"/>
    <n v="0"/>
    <n v="0"/>
    <n v="37"/>
    <n v="59"/>
    <n v="0"/>
    <n v="258.58"/>
    <n v="241.85"/>
    <m/>
    <n v="257.16442079434273"/>
    <n v="227.55060294064452"/>
    <n v="0"/>
    <n v="15.77338"/>
    <n v="14.752849999999999"/>
    <n v="0"/>
    <n v="15.687029668454906"/>
    <n v="13.880586779379316"/>
  </r>
  <r>
    <s v="Regular"/>
    <x v="1"/>
    <x v="2"/>
    <x v="4"/>
    <x v="5"/>
    <x v="1"/>
    <x v="0"/>
    <x v="1"/>
    <x v="11"/>
    <n v="0"/>
    <n v="0"/>
    <n v="20.437999999999999"/>
    <n v="20.437999999999999"/>
    <n v="20.437999999999999"/>
    <n v="20.437999999999999"/>
    <n v="204"/>
    <x v="1"/>
    <n v="0"/>
    <n v="0"/>
    <n v="37"/>
    <n v="59"/>
    <n v="0"/>
    <n v="258.58"/>
    <n v="241.85"/>
    <m/>
    <n v="257.16442079434273"/>
    <n v="227.55060294064452"/>
    <n v="0"/>
    <n v="5284.8580399999992"/>
    <n v="4942.9303"/>
    <n v="0"/>
    <n v="5255.9264321947767"/>
    <n v="4650.6792229008925"/>
  </r>
  <r>
    <s v="Sistema de Compensação"/>
    <x v="1"/>
    <x v="2"/>
    <x v="4"/>
    <x v="5"/>
    <x v="1"/>
    <x v="0"/>
    <x v="1"/>
    <x v="11"/>
    <n v="0"/>
    <n v="0"/>
    <n v="6.4000000000000001E-2"/>
    <n v="6.4000000000000001E-2"/>
    <n v="6.4000000000000001E-2"/>
    <n v="6.4000000000000001E-2"/>
    <n v="2"/>
    <x v="1"/>
    <n v="0"/>
    <n v="0"/>
    <n v="37"/>
    <n v="59"/>
    <n v="0"/>
    <n v="258.58"/>
    <n v="241.85"/>
    <m/>
    <n v="257.16442079434273"/>
    <n v="227.55060294064452"/>
    <n v="0"/>
    <n v="16.549119999999998"/>
    <n v="15.478400000000001"/>
    <n v="0"/>
    <n v="16.458522930837937"/>
    <n v="14.56323858820125"/>
  </r>
  <r>
    <s v="Regular"/>
    <x v="2"/>
    <x v="2"/>
    <x v="3"/>
    <x v="0"/>
    <x v="1"/>
    <x v="0"/>
    <x v="1"/>
    <x v="0"/>
    <n v="0"/>
    <n v="0"/>
    <n v="3.9630000000000001"/>
    <n v="3.9630000000000001"/>
    <n v="3.9630000000000001"/>
    <n v="3.9630000000000001"/>
    <n v="13"/>
    <x v="1"/>
    <n v="0"/>
    <n v="0"/>
    <n v="22"/>
    <n v="57"/>
    <n v="0"/>
    <n v="293.17"/>
    <n v="212.83"/>
    <m/>
    <n v="353.56542979146212"/>
    <n v="213.89756676420583"/>
    <n v="0"/>
    <n v="1161.8327100000001"/>
    <n v="843.44529000000011"/>
    <n v="0"/>
    <n v="1401.1797982635644"/>
    <n v="847.67605708654776"/>
  </r>
  <r>
    <s v="Regular"/>
    <x v="2"/>
    <x v="2"/>
    <x v="3"/>
    <x v="0"/>
    <x v="1"/>
    <x v="0"/>
    <x v="1"/>
    <x v="1"/>
    <n v="0"/>
    <n v="0"/>
    <n v="4.1479999999999997"/>
    <n v="4.1479999999999997"/>
    <n v="4.1479999999999997"/>
    <n v="4.1479999999999997"/>
    <n v="13"/>
    <x v="1"/>
    <n v="0"/>
    <n v="0"/>
    <n v="22"/>
    <n v="57"/>
    <n v="0"/>
    <n v="293.17"/>
    <n v="212.83"/>
    <m/>
    <n v="353.56542979146212"/>
    <n v="213.89756676420583"/>
    <n v="0"/>
    <n v="1216.06916"/>
    <n v="882.81884000000002"/>
    <n v="0"/>
    <n v="1466.5894027749848"/>
    <n v="887.24710693792576"/>
  </r>
  <r>
    <s v="Regular"/>
    <x v="2"/>
    <x v="2"/>
    <x v="3"/>
    <x v="0"/>
    <x v="1"/>
    <x v="0"/>
    <x v="1"/>
    <x v="2"/>
    <n v="0"/>
    <n v="0"/>
    <n v="4.1529999999999996"/>
    <n v="4.1529999999999996"/>
    <n v="4.1529999999999996"/>
    <n v="4.1529999999999996"/>
    <n v="13"/>
    <x v="1"/>
    <n v="0"/>
    <n v="0"/>
    <n v="22"/>
    <n v="57"/>
    <n v="0"/>
    <n v="293.17"/>
    <n v="212.83"/>
    <m/>
    <n v="353.56542979146212"/>
    <n v="213.89756676420583"/>
    <n v="0"/>
    <n v="1217.5350100000001"/>
    <n v="883.88298999999995"/>
    <n v="0"/>
    <n v="1468.357229923942"/>
    <n v="888.31659477174674"/>
  </r>
  <r>
    <s v="Regular"/>
    <x v="2"/>
    <x v="2"/>
    <x v="3"/>
    <x v="0"/>
    <x v="1"/>
    <x v="0"/>
    <x v="1"/>
    <x v="3"/>
    <n v="0"/>
    <n v="0"/>
    <n v="4.0789999999999997"/>
    <n v="4.0789999999999997"/>
    <n v="4.0789999999999997"/>
    <n v="4.0789999999999997"/>
    <n v="13"/>
    <x v="1"/>
    <n v="0"/>
    <n v="0"/>
    <n v="22"/>
    <n v="57"/>
    <n v="0"/>
    <n v="293.17"/>
    <n v="212.83"/>
    <m/>
    <n v="353.56542979146212"/>
    <n v="213.89756676420583"/>
    <n v="0"/>
    <n v="1195.84043"/>
    <n v="868.13356999999996"/>
    <n v="0"/>
    <n v="1442.1933881193738"/>
    <n v="872.48817483119558"/>
  </r>
  <r>
    <s v="Regular"/>
    <x v="2"/>
    <x v="2"/>
    <x v="3"/>
    <x v="0"/>
    <x v="1"/>
    <x v="0"/>
    <x v="1"/>
    <x v="4"/>
    <n v="0"/>
    <n v="0"/>
    <n v="4.3499999999999996"/>
    <n v="4.3499999999999996"/>
    <n v="4.3499999999999996"/>
    <n v="4.3499999999999996"/>
    <n v="13"/>
    <x v="1"/>
    <n v="0"/>
    <n v="0"/>
    <n v="22"/>
    <n v="57"/>
    <n v="0"/>
    <n v="293.17"/>
    <n v="212.83"/>
    <m/>
    <n v="353.56542979146212"/>
    <n v="213.89756676420583"/>
    <n v="0"/>
    <n v="1275.2894999999999"/>
    <n v="925.81049999999993"/>
    <n v="0"/>
    <n v="1538.0096195928602"/>
    <n v="930.45441542429535"/>
  </r>
  <r>
    <s v="Regular"/>
    <x v="2"/>
    <x v="2"/>
    <x v="3"/>
    <x v="0"/>
    <x v="1"/>
    <x v="0"/>
    <x v="1"/>
    <x v="5"/>
    <n v="0"/>
    <n v="0"/>
    <n v="4.3620000000000001"/>
    <n v="4.3620000000000001"/>
    <n v="4.3620000000000001"/>
    <n v="4.3620000000000001"/>
    <n v="13"/>
    <x v="1"/>
    <n v="0"/>
    <n v="0"/>
    <n v="22"/>
    <n v="57"/>
    <n v="0"/>
    <n v="293.17"/>
    <n v="212.83"/>
    <m/>
    <n v="353.56542979146212"/>
    <n v="213.89756676420583"/>
    <n v="0"/>
    <n v="1278.80754"/>
    <n v="928.36446000000012"/>
    <n v="0"/>
    <n v="1542.2524047503578"/>
    <n v="933.02118622546584"/>
  </r>
  <r>
    <s v="Regular"/>
    <x v="2"/>
    <x v="2"/>
    <x v="3"/>
    <x v="0"/>
    <x v="1"/>
    <x v="0"/>
    <x v="1"/>
    <x v="6"/>
    <n v="0"/>
    <n v="0"/>
    <n v="2.8919999999999999"/>
    <n v="2.8919999999999999"/>
    <n v="2.8919999999999999"/>
    <n v="2.8919999999999999"/>
    <n v="11"/>
    <x v="1"/>
    <n v="0"/>
    <n v="0"/>
    <n v="22"/>
    <n v="57"/>
    <n v="0"/>
    <n v="293.17"/>
    <n v="212.83"/>
    <m/>
    <n v="353.56542979146212"/>
    <n v="213.89756676420583"/>
    <n v="0"/>
    <n v="847.84764000000007"/>
    <n v="615.50436000000002"/>
    <n v="0"/>
    <n v="1022.5112229569085"/>
    <n v="618.59176308208328"/>
  </r>
  <r>
    <s v="Sistema de Compensação"/>
    <x v="2"/>
    <x v="2"/>
    <x v="3"/>
    <x v="0"/>
    <x v="1"/>
    <x v="0"/>
    <x v="1"/>
    <x v="6"/>
    <n v="0"/>
    <n v="0"/>
    <n v="0.36299999999999999"/>
    <n v="0.36299999999999999"/>
    <n v="0.36299999999999999"/>
    <n v="0.36299999999999999"/>
    <n v="1"/>
    <x v="1"/>
    <n v="0"/>
    <n v="0"/>
    <n v="22"/>
    <n v="57"/>
    <n v="0"/>
    <n v="293.17"/>
    <n v="212.83"/>
    <m/>
    <n v="353.56542979146212"/>
    <n v="213.89756676420583"/>
    <n v="0"/>
    <n v="106.42071"/>
    <n v="77.257289999999998"/>
    <n v="0"/>
    <n v="128.34425101430074"/>
    <n v="77.644816735406721"/>
  </r>
  <r>
    <s v="Regular"/>
    <x v="2"/>
    <x v="2"/>
    <x v="3"/>
    <x v="0"/>
    <x v="1"/>
    <x v="0"/>
    <x v="1"/>
    <x v="7"/>
    <n v="0"/>
    <n v="0"/>
    <n v="3.7050000000000001"/>
    <n v="3.7050000000000001"/>
    <n v="3.7050000000000001"/>
    <n v="3.7050000000000001"/>
    <n v="12"/>
    <x v="1"/>
    <n v="0"/>
    <n v="0"/>
    <n v="22"/>
    <n v="57"/>
    <n v="0"/>
    <n v="293.17"/>
    <n v="212.83"/>
    <m/>
    <n v="353.56542979146212"/>
    <n v="213.89756676420583"/>
    <n v="0"/>
    <n v="1086.1948500000001"/>
    <n v="788.53515000000004"/>
    <n v="0"/>
    <n v="1309.9599173773672"/>
    <n v="792.49048486138258"/>
  </r>
  <r>
    <s v="Sistema de Compensação"/>
    <x v="2"/>
    <x v="2"/>
    <x v="3"/>
    <x v="0"/>
    <x v="1"/>
    <x v="0"/>
    <x v="1"/>
    <x v="7"/>
    <n v="0"/>
    <n v="0"/>
    <n v="0.1"/>
    <n v="0.1"/>
    <n v="0.1"/>
    <n v="0.1"/>
    <n v="1"/>
    <x v="1"/>
    <n v="0"/>
    <n v="0"/>
    <n v="22"/>
    <n v="57"/>
    <n v="0"/>
    <n v="293.17"/>
    <n v="212.83"/>
    <m/>
    <n v="353.56542979146212"/>
    <n v="213.89756676420583"/>
    <n v="0"/>
    <n v="29.317000000000004"/>
    <n v="21.283000000000001"/>
    <n v="0"/>
    <n v="35.356542979146212"/>
    <n v="21.389756676420586"/>
  </r>
  <r>
    <s v="Regular"/>
    <x v="2"/>
    <x v="2"/>
    <x v="3"/>
    <x v="0"/>
    <x v="1"/>
    <x v="0"/>
    <x v="1"/>
    <x v="8"/>
    <n v="0"/>
    <n v="0"/>
    <n v="3.218"/>
    <n v="3.218"/>
    <n v="3.218"/>
    <n v="3.218"/>
    <n v="12"/>
    <x v="1"/>
    <n v="0"/>
    <n v="0"/>
    <n v="22"/>
    <n v="57"/>
    <n v="0"/>
    <n v="293.17"/>
    <n v="212.83"/>
    <m/>
    <n v="353.56542979146212"/>
    <n v="213.89756676420583"/>
    <n v="0"/>
    <n v="943.42106000000001"/>
    <n v="684.88693999999998"/>
    <n v="0"/>
    <n v="1137.7735530689251"/>
    <n v="688.32236984721442"/>
  </r>
  <r>
    <s v="Sistema de Compensação"/>
    <x v="2"/>
    <x v="2"/>
    <x v="3"/>
    <x v="0"/>
    <x v="1"/>
    <x v="0"/>
    <x v="1"/>
    <x v="8"/>
    <n v="0"/>
    <n v="0"/>
    <n v="0.1"/>
    <n v="0.1"/>
    <n v="0.1"/>
    <n v="0.1"/>
    <n v="1"/>
    <x v="1"/>
    <n v="0"/>
    <n v="0"/>
    <n v="22"/>
    <n v="57"/>
    <n v="0"/>
    <n v="293.17"/>
    <n v="212.83"/>
    <m/>
    <n v="353.56542979146212"/>
    <n v="213.89756676420583"/>
    <n v="0"/>
    <n v="29.317000000000004"/>
    <n v="21.283000000000001"/>
    <n v="0"/>
    <n v="35.356542979146212"/>
    <n v="21.389756676420586"/>
  </r>
  <r>
    <s v="Regular"/>
    <x v="2"/>
    <x v="2"/>
    <x v="3"/>
    <x v="0"/>
    <x v="1"/>
    <x v="0"/>
    <x v="1"/>
    <x v="9"/>
    <n v="0"/>
    <n v="0"/>
    <n v="3.097"/>
    <n v="3.097"/>
    <n v="3.097"/>
    <n v="3.097"/>
    <n v="12"/>
    <x v="1"/>
    <n v="0"/>
    <n v="0"/>
    <n v="22"/>
    <n v="57"/>
    <n v="0"/>
    <n v="293.17"/>
    <n v="212.83"/>
    <m/>
    <n v="353.56542979146212"/>
    <n v="213.89756676420583"/>
    <n v="0"/>
    <n v="907.94749000000002"/>
    <n v="659.13450999999998"/>
    <n v="0"/>
    <n v="1094.9921360641581"/>
    <n v="662.44076426874551"/>
  </r>
  <r>
    <s v="Sistema de Compensação"/>
    <x v="2"/>
    <x v="2"/>
    <x v="3"/>
    <x v="0"/>
    <x v="1"/>
    <x v="0"/>
    <x v="1"/>
    <x v="9"/>
    <n v="0"/>
    <n v="0"/>
    <n v="0.1"/>
    <n v="0.1"/>
    <n v="0.1"/>
    <n v="0.1"/>
    <n v="1"/>
    <x v="1"/>
    <n v="0"/>
    <n v="0"/>
    <n v="22"/>
    <n v="57"/>
    <n v="0"/>
    <n v="293.17"/>
    <n v="212.83"/>
    <m/>
    <n v="353.56542979146212"/>
    <n v="213.89756676420583"/>
    <n v="0"/>
    <n v="29.317000000000004"/>
    <n v="21.283000000000001"/>
    <n v="0"/>
    <n v="35.356542979146212"/>
    <n v="21.389756676420586"/>
  </r>
  <r>
    <s v="Regular"/>
    <x v="2"/>
    <x v="2"/>
    <x v="3"/>
    <x v="0"/>
    <x v="1"/>
    <x v="0"/>
    <x v="1"/>
    <x v="10"/>
    <n v="0"/>
    <n v="0"/>
    <n v="3.1269999999999998"/>
    <n v="3.1269999999999998"/>
    <n v="3.1269999999999998"/>
    <n v="3.1269999999999998"/>
    <n v="12"/>
    <x v="1"/>
    <n v="0"/>
    <n v="0"/>
    <n v="22"/>
    <n v="57"/>
    <n v="0"/>
    <n v="293.17"/>
    <n v="212.83"/>
    <m/>
    <n v="353.56542979146212"/>
    <n v="213.89756676420583"/>
    <n v="0"/>
    <n v="916.74258999999995"/>
    <n v="665.51940999999999"/>
    <n v="0"/>
    <n v="1105.599098957902"/>
    <n v="668.85769127167157"/>
  </r>
  <r>
    <s v="Sistema de Compensação"/>
    <x v="2"/>
    <x v="2"/>
    <x v="3"/>
    <x v="0"/>
    <x v="1"/>
    <x v="0"/>
    <x v="1"/>
    <x v="10"/>
    <n v="0"/>
    <n v="0"/>
    <n v="0.1"/>
    <n v="0.1"/>
    <n v="0.1"/>
    <n v="0.1"/>
    <n v="1"/>
    <x v="1"/>
    <n v="0"/>
    <n v="0"/>
    <n v="22"/>
    <n v="57"/>
    <n v="0"/>
    <n v="293.17"/>
    <n v="212.83"/>
    <m/>
    <n v="353.56542979146212"/>
    <n v="213.89756676420583"/>
    <n v="0"/>
    <n v="29.317000000000004"/>
    <n v="21.283000000000001"/>
    <n v="0"/>
    <n v="35.356542979146212"/>
    <n v="21.389756676420586"/>
  </r>
  <r>
    <s v="Regular"/>
    <x v="2"/>
    <x v="2"/>
    <x v="3"/>
    <x v="0"/>
    <x v="1"/>
    <x v="0"/>
    <x v="1"/>
    <x v="11"/>
    <n v="0"/>
    <n v="0"/>
    <n v="3.5150000000000001"/>
    <n v="3.5150000000000001"/>
    <n v="3.5150000000000001"/>
    <n v="3.5150000000000001"/>
    <n v="12"/>
    <x v="1"/>
    <n v="0"/>
    <n v="0"/>
    <n v="22"/>
    <n v="57"/>
    <n v="0"/>
    <n v="293.17"/>
    <n v="212.83"/>
    <m/>
    <n v="353.56542979146212"/>
    <n v="213.89756676420583"/>
    <n v="0"/>
    <n v="1030.4925500000002"/>
    <n v="748.09745000000009"/>
    <n v="0"/>
    <n v="1242.7824857169894"/>
    <n v="751.84994717618349"/>
  </r>
  <r>
    <s v="Sistema de Compensação"/>
    <x v="2"/>
    <x v="2"/>
    <x v="3"/>
    <x v="0"/>
    <x v="1"/>
    <x v="0"/>
    <x v="1"/>
    <x v="11"/>
    <n v="0"/>
    <n v="0"/>
    <n v="0.1"/>
    <n v="0.1"/>
    <n v="0.1"/>
    <n v="0.1"/>
    <n v="1"/>
    <x v="1"/>
    <n v="0"/>
    <n v="0"/>
    <n v="22"/>
    <n v="57"/>
    <n v="0"/>
    <n v="293.17"/>
    <n v="212.83"/>
    <m/>
    <n v="353.56542979146212"/>
    <n v="213.89756676420583"/>
    <n v="0"/>
    <n v="29.317000000000004"/>
    <n v="21.283000000000001"/>
    <n v="0"/>
    <n v="35.356542979146212"/>
    <n v="21.389756676420586"/>
  </r>
  <r>
    <s v="Regular"/>
    <x v="3"/>
    <x v="3"/>
    <x v="2"/>
    <x v="0"/>
    <x v="1"/>
    <x v="0"/>
    <x v="0"/>
    <x v="8"/>
    <n v="0"/>
    <n v="0"/>
    <n v="0.64600000000000002"/>
    <n v="0.64600000000000002"/>
    <n v="0.64600000000000002"/>
    <n v="0.64600000000000002"/>
    <n v="0"/>
    <x v="1"/>
    <n v="0"/>
    <n v="0"/>
    <n v="44"/>
    <n v="84"/>
    <n v="0"/>
    <n v="252.73"/>
    <n v="229.87"/>
    <m/>
    <n v="276.83641112851222"/>
    <n v="216.60171770542672"/>
    <n v="0"/>
    <n v="163.26357999999999"/>
    <n v="148.49602000000002"/>
    <n v="0"/>
    <n v="178.83632158901889"/>
    <n v="139.92470963770566"/>
  </r>
  <r>
    <s v="Regular"/>
    <x v="3"/>
    <x v="3"/>
    <x v="2"/>
    <x v="0"/>
    <x v="1"/>
    <x v="0"/>
    <x v="0"/>
    <x v="9"/>
    <n v="0"/>
    <n v="0"/>
    <n v="1.329"/>
    <n v="1.329"/>
    <n v="1.329"/>
    <n v="1.329"/>
    <n v="0"/>
    <x v="1"/>
    <n v="0"/>
    <n v="0"/>
    <n v="44"/>
    <n v="84"/>
    <n v="0"/>
    <n v="252.73"/>
    <n v="229.87"/>
    <m/>
    <n v="276.83641112851222"/>
    <n v="216.60171770542672"/>
    <n v="0"/>
    <n v="335.87816999999995"/>
    <n v="305.49723"/>
    <n v="0"/>
    <n v="367.91559038979273"/>
    <n v="287.86368283051212"/>
  </r>
  <r>
    <s v="Regular"/>
    <x v="3"/>
    <x v="3"/>
    <x v="2"/>
    <x v="0"/>
    <x v="1"/>
    <x v="0"/>
    <x v="0"/>
    <x v="10"/>
    <n v="0"/>
    <n v="0"/>
    <n v="0.85499999999999998"/>
    <n v="0.85499999999999998"/>
    <n v="0.85499999999999998"/>
    <n v="0.85499999999999998"/>
    <n v="0"/>
    <x v="1"/>
    <n v="0"/>
    <n v="0"/>
    <n v="44"/>
    <n v="84"/>
    <n v="0"/>
    <n v="252.73"/>
    <n v="229.87"/>
    <m/>
    <n v="276.83641112851222"/>
    <n v="216.60171770542672"/>
    <n v="0"/>
    <n v="216.08414999999999"/>
    <n v="196.53885"/>
    <n v="0"/>
    <n v="236.69513151487794"/>
    <n v="185.19446863813985"/>
  </r>
  <r>
    <s v="Regular"/>
    <x v="3"/>
    <x v="3"/>
    <x v="2"/>
    <x v="0"/>
    <x v="1"/>
    <x v="0"/>
    <x v="0"/>
    <x v="11"/>
    <n v="0"/>
    <n v="0"/>
    <n v="0.91200000000000003"/>
    <n v="0.91200000000000003"/>
    <n v="0.91200000000000003"/>
    <n v="0.91200000000000003"/>
    <n v="0"/>
    <x v="1"/>
    <n v="0"/>
    <n v="0"/>
    <n v="44"/>
    <n v="84"/>
    <n v="0"/>
    <n v="252.73"/>
    <n v="229.87"/>
    <m/>
    <n v="276.83641112851222"/>
    <n v="216.60171770542672"/>
    <n v="0"/>
    <n v="230.48975999999999"/>
    <n v="209.64144000000002"/>
    <n v="0"/>
    <n v="252.47480694920316"/>
    <n v="197.54076654734916"/>
  </r>
  <r>
    <s v="Regular"/>
    <x v="3"/>
    <x v="3"/>
    <x v="2"/>
    <x v="0"/>
    <x v="1"/>
    <x v="0"/>
    <x v="3"/>
    <x v="8"/>
    <n v="0"/>
    <n v="0"/>
    <n v="3.7999999999999999E-2"/>
    <n v="3.7999999999999999E-2"/>
    <n v="3.7999999999999999E-2"/>
    <n v="3.7999999999999999E-2"/>
    <n v="0"/>
    <x v="1"/>
    <n v="0"/>
    <n v="0"/>
    <n v="54"/>
    <n v="80"/>
    <n v="0"/>
    <n v="564.97"/>
    <n v="229.87"/>
    <m/>
    <n v="551.08539382871152"/>
    <n v="216.60171770542672"/>
    <n v="0"/>
    <n v="21.468859999999999"/>
    <n v="8.7350600000000007"/>
    <n v="0"/>
    <n v="20.941244965491038"/>
    <n v="8.2308652728062146"/>
  </r>
  <r>
    <s v="Regular"/>
    <x v="3"/>
    <x v="3"/>
    <x v="2"/>
    <x v="0"/>
    <x v="1"/>
    <x v="0"/>
    <x v="3"/>
    <x v="9"/>
    <n v="0"/>
    <n v="0"/>
    <n v="7.3999999999999996E-2"/>
    <n v="7.3999999999999996E-2"/>
    <n v="7.3999999999999996E-2"/>
    <n v="7.3999999999999996E-2"/>
    <n v="0"/>
    <x v="1"/>
    <n v="0"/>
    <n v="0"/>
    <n v="54"/>
    <n v="80"/>
    <n v="0"/>
    <n v="564.97"/>
    <n v="229.87"/>
    <m/>
    <n v="551.08539382871152"/>
    <n v="216.60171770542672"/>
    <n v="0"/>
    <n v="41.807780000000001"/>
    <n v="17.010379999999998"/>
    <n v="0"/>
    <n v="40.780319143324647"/>
    <n v="16.028527110201576"/>
  </r>
  <r>
    <s v="Regular"/>
    <x v="3"/>
    <x v="3"/>
    <x v="2"/>
    <x v="0"/>
    <x v="1"/>
    <x v="0"/>
    <x v="3"/>
    <x v="10"/>
    <n v="0"/>
    <n v="0"/>
    <n v="6.2E-2"/>
    <n v="6.2E-2"/>
    <n v="6.2E-2"/>
    <n v="6.2E-2"/>
    <n v="0"/>
    <x v="1"/>
    <n v="0"/>
    <n v="0"/>
    <n v="54"/>
    <n v="80"/>
    <n v="0"/>
    <n v="564.97"/>
    <n v="229.87"/>
    <m/>
    <n v="551.08539382871152"/>
    <n v="216.60171770542672"/>
    <n v="0"/>
    <n v="35.02814"/>
    <n v="14.251939999999999"/>
    <n v="0"/>
    <n v="34.167294417380113"/>
    <n v="13.429306497736457"/>
  </r>
  <r>
    <s v="Regular"/>
    <x v="3"/>
    <x v="3"/>
    <x v="2"/>
    <x v="0"/>
    <x v="1"/>
    <x v="0"/>
    <x v="3"/>
    <x v="11"/>
    <n v="0"/>
    <n v="0"/>
    <n v="6.6000000000000003E-2"/>
    <n v="6.6000000000000003E-2"/>
    <n v="6.6000000000000003E-2"/>
    <n v="6.6000000000000003E-2"/>
    <n v="0"/>
    <x v="1"/>
    <n v="0"/>
    <n v="0"/>
    <n v="54"/>
    <n v="80"/>
    <n v="0"/>
    <n v="564.97"/>
    <n v="229.87"/>
    <m/>
    <n v="551.08539382871152"/>
    <n v="216.60171770542672"/>
    <n v="0"/>
    <n v="37.288020000000003"/>
    <n v="15.171420000000001"/>
    <n v="0"/>
    <n v="36.371635992694962"/>
    <n v="14.295713368558165"/>
  </r>
  <r>
    <s v="Regular"/>
    <x v="3"/>
    <x v="3"/>
    <x v="2"/>
    <x v="0"/>
    <x v="1"/>
    <x v="0"/>
    <x v="2"/>
    <x v="8"/>
    <n v="0"/>
    <n v="0"/>
    <n v="2.8000000000000001E-2"/>
    <n v="2.8000000000000001E-2"/>
    <n v="2.8000000000000001E-2"/>
    <n v="2.8000000000000001E-2"/>
    <n v="0"/>
    <x v="1"/>
    <n v="0"/>
    <n v="0"/>
    <n v="56"/>
    <n v="61"/>
    <n v="0"/>
    <n v="877.21"/>
    <n v="373.71"/>
    <m/>
    <n v="1236.7078812289385"/>
    <n v="347.98834052804079"/>
    <n v="0"/>
    <n v="24.561880000000002"/>
    <n v="10.46388"/>
    <n v="0"/>
    <n v="34.62782067441028"/>
    <n v="9.7436735347851418"/>
  </r>
  <r>
    <s v="Regular"/>
    <x v="3"/>
    <x v="3"/>
    <x v="2"/>
    <x v="0"/>
    <x v="1"/>
    <x v="0"/>
    <x v="2"/>
    <x v="9"/>
    <n v="0"/>
    <n v="0"/>
    <n v="5.8999999999999997E-2"/>
    <n v="5.8999999999999997E-2"/>
    <n v="5.8999999999999997E-2"/>
    <n v="5.8999999999999997E-2"/>
    <n v="0"/>
    <x v="1"/>
    <n v="0"/>
    <n v="0"/>
    <n v="56"/>
    <n v="61"/>
    <n v="0"/>
    <n v="877.21"/>
    <n v="373.71"/>
    <m/>
    <n v="1236.7078812289385"/>
    <n v="347.98834052804079"/>
    <n v="0"/>
    <n v="51.755389999999998"/>
    <n v="22.048889999999997"/>
    <n v="0"/>
    <n v="72.965764992507374"/>
    <n v="20.531312091154405"/>
  </r>
  <r>
    <s v="Regular"/>
    <x v="3"/>
    <x v="3"/>
    <x v="2"/>
    <x v="0"/>
    <x v="1"/>
    <x v="0"/>
    <x v="2"/>
    <x v="10"/>
    <n v="0"/>
    <n v="0"/>
    <n v="6.2E-2"/>
    <n v="6.2E-2"/>
    <n v="6.2E-2"/>
    <n v="6.2E-2"/>
    <n v="0"/>
    <x v="1"/>
    <n v="0"/>
    <n v="0"/>
    <n v="56"/>
    <n v="61"/>
    <n v="0"/>
    <n v="877.21"/>
    <n v="373.71"/>
    <m/>
    <n v="1236.7078812289385"/>
    <n v="347.98834052804079"/>
    <n v="0"/>
    <n v="54.38702"/>
    <n v="23.170019999999997"/>
    <n v="0"/>
    <n v="76.675888636194188"/>
    <n v="21.575277112738529"/>
  </r>
  <r>
    <s v="Regular"/>
    <x v="3"/>
    <x v="3"/>
    <x v="2"/>
    <x v="0"/>
    <x v="1"/>
    <x v="0"/>
    <x v="2"/>
    <x v="11"/>
    <n v="0"/>
    <n v="0"/>
    <n v="6.7000000000000004E-2"/>
    <n v="6.7000000000000004E-2"/>
    <n v="6.7000000000000004E-2"/>
    <n v="6.7000000000000004E-2"/>
    <n v="0"/>
    <x v="1"/>
    <n v="0"/>
    <n v="0"/>
    <n v="56"/>
    <n v="61"/>
    <n v="0"/>
    <n v="877.21"/>
    <n v="373.71"/>
    <m/>
    <n v="1236.7078812289385"/>
    <n v="347.98834052804079"/>
    <n v="0"/>
    <n v="58.773070000000004"/>
    <n v="25.03857"/>
    <n v="0"/>
    <n v="82.859428042338891"/>
    <n v="23.315218815378735"/>
  </r>
  <r>
    <s v="Regular"/>
    <x v="3"/>
    <x v="2"/>
    <x v="1"/>
    <x v="0"/>
    <x v="1"/>
    <x v="0"/>
    <x v="1"/>
    <x v="0"/>
    <n v="0"/>
    <n v="0"/>
    <n v="670.90099999999995"/>
    <n v="670.90099999999995"/>
    <n v="670.90099999999995"/>
    <n v="670.90099999999995"/>
    <n v="1633"/>
    <x v="1"/>
    <n v="0"/>
    <n v="0"/>
    <n v="46"/>
    <n v="83"/>
    <n v="0"/>
    <n v="333.15"/>
    <n v="241.85"/>
    <m/>
    <n v="376.13343594836397"/>
    <n v="227.55060294064452"/>
    <n v="0"/>
    <n v="223510.66814999998"/>
    <n v="162257.40685"/>
    <n v="0"/>
    <n v="252348.29831119333"/>
    <n v="152663.92706348133"/>
  </r>
  <r>
    <s v="Sistema de Compensação"/>
    <x v="3"/>
    <x v="2"/>
    <x v="1"/>
    <x v="0"/>
    <x v="1"/>
    <x v="0"/>
    <x v="1"/>
    <x v="0"/>
    <n v="0"/>
    <n v="0"/>
    <n v="37.423000000000002"/>
    <n v="37.423000000000002"/>
    <n v="37.423000000000002"/>
    <n v="37.423000000000002"/>
    <n v="62"/>
    <x v="1"/>
    <n v="0"/>
    <n v="0"/>
    <n v="46"/>
    <n v="83"/>
    <n v="0"/>
    <n v="333.15"/>
    <n v="241.85"/>
    <m/>
    <n v="376.13343594836397"/>
    <n v="227.55060294064452"/>
    <n v="0"/>
    <n v="12467.472449999999"/>
    <n v="9050.7525500000011"/>
    <n v="0"/>
    <n v="14076.041573495626"/>
    <n v="8515.6262138477396"/>
  </r>
  <r>
    <s v="Regular"/>
    <x v="3"/>
    <x v="2"/>
    <x v="1"/>
    <x v="0"/>
    <x v="1"/>
    <x v="0"/>
    <x v="1"/>
    <x v="1"/>
    <n v="0"/>
    <n v="0"/>
    <n v="657.50400000000002"/>
    <n v="657.50400000000002"/>
    <n v="657.50400000000002"/>
    <n v="657.50400000000002"/>
    <n v="1636"/>
    <x v="1"/>
    <n v="0"/>
    <n v="0"/>
    <n v="46"/>
    <n v="83"/>
    <n v="0"/>
    <n v="333.15"/>
    <n v="241.85"/>
    <m/>
    <n v="376.13343594836397"/>
    <n v="227.55060294064452"/>
    <n v="0"/>
    <n v="219047.45759999999"/>
    <n v="159017.34239999999"/>
    <n v="0"/>
    <n v="247309.23866979312"/>
    <n v="149615.43163588553"/>
  </r>
  <r>
    <s v="Sistema de Compensação"/>
    <x v="3"/>
    <x v="2"/>
    <x v="1"/>
    <x v="0"/>
    <x v="1"/>
    <x v="0"/>
    <x v="1"/>
    <x v="1"/>
    <n v="0"/>
    <n v="0"/>
    <n v="35.430999999999997"/>
    <n v="35.430999999999997"/>
    <n v="35.430999999999997"/>
    <n v="35.430999999999997"/>
    <n v="65"/>
    <x v="1"/>
    <n v="0"/>
    <n v="0"/>
    <n v="46"/>
    <n v="83"/>
    <n v="0"/>
    <n v="333.15"/>
    <n v="241.85"/>
    <m/>
    <n v="376.13343594836397"/>
    <n v="227.55060294064452"/>
    <n v="0"/>
    <n v="11803.837649999998"/>
    <n v="8568.9873499999994"/>
    <n v="0"/>
    <n v="13326.783769086484"/>
    <n v="8062.3454127899759"/>
  </r>
  <r>
    <s v="Regular"/>
    <x v="3"/>
    <x v="2"/>
    <x v="1"/>
    <x v="0"/>
    <x v="1"/>
    <x v="0"/>
    <x v="1"/>
    <x v="2"/>
    <n v="0"/>
    <n v="0"/>
    <n v="613.86199999999997"/>
    <n v="613.86199999999997"/>
    <n v="613.86199999999997"/>
    <n v="613.86199999999997"/>
    <n v="1641"/>
    <x v="1"/>
    <n v="0"/>
    <n v="0"/>
    <n v="46"/>
    <n v="83"/>
    <n v="0"/>
    <n v="333.15"/>
    <n v="241.85"/>
    <m/>
    <n v="376.13343594836397"/>
    <n v="227.55060294064452"/>
    <n v="0"/>
    <n v="204508.12529999999"/>
    <n v="148462.52469999998"/>
    <n v="0"/>
    <n v="230894.02325813458"/>
    <n v="139684.66822234992"/>
  </r>
  <r>
    <s v="Sistema de Compensação"/>
    <x v="3"/>
    <x v="2"/>
    <x v="1"/>
    <x v="0"/>
    <x v="1"/>
    <x v="0"/>
    <x v="1"/>
    <x v="2"/>
    <n v="0"/>
    <n v="0"/>
    <n v="31.786999999999999"/>
    <n v="31.786999999999999"/>
    <n v="31.786999999999999"/>
    <n v="31.786999999999999"/>
    <n v="64"/>
    <x v="1"/>
    <n v="0"/>
    <n v="0"/>
    <n v="46"/>
    <n v="83"/>
    <n v="0"/>
    <n v="333.15"/>
    <n v="241.85"/>
    <m/>
    <n v="376.13343594836397"/>
    <n v="227.55060294064452"/>
    <n v="0"/>
    <n v="10589.839049999999"/>
    <n v="7687.6859499999991"/>
    <n v="0"/>
    <n v="11956.153528490646"/>
    <n v="7233.151015674267"/>
  </r>
  <r>
    <s v="Regular"/>
    <x v="3"/>
    <x v="2"/>
    <x v="1"/>
    <x v="0"/>
    <x v="1"/>
    <x v="0"/>
    <x v="1"/>
    <x v="3"/>
    <n v="0"/>
    <n v="0"/>
    <n v="608.11099999999999"/>
    <n v="608.11099999999999"/>
    <n v="608.11099999999999"/>
    <n v="608.11099999999999"/>
    <n v="1651"/>
    <x v="1"/>
    <n v="0"/>
    <n v="0"/>
    <n v="46"/>
    <n v="83"/>
    <n v="0"/>
    <n v="333.15"/>
    <n v="241.85"/>
    <m/>
    <n v="376.13343594836397"/>
    <n v="227.55060294064452"/>
    <n v="0"/>
    <n v="202592.17964999998"/>
    <n v="147071.64535000001"/>
    <n v="0"/>
    <n v="228730.87986799557"/>
    <n v="138376.02470483829"/>
  </r>
  <r>
    <s v="Sistema de Compensação"/>
    <x v="3"/>
    <x v="2"/>
    <x v="1"/>
    <x v="0"/>
    <x v="1"/>
    <x v="0"/>
    <x v="1"/>
    <x v="3"/>
    <n v="0"/>
    <n v="0"/>
    <n v="29.289000000000001"/>
    <n v="29.289000000000001"/>
    <n v="29.289000000000001"/>
    <n v="29.289000000000001"/>
    <n v="70"/>
    <x v="1"/>
    <n v="0"/>
    <n v="0"/>
    <n v="46"/>
    <n v="83"/>
    <n v="0"/>
    <n v="333.15"/>
    <n v="241.85"/>
    <m/>
    <n v="376.13343594836397"/>
    <n v="227.55060294064452"/>
    <n v="0"/>
    <n v="9757.6303499999995"/>
    <n v="7083.5446499999998"/>
    <n v="0"/>
    <n v="11016.572205491633"/>
    <n v="6664.7296095285374"/>
  </r>
  <r>
    <s v="Regular"/>
    <x v="3"/>
    <x v="2"/>
    <x v="1"/>
    <x v="0"/>
    <x v="1"/>
    <x v="0"/>
    <x v="1"/>
    <x v="4"/>
    <n v="0"/>
    <n v="0"/>
    <n v="691.02599999999995"/>
    <n v="691.02599999999995"/>
    <n v="691.02599999999995"/>
    <n v="691.02599999999995"/>
    <n v="1646"/>
    <x v="1"/>
    <n v="0"/>
    <n v="0"/>
    <n v="46"/>
    <n v="83"/>
    <n v="0"/>
    <n v="333.15"/>
    <n v="241.85"/>
    <m/>
    <n v="376.13343594836397"/>
    <n v="227.55060294064452"/>
    <n v="0"/>
    <n v="230215.31189999997"/>
    <n v="167124.63809999998"/>
    <n v="0"/>
    <n v="259917.98370965413"/>
    <n v="157243.3829476618"/>
  </r>
  <r>
    <s v="Sistema de Compensação"/>
    <x v="3"/>
    <x v="2"/>
    <x v="1"/>
    <x v="0"/>
    <x v="1"/>
    <x v="0"/>
    <x v="1"/>
    <x v="4"/>
    <n v="0"/>
    <n v="0"/>
    <n v="25.792000000000002"/>
    <n v="25.792000000000002"/>
    <n v="25.792000000000002"/>
    <n v="25.792000000000002"/>
    <n v="74"/>
    <x v="1"/>
    <n v="0"/>
    <n v="0"/>
    <n v="46"/>
    <n v="83"/>
    <n v="0"/>
    <n v="333.15"/>
    <n v="241.85"/>
    <m/>
    <n v="376.13343594836397"/>
    <n v="227.55060294064452"/>
    <n v="0"/>
    <n v="8592.6047999999992"/>
    <n v="6237.7952000000005"/>
    <n v="0"/>
    <n v="9701.233579980204"/>
    <n v="5868.9851510451035"/>
  </r>
  <r>
    <s v="Regular"/>
    <x v="3"/>
    <x v="2"/>
    <x v="1"/>
    <x v="0"/>
    <x v="1"/>
    <x v="0"/>
    <x v="1"/>
    <x v="5"/>
    <n v="0"/>
    <n v="0"/>
    <n v="756.05600000000004"/>
    <n v="756.05600000000004"/>
    <n v="756.05600000000004"/>
    <n v="756.05600000000004"/>
    <n v="1649"/>
    <x v="1"/>
    <n v="0"/>
    <n v="0"/>
    <n v="46"/>
    <n v="83"/>
    <n v="0"/>
    <n v="333.15"/>
    <n v="241.85"/>
    <m/>
    <n v="376.13343594836397"/>
    <n v="227.55060294064452"/>
    <n v="0"/>
    <n v="251880.0564"/>
    <n v="182852.14360000001"/>
    <n v="0"/>
    <n v="284377.94104937627"/>
    <n v="172040.99865689196"/>
  </r>
  <r>
    <s v="Sistema de Compensação"/>
    <x v="3"/>
    <x v="2"/>
    <x v="1"/>
    <x v="0"/>
    <x v="1"/>
    <x v="0"/>
    <x v="1"/>
    <x v="5"/>
    <n v="0"/>
    <n v="0"/>
    <n v="31.087"/>
    <n v="31.087"/>
    <n v="31.087"/>
    <n v="31.087"/>
    <n v="77"/>
    <x v="1"/>
    <n v="0"/>
    <n v="0"/>
    <n v="46"/>
    <n v="83"/>
    <n v="0"/>
    <n v="333.15"/>
    <n v="241.85"/>
    <m/>
    <n v="376.13343594836397"/>
    <n v="227.55060294064452"/>
    <n v="0"/>
    <n v="10356.634049999999"/>
    <n v="7518.39095"/>
    <n v="0"/>
    <n v="11692.860123326791"/>
    <n v="7073.8655936158166"/>
  </r>
  <r>
    <s v="Regular"/>
    <x v="3"/>
    <x v="2"/>
    <x v="1"/>
    <x v="0"/>
    <x v="1"/>
    <x v="0"/>
    <x v="1"/>
    <x v="6"/>
    <n v="0"/>
    <n v="0"/>
    <n v="808.64599999999996"/>
    <n v="808.64599999999996"/>
    <n v="808.64599999999996"/>
    <n v="808.64599999999996"/>
    <n v="1658"/>
    <x v="1"/>
    <n v="0"/>
    <n v="0"/>
    <n v="46"/>
    <n v="83"/>
    <n v="0"/>
    <n v="333.15"/>
    <n v="241.85"/>
    <m/>
    <n v="376.13343594836397"/>
    <n v="227.55060294064452"/>
    <n v="0"/>
    <n v="269400.41489999997"/>
    <n v="195571.03509999998"/>
    <n v="0"/>
    <n v="304158.79844590073"/>
    <n v="184007.88486554043"/>
  </r>
  <r>
    <s v="Sistema de Compensação"/>
    <x v="3"/>
    <x v="2"/>
    <x v="1"/>
    <x v="0"/>
    <x v="1"/>
    <x v="0"/>
    <x v="1"/>
    <x v="6"/>
    <n v="0"/>
    <n v="0"/>
    <n v="25.024000000000001"/>
    <n v="25.024000000000001"/>
    <n v="25.024000000000001"/>
    <n v="25.024000000000001"/>
    <n v="81"/>
    <x v="1"/>
    <n v="0"/>
    <n v="0"/>
    <n v="46"/>
    <n v="83"/>
    <n v="0"/>
    <n v="333.15"/>
    <n v="241.85"/>
    <m/>
    <n v="376.13343594836397"/>
    <n v="227.55060294064452"/>
    <n v="0"/>
    <n v="8336.7456000000002"/>
    <n v="6052.0544"/>
    <n v="0"/>
    <n v="9412.3631011718608"/>
    <n v="5694.2262879866885"/>
  </r>
  <r>
    <s v="Regular"/>
    <x v="3"/>
    <x v="2"/>
    <x v="1"/>
    <x v="0"/>
    <x v="1"/>
    <x v="0"/>
    <x v="1"/>
    <x v="7"/>
    <n v="0"/>
    <n v="0"/>
    <n v="809.22799999999995"/>
    <n v="809.22799999999995"/>
    <n v="809.22799999999995"/>
    <n v="809.22799999999995"/>
    <n v="1652"/>
    <x v="1"/>
    <n v="0"/>
    <n v="0"/>
    <n v="46"/>
    <n v="83"/>
    <n v="0"/>
    <n v="333.15"/>
    <n v="241.85"/>
    <m/>
    <n v="376.13343594836397"/>
    <n v="227.55060294064452"/>
    <n v="0"/>
    <n v="269594.30819999997"/>
    <n v="195711.79179999998"/>
    <n v="0"/>
    <n v="304377.70810562267"/>
    <n v="184140.31931645187"/>
  </r>
  <r>
    <s v="Sistema de Compensação"/>
    <x v="3"/>
    <x v="2"/>
    <x v="1"/>
    <x v="0"/>
    <x v="1"/>
    <x v="0"/>
    <x v="1"/>
    <x v="7"/>
    <n v="0"/>
    <n v="0"/>
    <n v="33.889000000000003"/>
    <n v="33.889000000000003"/>
    <n v="33.889000000000003"/>
    <n v="33.889000000000003"/>
    <n v="89"/>
    <x v="1"/>
    <n v="0"/>
    <n v="0"/>
    <n v="46"/>
    <n v="83"/>
    <n v="0"/>
    <n v="333.15"/>
    <n v="241.85"/>
    <m/>
    <n v="376.13343594836397"/>
    <n v="227.55060294064452"/>
    <n v="0"/>
    <n v="11290.120350000001"/>
    <n v="8196.05465"/>
    <n v="0"/>
    <n v="12746.786010854108"/>
    <n v="7711.4623830555029"/>
  </r>
  <r>
    <s v="Regular"/>
    <x v="3"/>
    <x v="2"/>
    <x v="1"/>
    <x v="0"/>
    <x v="1"/>
    <x v="0"/>
    <x v="1"/>
    <x v="8"/>
    <n v="0"/>
    <n v="0"/>
    <n v="735.19200000000001"/>
    <n v="735.19200000000001"/>
    <n v="735.19200000000001"/>
    <n v="735.19200000000001"/>
    <n v="1651"/>
    <x v="1"/>
    <n v="0"/>
    <n v="0"/>
    <n v="46"/>
    <n v="83"/>
    <n v="0"/>
    <n v="333.15"/>
    <n v="241.85"/>
    <m/>
    <n v="376.13343594836397"/>
    <n v="227.55060294064452"/>
    <n v="0"/>
    <n v="244929.21479999999"/>
    <n v="177806.18520000001"/>
    <n v="0"/>
    <n v="276530.29304174962"/>
    <n v="167293.38287713833"/>
  </r>
  <r>
    <s v="Sistema de Compensação"/>
    <x v="3"/>
    <x v="2"/>
    <x v="1"/>
    <x v="0"/>
    <x v="1"/>
    <x v="0"/>
    <x v="1"/>
    <x v="8"/>
    <n v="0"/>
    <n v="0"/>
    <n v="38.405000000000001"/>
    <n v="38.405000000000001"/>
    <n v="38.405000000000001"/>
    <n v="38.405000000000001"/>
    <n v="95"/>
    <x v="1"/>
    <n v="0"/>
    <n v="0"/>
    <n v="46"/>
    <n v="83"/>
    <n v="0"/>
    <n v="333.15"/>
    <n v="241.85"/>
    <m/>
    <n v="376.13343594836397"/>
    <n v="227.55060294064452"/>
    <n v="0"/>
    <n v="12794.625749999999"/>
    <n v="9288.2492500000008"/>
    <n v="0"/>
    <n v="14445.404607596918"/>
    <n v="8739.0809059354524"/>
  </r>
  <r>
    <s v="Regular"/>
    <x v="3"/>
    <x v="2"/>
    <x v="1"/>
    <x v="0"/>
    <x v="1"/>
    <x v="0"/>
    <x v="1"/>
    <x v="9"/>
    <n v="0"/>
    <n v="0"/>
    <n v="630.58000000000004"/>
    <n v="630.58000000000004"/>
    <n v="630.58000000000004"/>
    <n v="630.58000000000004"/>
    <n v="1641"/>
    <x v="1"/>
    <n v="0"/>
    <n v="0"/>
    <n v="46"/>
    <n v="83"/>
    <n v="0"/>
    <n v="333.15"/>
    <n v="241.85"/>
    <m/>
    <n v="376.13343594836397"/>
    <n v="227.55060294064452"/>
    <n v="0"/>
    <n v="210077.72700000001"/>
    <n v="152505.77300000002"/>
    <n v="0"/>
    <n v="237182.22204031938"/>
    <n v="143488.85920231164"/>
  </r>
  <r>
    <s v="Refaturamento - Regular"/>
    <x v="3"/>
    <x v="2"/>
    <x v="1"/>
    <x v="0"/>
    <x v="1"/>
    <x v="0"/>
    <x v="1"/>
    <x v="9"/>
    <n v="0"/>
    <n v="0"/>
    <n v="-4.1440000000000001"/>
    <n v="-4.1440000000000001"/>
    <n v="-4.1440000000000001"/>
    <n v="-4.1440000000000001"/>
    <n v="0"/>
    <x v="1"/>
    <n v="0"/>
    <n v="0"/>
    <n v="46"/>
    <n v="83"/>
    <n v="0"/>
    <n v="333.15"/>
    <n v="241.85"/>
    <m/>
    <n v="376.13343594836397"/>
    <n v="227.55060294064452"/>
    <n v="0"/>
    <n v="-1380.5735999999999"/>
    <n v="-1002.2264"/>
    <n v="0"/>
    <n v="-1558.6969585700203"/>
    <n v="-942.96969858603097"/>
  </r>
  <r>
    <s v="Sistema de Compensação"/>
    <x v="3"/>
    <x v="2"/>
    <x v="1"/>
    <x v="0"/>
    <x v="1"/>
    <x v="0"/>
    <x v="1"/>
    <x v="9"/>
    <n v="0"/>
    <n v="0"/>
    <n v="58.191000000000003"/>
    <n v="58.191000000000003"/>
    <n v="58.191000000000003"/>
    <n v="58.191000000000003"/>
    <n v="105"/>
    <x v="1"/>
    <n v="0"/>
    <n v="0"/>
    <n v="46"/>
    <n v="83"/>
    <n v="0"/>
    <n v="333.15"/>
    <n v="241.85"/>
    <m/>
    <n v="376.13343594836397"/>
    <n v="227.55060294064452"/>
    <n v="0"/>
    <n v="19386.33165"/>
    <n v="14073.493350000001"/>
    <n v="0"/>
    <n v="21887.580771271249"/>
    <n v="13241.397135719046"/>
  </r>
  <r>
    <s v="Regular"/>
    <x v="3"/>
    <x v="2"/>
    <x v="1"/>
    <x v="0"/>
    <x v="1"/>
    <x v="0"/>
    <x v="1"/>
    <x v="10"/>
    <n v="0"/>
    <n v="0"/>
    <n v="608.14400000000001"/>
    <n v="608.14400000000001"/>
    <n v="608.14400000000001"/>
    <n v="608.14400000000001"/>
    <n v="1641"/>
    <x v="1"/>
    <n v="0"/>
    <n v="0"/>
    <n v="46"/>
    <n v="83"/>
    <n v="0"/>
    <n v="333.15"/>
    <n v="241.85"/>
    <m/>
    <n v="376.13343594836397"/>
    <n v="227.55060294064452"/>
    <n v="0"/>
    <n v="202603.17359999998"/>
    <n v="147079.62640000001"/>
    <n v="0"/>
    <n v="228743.29227138186"/>
    <n v="138383.53387473532"/>
  </r>
  <r>
    <s v="Sistema de Compensação"/>
    <x v="3"/>
    <x v="2"/>
    <x v="1"/>
    <x v="0"/>
    <x v="1"/>
    <x v="0"/>
    <x v="1"/>
    <x v="10"/>
    <n v="0"/>
    <n v="0"/>
    <n v="64.507000000000005"/>
    <n v="64.507000000000005"/>
    <n v="64.507000000000005"/>
    <n v="64.507000000000005"/>
    <n v="111"/>
    <x v="1"/>
    <n v="0"/>
    <n v="0"/>
    <n v="46"/>
    <n v="83"/>
    <n v="0"/>
    <n v="333.15"/>
    <n v="241.85"/>
    <m/>
    <n v="376.13343594836397"/>
    <n v="227.55060294064452"/>
    <n v="0"/>
    <n v="21490.50705"/>
    <n v="15601.017950000001"/>
    <n v="0"/>
    <n v="24263.239552721116"/>
    <n v="14678.606743892158"/>
  </r>
  <r>
    <s v="Regular"/>
    <x v="3"/>
    <x v="2"/>
    <x v="1"/>
    <x v="0"/>
    <x v="1"/>
    <x v="0"/>
    <x v="1"/>
    <x v="11"/>
    <n v="0"/>
    <n v="0"/>
    <n v="633.66899999999998"/>
    <n v="633.66899999999998"/>
    <n v="633.66899999999998"/>
    <n v="633.66899999999998"/>
    <n v="1644"/>
    <x v="1"/>
    <n v="0"/>
    <n v="0"/>
    <n v="46"/>
    <n v="83"/>
    <n v="0"/>
    <n v="333.15"/>
    <n v="241.85"/>
    <m/>
    <n v="376.13343594836397"/>
    <n v="227.55060294064452"/>
    <n v="0"/>
    <n v="211106.82734999998"/>
    <n v="153252.84764999998"/>
    <n v="0"/>
    <n v="238344.09822396384"/>
    <n v="144191.76301479526"/>
  </r>
  <r>
    <s v="Sistema de Compensação"/>
    <x v="3"/>
    <x v="2"/>
    <x v="1"/>
    <x v="0"/>
    <x v="1"/>
    <x v="0"/>
    <x v="1"/>
    <x v="11"/>
    <n v="0"/>
    <n v="0"/>
    <n v="84.56"/>
    <n v="84.56"/>
    <n v="84.56"/>
    <n v="84.56"/>
    <n v="115"/>
    <x v="1"/>
    <n v="0"/>
    <n v="0"/>
    <n v="46"/>
    <n v="83"/>
    <n v="0"/>
    <n v="333.15"/>
    <n v="241.85"/>
    <m/>
    <n v="376.13343594836397"/>
    <n v="227.55060294064452"/>
    <n v="0"/>
    <n v="28171.163999999997"/>
    <n v="20450.835999999999"/>
    <n v="0"/>
    <n v="31805.843343793658"/>
    <n v="19241.678984660903"/>
  </r>
  <r>
    <s v="Regular"/>
    <x v="3"/>
    <x v="2"/>
    <x v="5"/>
    <x v="0"/>
    <x v="1"/>
    <x v="0"/>
    <x v="1"/>
    <x v="0"/>
    <n v="0"/>
    <n v="0"/>
    <n v="2.2789999999999999"/>
    <n v="2.2789999999999999"/>
    <n v="2.2789999999999999"/>
    <n v="2.2789999999999999"/>
    <n v="4"/>
    <x v="1"/>
    <n v="0"/>
    <n v="0"/>
    <n v="46"/>
    <n v="83"/>
    <n v="0"/>
    <n v="333.15"/>
    <n v="241.85"/>
    <m/>
    <n v="376.13343594836397"/>
    <n v="227.55060294064452"/>
    <n v="0"/>
    <n v="759.24884999999995"/>
    <n v="551.17615000000001"/>
    <n v="0"/>
    <n v="857.20810052632146"/>
    <n v="518.58782410172887"/>
  </r>
  <r>
    <s v="Regular"/>
    <x v="3"/>
    <x v="2"/>
    <x v="5"/>
    <x v="0"/>
    <x v="1"/>
    <x v="0"/>
    <x v="1"/>
    <x v="1"/>
    <n v="0"/>
    <n v="0"/>
    <n v="2.1070000000000002"/>
    <n v="2.1070000000000002"/>
    <n v="2.1070000000000002"/>
    <n v="2.1070000000000002"/>
    <n v="4"/>
    <x v="1"/>
    <n v="0"/>
    <n v="0"/>
    <n v="46"/>
    <n v="83"/>
    <n v="0"/>
    <n v="333.15"/>
    <n v="241.85"/>
    <m/>
    <n v="376.13343594836397"/>
    <n v="227.55060294064452"/>
    <n v="0"/>
    <n v="701.94704999999999"/>
    <n v="509.57795000000004"/>
    <n v="0"/>
    <n v="792.51314954320299"/>
    <n v="479.44912039593805"/>
  </r>
  <r>
    <s v="Regular"/>
    <x v="3"/>
    <x v="2"/>
    <x v="5"/>
    <x v="0"/>
    <x v="1"/>
    <x v="0"/>
    <x v="1"/>
    <x v="2"/>
    <n v="0"/>
    <n v="0"/>
    <n v="1.6970000000000001"/>
    <n v="1.6970000000000001"/>
    <n v="1.6970000000000001"/>
    <n v="1.6970000000000001"/>
    <n v="4"/>
    <x v="1"/>
    <n v="0"/>
    <n v="0"/>
    <n v="46"/>
    <n v="83"/>
    <n v="0"/>
    <n v="333.15"/>
    <n v="241.85"/>
    <m/>
    <n v="376.13343594836397"/>
    <n v="227.55060294064452"/>
    <n v="0"/>
    <n v="565.35554999999999"/>
    <n v="410.41944999999998"/>
    <n v="0"/>
    <n v="638.29844080437363"/>
    <n v="386.15337319027378"/>
  </r>
  <r>
    <s v="Regular"/>
    <x v="3"/>
    <x v="2"/>
    <x v="5"/>
    <x v="0"/>
    <x v="1"/>
    <x v="0"/>
    <x v="1"/>
    <x v="3"/>
    <n v="0"/>
    <n v="0"/>
    <n v="1.669"/>
    <n v="1.669"/>
    <n v="1.669"/>
    <n v="1.669"/>
    <n v="4"/>
    <x v="1"/>
    <n v="0"/>
    <n v="0"/>
    <n v="46"/>
    <n v="83"/>
    <n v="0"/>
    <n v="333.15"/>
    <n v="241.85"/>
    <m/>
    <n v="376.13343594836397"/>
    <n v="227.55060294064452"/>
    <n v="0"/>
    <n v="556.02734999999996"/>
    <n v="403.64765"/>
    <n v="0"/>
    <n v="627.76670459781951"/>
    <n v="379.78195630793573"/>
  </r>
  <r>
    <s v="Regular"/>
    <x v="3"/>
    <x v="2"/>
    <x v="5"/>
    <x v="0"/>
    <x v="1"/>
    <x v="0"/>
    <x v="1"/>
    <x v="4"/>
    <n v="0"/>
    <n v="0"/>
    <n v="2.1970000000000001"/>
    <n v="2.1970000000000001"/>
    <n v="2.1970000000000001"/>
    <n v="2.1970000000000001"/>
    <n v="4"/>
    <x v="1"/>
    <n v="0"/>
    <n v="0"/>
    <n v="46"/>
    <n v="83"/>
    <n v="0"/>
    <n v="333.15"/>
    <n v="241.85"/>
    <m/>
    <n v="376.13343594836397"/>
    <n v="227.55060294064452"/>
    <n v="0"/>
    <n v="731.93054999999993"/>
    <n v="531.34445000000005"/>
    <n v="0"/>
    <n v="826.36515877855561"/>
    <n v="499.92867466059602"/>
  </r>
  <r>
    <s v="Regular"/>
    <x v="3"/>
    <x v="2"/>
    <x v="5"/>
    <x v="0"/>
    <x v="1"/>
    <x v="0"/>
    <x v="1"/>
    <x v="5"/>
    <n v="0"/>
    <n v="0"/>
    <n v="2.5529999999999999"/>
    <n v="2.5529999999999999"/>
    <n v="2.5529999999999999"/>
    <n v="2.5529999999999999"/>
    <n v="4"/>
    <x v="1"/>
    <n v="0"/>
    <n v="0"/>
    <n v="46"/>
    <n v="83"/>
    <n v="0"/>
    <n v="333.15"/>
    <n v="241.85"/>
    <m/>
    <n v="376.13343594836397"/>
    <n v="227.55060294064452"/>
    <n v="0"/>
    <n v="850.53194999999994"/>
    <n v="617.44304999999997"/>
    <n v="0"/>
    <n v="960.26866197617323"/>
    <n v="580.93668930746549"/>
  </r>
  <r>
    <s v="Regular"/>
    <x v="3"/>
    <x v="2"/>
    <x v="5"/>
    <x v="0"/>
    <x v="1"/>
    <x v="0"/>
    <x v="1"/>
    <x v="6"/>
    <n v="0"/>
    <n v="0"/>
    <n v="3.0910000000000002"/>
    <n v="3.0910000000000002"/>
    <n v="3.0910000000000002"/>
    <n v="3.0910000000000002"/>
    <n v="4"/>
    <x v="1"/>
    <n v="0"/>
    <n v="0"/>
    <n v="46"/>
    <n v="83"/>
    <n v="0"/>
    <n v="333.15"/>
    <n v="241.85"/>
    <m/>
    <n v="376.13343594836397"/>
    <n v="227.55060294064452"/>
    <n v="0"/>
    <n v="1029.76665"/>
    <n v="747.55835000000002"/>
    <n v="0"/>
    <n v="1162.6284505163931"/>
    <n v="703.3589136895323"/>
  </r>
  <r>
    <s v="Regular"/>
    <x v="3"/>
    <x v="2"/>
    <x v="5"/>
    <x v="0"/>
    <x v="1"/>
    <x v="0"/>
    <x v="1"/>
    <x v="7"/>
    <n v="0"/>
    <n v="0"/>
    <n v="3.4940000000000002"/>
    <n v="3.4940000000000002"/>
    <n v="3.4940000000000002"/>
    <n v="3.4940000000000002"/>
    <n v="4"/>
    <x v="1"/>
    <n v="0"/>
    <n v="0"/>
    <n v="46"/>
    <n v="83"/>
    <n v="0"/>
    <n v="333.15"/>
    <n v="241.85"/>
    <m/>
    <n v="376.13343594836397"/>
    <n v="227.55060294064452"/>
    <n v="0"/>
    <n v="1164.0261"/>
    <n v="845.02390000000003"/>
    <n v="0"/>
    <n v="1314.2102252035838"/>
    <n v="795.06180667461206"/>
  </r>
  <r>
    <s v="Regular"/>
    <x v="3"/>
    <x v="2"/>
    <x v="5"/>
    <x v="0"/>
    <x v="1"/>
    <x v="0"/>
    <x v="1"/>
    <x v="8"/>
    <n v="0"/>
    <n v="0"/>
    <n v="2.7389999999999999"/>
    <n v="2.7389999999999999"/>
    <n v="2.7389999999999999"/>
    <n v="2.7389999999999999"/>
    <n v="4"/>
    <x v="1"/>
    <n v="0"/>
    <n v="0"/>
    <n v="46"/>
    <n v="83"/>
    <n v="0"/>
    <n v="333.15"/>
    <n v="241.85"/>
    <m/>
    <n v="376.13343594836397"/>
    <n v="227.55060294064452"/>
    <n v="0"/>
    <n v="912.49784999999986"/>
    <n v="662.42714999999998"/>
    <n v="0"/>
    <n v="1030.2294810625688"/>
    <n v="623.26110145442533"/>
  </r>
  <r>
    <s v="Regular"/>
    <x v="3"/>
    <x v="2"/>
    <x v="5"/>
    <x v="0"/>
    <x v="1"/>
    <x v="0"/>
    <x v="1"/>
    <x v="9"/>
    <n v="0"/>
    <n v="0"/>
    <n v="1.863"/>
    <n v="1.863"/>
    <n v="1.863"/>
    <n v="1.863"/>
    <n v="4"/>
    <x v="1"/>
    <n v="0"/>
    <n v="0"/>
    <n v="46"/>
    <n v="83"/>
    <n v="0"/>
    <n v="333.15"/>
    <n v="241.85"/>
    <m/>
    <n v="376.13343594836397"/>
    <n v="227.55060294064452"/>
    <n v="0"/>
    <n v="620.6584499999999"/>
    <n v="450.56655000000001"/>
    <n v="0"/>
    <n v="700.73659117180205"/>
    <n v="423.92677327842074"/>
  </r>
  <r>
    <s v="Regular"/>
    <x v="3"/>
    <x v="2"/>
    <x v="5"/>
    <x v="0"/>
    <x v="1"/>
    <x v="0"/>
    <x v="1"/>
    <x v="10"/>
    <n v="0"/>
    <n v="0"/>
    <n v="1.839"/>
    <n v="1.839"/>
    <n v="1.839"/>
    <n v="1.839"/>
    <n v="4"/>
    <x v="1"/>
    <n v="0"/>
    <n v="0"/>
    <n v="46"/>
    <n v="83"/>
    <n v="0"/>
    <n v="333.15"/>
    <n v="241.85"/>
    <m/>
    <n v="376.13343594836397"/>
    <n v="227.55060294064452"/>
    <n v="0"/>
    <n v="612.66284999999993"/>
    <n v="444.76214999999996"/>
    <n v="0"/>
    <n v="691.70938870904138"/>
    <n v="418.4655588078453"/>
  </r>
  <r>
    <s v="Regular"/>
    <x v="3"/>
    <x v="2"/>
    <x v="5"/>
    <x v="0"/>
    <x v="1"/>
    <x v="0"/>
    <x v="1"/>
    <x v="11"/>
    <n v="0"/>
    <n v="0"/>
    <n v="2.1509999999999998"/>
    <n v="2.1509999999999998"/>
    <n v="2.1509999999999998"/>
    <n v="2.1509999999999998"/>
    <n v="4"/>
    <x v="1"/>
    <n v="0"/>
    <n v="0"/>
    <n v="46"/>
    <n v="83"/>
    <n v="0"/>
    <n v="333.15"/>
    <n v="241.85"/>
    <m/>
    <n v="376.13343594836397"/>
    <n v="227.55060294064452"/>
    <n v="0"/>
    <n v="716.60564999999986"/>
    <n v="520.21934999999996"/>
    <n v="0"/>
    <n v="809.06302072493077"/>
    <n v="489.46134692532632"/>
  </r>
  <r>
    <s v="Regular"/>
    <x v="3"/>
    <x v="2"/>
    <x v="0"/>
    <x v="0"/>
    <x v="1"/>
    <x v="0"/>
    <x v="1"/>
    <x v="0"/>
    <n v="0"/>
    <n v="0"/>
    <n v="77.58"/>
    <n v="77.58"/>
    <n v="77.58"/>
    <n v="77.58"/>
    <n v="48"/>
    <x v="1"/>
    <n v="0"/>
    <n v="0"/>
    <n v="46"/>
    <n v="83"/>
    <n v="0"/>
    <n v="333.15"/>
    <n v="241.85"/>
    <m/>
    <n v="376.13343594836397"/>
    <n v="227.55060294064452"/>
    <n v="0"/>
    <n v="25845.776999999998"/>
    <n v="18762.722999999998"/>
    <n v="0"/>
    <n v="29180.431960874077"/>
    <n v="17653.375776135203"/>
  </r>
  <r>
    <s v="Regular"/>
    <x v="3"/>
    <x v="2"/>
    <x v="0"/>
    <x v="0"/>
    <x v="1"/>
    <x v="0"/>
    <x v="1"/>
    <x v="1"/>
    <n v="0"/>
    <n v="0"/>
    <n v="84.409000000000006"/>
    <n v="84.409000000000006"/>
    <n v="84.409000000000006"/>
    <n v="84.409000000000006"/>
    <n v="53"/>
    <x v="1"/>
    <n v="0"/>
    <n v="0"/>
    <n v="46"/>
    <n v="83"/>
    <n v="0"/>
    <n v="333.15"/>
    <n v="241.85"/>
    <m/>
    <n v="376.13343594836397"/>
    <n v="227.55060294064452"/>
    <n v="0"/>
    <n v="28120.858349999999"/>
    <n v="20414.316650000001"/>
    <n v="0"/>
    <n v="31749.047194965457"/>
    <n v="19207.318843616864"/>
  </r>
  <r>
    <s v="Regular"/>
    <x v="3"/>
    <x v="2"/>
    <x v="0"/>
    <x v="0"/>
    <x v="1"/>
    <x v="0"/>
    <x v="1"/>
    <x v="2"/>
    <n v="0"/>
    <n v="0"/>
    <n v="79.796000000000006"/>
    <n v="79.796000000000006"/>
    <n v="79.796000000000006"/>
    <n v="79.796000000000006"/>
    <n v="57"/>
    <x v="1"/>
    <n v="0"/>
    <n v="0"/>
    <n v="46"/>
    <n v="83"/>
    <n v="0"/>
    <n v="333.15"/>
    <n v="241.85"/>
    <m/>
    <n v="376.13343594836397"/>
    <n v="227.55060294064452"/>
    <n v="0"/>
    <n v="26584.037400000001"/>
    <n v="19298.6626"/>
    <n v="0"/>
    <n v="30013.943654935654"/>
    <n v="18157.627912251672"/>
  </r>
  <r>
    <s v="Sistema de Compensação"/>
    <x v="3"/>
    <x v="2"/>
    <x v="0"/>
    <x v="0"/>
    <x v="1"/>
    <x v="0"/>
    <x v="1"/>
    <x v="2"/>
    <n v="0"/>
    <n v="0"/>
    <n v="0.39500000000000002"/>
    <n v="0.39500000000000002"/>
    <n v="0.39500000000000002"/>
    <n v="0.39500000000000002"/>
    <n v="1"/>
    <x v="1"/>
    <n v="0"/>
    <n v="0"/>
    <n v="46"/>
    <n v="83"/>
    <n v="0"/>
    <n v="333.15"/>
    <n v="241.85"/>
    <m/>
    <n v="376.13343594836397"/>
    <n v="227.55060294064452"/>
    <n v="0"/>
    <n v="131.59424999999999"/>
    <n v="95.530749999999998"/>
    <n v="0"/>
    <n v="148.57270719960377"/>
    <n v="89.882488161554591"/>
  </r>
  <r>
    <s v="Regular"/>
    <x v="3"/>
    <x v="2"/>
    <x v="0"/>
    <x v="0"/>
    <x v="1"/>
    <x v="0"/>
    <x v="1"/>
    <x v="3"/>
    <n v="0"/>
    <n v="0"/>
    <n v="74.724999999999994"/>
    <n v="74.724999999999994"/>
    <n v="74.724999999999994"/>
    <n v="74.724999999999994"/>
    <n v="52"/>
    <x v="1"/>
    <n v="0"/>
    <n v="0"/>
    <n v="46"/>
    <n v="83"/>
    <n v="0"/>
    <n v="333.15"/>
    <n v="241.85"/>
    <m/>
    <n v="376.13343594836397"/>
    <n v="227.55060294064452"/>
    <n v="0"/>
    <n v="24894.633749999997"/>
    <n v="18072.241249999999"/>
    <n v="0"/>
    <n v="28106.571001241497"/>
    <n v="17003.718804739659"/>
  </r>
  <r>
    <s v="Sistema de Compensação"/>
    <x v="3"/>
    <x v="2"/>
    <x v="0"/>
    <x v="0"/>
    <x v="1"/>
    <x v="0"/>
    <x v="1"/>
    <x v="3"/>
    <n v="0"/>
    <n v="0"/>
    <n v="0.68400000000000005"/>
    <n v="0.68400000000000005"/>
    <n v="0.68400000000000005"/>
    <n v="0.68400000000000005"/>
    <n v="2"/>
    <x v="1"/>
    <n v="0"/>
    <n v="0"/>
    <n v="46"/>
    <n v="83"/>
    <n v="0"/>
    <n v="333.15"/>
    <n v="241.85"/>
    <m/>
    <n v="376.13343594836397"/>
    <n v="227.55060294064452"/>
    <n v="0"/>
    <n v="227.87460000000002"/>
    <n v="165.4254"/>
    <n v="0"/>
    <n v="257.27527018868096"/>
    <n v="155.64461241140086"/>
  </r>
  <r>
    <s v="Regular"/>
    <x v="3"/>
    <x v="2"/>
    <x v="0"/>
    <x v="0"/>
    <x v="1"/>
    <x v="0"/>
    <x v="1"/>
    <x v="4"/>
    <n v="0"/>
    <n v="0"/>
    <n v="80.14"/>
    <n v="80.14"/>
    <n v="80.14"/>
    <n v="80.14"/>
    <n v="51"/>
    <x v="1"/>
    <n v="0"/>
    <n v="0"/>
    <n v="46"/>
    <n v="83"/>
    <n v="0"/>
    <n v="333.15"/>
    <n v="241.85"/>
    <m/>
    <n v="376.13343594836397"/>
    <n v="227.55060294064452"/>
    <n v="0"/>
    <n v="26698.641"/>
    <n v="19381.859"/>
    <n v="0"/>
    <n v="30143.333556901889"/>
    <n v="18235.905319663252"/>
  </r>
  <r>
    <s v="Sistema de Compensação"/>
    <x v="3"/>
    <x v="2"/>
    <x v="0"/>
    <x v="0"/>
    <x v="1"/>
    <x v="0"/>
    <x v="1"/>
    <x v="4"/>
    <n v="0"/>
    <n v="0"/>
    <n v="0.2"/>
    <n v="0.2"/>
    <n v="0.2"/>
    <n v="0.2"/>
    <n v="2"/>
    <x v="1"/>
    <n v="0"/>
    <n v="0"/>
    <n v="46"/>
    <n v="83"/>
    <n v="0"/>
    <n v="333.15"/>
    <n v="241.85"/>
    <m/>
    <n v="376.13343594836397"/>
    <n v="227.55060294064452"/>
    <n v="0"/>
    <n v="66.63"/>
    <n v="48.370000000000005"/>
    <n v="0"/>
    <n v="75.226687189672802"/>
    <n v="45.510120588128906"/>
  </r>
  <r>
    <s v="Regular"/>
    <x v="3"/>
    <x v="2"/>
    <x v="0"/>
    <x v="0"/>
    <x v="1"/>
    <x v="0"/>
    <x v="1"/>
    <x v="5"/>
    <n v="0"/>
    <n v="0"/>
    <n v="84.402000000000001"/>
    <n v="84.402000000000001"/>
    <n v="84.402000000000001"/>
    <n v="84.402000000000001"/>
    <n v="51"/>
    <x v="1"/>
    <n v="0"/>
    <n v="0"/>
    <n v="46"/>
    <n v="83"/>
    <n v="0"/>
    <n v="333.15"/>
    <n v="241.85"/>
    <m/>
    <n v="376.13343594836397"/>
    <n v="227.55060294064452"/>
    <n v="0"/>
    <n v="28118.526299999998"/>
    <n v="20412.6237"/>
    <n v="0"/>
    <n v="31746.414260913814"/>
    <n v="19205.72598939628"/>
  </r>
  <r>
    <s v="Sistema de Compensação"/>
    <x v="3"/>
    <x v="2"/>
    <x v="0"/>
    <x v="0"/>
    <x v="1"/>
    <x v="0"/>
    <x v="1"/>
    <x v="5"/>
    <n v="0"/>
    <n v="0"/>
    <n v="0.21299999999999999"/>
    <n v="0.21299999999999999"/>
    <n v="0.21299999999999999"/>
    <n v="0.21299999999999999"/>
    <n v="2"/>
    <x v="1"/>
    <n v="0"/>
    <n v="0"/>
    <n v="46"/>
    <n v="83"/>
    <n v="0"/>
    <n v="333.15"/>
    <n v="241.85"/>
    <m/>
    <n v="376.13343594836397"/>
    <n v="227.55060294064452"/>
    <n v="0"/>
    <n v="70.960949999999997"/>
    <n v="51.514049999999997"/>
    <n v="0"/>
    <n v="80.116421857001527"/>
    <n v="48.46827842635728"/>
  </r>
  <r>
    <s v="Regular"/>
    <x v="3"/>
    <x v="2"/>
    <x v="0"/>
    <x v="0"/>
    <x v="1"/>
    <x v="0"/>
    <x v="1"/>
    <x v="6"/>
    <n v="0"/>
    <n v="0"/>
    <n v="76.555999999999997"/>
    <n v="76.555999999999997"/>
    <n v="76.555999999999997"/>
    <n v="76.555999999999997"/>
    <n v="50"/>
    <x v="1"/>
    <n v="0"/>
    <n v="0"/>
    <n v="46"/>
    <n v="83"/>
    <n v="0"/>
    <n v="333.15"/>
    <n v="241.85"/>
    <m/>
    <n v="376.13343594836397"/>
    <n v="227.55060294064452"/>
    <n v="0"/>
    <n v="25504.631399999998"/>
    <n v="18515.068599999999"/>
    <n v="0"/>
    <n v="28795.271322462952"/>
    <n v="17420.363958723981"/>
  </r>
  <r>
    <s v="Sistema de Compensação"/>
    <x v="3"/>
    <x v="2"/>
    <x v="0"/>
    <x v="0"/>
    <x v="1"/>
    <x v="0"/>
    <x v="1"/>
    <x v="6"/>
    <n v="0"/>
    <n v="0"/>
    <n v="0.2"/>
    <n v="0.2"/>
    <n v="0.2"/>
    <n v="0.2"/>
    <n v="2"/>
    <x v="1"/>
    <n v="0"/>
    <n v="0"/>
    <n v="46"/>
    <n v="83"/>
    <n v="0"/>
    <n v="333.15"/>
    <n v="241.85"/>
    <m/>
    <n v="376.13343594836397"/>
    <n v="227.55060294064452"/>
    <n v="0"/>
    <n v="66.63"/>
    <n v="48.370000000000005"/>
    <n v="0"/>
    <n v="75.226687189672802"/>
    <n v="45.510120588128906"/>
  </r>
  <r>
    <s v="Regular"/>
    <x v="3"/>
    <x v="2"/>
    <x v="0"/>
    <x v="0"/>
    <x v="1"/>
    <x v="0"/>
    <x v="1"/>
    <x v="7"/>
    <n v="0"/>
    <n v="0"/>
    <n v="82.58"/>
    <n v="82.58"/>
    <n v="82.58"/>
    <n v="82.58"/>
    <n v="51"/>
    <x v="1"/>
    <n v="0"/>
    <n v="0"/>
    <n v="46"/>
    <n v="83"/>
    <n v="0"/>
    <n v="333.15"/>
    <n v="241.85"/>
    <m/>
    <n v="376.13343594836397"/>
    <n v="227.55060294064452"/>
    <n v="0"/>
    <n v="27511.526999999998"/>
    <n v="19971.972999999998"/>
    <n v="0"/>
    <n v="31061.099140615897"/>
    <n v="18791.128790838426"/>
  </r>
  <r>
    <s v="Sistema de Compensação"/>
    <x v="3"/>
    <x v="2"/>
    <x v="0"/>
    <x v="0"/>
    <x v="1"/>
    <x v="0"/>
    <x v="1"/>
    <x v="7"/>
    <n v="0"/>
    <n v="0"/>
    <n v="0.2"/>
    <n v="0.2"/>
    <n v="0.2"/>
    <n v="0.2"/>
    <n v="2"/>
    <x v="1"/>
    <n v="0"/>
    <n v="0"/>
    <n v="46"/>
    <n v="83"/>
    <n v="0"/>
    <n v="333.15"/>
    <n v="241.85"/>
    <m/>
    <n v="376.13343594836397"/>
    <n v="227.55060294064452"/>
    <n v="0"/>
    <n v="66.63"/>
    <n v="48.370000000000005"/>
    <n v="0"/>
    <n v="75.226687189672802"/>
    <n v="45.510120588128906"/>
  </r>
  <r>
    <s v="Regular"/>
    <x v="3"/>
    <x v="2"/>
    <x v="0"/>
    <x v="0"/>
    <x v="1"/>
    <x v="0"/>
    <x v="1"/>
    <x v="8"/>
    <n v="0"/>
    <n v="0"/>
    <n v="75.680999999999997"/>
    <n v="75.680999999999997"/>
    <n v="75.680999999999997"/>
    <n v="75.680999999999997"/>
    <n v="51"/>
    <x v="1"/>
    <n v="0"/>
    <n v="0"/>
    <n v="46"/>
    <n v="83"/>
    <n v="0"/>
    <n v="333.15"/>
    <n v="241.85"/>
    <m/>
    <n v="376.13343594836397"/>
    <n v="227.55060294064452"/>
    <n v="0"/>
    <n v="25213.125149999996"/>
    <n v="18303.449849999997"/>
    <n v="0"/>
    <n v="28466.154566008132"/>
    <n v="17221.257181150919"/>
  </r>
  <r>
    <s v="Sistema de Compensação"/>
    <x v="3"/>
    <x v="2"/>
    <x v="0"/>
    <x v="0"/>
    <x v="1"/>
    <x v="0"/>
    <x v="1"/>
    <x v="8"/>
    <n v="0"/>
    <n v="0"/>
    <n v="0.2"/>
    <n v="0.2"/>
    <n v="0.2"/>
    <n v="0.2"/>
    <n v="2"/>
    <x v="1"/>
    <n v="0"/>
    <n v="0"/>
    <n v="46"/>
    <n v="83"/>
    <n v="0"/>
    <n v="333.15"/>
    <n v="241.85"/>
    <m/>
    <n v="376.13343594836397"/>
    <n v="227.55060294064452"/>
    <n v="0"/>
    <n v="66.63"/>
    <n v="48.370000000000005"/>
    <n v="0"/>
    <n v="75.226687189672802"/>
    <n v="45.510120588128906"/>
  </r>
  <r>
    <s v="Regular"/>
    <x v="3"/>
    <x v="2"/>
    <x v="0"/>
    <x v="0"/>
    <x v="1"/>
    <x v="0"/>
    <x v="1"/>
    <x v="9"/>
    <n v="0"/>
    <n v="0"/>
    <n v="59.23"/>
    <n v="59.23"/>
    <n v="59.23"/>
    <n v="59.23"/>
    <n v="50"/>
    <x v="1"/>
    <n v="0"/>
    <n v="0"/>
    <n v="46"/>
    <n v="83"/>
    <n v="0"/>
    <n v="333.15"/>
    <n v="241.85"/>
    <m/>
    <n v="376.13343594836397"/>
    <n v="227.55060294064452"/>
    <n v="0"/>
    <n v="19732.474499999997"/>
    <n v="14324.7755"/>
    <n v="0"/>
    <n v="22278.383411221595"/>
    <n v="13477.822212174375"/>
  </r>
  <r>
    <s v="Sistema de Compensação"/>
    <x v="3"/>
    <x v="2"/>
    <x v="0"/>
    <x v="0"/>
    <x v="1"/>
    <x v="0"/>
    <x v="1"/>
    <x v="9"/>
    <n v="0"/>
    <n v="0"/>
    <n v="7.2889999999999997"/>
    <n v="7.2889999999999997"/>
    <n v="7.2889999999999997"/>
    <n v="7.2889999999999997"/>
    <n v="3"/>
    <x v="1"/>
    <n v="0"/>
    <n v="0"/>
    <n v="46"/>
    <n v="83"/>
    <n v="0"/>
    <n v="333.15"/>
    <n v="241.85"/>
    <m/>
    <n v="376.13343594836397"/>
    <n v="227.55060294064452"/>
    <n v="0"/>
    <n v="2428.3303499999997"/>
    <n v="1762.8446499999998"/>
    <n v="0"/>
    <n v="2741.636614627625"/>
    <n v="1658.616344834358"/>
  </r>
  <r>
    <s v="Regular"/>
    <x v="3"/>
    <x v="2"/>
    <x v="0"/>
    <x v="0"/>
    <x v="1"/>
    <x v="0"/>
    <x v="1"/>
    <x v="10"/>
    <n v="0"/>
    <n v="0"/>
    <n v="56.985999999999997"/>
    <n v="56.985999999999997"/>
    <n v="56.985999999999997"/>
    <n v="56.985999999999997"/>
    <n v="50"/>
    <x v="1"/>
    <n v="0"/>
    <n v="0"/>
    <n v="46"/>
    <n v="83"/>
    <n v="0"/>
    <n v="333.15"/>
    <n v="241.85"/>
    <m/>
    <n v="376.13343594836397"/>
    <n v="227.55060294064452"/>
    <n v="0"/>
    <n v="18984.885899999997"/>
    <n v="13782.0641"/>
    <n v="0"/>
    <n v="21434.339980953468"/>
    <n v="12967.198659175569"/>
  </r>
  <r>
    <s v="Sistema de Compensação"/>
    <x v="3"/>
    <x v="2"/>
    <x v="0"/>
    <x v="0"/>
    <x v="1"/>
    <x v="0"/>
    <x v="1"/>
    <x v="10"/>
    <n v="0"/>
    <n v="0"/>
    <n v="7.9249999999999998"/>
    <n v="7.9249999999999998"/>
    <n v="7.9249999999999998"/>
    <n v="7.9249999999999998"/>
    <n v="3"/>
    <x v="1"/>
    <n v="0"/>
    <n v="0"/>
    <n v="46"/>
    <n v="83"/>
    <n v="0"/>
    <n v="333.15"/>
    <n v="241.85"/>
    <m/>
    <n v="376.13343594836397"/>
    <n v="227.55060294064452"/>
    <n v="0"/>
    <n v="2640.2137499999999"/>
    <n v="1916.6612499999999"/>
    <n v="0"/>
    <n v="2980.8574798907844"/>
    <n v="1803.3385283046077"/>
  </r>
  <r>
    <s v="Regular"/>
    <x v="3"/>
    <x v="2"/>
    <x v="0"/>
    <x v="0"/>
    <x v="1"/>
    <x v="0"/>
    <x v="1"/>
    <x v="11"/>
    <n v="0"/>
    <n v="0"/>
    <n v="58.13"/>
    <n v="58.13"/>
    <n v="58.13"/>
    <n v="58.13"/>
    <n v="50"/>
    <x v="1"/>
    <n v="0"/>
    <n v="0"/>
    <n v="46"/>
    <n v="83"/>
    <n v="0"/>
    <n v="333.15"/>
    <n v="241.85"/>
    <m/>
    <n v="376.13343594836397"/>
    <n v="227.55060294064452"/>
    <n v="0"/>
    <n v="19366.0095"/>
    <n v="14058.7405"/>
    <n v="0"/>
    <n v="21864.636631678397"/>
    <n v="13227.516548939666"/>
  </r>
  <r>
    <s v="Sistema de Compensação"/>
    <x v="3"/>
    <x v="2"/>
    <x v="0"/>
    <x v="0"/>
    <x v="1"/>
    <x v="0"/>
    <x v="1"/>
    <x v="11"/>
    <n v="0"/>
    <n v="0"/>
    <n v="8.8469999999999995"/>
    <n v="8.8469999999999995"/>
    <n v="8.8469999999999995"/>
    <n v="8.8469999999999995"/>
    <n v="3"/>
    <x v="1"/>
    <n v="0"/>
    <n v="0"/>
    <n v="46"/>
    <n v="83"/>
    <n v="0"/>
    <n v="333.15"/>
    <n v="241.85"/>
    <m/>
    <n v="376.13343594836397"/>
    <n v="227.55060294064452"/>
    <n v="0"/>
    <n v="2947.3780499999998"/>
    <n v="2139.6469499999998"/>
    <n v="0"/>
    <n v="3327.652507835176"/>
    <n v="2013.1401842158821"/>
  </r>
  <r>
    <s v="Regular"/>
    <x v="3"/>
    <x v="2"/>
    <x v="2"/>
    <x v="0"/>
    <x v="1"/>
    <x v="0"/>
    <x v="1"/>
    <x v="0"/>
    <n v="0"/>
    <n v="0"/>
    <n v="75.864999999999995"/>
    <n v="75.864999999999995"/>
    <n v="75.864999999999995"/>
    <n v="75.864999999999995"/>
    <n v="74"/>
    <x v="1"/>
    <n v="0"/>
    <n v="0"/>
    <n v="46"/>
    <n v="83"/>
    <n v="0"/>
    <n v="333.15"/>
    <n v="241.85"/>
    <m/>
    <n v="376.13343594836397"/>
    <n v="227.55060294064452"/>
    <n v="0"/>
    <n v="25274.424749999998"/>
    <n v="18347.950249999998"/>
    <n v="0"/>
    <n v="28535.363118222631"/>
    <n v="17263.126492091997"/>
  </r>
  <r>
    <s v="Regular"/>
    <x v="3"/>
    <x v="2"/>
    <x v="2"/>
    <x v="0"/>
    <x v="1"/>
    <x v="0"/>
    <x v="1"/>
    <x v="1"/>
    <n v="0"/>
    <n v="0"/>
    <n v="72.569999999999993"/>
    <n v="72.569999999999993"/>
    <n v="72.569999999999993"/>
    <n v="72.569999999999993"/>
    <n v="73"/>
    <x v="1"/>
    <n v="0"/>
    <n v="0"/>
    <n v="46"/>
    <n v="83"/>
    <n v="0"/>
    <n v="333.15"/>
    <n v="241.85"/>
    <m/>
    <n v="376.13343594836397"/>
    <n v="227.55060294064452"/>
    <n v="0"/>
    <n v="24176.695499999994"/>
    <n v="17551.054499999998"/>
    <n v="0"/>
    <n v="27296.003446772771"/>
    <n v="16513.347255402572"/>
  </r>
  <r>
    <s v="Regular"/>
    <x v="3"/>
    <x v="2"/>
    <x v="2"/>
    <x v="0"/>
    <x v="1"/>
    <x v="0"/>
    <x v="1"/>
    <x v="2"/>
    <n v="0"/>
    <n v="0"/>
    <n v="56.506"/>
    <n v="56.506"/>
    <n v="56.506"/>
    <n v="56.506"/>
    <n v="73"/>
    <x v="1"/>
    <n v="0"/>
    <n v="0"/>
    <n v="46"/>
    <n v="83"/>
    <n v="0"/>
    <n v="333.15"/>
    <n v="241.85"/>
    <m/>
    <n v="376.13343594836397"/>
    <n v="227.55060294064452"/>
    <n v="0"/>
    <n v="18824.973899999997"/>
    <n v="13665.9761"/>
    <n v="0"/>
    <n v="21253.795931698256"/>
    <n v="12857.974369764059"/>
  </r>
  <r>
    <s v="Regular"/>
    <x v="3"/>
    <x v="2"/>
    <x v="2"/>
    <x v="0"/>
    <x v="1"/>
    <x v="0"/>
    <x v="1"/>
    <x v="3"/>
    <n v="0"/>
    <n v="0"/>
    <n v="51.398000000000003"/>
    <n v="51.398000000000003"/>
    <n v="51.398000000000003"/>
    <n v="51.398000000000003"/>
    <n v="72"/>
    <x v="1"/>
    <n v="0"/>
    <n v="0"/>
    <n v="46"/>
    <n v="83"/>
    <n v="0"/>
    <n v="333.15"/>
    <n v="241.85"/>
    <m/>
    <n v="376.13343594836397"/>
    <n v="227.55060294064452"/>
    <n v="0"/>
    <n v="17123.243699999999"/>
    <n v="12430.606300000001"/>
    <n v="0"/>
    <n v="19332.506340874013"/>
    <n v="11695.645889943247"/>
  </r>
  <r>
    <s v="Regular"/>
    <x v="3"/>
    <x v="2"/>
    <x v="2"/>
    <x v="0"/>
    <x v="1"/>
    <x v="0"/>
    <x v="1"/>
    <x v="4"/>
    <n v="0"/>
    <n v="0"/>
    <n v="58.618000000000002"/>
    <n v="58.618000000000002"/>
    <n v="58.618000000000002"/>
    <n v="58.618000000000002"/>
    <n v="74"/>
    <x v="1"/>
    <n v="0"/>
    <n v="0"/>
    <n v="46"/>
    <n v="83"/>
    <n v="0"/>
    <n v="333.15"/>
    <n v="241.85"/>
    <m/>
    <n v="376.13343594836397"/>
    <n v="227.55060294064452"/>
    <n v="0"/>
    <n v="19528.5867"/>
    <n v="14176.763300000001"/>
    <n v="0"/>
    <n v="22048.189748421199"/>
    <n v="13338.561243174701"/>
  </r>
  <r>
    <s v="Regular"/>
    <x v="3"/>
    <x v="2"/>
    <x v="2"/>
    <x v="0"/>
    <x v="1"/>
    <x v="0"/>
    <x v="1"/>
    <x v="5"/>
    <n v="0"/>
    <n v="0"/>
    <n v="73.353999999999999"/>
    <n v="73.353999999999999"/>
    <n v="73.353999999999999"/>
    <n v="73.353999999999999"/>
    <n v="75"/>
    <x v="1"/>
    <n v="0"/>
    <n v="0"/>
    <n v="46"/>
    <n v="83"/>
    <n v="0"/>
    <n v="333.15"/>
    <n v="241.85"/>
    <m/>
    <n v="376.13343594836397"/>
    <n v="227.55060294064452"/>
    <n v="0"/>
    <n v="24437.8851"/>
    <n v="17740.6649"/>
    <n v="0"/>
    <n v="27590.892060556289"/>
    <n v="16691.746928108038"/>
  </r>
  <r>
    <s v="Regular"/>
    <x v="3"/>
    <x v="2"/>
    <x v="2"/>
    <x v="0"/>
    <x v="1"/>
    <x v="0"/>
    <x v="1"/>
    <x v="6"/>
    <n v="0"/>
    <n v="0"/>
    <n v="61.228999999999999"/>
    <n v="61.228999999999999"/>
    <n v="61.228999999999999"/>
    <n v="61.228999999999999"/>
    <n v="75"/>
    <x v="1"/>
    <n v="0"/>
    <n v="0"/>
    <n v="46"/>
    <n v="83"/>
    <n v="0"/>
    <n v="333.15"/>
    <n v="241.85"/>
    <m/>
    <n v="376.13343594836397"/>
    <n v="227.55060294064452"/>
    <n v="0"/>
    <n v="20398.441349999997"/>
    <n v="14808.23365"/>
    <n v="0"/>
    <n v="23030.274149682376"/>
    <n v="13932.695867452723"/>
  </r>
  <r>
    <s v="Regular"/>
    <x v="3"/>
    <x v="2"/>
    <x v="2"/>
    <x v="0"/>
    <x v="1"/>
    <x v="0"/>
    <x v="1"/>
    <x v="7"/>
    <n v="0"/>
    <n v="0"/>
    <n v="73.075000000000003"/>
    <n v="73.075000000000003"/>
    <n v="73.075000000000003"/>
    <n v="73.075000000000003"/>
    <n v="75"/>
    <x v="1"/>
    <n v="0"/>
    <n v="0"/>
    <n v="46"/>
    <n v="83"/>
    <n v="0"/>
    <n v="333.15"/>
    <n v="241.85"/>
    <m/>
    <n v="376.13343594836397"/>
    <n v="227.55060294064452"/>
    <n v="0"/>
    <n v="24344.936249999999"/>
    <n v="17673.188750000001"/>
    <n v="0"/>
    <n v="27485.950831926697"/>
    <n v="16628.260309887599"/>
  </r>
  <r>
    <s v="Regular"/>
    <x v="3"/>
    <x v="2"/>
    <x v="2"/>
    <x v="0"/>
    <x v="1"/>
    <x v="0"/>
    <x v="1"/>
    <x v="8"/>
    <n v="0"/>
    <n v="0"/>
    <n v="72.114999999999995"/>
    <n v="72.114999999999995"/>
    <n v="72.114999999999995"/>
    <n v="72.114999999999995"/>
    <n v="74"/>
    <x v="1"/>
    <n v="0"/>
    <n v="0"/>
    <n v="46"/>
    <n v="83"/>
    <n v="0"/>
    <n v="333.15"/>
    <n v="241.85"/>
    <m/>
    <n v="376.13343594836397"/>
    <n v="227.55060294064452"/>
    <n v="0"/>
    <n v="24025.112249999998"/>
    <n v="17441.012749999998"/>
    <n v="0"/>
    <n v="27124.862733416267"/>
    <n v="16409.811731064579"/>
  </r>
  <r>
    <s v="Regular"/>
    <x v="3"/>
    <x v="2"/>
    <x v="2"/>
    <x v="0"/>
    <x v="1"/>
    <x v="0"/>
    <x v="1"/>
    <x v="9"/>
    <n v="0"/>
    <n v="0"/>
    <n v="65.207999999999998"/>
    <n v="65.207999999999998"/>
    <n v="65.207999999999998"/>
    <n v="65.207999999999998"/>
    <n v="74"/>
    <x v="1"/>
    <n v="0"/>
    <n v="0"/>
    <n v="46"/>
    <n v="83"/>
    <n v="0"/>
    <n v="333.15"/>
    <n v="241.85"/>
    <m/>
    <n v="376.13343594836397"/>
    <n v="227.55060294064452"/>
    <n v="0"/>
    <n v="21724.045199999997"/>
    <n v="15770.5548"/>
    <n v="0"/>
    <n v="24526.909091320918"/>
    <n v="14838.119716553549"/>
  </r>
  <r>
    <s v="Regular"/>
    <x v="3"/>
    <x v="2"/>
    <x v="2"/>
    <x v="0"/>
    <x v="1"/>
    <x v="0"/>
    <x v="1"/>
    <x v="10"/>
    <n v="0"/>
    <n v="0"/>
    <n v="68.908000000000001"/>
    <n v="68.908000000000001"/>
    <n v="68.908000000000001"/>
    <n v="68.908000000000001"/>
    <n v="74"/>
    <x v="1"/>
    <n v="0"/>
    <n v="0"/>
    <n v="46"/>
    <n v="83"/>
    <n v="0"/>
    <n v="333.15"/>
    <n v="241.85"/>
    <m/>
    <n v="376.13343594836397"/>
    <n v="227.55060294064452"/>
    <n v="0"/>
    <n v="22956.700199999999"/>
    <n v="16665.399799999999"/>
    <n v="0"/>
    <n v="25918.602804329865"/>
    <n v="15680.056947433934"/>
  </r>
  <r>
    <s v="Regular"/>
    <x v="3"/>
    <x v="2"/>
    <x v="2"/>
    <x v="0"/>
    <x v="1"/>
    <x v="0"/>
    <x v="1"/>
    <x v="11"/>
    <n v="0"/>
    <n v="0"/>
    <n v="89.245000000000005"/>
    <n v="89.245000000000005"/>
    <n v="89.245000000000005"/>
    <n v="89.245000000000005"/>
    <n v="74"/>
    <x v="1"/>
    <n v="0"/>
    <n v="0"/>
    <n v="46"/>
    <n v="83"/>
    <n v="0"/>
    <n v="333.15"/>
    <n v="241.85"/>
    <m/>
    <n v="376.13343594836397"/>
    <n v="227.55060294064452"/>
    <n v="0"/>
    <n v="29731.971750000001"/>
    <n v="21583.903249999999"/>
    <n v="0"/>
    <n v="33568.028491211742"/>
    <n v="20307.753559437821"/>
  </r>
  <r>
    <s v="Regular"/>
    <x v="3"/>
    <x v="2"/>
    <x v="6"/>
    <x v="6"/>
    <x v="1"/>
    <x v="0"/>
    <x v="1"/>
    <x v="0"/>
    <n v="0"/>
    <n v="0"/>
    <n v="145.33199999999999"/>
    <n v="145.33199999999999"/>
    <n v="145.33199999999999"/>
    <n v="145.33199999999999"/>
    <n v="17"/>
    <x v="1"/>
    <n v="0"/>
    <n v="0"/>
    <n v="46"/>
    <n v="83"/>
    <n v="0"/>
    <n v="313.16099999999994"/>
    <n v="227.33899999999997"/>
    <m/>
    <n v="364.84943286991302"/>
    <n v="220.72408485242519"/>
    <n v="0"/>
    <n v="45512.314451999991"/>
    <n v="33039.631547999998"/>
    <n v="0"/>
    <n v="53024.297777850195"/>
    <n v="32078.272699772657"/>
  </r>
  <r>
    <s v="Regular"/>
    <x v="3"/>
    <x v="2"/>
    <x v="6"/>
    <x v="6"/>
    <x v="1"/>
    <x v="0"/>
    <x v="1"/>
    <x v="1"/>
    <n v="0"/>
    <n v="0"/>
    <n v="154.017"/>
    <n v="154.017"/>
    <n v="154.017"/>
    <n v="154.017"/>
    <n v="18"/>
    <x v="1"/>
    <n v="0"/>
    <n v="0"/>
    <n v="46"/>
    <n v="83"/>
    <n v="0"/>
    <n v="313.16099999999994"/>
    <n v="227.33899999999997"/>
    <m/>
    <n v="364.84943286991302"/>
    <n v="220.72408485242519"/>
    <n v="0"/>
    <n v="48232.117736999993"/>
    <n v="35014.070762999996"/>
    <n v="0"/>
    <n v="56193.015102325393"/>
    <n v="33995.261376715971"/>
  </r>
  <r>
    <s v="Regular"/>
    <x v="3"/>
    <x v="2"/>
    <x v="6"/>
    <x v="6"/>
    <x v="1"/>
    <x v="0"/>
    <x v="1"/>
    <x v="2"/>
    <n v="0"/>
    <n v="0"/>
    <n v="155.10900000000001"/>
    <n v="155.10900000000001"/>
    <n v="155.10900000000001"/>
    <n v="155.10900000000001"/>
    <n v="18"/>
    <x v="1"/>
    <n v="0"/>
    <n v="0"/>
    <n v="46"/>
    <n v="83"/>
    <n v="0"/>
    <n v="313.16099999999994"/>
    <n v="227.33899999999997"/>
    <m/>
    <n v="364.84943286991302"/>
    <n v="220.72408485242519"/>
    <n v="0"/>
    <n v="48574.089548999997"/>
    <n v="35262.324950999995"/>
    <n v="0"/>
    <n v="56591.430683019338"/>
    <n v="34236.292077374819"/>
  </r>
  <r>
    <s v="Regular"/>
    <x v="3"/>
    <x v="2"/>
    <x v="6"/>
    <x v="6"/>
    <x v="1"/>
    <x v="0"/>
    <x v="1"/>
    <x v="3"/>
    <n v="0"/>
    <n v="0"/>
    <n v="151.489"/>
    <n v="151.489"/>
    <n v="151.489"/>
    <n v="151.489"/>
    <n v="18"/>
    <x v="1"/>
    <n v="0"/>
    <n v="0"/>
    <n v="46"/>
    <n v="83"/>
    <n v="0"/>
    <n v="313.16099999999994"/>
    <n v="227.33899999999997"/>
    <m/>
    <n v="364.84943286991302"/>
    <n v="220.72408485242519"/>
    <n v="0"/>
    <n v="47440.446728999996"/>
    <n v="34439.357770999995"/>
    <n v="0"/>
    <n v="55270.675736030258"/>
    <n v="33437.270890209038"/>
  </r>
  <r>
    <s v="Regular"/>
    <x v="3"/>
    <x v="2"/>
    <x v="6"/>
    <x v="6"/>
    <x v="1"/>
    <x v="0"/>
    <x v="1"/>
    <x v="4"/>
    <n v="0"/>
    <n v="0"/>
    <n v="161.55500000000001"/>
    <n v="161.55500000000001"/>
    <n v="161.55500000000001"/>
    <n v="161.55500000000001"/>
    <n v="18"/>
    <x v="1"/>
    <n v="0"/>
    <n v="0"/>
    <n v="46"/>
    <n v="83"/>
    <n v="0"/>
    <n v="313.16099999999994"/>
    <n v="227.33899999999997"/>
    <m/>
    <n v="364.84943286991302"/>
    <n v="220.72408485242519"/>
    <n v="0"/>
    <n v="50592.725354999995"/>
    <n v="36727.752144999999"/>
    <n v="0"/>
    <n v="58943.250127298801"/>
    <n v="35659.079528333554"/>
  </r>
  <r>
    <s v="Regular"/>
    <x v="3"/>
    <x v="2"/>
    <x v="6"/>
    <x v="6"/>
    <x v="1"/>
    <x v="0"/>
    <x v="1"/>
    <x v="5"/>
    <n v="0"/>
    <n v="0"/>
    <n v="156.51300000000001"/>
    <n v="156.51300000000001"/>
    <n v="156.51300000000001"/>
    <n v="156.51300000000001"/>
    <n v="18"/>
    <x v="1"/>
    <n v="0"/>
    <n v="0"/>
    <n v="46"/>
    <n v="83"/>
    <n v="0"/>
    <n v="313.16099999999994"/>
    <n v="227.33899999999997"/>
    <m/>
    <n v="364.84943286991302"/>
    <n v="220.72408485242519"/>
    <n v="0"/>
    <n v="49013.76759299999"/>
    <n v="35581.508906999996"/>
    <n v="0"/>
    <n v="57103.679286768696"/>
    <n v="34546.188692507625"/>
  </r>
  <r>
    <s v="Regular"/>
    <x v="3"/>
    <x v="2"/>
    <x v="6"/>
    <x v="6"/>
    <x v="1"/>
    <x v="0"/>
    <x v="1"/>
    <x v="6"/>
    <n v="0"/>
    <n v="0"/>
    <n v="180.785"/>
    <n v="180.785"/>
    <n v="180.785"/>
    <n v="180.785"/>
    <n v="18"/>
    <x v="1"/>
    <n v="0"/>
    <n v="0"/>
    <n v="46"/>
    <n v="83"/>
    <n v="0"/>
    <n v="313.16099999999994"/>
    <n v="227.33899999999997"/>
    <m/>
    <n v="364.84943286991302"/>
    <n v="220.72408485242519"/>
    <n v="0"/>
    <n v="56614.811384999986"/>
    <n v="41099.481114999995"/>
    <n v="0"/>
    <n v="65959.30472138722"/>
    <n v="39903.603680045686"/>
  </r>
  <r>
    <s v="Regular"/>
    <x v="3"/>
    <x v="2"/>
    <x v="6"/>
    <x v="6"/>
    <x v="1"/>
    <x v="0"/>
    <x v="1"/>
    <x v="7"/>
    <n v="0"/>
    <n v="0"/>
    <n v="169.27"/>
    <n v="169.27"/>
    <n v="169.27"/>
    <n v="169.27"/>
    <n v="18"/>
    <x v="1"/>
    <n v="0"/>
    <n v="0"/>
    <n v="46"/>
    <n v="83"/>
    <n v="0"/>
    <n v="313.16099999999994"/>
    <n v="227.33899999999997"/>
    <m/>
    <n v="364.84943286991302"/>
    <n v="220.72408485242519"/>
    <n v="0"/>
    <n v="53008.762469999994"/>
    <n v="38481.672529999996"/>
    <n v="0"/>
    <n v="61758.063501890181"/>
    <n v="37361.965842970014"/>
  </r>
  <r>
    <s v="Regular"/>
    <x v="3"/>
    <x v="2"/>
    <x v="6"/>
    <x v="6"/>
    <x v="1"/>
    <x v="0"/>
    <x v="1"/>
    <x v="8"/>
    <n v="0"/>
    <n v="0"/>
    <n v="156.37100000000001"/>
    <n v="156.37100000000001"/>
    <n v="156.37100000000001"/>
    <n v="156.37100000000001"/>
    <n v="19"/>
    <x v="1"/>
    <n v="0"/>
    <n v="0"/>
    <n v="46"/>
    <n v="83"/>
    <n v="0"/>
    <n v="313.16099999999994"/>
    <n v="227.33899999999997"/>
    <m/>
    <n v="364.84943286991302"/>
    <n v="220.72408485242519"/>
    <n v="0"/>
    <n v="48969.298730999995"/>
    <n v="35549.226769000001"/>
    <n v="0"/>
    <n v="57051.870667301169"/>
    <n v="34514.84587245858"/>
  </r>
  <r>
    <s v="Regular"/>
    <x v="3"/>
    <x v="2"/>
    <x v="6"/>
    <x v="6"/>
    <x v="1"/>
    <x v="0"/>
    <x v="1"/>
    <x v="9"/>
    <n v="0"/>
    <n v="0"/>
    <n v="163.58500000000001"/>
    <n v="163.58500000000001"/>
    <n v="163.58500000000001"/>
    <n v="163.58500000000001"/>
    <n v="19"/>
    <x v="1"/>
    <n v="0"/>
    <n v="0"/>
    <n v="46"/>
    <n v="83"/>
    <n v="0"/>
    <n v="313.16099999999994"/>
    <n v="227.33899999999997"/>
    <m/>
    <n v="364.84943286991302"/>
    <n v="220.72408485242519"/>
    <n v="0"/>
    <n v="51228.442184999993"/>
    <n v="37189.250314999997"/>
    <n v="0"/>
    <n v="59683.894476024725"/>
    <n v="36107.149420583977"/>
  </r>
  <r>
    <s v="Regular"/>
    <x v="3"/>
    <x v="2"/>
    <x v="6"/>
    <x v="6"/>
    <x v="1"/>
    <x v="0"/>
    <x v="1"/>
    <x v="10"/>
    <n v="0"/>
    <n v="0"/>
    <n v="163.441"/>
    <n v="163.441"/>
    <n v="163.441"/>
    <n v="163.441"/>
    <n v="19"/>
    <x v="1"/>
    <n v="0"/>
    <n v="0"/>
    <n v="46"/>
    <n v="83"/>
    <n v="0"/>
    <n v="313.16099999999994"/>
    <n v="227.33899999999997"/>
    <m/>
    <n v="364.84943286991302"/>
    <n v="220.72408485242519"/>
    <n v="0"/>
    <n v="51183.347000999995"/>
    <n v="37156.513498999993"/>
    <n v="0"/>
    <n v="59631.356157691451"/>
    <n v="36075.36515236523"/>
  </r>
  <r>
    <s v="Regular"/>
    <x v="3"/>
    <x v="2"/>
    <x v="6"/>
    <x v="6"/>
    <x v="1"/>
    <x v="0"/>
    <x v="1"/>
    <x v="11"/>
    <n v="0"/>
    <n v="0"/>
    <n v="165.161"/>
    <n v="165.161"/>
    <n v="165.161"/>
    <n v="165.161"/>
    <n v="19"/>
    <x v="1"/>
    <n v="0"/>
    <n v="0"/>
    <n v="46"/>
    <n v="83"/>
    <n v="0"/>
    <n v="313.16099999999994"/>
    <n v="227.33899999999997"/>
    <m/>
    <n v="364.84943286991302"/>
    <n v="220.72408485242519"/>
    <n v="0"/>
    <n v="51721.983920999992"/>
    <n v="37547.536578999992"/>
    <n v="0"/>
    <n v="60258.897182227702"/>
    <n v="36455.010578311398"/>
  </r>
  <r>
    <s v="Regular"/>
    <x v="4"/>
    <x v="2"/>
    <x v="7"/>
    <x v="7"/>
    <x v="1"/>
    <x v="0"/>
    <x v="1"/>
    <x v="0"/>
    <n v="0"/>
    <n v="0"/>
    <n v="361.29700000000003"/>
    <n v="361.29700000000003"/>
    <n v="361.29700000000003"/>
    <n v="361.29700000000003"/>
    <n v="6"/>
    <x v="1"/>
    <n v="0"/>
    <n v="0"/>
    <n v="20"/>
    <n v="70"/>
    <n v="0"/>
    <n v="183.23"/>
    <n v="133.02000000000001"/>
    <m/>
    <n v="206.87338977160022"/>
    <n v="125.15283161735451"/>
    <n v="0"/>
    <n v="66200.449309999996"/>
    <n v="48059.726940000008"/>
    <n v="0"/>
    <n v="74742.735104309846"/>
    <n v="45217.342604855337"/>
  </r>
  <r>
    <s v="Regular"/>
    <x v="4"/>
    <x v="2"/>
    <x v="7"/>
    <x v="7"/>
    <x v="1"/>
    <x v="0"/>
    <x v="1"/>
    <x v="1"/>
    <n v="0"/>
    <n v="0"/>
    <n v="323.56400000000002"/>
    <n v="323.56400000000002"/>
    <n v="323.56400000000002"/>
    <n v="323.56400000000002"/>
    <n v="6"/>
    <x v="1"/>
    <n v="0"/>
    <n v="0"/>
    <n v="20"/>
    <n v="70"/>
    <n v="0"/>
    <n v="183.23"/>
    <n v="133.02000000000001"/>
    <m/>
    <n v="206.87338977160022"/>
    <n v="125.15283161735451"/>
    <n v="0"/>
    <n v="59286.631719999998"/>
    <n v="43040.483280000008"/>
    <n v="0"/>
    <n v="66936.781488058055"/>
    <n v="40494.950809437694"/>
  </r>
  <r>
    <s v="Regular"/>
    <x v="4"/>
    <x v="2"/>
    <x v="7"/>
    <x v="7"/>
    <x v="1"/>
    <x v="0"/>
    <x v="1"/>
    <x v="2"/>
    <n v="0"/>
    <n v="0"/>
    <n v="293.35199999999998"/>
    <n v="293.35199999999998"/>
    <n v="293.35199999999998"/>
    <n v="293.35199999999998"/>
    <n v="6"/>
    <x v="1"/>
    <n v="0"/>
    <n v="0"/>
    <n v="20"/>
    <n v="70"/>
    <n v="0"/>
    <n v="183.23"/>
    <n v="133.02000000000001"/>
    <m/>
    <n v="206.87338977160022"/>
    <n v="125.15283161735451"/>
    <n v="0"/>
    <n v="53750.886959999989"/>
    <n v="39021.683039999996"/>
    <n v="0"/>
    <n v="60686.722636278464"/>
    <n v="36713.83346061418"/>
  </r>
  <r>
    <s v="Regular"/>
    <x v="4"/>
    <x v="2"/>
    <x v="7"/>
    <x v="7"/>
    <x v="1"/>
    <x v="0"/>
    <x v="1"/>
    <x v="3"/>
    <n v="0"/>
    <n v="0"/>
    <n v="281.81599999999997"/>
    <n v="281.81599999999997"/>
    <n v="281.81599999999997"/>
    <n v="281.81599999999997"/>
    <n v="6"/>
    <x v="1"/>
    <n v="0"/>
    <n v="0"/>
    <n v="20"/>
    <n v="70"/>
    <n v="0"/>
    <n v="183.23"/>
    <n v="133.02000000000001"/>
    <m/>
    <n v="206.87338977160022"/>
    <n v="125.15283161735451"/>
    <n v="0"/>
    <n v="51637.145679999994"/>
    <n v="37487.164319999996"/>
    <n v="0"/>
    <n v="58300.231211873281"/>
    <n v="35270.070395076378"/>
  </r>
  <r>
    <s v="Regular"/>
    <x v="4"/>
    <x v="2"/>
    <x v="7"/>
    <x v="7"/>
    <x v="1"/>
    <x v="0"/>
    <x v="1"/>
    <x v="4"/>
    <n v="0"/>
    <n v="0"/>
    <n v="258.72500000000002"/>
    <n v="258.72500000000002"/>
    <n v="258.72500000000002"/>
    <n v="258.72500000000002"/>
    <n v="5"/>
    <x v="1"/>
    <n v="0"/>
    <n v="0"/>
    <n v="20"/>
    <n v="70"/>
    <n v="0"/>
    <n v="183.23"/>
    <n v="133.02000000000001"/>
    <m/>
    <n v="206.87338977160022"/>
    <n v="125.15283161735451"/>
    <n v="0"/>
    <n v="47406.181750000003"/>
    <n v="34415.599500000004"/>
    <n v="0"/>
    <n v="53523.317768657267"/>
    <n v="32380.166360200048"/>
  </r>
  <r>
    <s v="Regular"/>
    <x v="4"/>
    <x v="2"/>
    <x v="7"/>
    <x v="7"/>
    <x v="1"/>
    <x v="0"/>
    <x v="1"/>
    <x v="5"/>
    <n v="0"/>
    <n v="0"/>
    <n v="265.32"/>
    <n v="265.32"/>
    <n v="265.32"/>
    <n v="265.32"/>
    <n v="5"/>
    <x v="1"/>
    <n v="0"/>
    <n v="0"/>
    <n v="20"/>
    <n v="70"/>
    <n v="0"/>
    <n v="183.23"/>
    <n v="133.02000000000001"/>
    <m/>
    <n v="206.87338977160022"/>
    <n v="125.15283161735451"/>
    <n v="0"/>
    <n v="48614.583599999998"/>
    <n v="35292.866399999999"/>
    <n v="0"/>
    <n v="54887.647774200967"/>
    <n v="33205.549284716501"/>
  </r>
  <r>
    <s v="Regular"/>
    <x v="4"/>
    <x v="2"/>
    <x v="7"/>
    <x v="7"/>
    <x v="1"/>
    <x v="0"/>
    <x v="1"/>
    <x v="6"/>
    <n v="0"/>
    <n v="0"/>
    <n v="260.32100000000003"/>
    <n v="260.32100000000003"/>
    <n v="260.32100000000003"/>
    <n v="260.32100000000003"/>
    <n v="5"/>
    <x v="1"/>
    <n v="0"/>
    <n v="0"/>
    <n v="20"/>
    <n v="70"/>
    <n v="0"/>
    <n v="183.23"/>
    <n v="133.02000000000001"/>
    <m/>
    <n v="206.87338977160022"/>
    <n v="125.15283161735451"/>
    <n v="0"/>
    <n v="47698.616829999999"/>
    <n v="34627.899420000009"/>
    <n v="0"/>
    <n v="53853.487698732744"/>
    <n v="32579.910279461346"/>
  </r>
  <r>
    <s v="Regular"/>
    <x v="4"/>
    <x v="2"/>
    <x v="7"/>
    <x v="7"/>
    <x v="1"/>
    <x v="0"/>
    <x v="1"/>
    <x v="7"/>
    <n v="0"/>
    <n v="0"/>
    <n v="249.749"/>
    <n v="249.749"/>
    <n v="249.749"/>
    <n v="249.749"/>
    <n v="5"/>
    <x v="1"/>
    <n v="0"/>
    <n v="0"/>
    <n v="20"/>
    <n v="70"/>
    <n v="0"/>
    <n v="183.23"/>
    <n v="133.02000000000001"/>
    <m/>
    <n v="206.87338977160022"/>
    <n v="125.15283161735451"/>
    <n v="0"/>
    <n v="45761.509269999995"/>
    <n v="33221.611980000001"/>
    <n v="0"/>
    <n v="51666.422222067384"/>
    <n v="31256.794543602671"/>
  </r>
  <r>
    <s v="Regular"/>
    <x v="4"/>
    <x v="2"/>
    <x v="7"/>
    <x v="7"/>
    <x v="1"/>
    <x v="0"/>
    <x v="1"/>
    <x v="8"/>
    <n v="0"/>
    <n v="0"/>
    <n v="298.02699999999999"/>
    <n v="298.02699999999999"/>
    <n v="298.02699999999999"/>
    <n v="298.02699999999999"/>
    <n v="5"/>
    <x v="1"/>
    <n v="0"/>
    <n v="0"/>
    <n v="20"/>
    <n v="70"/>
    <n v="0"/>
    <n v="183.23"/>
    <n v="133.02000000000001"/>
    <m/>
    <n v="206.87338977160022"/>
    <n v="125.15283161735451"/>
    <n v="0"/>
    <n v="54607.487209999992"/>
    <n v="39643.55154"/>
    <n v="0"/>
    <n v="61653.855733460696"/>
    <n v="37298.922948425308"/>
  </r>
  <r>
    <s v="Regular"/>
    <x v="4"/>
    <x v="2"/>
    <x v="7"/>
    <x v="7"/>
    <x v="1"/>
    <x v="0"/>
    <x v="1"/>
    <x v="9"/>
    <n v="0"/>
    <n v="0"/>
    <n v="310.37"/>
    <n v="310.37"/>
    <n v="310.37"/>
    <n v="310.37"/>
    <n v="5"/>
    <x v="1"/>
    <n v="0"/>
    <n v="0"/>
    <n v="20"/>
    <n v="70"/>
    <n v="0"/>
    <n v="183.23"/>
    <n v="133.02000000000001"/>
    <m/>
    <n v="206.87338977160022"/>
    <n v="125.15283161735451"/>
    <n v="0"/>
    <n v="56869.095099999999"/>
    <n v="41285.417400000006"/>
    <n v="0"/>
    <n v="64207.29398341156"/>
    <n v="38843.684349078321"/>
  </r>
  <r>
    <s v="Regular"/>
    <x v="4"/>
    <x v="2"/>
    <x v="7"/>
    <x v="7"/>
    <x v="1"/>
    <x v="0"/>
    <x v="1"/>
    <x v="10"/>
    <n v="0"/>
    <n v="0"/>
    <n v="338.00400000000002"/>
    <n v="338.00400000000002"/>
    <n v="338.00400000000002"/>
    <n v="338.00400000000002"/>
    <n v="5"/>
    <x v="1"/>
    <n v="0"/>
    <n v="0"/>
    <n v="20"/>
    <n v="70"/>
    <n v="0"/>
    <n v="183.23"/>
    <n v="133.02000000000001"/>
    <m/>
    <n v="206.87338977160022"/>
    <n v="125.15283161735451"/>
    <n v="0"/>
    <n v="61932.47292"/>
    <n v="44961.292080000007"/>
    <n v="0"/>
    <n v="69924.033236359959"/>
    <n v="42302.157697992297"/>
  </r>
  <r>
    <s v="Regular"/>
    <x v="4"/>
    <x v="2"/>
    <x v="7"/>
    <x v="7"/>
    <x v="1"/>
    <x v="0"/>
    <x v="1"/>
    <x v="11"/>
    <n v="0"/>
    <n v="0"/>
    <n v="335.22500000000002"/>
    <n v="335.22500000000002"/>
    <n v="335.22500000000002"/>
    <n v="335.22500000000002"/>
    <n v="5"/>
    <x v="1"/>
    <n v="0"/>
    <n v="0"/>
    <n v="20"/>
    <n v="70"/>
    <n v="0"/>
    <n v="183.23"/>
    <n v="133.02000000000001"/>
    <m/>
    <n v="206.87338977160022"/>
    <n v="125.15283161735451"/>
    <n v="0"/>
    <n v="61423.276749999997"/>
    <n v="44591.62950000001"/>
    <n v="0"/>
    <n v="69349.132086184691"/>
    <n v="41954.357978927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9D40A9-6922-43B7-B3BD-21AE4D583C18}" name="Efeito Resumo" cacheId="1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6" firstHeaderRow="0" firstDataRow="1" firstDataCol="1"/>
  <pivotFields count="36">
    <pivotField showAll="0"/>
    <pivotField axis="axisRow" showAll="0">
      <items count="6">
        <item sd="0" x="0"/>
        <item sd="0" x="1"/>
        <item sd="0" x="2"/>
        <item sd="0" x="3"/>
        <item sd="0" x="4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axis="axisRow" showAll="0">
      <items count="9">
        <item x="1"/>
        <item x="5"/>
        <item x="7"/>
        <item x="0"/>
        <item x="2"/>
        <item x="4"/>
        <item x="3"/>
        <item x="6"/>
        <item t="default"/>
      </items>
    </pivotField>
    <pivotField axis="axisRow" showAll="0">
      <items count="9">
        <item x="6"/>
        <item x="7"/>
        <item x="0"/>
        <item x="1"/>
        <item x="2"/>
        <item x="3"/>
        <item x="4"/>
        <item x="5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3">
        <item x="1"/>
        <item x="0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"/>
    <field x="16"/>
    <field x="2"/>
    <field x="3"/>
    <field x="4"/>
    <field x="5"/>
    <field x="6"/>
    <field x="7"/>
    <field x="8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7"/>
    <dataField name="Soma de Variação TE" fld="34" baseField="0" baseItem="0" numFmtId="167"/>
    <dataField name="Soma de Variação" fld="35" baseField="0" baseItem="0" numFmtId="167"/>
  </dataFields>
  <formats count="256">
    <format dxfId="678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67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676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675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674">
      <pivotArea type="all" dataOnly="0" outline="0" fieldPosition="0"/>
    </format>
    <format dxfId="673">
      <pivotArea outline="0" collapsedLevelsAreSubtotals="1" fieldPosition="0"/>
    </format>
    <format dxfId="672">
      <pivotArea field="16" type="button" dataOnly="0" labelOnly="1" outline="0" axis="axisRow" fieldPosition="1"/>
    </format>
    <format dxfId="671">
      <pivotArea dataOnly="0" labelOnly="1" fieldPosition="0">
        <references count="1">
          <reference field="16" count="0"/>
        </references>
      </pivotArea>
    </format>
    <format dxfId="670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669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668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0"/>
          </reference>
        </references>
      </pivotArea>
    </format>
    <format dxfId="667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666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665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664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663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16" count="1" selected="0">
            <x v="1"/>
          </reference>
        </references>
      </pivotArea>
    </format>
    <format dxfId="662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4">
            <x v="0"/>
            <x v="3"/>
            <x v="4"/>
            <x v="6"/>
          </reference>
          <reference field="16" count="1" selected="0">
            <x v="0"/>
          </reference>
        </references>
      </pivotArea>
    </format>
    <format dxfId="661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660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659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4"/>
          </reference>
          <reference field="16" count="1" selected="0">
            <x v="0"/>
          </reference>
        </references>
      </pivotArea>
    </format>
    <format dxfId="658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5">
            <x v="0"/>
            <x v="1"/>
            <x v="3"/>
            <x v="4"/>
            <x v="7"/>
          </reference>
          <reference field="16" count="1" selected="0">
            <x v="0"/>
          </reference>
        </references>
      </pivotArea>
    </format>
    <format dxfId="657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656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655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654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53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52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51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50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5">
            <x v="3"/>
            <x v="4"/>
            <x v="5"/>
            <x v="6"/>
            <x v="7"/>
          </reference>
          <reference field="16" count="1" selected="0">
            <x v="0"/>
          </reference>
        </references>
      </pivotArea>
    </format>
    <format dxfId="649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48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47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46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45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44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43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642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641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1"/>
          </reference>
        </references>
      </pivotArea>
    </format>
    <format dxfId="640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1"/>
          </reference>
        </references>
      </pivotArea>
    </format>
    <format dxfId="63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3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37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36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35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34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33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32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31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30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29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28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27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26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25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2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23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22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0"/>
          </reference>
          <reference field="16" count="1" selected="0">
            <x v="1"/>
          </reference>
        </references>
      </pivotArea>
    </format>
    <format dxfId="62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0"/>
          </reference>
          <reference field="16" count="1" selected="0">
            <x v="1"/>
          </reference>
        </references>
      </pivotArea>
    </format>
    <format dxfId="620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61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618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617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616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615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614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613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612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61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610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60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60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607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60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60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604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60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/>
          <reference field="16" count="1" selected="0">
            <x v="1"/>
          </reference>
        </references>
      </pivotArea>
    </format>
    <format dxfId="602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/>
          <reference field="16" count="1" selected="0">
            <x v="1"/>
          </reference>
        </references>
      </pivotArea>
    </format>
    <format dxfId="60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0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9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9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97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96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95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94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93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92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91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9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89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8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87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86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85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84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58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58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8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7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7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7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7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7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3">
            <x v="9"/>
            <x v="10"/>
            <x v="11"/>
          </reference>
          <reference field="16" count="1" selected="0">
            <x v="0"/>
          </reference>
        </references>
      </pivotArea>
    </format>
    <format dxfId="57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3">
            <x v="9"/>
            <x v="10"/>
            <x v="11"/>
          </reference>
          <reference field="16" count="1" selected="0">
            <x v="0"/>
          </reference>
        </references>
      </pivotArea>
    </format>
    <format dxfId="570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9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8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7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6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5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4"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6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4"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6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4"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61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0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8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7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6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55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5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55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55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5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549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548">
      <pivotArea type="all" dataOnly="0" outline="0" fieldPosition="0"/>
    </format>
    <format dxfId="547">
      <pivotArea outline="0" collapsedLevelsAreSubtotals="1" fieldPosition="0"/>
    </format>
    <format dxfId="546">
      <pivotArea field="16" type="button" dataOnly="0" labelOnly="1" outline="0" axis="axisRow" fieldPosition="1"/>
    </format>
    <format dxfId="545">
      <pivotArea dataOnly="0" labelOnly="1" fieldPosition="0">
        <references count="1">
          <reference field="16" count="0"/>
        </references>
      </pivotArea>
    </format>
    <format dxfId="544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543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542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0"/>
          </reference>
        </references>
      </pivotArea>
    </format>
    <format dxfId="541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540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539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538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537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16" count="1" selected="0">
            <x v="1"/>
          </reference>
        </references>
      </pivotArea>
    </format>
    <format dxfId="536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4">
            <x v="0"/>
            <x v="3"/>
            <x v="4"/>
            <x v="6"/>
          </reference>
          <reference field="16" count="1" selected="0">
            <x v="0"/>
          </reference>
        </references>
      </pivotArea>
    </format>
    <format dxfId="535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534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533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4"/>
          </reference>
          <reference field="16" count="1" selected="0">
            <x v="0"/>
          </reference>
        </references>
      </pivotArea>
    </format>
    <format dxfId="532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5">
            <x v="0"/>
            <x v="1"/>
            <x v="3"/>
            <x v="4"/>
            <x v="7"/>
          </reference>
          <reference field="16" count="1" selected="0">
            <x v="0"/>
          </reference>
        </references>
      </pivotArea>
    </format>
    <format dxfId="531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530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529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528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527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526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525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524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5">
            <x v="3"/>
            <x v="4"/>
            <x v="5"/>
            <x v="6"/>
            <x v="7"/>
          </reference>
          <reference field="16" count="1" selected="0">
            <x v="0"/>
          </reference>
        </references>
      </pivotArea>
    </format>
    <format dxfId="523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522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521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520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519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518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517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516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15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1"/>
          </reference>
        </references>
      </pivotArea>
    </format>
    <format dxfId="514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1"/>
          </reference>
        </references>
      </pivotArea>
    </format>
    <format dxfId="513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1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1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10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09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08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07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06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05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04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03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02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01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0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99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98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9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96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0"/>
          </reference>
          <reference field="16" count="1" selected="0">
            <x v="1"/>
          </reference>
        </references>
      </pivotArea>
    </format>
    <format dxfId="495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0"/>
          </reference>
          <reference field="16" count="1" selected="0">
            <x v="1"/>
          </reference>
        </references>
      </pivotArea>
    </format>
    <format dxfId="49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49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492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491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490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489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488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487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486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485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484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48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48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481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48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47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478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47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/>
          <reference field="16" count="1" selected="0">
            <x v="1"/>
          </reference>
        </references>
      </pivotArea>
    </format>
    <format dxfId="476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/>
          <reference field="16" count="1" selected="0">
            <x v="1"/>
          </reference>
        </references>
      </pivotArea>
    </format>
    <format dxfId="47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7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7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7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71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70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69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68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67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6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65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46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6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6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6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6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59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58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45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45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5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5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5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5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5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5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4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4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4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3">
            <x v="9"/>
            <x v="10"/>
            <x v="11"/>
          </reference>
          <reference field="16" count="1" selected="0">
            <x v="0"/>
          </reference>
        </references>
      </pivotArea>
    </format>
    <format dxfId="44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4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3">
            <x v="9"/>
            <x v="10"/>
            <x v="11"/>
          </reference>
          <reference field="16" count="1" selected="0">
            <x v="0"/>
          </reference>
        </references>
      </pivotArea>
    </format>
    <format dxfId="444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43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42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41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40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39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3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4"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43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4"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43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4"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43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3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3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3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31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30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2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42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42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42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42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42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423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D46795-7410-487F-8909-1D4152425E80}" name="Subsidio Resumo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G235" firstHeaderRow="0" firstDataRow="1" firstDataCol="1"/>
  <pivotFields count="34"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4">
        <item x="0"/>
        <item x="2"/>
        <item x="1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axis="axisRow" showAll="0">
      <items count="8">
        <item x="6"/>
        <item x="0"/>
        <item x="1"/>
        <item x="2"/>
        <item x="3"/>
        <item x="4"/>
        <item x="5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6">
        <item x="4"/>
        <item x="3"/>
        <item x="0"/>
        <item x="1"/>
        <item x="2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234">
    <i>
      <x/>
    </i>
    <i r="1">
      <x v="3"/>
    </i>
    <i r="2">
      <x v="1"/>
    </i>
    <i r="3">
      <x v="3"/>
    </i>
    <i r="4">
      <x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 v="1"/>
    </i>
    <i r="3">
      <x v="1"/>
    </i>
    <i r="4">
      <x v="3"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4"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/>
    </i>
    <i r="3">
      <x/>
    </i>
    <i r="4">
      <x v="1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/>
    </i>
    <i r="4">
      <x v="1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2"/>
    </i>
    <i r="3">
      <x v="2"/>
    </i>
    <i r="4">
      <x v="1"/>
    </i>
    <i r="5">
      <x v="1"/>
    </i>
    <i r="6">
      <x/>
    </i>
    <i r="7">
      <x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 v="9"/>
    </i>
    <i r="8">
      <x v="10"/>
    </i>
    <i r="8">
      <x v="11"/>
    </i>
    <i r="1">
      <x v="2"/>
    </i>
    <i r="2">
      <x v="1"/>
    </i>
    <i r="3">
      <x v="2"/>
    </i>
    <i r="4">
      <x v="1"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 v="1"/>
    </i>
    <i r="2">
      <x v="1"/>
    </i>
    <i r="3">
      <x v="1"/>
    </i>
    <i r="4">
      <x v="2"/>
    </i>
    <i r="5">
      <x v="1"/>
    </i>
    <i r="6">
      <x/>
    </i>
    <i r="7">
      <x v="1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154">
    <format dxfId="422">
      <pivotArea outline="0" collapsedLevelsAreSubtotals="1" fieldPosition="0"/>
    </format>
    <format dxfId="42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420">
      <pivotArea type="all" dataOnly="0" outline="0" fieldPosition="0"/>
    </format>
    <format dxfId="419">
      <pivotArea outline="0" collapsedLevelsAreSubtotals="1" fieldPosition="0"/>
    </format>
    <format dxfId="418">
      <pivotArea field="31" type="button" dataOnly="0" labelOnly="1" outline="0" axis="axisRow" fieldPosition="0"/>
    </format>
    <format dxfId="417">
      <pivotArea dataOnly="0" labelOnly="1" fieldPosition="0">
        <references count="1">
          <reference field="31" count="0"/>
        </references>
      </pivotArea>
    </format>
    <format dxfId="416">
      <pivotArea dataOnly="0" labelOnly="1" fieldPosition="0">
        <references count="2">
          <reference field="1" count="1">
            <x v="3"/>
          </reference>
          <reference field="31" count="1" selected="0">
            <x v="0"/>
          </reference>
        </references>
      </pivotArea>
    </format>
    <format dxfId="415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414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413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3"/>
          </reference>
        </references>
      </pivotArea>
    </format>
    <format dxfId="412">
      <pivotArea dataOnly="0" labelOnly="1" fieldPosition="0">
        <references count="2">
          <reference field="1" count="1">
            <x v="1"/>
          </reference>
          <reference field="31" count="1" selected="0">
            <x v="4"/>
          </reference>
        </references>
      </pivotArea>
    </format>
    <format dxfId="411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410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409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2"/>
          </reference>
          <reference field="31" count="1" selected="0">
            <x v="2"/>
          </reference>
        </references>
      </pivotArea>
    </format>
    <format dxfId="408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407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3"/>
          </reference>
        </references>
      </pivotArea>
    </format>
    <format dxfId="406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405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404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1"/>
          </reference>
        </references>
      </pivotArea>
    </format>
    <format dxfId="403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402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401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400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399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4"/>
          </reference>
        </references>
      </pivotArea>
    </format>
    <format dxfId="398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397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4">
            <x v="3"/>
            <x v="4"/>
            <x v="5"/>
            <x v="6"/>
          </reference>
          <reference field="31" count="1" selected="0">
            <x v="1"/>
          </reference>
        </references>
      </pivotArea>
    </format>
    <format dxfId="396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1"/>
          </reference>
          <reference field="31" count="1" selected="0">
            <x v="2"/>
          </reference>
        </references>
      </pivotArea>
    </format>
    <format dxfId="395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1"/>
          </reference>
          <reference field="31" count="1" selected="0">
            <x v="2"/>
          </reference>
        </references>
      </pivotArea>
    </format>
    <format dxfId="394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1"/>
          </reference>
          <reference field="31" count="1" selected="0">
            <x v="3"/>
          </reference>
        </references>
      </pivotArea>
    </format>
    <format dxfId="393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1"/>
          </reference>
          <reference field="31" count="1" selected="0">
            <x v="3"/>
          </reference>
        </references>
      </pivotArea>
    </format>
    <format dxfId="392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4"/>
          </reference>
        </references>
      </pivotArea>
    </format>
    <format dxfId="391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0"/>
          </reference>
        </references>
      </pivotArea>
    </format>
    <format dxfId="390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389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388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387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386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85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84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1"/>
          </reference>
          <reference field="31" count="1" selected="0">
            <x v="3"/>
          </reference>
        </references>
      </pivotArea>
    </format>
    <format dxfId="383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1"/>
          </reference>
          <reference field="31" count="1" selected="0">
            <x v="3"/>
          </reference>
        </references>
      </pivotArea>
    </format>
    <format dxfId="382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38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0"/>
          </reference>
        </references>
      </pivotArea>
    </format>
    <format dxfId="38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1"/>
          </reference>
          <reference field="6" count="0"/>
          <reference field="31" count="1" selected="0">
            <x v="1"/>
          </reference>
        </references>
      </pivotArea>
    </format>
    <format dxfId="379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1"/>
          </reference>
          <reference field="6" count="0"/>
          <reference field="31" count="1" selected="0">
            <x v="1"/>
          </reference>
        </references>
      </pivotArea>
    </format>
    <format dxfId="378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1"/>
          </reference>
          <reference field="6" count="0"/>
          <reference field="31" count="1" selected="0">
            <x v="1"/>
          </reference>
        </references>
      </pivotArea>
    </format>
    <format dxfId="377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1"/>
          </reference>
          <reference field="6" count="0"/>
          <reference field="31" count="1" selected="0">
            <x v="1"/>
          </reference>
        </references>
      </pivotArea>
    </format>
    <format dxfId="376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375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374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/>
          <reference field="31" count="1" selected="0">
            <x v="3"/>
          </reference>
        </references>
      </pivotArea>
    </format>
    <format dxfId="37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/>
          <reference field="31" count="1" selected="0">
            <x v="3"/>
          </reference>
        </references>
      </pivotArea>
    </format>
    <format dxfId="372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31" count="1" selected="0">
            <x v="4"/>
          </reference>
        </references>
      </pivotArea>
    </format>
    <format dxfId="371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0"/>
          </reference>
        </references>
      </pivotArea>
    </format>
    <format dxfId="370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369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368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367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36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0"/>
          <reference field="31" count="1" selected="0">
            <x v="2"/>
          </reference>
        </references>
      </pivotArea>
    </format>
    <format dxfId="365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0"/>
          <reference field="31" count="1" selected="0">
            <x v="2"/>
          </reference>
        </references>
      </pivotArea>
    </format>
    <format dxfId="364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0"/>
          <reference field="31" count="1" selected="0">
            <x v="3"/>
          </reference>
        </references>
      </pivotArea>
    </format>
    <format dxfId="363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3"/>
          </reference>
        </references>
      </pivotArea>
    </format>
    <format dxfId="362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36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36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59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58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57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5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5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35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5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5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35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5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3">
            <x v="9"/>
            <x v="10"/>
            <x v="11"/>
          </reference>
          <reference field="31" count="1" selected="0">
            <x v="3"/>
          </reference>
        </references>
      </pivotArea>
    </format>
    <format dxfId="34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34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3">
            <x v="9"/>
            <x v="10"/>
            <x v="11"/>
          </reference>
          <reference field="31" count="1" selected="0">
            <x v="3"/>
          </reference>
        </references>
      </pivotArea>
    </format>
    <format dxfId="34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346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1">
            <x v="0"/>
          </reference>
          <reference field="31" count="1" selected="0">
            <x v="4"/>
          </reference>
        </references>
      </pivotArea>
    </format>
    <format dxfId="345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44">
      <pivotArea type="all" dataOnly="0" outline="0" fieldPosition="0"/>
    </format>
    <format dxfId="343">
      <pivotArea outline="0" collapsedLevelsAreSubtotals="1" fieldPosition="0"/>
    </format>
    <format dxfId="342">
      <pivotArea field="31" type="button" dataOnly="0" labelOnly="1" outline="0" axis="axisRow" fieldPosition="0"/>
    </format>
    <format dxfId="341">
      <pivotArea dataOnly="0" labelOnly="1" fieldPosition="0">
        <references count="1">
          <reference field="31" count="0"/>
        </references>
      </pivotArea>
    </format>
    <format dxfId="340">
      <pivotArea dataOnly="0" labelOnly="1" fieldPosition="0">
        <references count="2">
          <reference field="1" count="1">
            <x v="3"/>
          </reference>
          <reference field="31" count="1" selected="0">
            <x v="0"/>
          </reference>
        </references>
      </pivotArea>
    </format>
    <format dxfId="339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338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337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3"/>
          </reference>
        </references>
      </pivotArea>
    </format>
    <format dxfId="336">
      <pivotArea dataOnly="0" labelOnly="1" fieldPosition="0">
        <references count="2">
          <reference field="1" count="1">
            <x v="1"/>
          </reference>
          <reference field="31" count="1" selected="0">
            <x v="4"/>
          </reference>
        </references>
      </pivotArea>
    </format>
    <format dxfId="335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334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333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2"/>
          </reference>
          <reference field="31" count="1" selected="0">
            <x v="2"/>
          </reference>
        </references>
      </pivotArea>
    </format>
    <format dxfId="332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331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3"/>
          </reference>
        </references>
      </pivotArea>
    </format>
    <format dxfId="330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329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328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1"/>
          </reference>
        </references>
      </pivotArea>
    </format>
    <format dxfId="327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26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25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324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323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4"/>
          </reference>
        </references>
      </pivotArea>
    </format>
    <format dxfId="322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321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4">
            <x v="3"/>
            <x v="4"/>
            <x v="5"/>
            <x v="6"/>
          </reference>
          <reference field="31" count="1" selected="0">
            <x v="1"/>
          </reference>
        </references>
      </pivotArea>
    </format>
    <format dxfId="32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1"/>
          </reference>
          <reference field="31" count="1" selected="0">
            <x v="2"/>
          </reference>
        </references>
      </pivotArea>
    </format>
    <format dxfId="319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1"/>
          </reference>
          <reference field="31" count="1" selected="0">
            <x v="2"/>
          </reference>
        </references>
      </pivotArea>
    </format>
    <format dxfId="318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1"/>
          </reference>
          <reference field="31" count="1" selected="0">
            <x v="3"/>
          </reference>
        </references>
      </pivotArea>
    </format>
    <format dxfId="317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1"/>
          </reference>
          <reference field="31" count="1" selected="0">
            <x v="3"/>
          </reference>
        </references>
      </pivotArea>
    </format>
    <format dxfId="316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4"/>
          </reference>
        </references>
      </pivotArea>
    </format>
    <format dxfId="315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0"/>
          </reference>
        </references>
      </pivotArea>
    </format>
    <format dxfId="31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313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312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311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31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09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08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1"/>
          </reference>
          <reference field="31" count="1" selected="0">
            <x v="3"/>
          </reference>
        </references>
      </pivotArea>
    </format>
    <format dxfId="307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1"/>
          </reference>
          <reference field="31" count="1" selected="0">
            <x v="3"/>
          </reference>
        </references>
      </pivotArea>
    </format>
    <format dxfId="306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305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0"/>
          </reference>
        </references>
      </pivotArea>
    </format>
    <format dxfId="304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1"/>
          </reference>
          <reference field="6" count="0"/>
          <reference field="31" count="1" selected="0">
            <x v="1"/>
          </reference>
        </references>
      </pivotArea>
    </format>
    <format dxfId="303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1"/>
          </reference>
          <reference field="6" count="0"/>
          <reference field="31" count="1" selected="0">
            <x v="1"/>
          </reference>
        </references>
      </pivotArea>
    </format>
    <format dxfId="302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1"/>
          </reference>
          <reference field="6" count="0"/>
          <reference field="31" count="1" selected="0">
            <x v="1"/>
          </reference>
        </references>
      </pivotArea>
    </format>
    <format dxfId="301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1"/>
          </reference>
          <reference field="6" count="0"/>
          <reference field="31" count="1" selected="0">
            <x v="1"/>
          </reference>
        </references>
      </pivotArea>
    </format>
    <format dxfId="300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299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298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/>
          <reference field="31" count="1" selected="0">
            <x v="3"/>
          </reference>
        </references>
      </pivotArea>
    </format>
    <format dxfId="29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/>
          <reference field="31" count="1" selected="0">
            <x v="3"/>
          </reference>
        </references>
      </pivotArea>
    </format>
    <format dxfId="296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31" count="1" selected="0">
            <x v="4"/>
          </reference>
        </references>
      </pivotArea>
    </format>
    <format dxfId="295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0"/>
          </reference>
        </references>
      </pivotArea>
    </format>
    <format dxfId="294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293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292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291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290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0"/>
          <reference field="31" count="1" selected="0">
            <x v="2"/>
          </reference>
        </references>
      </pivotArea>
    </format>
    <format dxfId="289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0"/>
          <reference field="31" count="1" selected="0">
            <x v="2"/>
          </reference>
        </references>
      </pivotArea>
    </format>
    <format dxfId="288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0"/>
          <reference field="31" count="1" selected="0">
            <x v="3"/>
          </reference>
        </references>
      </pivotArea>
    </format>
    <format dxfId="287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3"/>
          </reference>
        </references>
      </pivotArea>
    </format>
    <format dxfId="28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28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28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83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8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81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8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7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7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7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7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7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7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3">
            <x v="9"/>
            <x v="10"/>
            <x v="11"/>
          </reference>
          <reference field="31" count="1" selected="0">
            <x v="3"/>
          </reference>
        </references>
      </pivotArea>
    </format>
    <format dxfId="27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27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3">
            <x v="9"/>
            <x v="10"/>
            <x v="11"/>
          </reference>
          <reference field="31" count="1" selected="0">
            <x v="3"/>
          </reference>
        </references>
      </pivotArea>
    </format>
    <format dxfId="27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27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1">
            <x v="0"/>
          </reference>
          <reference field="31" count="1" selected="0">
            <x v="4"/>
          </reference>
        </references>
      </pivotArea>
    </format>
    <format dxfId="26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C0096DE5-486B-4607-B9D5-1C462E7E61E6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284651CA-CF31-43CE-B417-395B515D4C6C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634DD519-F6D4-45DD-885C-D780C41F73C0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4FF3F4-02E8-4C67-9014-58D6F599C515}" name="Efeito" displayName="Efeito" ref="A1:AG444" totalsRowShown="0" headerRowDxfId="747" dataDxfId="746">
  <autoFilter ref="A1:AG444" xr:uid="{254FF3F4-02E8-4C67-9014-58D6F599C515}"/>
  <tableColumns count="33">
    <tableColumn id="1" xr3:uid="{5DA5E2F1-3F1E-4D21-A9B5-AD5ADD2C7291}" name="TipoMercado" dataDxfId="745"/>
    <tableColumn id="2" xr3:uid="{57B7FA7D-D4DB-4DEC-8708-BFEFBE13AB6D}" name="Subgrupo" dataDxfId="744"/>
    <tableColumn id="3" xr3:uid="{5AE45B4C-85B2-4D16-9D7A-C2ABF27A2FF4}" name="Modalidade" dataDxfId="743"/>
    <tableColumn id="4" xr3:uid="{2898A86A-21E9-40A7-959F-621004D4D9D0}" name="Classe" dataDxfId="742"/>
    <tableColumn id="5" xr3:uid="{D59C1515-2ECA-4DD1-92B5-CF3A59490ABF}" name="Subclasse" dataDxfId="741"/>
    <tableColumn id="6" xr3:uid="{4391B6CC-9485-4AD3-8F18-30E2BD042748}" name="Detalhe" dataDxfId="740"/>
    <tableColumn id="7" xr3:uid="{7D783FAD-8E76-4E6C-9A06-4A5328985D13}" name="Agente" dataDxfId="739"/>
    <tableColumn id="8" xr3:uid="{2AF205F1-5E53-40FB-BDDA-F53C773AF4F7}" name="Posto" dataDxfId="738"/>
    <tableColumn id="9" xr3:uid="{ACDC5F7E-900B-4C48-B169-E44E06DC35EC}" name="AnoMes" dataDxfId="737"/>
    <tableColumn id="10" xr3:uid="{E10E07C8-721B-4C12-94A6-D0EBBD7CD993}" name="D" dataDxfId="736"/>
    <tableColumn id="11" xr3:uid="{885BF021-6439-4DB1-BD5C-7AAB81666725}" name="Daj" dataDxfId="735"/>
    <tableColumn id="12" xr3:uid="{A117D313-1BB9-4E3B-89A2-3F223BBE9A8F}" name="TUSD_E" dataDxfId="734"/>
    <tableColumn id="13" xr3:uid="{C7068A56-84EF-43B7-98FA-5C7416CA4ED0}" name="TUSD_Eaj" dataDxfId="733"/>
    <tableColumn id="14" xr3:uid="{824B4FA8-E2E3-439B-9368-A1776AB1F7FE}" name="TE_E" dataDxfId="732"/>
    <tableColumn id="15" xr3:uid="{1231A9F5-D9F3-4CDE-ADA3-02D7324F7BEF}" name="TE_Eaj" dataDxfId="731"/>
    <tableColumn id="16" xr3:uid="{98AEE58E-55A2-4D49-9A2D-08E978D896CE}" name="UC" dataDxfId="730"/>
    <tableColumn id="17" xr3:uid="{B37F085B-08D8-4250-B6B1-38DD8A3C7643}" name="OPÇÃO" dataDxfId="729"/>
    <tableColumn id="18" xr3:uid="{A67B5F6B-42F9-4E4A-93F0-F003E432B69E}" name="CóD. AUX." dataDxfId="728"/>
    <tableColumn id="19" xr3:uid="{0C8DC6CB-BEAF-4256-96F4-9D452D2A65C5}" name="CóD. AUX. TUSD R$/kW" dataDxfId="727"/>
    <tableColumn id="20" xr3:uid="{D62EC427-5EA4-4E8C-BA30-FC932A19A2E2}" name="CóD. AUX. TUSD R$/MWh" dataDxfId="726"/>
    <tableColumn id="21" xr3:uid="{6CB2547D-9944-464F-B3E6-FCFD423CAE0E}" name="CóD. AUX. TE R$/MWh" dataDxfId="725"/>
    <tableColumn id="22" xr3:uid="{9A12798D-D2C2-4459-8CD4-B4E90A23F647}" name="TUSD (R$/kW)" dataDxfId="724"/>
    <tableColumn id="23" xr3:uid="{B74D9284-11AC-4A8C-82F8-F7521EE81D5A}" name="TUSD (R$/MWh)" dataDxfId="723"/>
    <tableColumn id="24" xr3:uid="{69ABEBF4-E7EC-458A-87FA-3FF5FFA8AD29}" name="TE (R$/MWh)" dataDxfId="722"/>
    <tableColumn id="25" xr3:uid="{E0A10A11-63BA-4C1D-9CA6-378600C9BAE0}" name="TUSD (R$/kW) NOVA" dataDxfId="721"/>
    <tableColumn id="26" xr3:uid="{CEB392B7-D116-4CBB-B07C-FEC1A5E6FBA0}" name="TUSD (R$/MWh) NOVA" dataDxfId="720">
      <calculatedColumnFormula>('TUSD BE'!$AM$50+'TUSD BF'!$AM$50+'TUSD CVA'!$AM$50)*1</calculatedColumnFormula>
    </tableColumn>
    <tableColumn id="27" xr3:uid="{376A1FFB-7B8A-4048-94B5-9B50E6375807}" name="TE (R$/MWh) NOVA" dataDxfId="719">
      <calculatedColumnFormula>('TE BE'!$AB$41+'TE BF'!$AB$41+'TE CVA'!$AB$41)*1</calculatedColumnFormula>
    </tableColumn>
    <tableColumn id="28" xr3:uid="{33F136F1-EA2A-4A93-AFEC-E1EB24EA21ED}" name="RA0 ou RV - TUSD (kW)" dataDxfId="718"/>
    <tableColumn id="29" xr3:uid="{E708C64D-23EC-402C-B5E3-7D47E98ACE57}" name="RA0 ou RV - TUSD (MWh)" dataDxfId="717"/>
    <tableColumn id="30" xr3:uid="{393D648C-200F-41A8-97E8-24353A17A255}" name="RA0 ou RV - TE (MWh)" dataDxfId="716"/>
    <tableColumn id="31" xr3:uid="{1AF99377-1740-4909-B4AC-325862E076E1}" name="RA1 ou RRD - TUSD (kW)" dataDxfId="715"/>
    <tableColumn id="32" xr3:uid="{0730D0B9-E04E-456A-B52A-66AA8144782E}" name="RA1 ou RRD - TUSD (MWh)" dataDxfId="714"/>
    <tableColumn id="33" xr3:uid="{D7D7A4AE-9857-4EBC-93A0-521D6319F086}" name="RA1 ou RRD - TE (MWh)" dataDxfId="71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8446276-0DC2-4D8A-930D-4920BE8134F4}" name="Subsidio" displayName="Subsidio" ref="A1:AF178" totalsRowShown="0" headerRowDxfId="712" dataDxfId="711">
  <autoFilter ref="A1:AF178" xr:uid="{A8446276-0DC2-4D8A-930D-4920BE8134F4}"/>
  <tableColumns count="32">
    <tableColumn id="1" xr3:uid="{E2654AD5-72A1-497D-8B17-BB23DDE95AE4}" name="TipoMercado" dataDxfId="710"/>
    <tableColumn id="2" xr3:uid="{BC0E65F0-62EA-43CA-90A7-F7C70F3A20D2}" name="Subgrupo" dataDxfId="709"/>
    <tableColumn id="3" xr3:uid="{9765D713-4A28-4FFF-8A07-29DA22802C7D}" name="Modalidade" dataDxfId="708"/>
    <tableColumn id="4" xr3:uid="{75142981-88FD-4D65-8CFF-842EEE51EEE3}" name="Classe" dataDxfId="707"/>
    <tableColumn id="5" xr3:uid="{D86757A7-D490-432F-8BF8-93677AE1651A}" name="Subclasse" dataDxfId="706"/>
    <tableColumn id="6" xr3:uid="{C84B9380-B7CE-4328-9A8D-DA95877628DB}" name="Detalhe" dataDxfId="705"/>
    <tableColumn id="7" xr3:uid="{67A4D809-C90B-45D6-859D-A083A36B5957}" name="Agente" dataDxfId="704"/>
    <tableColumn id="8" xr3:uid="{3BF8982A-3480-4A90-933D-B229783CF3D6}" name="Posto" dataDxfId="703"/>
    <tableColumn id="9" xr3:uid="{018D876E-F30D-48B5-B574-AF6DC992B509}" name="AnoMes" dataDxfId="702"/>
    <tableColumn id="10" xr3:uid="{CF6586F2-CF2E-4345-BB0B-F89447D5C1E9}" name="D" dataDxfId="701"/>
    <tableColumn id="11" xr3:uid="{F8D1067C-C984-4A0D-8436-408570604F6C}" name="Daj" dataDxfId="700"/>
    <tableColumn id="12" xr3:uid="{C72EFC96-3026-4F8C-A3C7-015E64E10DB4}" name="TUSD_E" dataDxfId="699"/>
    <tableColumn id="13" xr3:uid="{A51833A3-47D2-4DA4-B5D4-C74E295EB6C6}" name="TUSD_Eaj" dataDxfId="698"/>
    <tableColumn id="14" xr3:uid="{C631A4F6-4F79-4843-AC8A-DFD963FD1728}" name="TE_E" dataDxfId="697"/>
    <tableColumn id="15" xr3:uid="{8DB84AD8-388A-4199-898A-884C50C62C5C}" name="TE_Eaj" dataDxfId="696"/>
    <tableColumn id="16" xr3:uid="{CCE4AF93-D200-448F-AF6D-721BF430BACB}" name="UC" dataDxfId="695"/>
    <tableColumn id="17" xr3:uid="{D0BB7412-46A3-4652-BE3D-58FC95D5CCD0}" name="OPÇÃO" dataDxfId="694"/>
    <tableColumn id="18" xr3:uid="{637D8D61-BCAD-4D55-8CB0-3E5AA882835D}" name="CóD. AUX." dataDxfId="693"/>
    <tableColumn id="19" xr3:uid="{968AAFF3-5F31-45B6-9A14-35F3DE60BBD4}" name="CóD. AUX. TUSD R$/kW" dataDxfId="692"/>
    <tableColumn id="20" xr3:uid="{4616D2F4-6477-4505-B950-0353B2230D9A}" name="CóD. AUX. TUSD R$/MWh" dataDxfId="691"/>
    <tableColumn id="21" xr3:uid="{A9AD1E89-4E3D-4C70-A385-E1CA098AC5AF}" name="CóD. AUX. TE R$/MWh" dataDxfId="690"/>
    <tableColumn id="22" xr3:uid="{60510F38-8C99-4748-A540-3EA2BA8036DD}" name="TUSD (R$/kW)" dataDxfId="689"/>
    <tableColumn id="23" xr3:uid="{73C335D6-3F86-41CE-A5E4-2FB1316855A6}" name="TUSD (R$/MWh)" dataDxfId="688"/>
    <tableColumn id="24" xr3:uid="{A417F773-43DD-467C-BA67-C2E438211E1A}" name="TE (R$/MWh)" dataDxfId="687"/>
    <tableColumn id="25" xr3:uid="{A6A07A47-CD9B-4D80-8159-D859D82CD6E4}" name="TUSD (R$/kW) NOVA" dataDxfId="686"/>
    <tableColumn id="26" xr3:uid="{6CC65C49-B141-4E41-857E-6DA850F551F9}" name="TUSD (R$/MWh) NOVA" dataDxfId="685">
      <calculatedColumnFormula>('TUSD BE'!$AM$48+'TUSD BF'!$AM$48+'TUSD CVA'!$AM$48)*1</calculatedColumnFormula>
    </tableColumn>
    <tableColumn id="27" xr3:uid="{6A26C01E-6080-484A-BDAF-66DABD3209AB}" name="TE (R$/MWh) NOVA" dataDxfId="684">
      <calculatedColumnFormula>('TE BE'!$AB$39+'TE BF'!$AB$39+'TE CVA'!$AB$39)*1</calculatedColumnFormula>
    </tableColumn>
    <tableColumn id="28" xr3:uid="{9CE902BC-B666-4854-93DF-5F86B5693672}" name="SUBSIDIO kW - TV" dataDxfId="683">
      <calculatedColumnFormula>(J2-K2)*V2</calculatedColumnFormula>
    </tableColumn>
    <tableColumn id="29" xr3:uid="{EB612DDF-FEFC-45D9-9AB6-4B006F5A4D8A}" name="SUBSIDIO MWh - TV" dataDxfId="682">
      <calculatedColumnFormula>(L2-M2)*W2+(N2-O2)*X2</calculatedColumnFormula>
    </tableColumn>
    <tableColumn id="30" xr3:uid="{43709105-C9AE-4CF1-ADDE-DB9EFA82793A}" name="SUBSIDIO kW - TN" dataDxfId="681">
      <calculatedColumnFormula>(J2-K2)*Y2</calculatedColumnFormula>
    </tableColumn>
    <tableColumn id="31" xr3:uid="{FD2F76C8-CD99-4576-A09D-C31C892FDADE}" name="SUBSIDIO MWh - TN" dataDxfId="680">
      <calculatedColumnFormula>(L2-M2)*Z2+(N2-O2)*AA2</calculatedColumnFormula>
    </tableColumn>
    <tableColumn id="32" xr3:uid="{CD871FB1-0576-433B-A5E2-38FDCCECA8CD}" name="TIPO" dataDxfId="67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AE15F4D-3F15-49B8-96C6-3D6EEC46FEC8}" name="Efeito4" displayName="Efeito4" ref="A1:AG444" totalsRowShown="0" headerRowDxfId="178" dataDxfId="177">
  <autoFilter ref="A1:AG444" xr:uid="{254FF3F4-02E8-4C67-9014-58D6F599C515}"/>
  <tableColumns count="33">
    <tableColumn id="1" xr3:uid="{6B40AE71-8267-4A22-A360-9CA442439659}" name="TipoMercado" dataDxfId="176"/>
    <tableColumn id="2" xr3:uid="{36324BB3-382B-4F8A-BC38-F92C86552056}" name="Subgrupo" dataDxfId="175"/>
    <tableColumn id="3" xr3:uid="{1828098B-67CE-40FE-98AC-93F3EE275ADC}" name="Modalidade" dataDxfId="174"/>
    <tableColumn id="4" xr3:uid="{FA205109-931E-452B-8C82-283D54600867}" name="Classe" dataDxfId="173"/>
    <tableColumn id="5" xr3:uid="{C0792B23-006B-496F-B8CA-5D63C07D0FA3}" name="Subclasse" dataDxfId="172"/>
    <tableColumn id="6" xr3:uid="{0FEF3041-5161-4DD3-B840-0F8E604C77C8}" name="Detalhe" dataDxfId="171"/>
    <tableColumn id="7" xr3:uid="{E454C14C-53B1-445D-AC11-0C94513C65AA}" name="Agente" dataDxfId="170"/>
    <tableColumn id="8" xr3:uid="{906E26E7-B0F4-4961-8774-6626B0EEBF5E}" name="Posto" dataDxfId="169"/>
    <tableColumn id="9" xr3:uid="{F92B2494-9E50-4FAB-B08F-CE7F69F748C7}" name="AnoMes" dataDxfId="168"/>
    <tableColumn id="10" xr3:uid="{C5DCEFF5-EFAF-4B3B-91F2-0AEC71AB26B6}" name="D" dataDxfId="167"/>
    <tableColumn id="11" xr3:uid="{7C69753A-8878-4964-AD18-5AE9BE59CB0F}" name="Daj" dataDxfId="166"/>
    <tableColumn id="12" xr3:uid="{5AAF4157-8461-4613-A80E-B2E765C9AF29}" name="TUSD_E" dataDxfId="165"/>
    <tableColumn id="13" xr3:uid="{D9951500-8D76-47EF-BB49-6FE26121E819}" name="TUSD_Eaj" dataDxfId="164"/>
    <tableColumn id="14" xr3:uid="{6C77EC84-4182-4BFF-8731-42A640654ED6}" name="TE_E" dataDxfId="163"/>
    <tableColumn id="15" xr3:uid="{CA49F7EE-CB2B-4025-9727-890D9C2C10A3}" name="TE_Eaj" dataDxfId="162"/>
    <tableColumn id="16" xr3:uid="{EEB4FC6C-6D84-4C4A-9FC0-015353B1F39E}" name="UC" dataDxfId="161"/>
    <tableColumn id="17" xr3:uid="{10B5BEF3-E82D-4D25-B9C2-BABF9E805158}" name="OPÇÃO" dataDxfId="160"/>
    <tableColumn id="18" xr3:uid="{7F831F36-5889-430D-808D-AD0B3AAAC3B0}" name="CóD. AUX." dataDxfId="159"/>
    <tableColumn id="19" xr3:uid="{600F852D-9F39-4C1A-852E-4EB7ADBC8B7D}" name="CóD. AUX. TUSD R$/kW" dataDxfId="158"/>
    <tableColumn id="20" xr3:uid="{0430D530-71A5-4C2E-9F91-9E3678FAA513}" name="CóD. AUX. TUSD R$/MWh" dataDxfId="157"/>
    <tableColumn id="21" xr3:uid="{620894B6-1579-4758-BAB1-E3BE0905AE82}" name="CóD. AUX. TE R$/MWh" dataDxfId="156"/>
    <tableColumn id="22" xr3:uid="{803D1071-2AAE-4427-8EFB-1CAD145590C2}" name="TUSD (R$/kW)" dataDxfId="155"/>
    <tableColumn id="23" xr3:uid="{329CC91A-F412-48D0-BE77-43F0B37F5319}" name="TUSD (R$/MWh)" dataDxfId="154"/>
    <tableColumn id="24" xr3:uid="{1C61F47B-5DD7-44A1-A191-C9857E58E468}" name="TE (R$/MWh)" dataDxfId="153"/>
    <tableColumn id="25" xr3:uid="{ABDE3ED7-F5A8-4F03-8376-D868A28DE4FE}" name="TUSD (R$/kW) NOVA" dataDxfId="152"/>
    <tableColumn id="26" xr3:uid="{CEF51C8A-1C37-41EF-9ED5-FF0581B79850}" name="TUSD (R$/MWh) NOVA" dataDxfId="151">
      <calculatedColumnFormula>('TUSD BE'!$AM$50+'TUSD BF'!$AM$50+'TUSD CVA'!$AM$50)*1</calculatedColumnFormula>
    </tableColumn>
    <tableColumn id="27" xr3:uid="{4AAE9D47-4B60-4191-8087-34092B0498FB}" name="TE (R$/MWh) NOVA" dataDxfId="150">
      <calculatedColumnFormula>('TE BE'!$AB$41+'TE BF'!$AB$41+'TE CVA'!$AB$41)*1</calculatedColumnFormula>
    </tableColumn>
    <tableColumn id="28" xr3:uid="{FB1800D5-500A-40E6-BC9F-387069844953}" name="RA0 ou RV - TUSD (kW)" dataDxfId="149"/>
    <tableColumn id="29" xr3:uid="{2D7E2773-5172-4094-9D48-C517212FBAFA}" name="RA0 ou RV - TUSD (MWh)" dataDxfId="148"/>
    <tableColumn id="30" xr3:uid="{7E56118C-4AD4-441C-8868-DE4D7166C0A7}" name="RA0 ou RV - TE (MWh)" dataDxfId="147"/>
    <tableColumn id="31" xr3:uid="{22F2D807-BCE9-4306-833D-3DBD270418AA}" name="RA1 ou RRD - TUSD (kW)" dataDxfId="146"/>
    <tableColumn id="32" xr3:uid="{B1B150C4-4DED-4098-842F-642FD9636E80}" name="RA1 ou RRD - TUSD (MWh)" dataDxfId="145"/>
    <tableColumn id="33" xr3:uid="{6CE14445-BFC2-4048-88D1-1BF3D325CA8B}" name="RA1 ou RRD - TE (MWh)" dataDxfId="14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318C76F-5405-4B31-B5BA-03663D61B4E1}" name="TabelaFin" displayName="TabelaFin" ref="B3:AR50" tableType="queryTable" totalsRowShown="0" headerRowDxfId="143" dataDxfId="141" headerRowBorderDxfId="142" tableBorderDxfId="140" totalsRowBorderDxfId="139">
  <autoFilter ref="B3:AR50" xr:uid="{F318C76F-5405-4B31-B5BA-03663D61B4E1}"/>
  <sortState xmlns:xlrd2="http://schemas.microsoft.com/office/spreadsheetml/2017/richdata2" ref="B4:AR50">
    <sortCondition ref="B4:B50"/>
    <sortCondition ref="C4:C50"/>
    <sortCondition ref="D4:D50"/>
    <sortCondition ref="E4:E50"/>
    <sortCondition ref="F4:F50"/>
    <sortCondition descending="1" ref="G4:G50"/>
    <sortCondition descending="1" ref="H4:H50"/>
    <sortCondition ref="I4:I50"/>
  </sortState>
  <tableColumns count="43">
    <tableColumn id="44" xr3:uid="{DCDEF17C-33AD-4E31-8D9A-FB75F45C40B4}" uniqueName="44" name="SUBGRUPO" queryTableFieldId="1" dataDxfId="138"/>
    <tableColumn id="45" xr3:uid="{7EA7A978-14E9-4FF3-90E8-F1C477724A65}" uniqueName="45" name="MODALIDADE" queryTableFieldId="2" dataDxfId="137"/>
    <tableColumn id="46" xr3:uid="{665628C6-92D9-45CC-B881-E2D585FBF350}" uniqueName="46" name="CLASSE" queryTableFieldId="3" dataDxfId="136"/>
    <tableColumn id="47" xr3:uid="{4F0FF27A-9BFE-4479-95BF-C83FECE38089}" uniqueName="47" name="SUBCLASSE" queryTableFieldId="4" dataDxfId="135"/>
    <tableColumn id="48" xr3:uid="{453A2CD8-B2E5-49CC-BED4-F1950C6BA2CB}" uniqueName="48" name="DETALHE" queryTableFieldId="5" dataDxfId="134"/>
    <tableColumn id="49" xr3:uid="{6F6EF214-A022-444A-8307-4AB9A1FF991D}" uniqueName="49" name="POSTO" queryTableFieldId="6" dataDxfId="133"/>
    <tableColumn id="50" xr3:uid="{BE57A9DD-3625-44B6-94BC-ED1C59B54617}" uniqueName="50" name="UNIDADE" queryTableFieldId="7" dataDxfId="132"/>
    <tableColumn id="51" xr3:uid="{825ECF98-18C2-4463-B5C9-16313B2B8A62}" uniqueName="51" name="ACESSANTE" queryTableFieldId="8" dataDxfId="131"/>
    <tableColumn id="52" xr3:uid="{2F09E0BB-48EA-40AD-89D1-8F0D675441E4}" uniqueName="52" name="Total TUSD" queryTableFieldId="9" dataDxfId="130"/>
    <tableColumn id="53" xr3:uid="{D9C62D92-BF2A-46EB-A0EC-A091A79577C1}" uniqueName="53" name="Total TE" queryTableFieldId="10" dataDxfId="129"/>
    <tableColumn id="54" xr3:uid="{DCB93C25-B5F6-4D35-A02A-07CF3D0069FE}" uniqueName="54" name="TUSD_CDE_COVID" queryTableFieldId="11" dataDxfId="128"/>
    <tableColumn id="55" xr3:uid="{492845A2-B990-45F1-86EE-39913BFE3350}" uniqueName="55" name="TUSD_TFSEE" queryTableFieldId="12" dataDxfId="127"/>
    <tableColumn id="56" xr3:uid="{98C57689-6422-4F02-9C3F-C2773C48DDF0}" uniqueName="56" name="TUSD_PeD" queryTableFieldId="13" dataDxfId="126"/>
    <tableColumn id="57" xr3:uid="{AF89DB0C-50DB-499D-8A06-F3AA4EC19FD9}" uniqueName="57" name="TUSD_ONS" queryTableFieldId="14" dataDxfId="125"/>
    <tableColumn id="58" xr3:uid="{D98576F9-96B2-459F-9977-9CCB84B4B1DE}" uniqueName="58" name="TUSD_CCC" queryTableFieldId="15" dataDxfId="124"/>
    <tableColumn id="59" xr3:uid="{591BA108-5241-4917-A9E5-208C0E7612B3}" uniqueName="59" name="TUSD_CDE" queryTableFieldId="16" dataDxfId="123"/>
    <tableColumn id="60" xr3:uid="{8FB947EE-409F-464B-A8B7-9CD8D08CF459}" uniqueName="60" name="TUSD_PROINFA" queryTableFieldId="17" dataDxfId="122"/>
    <tableColumn id="61" xr3:uid="{8D5FB4F4-7C61-4E71-8690-1EB61686F3E1}" uniqueName="61" name="Liminar1" queryTableFieldId="18" dataDxfId="121"/>
    <tableColumn id="62" xr3:uid="{29E6C06B-3D55-4054-B92B-72F9EE09B9E4}" uniqueName="62" name="TUSD_RB" queryTableFieldId="19" dataDxfId="120"/>
    <tableColumn id="63" xr3:uid="{1D38C3C8-8447-467E-A72B-AA8EF8041DDE}" uniqueName="63" name="TUSD_FR" queryTableFieldId="20" dataDxfId="119"/>
    <tableColumn id="64" xr3:uid="{677B8B8F-B914-4DE2-95FD-0F434F8361C1}" uniqueName="64" name="TUSD_CCT" queryTableFieldId="21" dataDxfId="118"/>
    <tableColumn id="65" xr3:uid="{3BCA0FD5-4867-4478-9484-C00C0D2B2AD9}" uniqueName="65" name="TUSD_CCD" queryTableFieldId="22" dataDxfId="117"/>
    <tableColumn id="66" xr3:uid="{E04D8D81-FDC2-46FC-A0E5-44855F4876B0}" uniqueName="66" name="TUSD_CUSD" queryTableFieldId="23" dataDxfId="116"/>
    <tableColumn id="67" xr3:uid="{57749158-9F8E-4529-B999-EC3106AAB765}" uniqueName="67" name="TUSDG_T" queryTableFieldId="24" dataDxfId="115"/>
    <tableColumn id="68" xr3:uid="{3415B956-13C6-41EB-BA42-23A8F845E350}" uniqueName="68" name="TUSDG_ONS" queryTableFieldId="25" dataDxfId="114"/>
    <tableColumn id="69" xr3:uid="{428B495C-7B6A-4D98-A0F1-73759110C171}" uniqueName="69" name="TUSD_FioB" queryTableFieldId="26" dataDxfId="113"/>
    <tableColumn id="70" xr3:uid="{F38B5C6C-6217-49DF-BF8B-7DD3E30864AA}" uniqueName="70" name="TUSD Subsidio" queryTableFieldId="27" dataDxfId="112"/>
    <tableColumn id="71" xr3:uid="{DEB2AEB4-69A6-4F1F-A25D-EAF04E551B2A}" uniqueName="71" name="TUSD Outros" queryTableFieldId="28" dataDxfId="111"/>
    <tableColumn id="72" xr3:uid="{A3B9A6C5-AC40-4F01-8C39-43180C0E042E}" uniqueName="72" name="TUSD_PT" queryTableFieldId="29" dataDxfId="110"/>
    <tableColumn id="73" xr3:uid="{9A4888B7-E2D1-4171-8A3A-A8BF230C646C}" uniqueName="73" name="TUSD_Per_RB_D" queryTableFieldId="30" dataDxfId="109"/>
    <tableColumn id="74" xr3:uid="{013F5F2C-6ED2-4868-B7BF-961DF7E78143}" uniqueName="74" name="TUSD_PNT" queryTableFieldId="31" dataDxfId="108"/>
    <tableColumn id="75" xr3:uid="{0F017B77-7D3E-4AAB-8B3F-76B1C20B38A2}" uniqueName="75" name="TUSD_RI" queryTableFieldId="32" dataDxfId="107"/>
    <tableColumn id="76" xr3:uid="{E486C591-AA2D-4F19-A7D1-D956FB355A07}" uniqueName="76" name="TE_CDE_COVID" queryTableFieldId="33" dataDxfId="106"/>
    <tableColumn id="77" xr3:uid="{E6F10DE3-5500-4C54-979A-6C6C0CBF26EC}" uniqueName="77" name="TE_CDE_ELET" queryTableFieldId="34" dataDxfId="105"/>
    <tableColumn id="78" xr3:uid="{D1AA9781-6736-431F-BF9F-F6E94A1E134E}" uniqueName="78" name="TE_PeD" queryTableFieldId="35" dataDxfId="104"/>
    <tableColumn id="79" xr3:uid="{893ECF65-4ED5-445E-BEFE-9C6E8BBA8807}" uniqueName="79" name="TE_ESSERR" queryTableFieldId="36" dataDxfId="103"/>
    <tableColumn id="80" xr3:uid="{EA24E83D-35FF-4A7F-883D-0361D8D298CB}" uniqueName="80" name="TE_CFURH" queryTableFieldId="37" dataDxfId="102"/>
    <tableColumn id="81" xr3:uid="{26BBC3A2-AD05-485C-8B88-4EC634AB28D9}" uniqueName="81" name="TE_ENERGIA" queryTableFieldId="38" dataDxfId="101"/>
    <tableColumn id="82" xr3:uid="{5668C5D7-353A-48FA-A498-4B80AF04DBFD}" uniqueName="82" name="TE_TRANSPORTE_ITAIPU" queryTableFieldId="39" dataDxfId="100"/>
    <tableColumn id="83" xr3:uid="{EBDBEC07-6E05-4C1C-AA88-0A51FBF90ECA}" uniqueName="83" name="TE_TUST_ITAIPU" queryTableFieldId="40" dataDxfId="99"/>
    <tableColumn id="84" xr3:uid="{A62EEFD6-4EDF-4ADA-9F36-B4B67AF6C9E8}" uniqueName="84" name="TE_TUST_CI" queryTableFieldId="41" dataDxfId="98"/>
    <tableColumn id="85" xr3:uid="{71553821-23D4-4797-8A91-B5CE9EFC67E1}" uniqueName="85" name="TE Subsidio" queryTableFieldId="42" dataDxfId="97"/>
    <tableColumn id="86" xr3:uid="{69B8657A-AEA0-4522-A848-48F7F66430A9}" uniqueName="86" name="TE_Per_RB" queryTableFieldId="43" dataDxfId="9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95C4201-BEEA-4D6F-B3E7-2C0EC53E4C01}" name="TabelaEc" displayName="TabelaEc" ref="B3:AR50" tableType="queryTable" totalsRowShown="0" headerRowDxfId="95" dataDxfId="93" headerRowBorderDxfId="94" tableBorderDxfId="92" totalsRowBorderDxfId="91">
  <autoFilter ref="B3:AR50" xr:uid="{795C4201-BEEA-4D6F-B3E7-2C0EC53E4C01}"/>
  <sortState xmlns:xlrd2="http://schemas.microsoft.com/office/spreadsheetml/2017/richdata2" ref="B4:AR50">
    <sortCondition ref="B4:B50"/>
    <sortCondition ref="C4:C50"/>
    <sortCondition ref="D4:D50"/>
    <sortCondition ref="E4:E50"/>
    <sortCondition ref="F4:F50"/>
    <sortCondition descending="1" ref="G4:G50"/>
    <sortCondition descending="1" ref="H4:H50"/>
    <sortCondition ref="I4:I50"/>
  </sortState>
  <tableColumns count="43">
    <tableColumn id="44" xr3:uid="{88079C84-7B96-4094-989E-BF4512FC05D6}" uniqueName="44" name="SUBGRUPO" queryTableFieldId="1" dataDxfId="90"/>
    <tableColumn id="45" xr3:uid="{FA87D185-33C6-4CD3-A698-7F568EFF2181}" uniqueName="45" name="MODALIDADE" queryTableFieldId="2" dataDxfId="89"/>
    <tableColumn id="46" xr3:uid="{C1A73945-2C61-41E0-ADAA-38C208F14246}" uniqueName="46" name="CLASSE" queryTableFieldId="3" dataDxfId="88"/>
    <tableColumn id="47" xr3:uid="{EB3BB9F1-CDF7-4964-93F1-49D73C7E4F43}" uniqueName="47" name="SUBCLASSE" queryTableFieldId="4" dataDxfId="87"/>
    <tableColumn id="48" xr3:uid="{EA9B8FC8-A3B0-464E-BD8F-96824A920B23}" uniqueName="48" name="DETALHE" queryTableFieldId="5" dataDxfId="86"/>
    <tableColumn id="49" xr3:uid="{AEED02D8-004F-43AD-B370-423974A144C3}" uniqueName="49" name="POSTO" queryTableFieldId="6" dataDxfId="85"/>
    <tableColumn id="50" xr3:uid="{CEB97A2B-55A9-4A29-AC51-253BF4ADDADB}" uniqueName="50" name="UNIDADE" queryTableFieldId="7" dataDxfId="84"/>
    <tableColumn id="51" xr3:uid="{4C37F186-A7DD-4AFE-A000-63E0175BF93E}" uniqueName="51" name="ACESSANTE" queryTableFieldId="8" dataDxfId="83"/>
    <tableColumn id="52" xr3:uid="{8B4B0C37-3664-4555-9BE5-5EC0F7A223FC}" uniqueName="52" name="Total TUSD" queryTableFieldId="9" dataDxfId="82"/>
    <tableColumn id="53" xr3:uid="{728BECB7-0D20-4D04-B1DD-4C9E9E8311CE}" uniqueName="53" name="Total TE" queryTableFieldId="10" dataDxfId="81"/>
    <tableColumn id="54" xr3:uid="{41597FC3-5672-49BD-AC16-E44A783AD164}" uniqueName="54" name="TUSD_CDE_COVID" queryTableFieldId="11" dataDxfId="80"/>
    <tableColumn id="55" xr3:uid="{FFC6ECF8-CFE9-4FB3-83EB-4BB0363CF6D1}" uniqueName="55" name="TUSD_TFSEE" queryTableFieldId="12" dataDxfId="79"/>
    <tableColumn id="56" xr3:uid="{8F1470D5-91CC-4154-99F1-B1EC8C543114}" uniqueName="56" name="TUSD_PeD" queryTableFieldId="13" dataDxfId="78"/>
    <tableColumn id="57" xr3:uid="{08ACB446-6BA0-47D8-BA3F-0A4EE7EAB2E4}" uniqueName="57" name="TUSD_ONS" queryTableFieldId="14" dataDxfId="77"/>
    <tableColumn id="58" xr3:uid="{2156358B-8A6F-4CFA-9029-B73EE2B9C32B}" uniqueName="58" name="TUSD_CCC" queryTableFieldId="15" dataDxfId="76"/>
    <tableColumn id="59" xr3:uid="{0E854FB1-7F0C-45D6-BD1C-A85AA2093798}" uniqueName="59" name="TUSD_CDE" queryTableFieldId="16" dataDxfId="75"/>
    <tableColumn id="60" xr3:uid="{D8BBDB85-069F-4EF9-A56C-50D54B973678}" uniqueName="60" name="TUSD_PROINFA" queryTableFieldId="17" dataDxfId="74"/>
    <tableColumn id="61" xr3:uid="{CECF8ED7-BA4B-42B9-B408-F2891639405C}" uniqueName="61" name="Liminar1" queryTableFieldId="18" dataDxfId="73"/>
    <tableColumn id="62" xr3:uid="{7D99DA12-8900-409C-814F-CE396B74F202}" uniqueName="62" name="TUSD_RB" queryTableFieldId="19" dataDxfId="72"/>
    <tableColumn id="63" xr3:uid="{9AEB9FC1-5BF0-4566-8A79-1DA3F4798D84}" uniqueName="63" name="TUSD_FR" queryTableFieldId="20" dataDxfId="71"/>
    <tableColumn id="64" xr3:uid="{023D6E99-8E30-4EFC-AF2C-E6D1D98E80BD}" uniqueName="64" name="TUSD_CCT" queryTableFieldId="21" dataDxfId="70"/>
    <tableColumn id="65" xr3:uid="{F5A6D020-8B72-41E3-96B6-5E8B055CFB63}" uniqueName="65" name="TUSD_CCD" queryTableFieldId="22" dataDxfId="69"/>
    <tableColumn id="66" xr3:uid="{77042816-FB91-4C00-A526-209B3806458B}" uniqueName="66" name="TUSD_CUSD" queryTableFieldId="23" dataDxfId="68"/>
    <tableColumn id="67" xr3:uid="{E99FD6CA-B36D-4CC5-B8E9-8A3436E1E108}" uniqueName="67" name="TUSDG_T" queryTableFieldId="24" dataDxfId="67"/>
    <tableColumn id="68" xr3:uid="{056B4A62-7DE8-4F4D-82A4-F90408E85C1B}" uniqueName="68" name="TUSDG_ONS" queryTableFieldId="25" dataDxfId="66"/>
    <tableColumn id="69" xr3:uid="{420F7B10-A82A-4327-A6DC-49BBF12CCAC4}" uniqueName="69" name="TUSD_FioB" queryTableFieldId="26" dataDxfId="65"/>
    <tableColumn id="70" xr3:uid="{1ABDFE9F-BB0C-49B9-8C21-D1BC93797F66}" uniqueName="70" name="TUSD Subsidio" queryTableFieldId="27" dataDxfId="64"/>
    <tableColumn id="71" xr3:uid="{EB583323-1E33-4B27-A50C-C9A45D392374}" uniqueName="71" name="TUSD Outros" queryTableFieldId="28" dataDxfId="63"/>
    <tableColumn id="72" xr3:uid="{9B0695AE-0B6D-4FB0-99F7-DD971FE82DF5}" uniqueName="72" name="TUSD_PT" queryTableFieldId="29" dataDxfId="62"/>
    <tableColumn id="73" xr3:uid="{ECDC19AE-3764-441D-AEB3-3D76356BBAE2}" uniqueName="73" name="TUSD_Per_RB_D" queryTableFieldId="30" dataDxfId="61"/>
    <tableColumn id="74" xr3:uid="{505ECD7F-EDB1-4B69-A5E1-36761DCB9E92}" uniqueName="74" name="TUSD_PNT" queryTableFieldId="31" dataDxfId="60"/>
    <tableColumn id="75" xr3:uid="{5BEC038F-72FF-4FEB-811B-E73DE35E942E}" uniqueName="75" name="TUSD_RI" queryTableFieldId="32" dataDxfId="59"/>
    <tableColumn id="76" xr3:uid="{C482FDF5-A995-4E4B-B57E-13C58962BB61}" uniqueName="76" name="TE_CDE_COVID" queryTableFieldId="33" dataDxfId="58"/>
    <tableColumn id="77" xr3:uid="{3E42236F-FAAD-4AAA-8A22-A48DCF06520B}" uniqueName="77" name="TE_CDE_ELET" queryTableFieldId="34" dataDxfId="57"/>
    <tableColumn id="78" xr3:uid="{24BE4041-D296-4590-AE06-1DBFD76C61FE}" uniqueName="78" name="TE_PeD" queryTableFieldId="35" dataDxfId="56"/>
    <tableColumn id="79" xr3:uid="{88063D31-CF8C-40EA-8F4D-4A8D3A9EB29B}" uniqueName="79" name="TE_ESSERR" queryTableFieldId="36" dataDxfId="55"/>
    <tableColumn id="80" xr3:uid="{B0D7C8BD-CD99-413E-AE0C-E698EE1C0C9B}" uniqueName="80" name="TE_CFURH" queryTableFieldId="37" dataDxfId="54"/>
    <tableColumn id="81" xr3:uid="{1A8A4E01-1DB1-4406-89B8-05F9615251CA}" uniqueName="81" name="TE_ENERGIA" queryTableFieldId="38" dataDxfId="53"/>
    <tableColumn id="82" xr3:uid="{02856DB2-8F25-4A62-A47A-F4BF05DEF3A2}" uniqueName="82" name="TE_TRANSPORTE_ITAIPU" queryTableFieldId="39" dataDxfId="52"/>
    <tableColumn id="83" xr3:uid="{A0F2C80A-2173-4645-B778-3D7C4B83C265}" uniqueName="83" name="TE_TUST_ITAIPU" queryTableFieldId="40" dataDxfId="51"/>
    <tableColumn id="84" xr3:uid="{17F77DCD-A8C0-4A05-BA2B-A909F52B960B}" uniqueName="84" name="TE_TUST_CI" queryTableFieldId="41" dataDxfId="50"/>
    <tableColumn id="85" xr3:uid="{09D0BBAB-7DC5-43DD-8985-051B2D9C15FD}" uniqueName="85" name="TE Subsidio" queryTableFieldId="42" dataDxfId="49"/>
    <tableColumn id="86" xr3:uid="{FE752DE0-B9DD-47F5-B798-29E97C2ECB7A}" uniqueName="86" name="TE_Per_RB" queryTableFieldId="43" dataDxfId="4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37DC861-71E2-4D46-9C05-749CC61731B5}" name="TabelaCVA" displayName="TabelaCVA" ref="B3:AR50" tableType="queryTable" totalsRowShown="0" headerRowDxfId="47" dataDxfId="45" headerRowBorderDxfId="46" tableBorderDxfId="44" totalsRowBorderDxfId="43">
  <autoFilter ref="B3:AR50" xr:uid="{037DC861-71E2-4D46-9C05-749CC61731B5}"/>
  <sortState xmlns:xlrd2="http://schemas.microsoft.com/office/spreadsheetml/2017/richdata2" ref="B4:AR50">
    <sortCondition ref="B4:B50"/>
    <sortCondition ref="C4:C50"/>
    <sortCondition ref="D4:D50"/>
    <sortCondition ref="E4:E50"/>
    <sortCondition ref="F4:F50"/>
    <sortCondition descending="1" ref="G4:G50"/>
    <sortCondition descending="1" ref="H4:H50"/>
    <sortCondition ref="I4:I50"/>
  </sortState>
  <tableColumns count="43">
    <tableColumn id="44" xr3:uid="{66E96BE6-C7CE-46AD-BB11-3F8DAC681640}" uniqueName="44" name="SUBGRUPO" queryTableFieldId="1" dataDxfId="42"/>
    <tableColumn id="45" xr3:uid="{2295A70F-052E-41B6-87BE-B11BFED30821}" uniqueName="45" name="MODALIDADE" queryTableFieldId="2" dataDxfId="41"/>
    <tableColumn id="46" xr3:uid="{87752D5D-E526-4DCD-BE4C-8FF49036FDD6}" uniqueName="46" name="CLASSE" queryTableFieldId="3" dataDxfId="40"/>
    <tableColumn id="47" xr3:uid="{EEEAEC29-0389-4808-9183-96544D7F123B}" uniqueName="47" name="SUBCLASSE" queryTableFieldId="4" dataDxfId="39"/>
    <tableColumn id="48" xr3:uid="{58468B95-63CE-4FEC-BA41-F1098480A8AB}" uniqueName="48" name="DETALHE" queryTableFieldId="5" dataDxfId="38"/>
    <tableColumn id="49" xr3:uid="{C829AA93-579F-4FF7-8FF8-8CB12111A447}" uniqueName="49" name="POSTO" queryTableFieldId="6" dataDxfId="37"/>
    <tableColumn id="50" xr3:uid="{0B7AB0A6-513D-49C6-B66C-6C987F868DE2}" uniqueName="50" name="UNIDADE" queryTableFieldId="7" dataDxfId="36"/>
    <tableColumn id="51" xr3:uid="{AB2ADE7B-5E82-4BF5-8C05-8E4F2A24780C}" uniqueName="51" name="ACESSANTE" queryTableFieldId="8" dataDxfId="35"/>
    <tableColumn id="52" xr3:uid="{55FC8D11-5B53-4A89-A2C9-18BA8E3FCD92}" uniqueName="52" name="Total TUSD" queryTableFieldId="9" dataDxfId="34"/>
    <tableColumn id="53" xr3:uid="{BB39548D-9B14-4306-B67A-6B995E9D14A6}" uniqueName="53" name="Total TE" queryTableFieldId="10" dataDxfId="33"/>
    <tableColumn id="54" xr3:uid="{32C9F3F2-A074-4289-B0E9-553AE79BBB76}" uniqueName="54" name="TUSD_CDE_COVID" queryTableFieldId="11" dataDxfId="32"/>
    <tableColumn id="55" xr3:uid="{0AF7C30A-3CB9-490E-B180-C2CBC240D1CC}" uniqueName="55" name="TUSD_TFSEE" queryTableFieldId="12" dataDxfId="31"/>
    <tableColumn id="56" xr3:uid="{52D135BE-47FE-4245-A59E-53CCEAC0EFA7}" uniqueName="56" name="TUSD_PeD" queryTableFieldId="13" dataDxfId="30"/>
    <tableColumn id="57" xr3:uid="{DC928023-71BB-449B-9990-92C79AA12172}" uniqueName="57" name="TUSD_ONS" queryTableFieldId="14" dataDxfId="29"/>
    <tableColumn id="58" xr3:uid="{064EA7A7-44FB-44AF-BBF0-1B65BFAFD908}" uniqueName="58" name="TUSD_CCC" queryTableFieldId="15" dataDxfId="28"/>
    <tableColumn id="59" xr3:uid="{F4AD83D6-D630-4E5C-A53F-2B8B1B86D71E}" uniqueName="59" name="TUSD_CDE" queryTableFieldId="16" dataDxfId="27"/>
    <tableColumn id="60" xr3:uid="{03CB5B28-B9FE-4C1D-845F-11D935830933}" uniqueName="60" name="TUSD_PROINFA" queryTableFieldId="17" dataDxfId="26"/>
    <tableColumn id="61" xr3:uid="{4726477A-6D5A-4E2E-BA8E-86B890BB73EA}" uniqueName="61" name="Liminar1" queryTableFieldId="18" dataDxfId="25"/>
    <tableColumn id="62" xr3:uid="{E961D7B7-C330-4661-BF7D-E511AE622B4E}" uniqueName="62" name="TUSD_RB" queryTableFieldId="19" dataDxfId="24"/>
    <tableColumn id="63" xr3:uid="{9123C37F-0A5B-444F-A5D7-E760F65774FD}" uniqueName="63" name="TUSD_FR" queryTableFieldId="20" dataDxfId="23"/>
    <tableColumn id="64" xr3:uid="{ECC5EC1B-D177-445D-8576-9AE885AA6373}" uniqueName="64" name="TUSD_CCT" queryTableFieldId="21" dataDxfId="22"/>
    <tableColumn id="65" xr3:uid="{260987E1-5863-4B53-B75D-6A6C627A7318}" uniqueName="65" name="TUSD_CCD" queryTableFieldId="22" dataDxfId="21"/>
    <tableColumn id="66" xr3:uid="{82B9CA2D-90AA-44C4-A6F3-B8BA30B5FF8F}" uniqueName="66" name="TUSD_CUSD" queryTableFieldId="23" dataDxfId="20"/>
    <tableColumn id="67" xr3:uid="{5D071860-D33D-4FDB-A0F2-B0EBC79D881B}" uniqueName="67" name="TUSDG_T" queryTableFieldId="24" dataDxfId="19"/>
    <tableColumn id="68" xr3:uid="{5A257FF7-7581-4ECD-9617-E6EE8FAFCA8E}" uniqueName="68" name="TUSDG_ONS" queryTableFieldId="25" dataDxfId="18"/>
    <tableColumn id="69" xr3:uid="{B088679E-1EDA-49C0-818F-703C410F8132}" uniqueName="69" name="TUSD_FioB" queryTableFieldId="26" dataDxfId="17"/>
    <tableColumn id="70" xr3:uid="{6DD21780-BCCF-47EE-9FFD-865709087E66}" uniqueName="70" name="TUSD Subsidio" queryTableFieldId="27" dataDxfId="16"/>
    <tableColumn id="71" xr3:uid="{EBD02656-5E5F-4F5A-9E89-68F83B46B7AC}" uniqueName="71" name="TUSD Outros" queryTableFieldId="28" dataDxfId="15"/>
    <tableColumn id="72" xr3:uid="{A5E53FBB-BEE2-47E0-AB4D-EC504A0F63C2}" uniqueName="72" name="TUSD_PT" queryTableFieldId="29" dataDxfId="14"/>
    <tableColumn id="73" xr3:uid="{53A39AEF-BB11-4E88-A901-4F7C38BDC030}" uniqueName="73" name="TUSD_Per_RB_D" queryTableFieldId="30" dataDxfId="13"/>
    <tableColumn id="74" xr3:uid="{62419F1D-4FB6-48C6-9840-2CD322AB68F9}" uniqueName="74" name="TUSD_PNT" queryTableFieldId="31" dataDxfId="12"/>
    <tableColumn id="75" xr3:uid="{4DAE9C91-6631-4B59-AA82-4905F158D67B}" uniqueName="75" name="TUSD_RI" queryTableFieldId="32" dataDxfId="11"/>
    <tableColumn id="76" xr3:uid="{63E34BE1-850A-4C7B-8807-34AB69E89B5D}" uniqueName="76" name="TE_CDE_COVID" queryTableFieldId="33" dataDxfId="10"/>
    <tableColumn id="77" xr3:uid="{6CBA1F4C-6159-4943-B0B1-7DB4880324C7}" uniqueName="77" name="TE_CDE_ELET" queryTableFieldId="34" dataDxfId="9"/>
    <tableColumn id="78" xr3:uid="{B917487A-3BF4-47E6-85D4-1081CAAF9155}" uniqueName="78" name="TE_PeD" queryTableFieldId="35" dataDxfId="8"/>
    <tableColumn id="79" xr3:uid="{7396EA89-35F1-4BE1-B290-05450CA0929B}" uniqueName="79" name="TE_ESSERR" queryTableFieldId="36" dataDxfId="7"/>
    <tableColumn id="80" xr3:uid="{EFFF5A14-2939-4902-A562-FF1742F62DD2}" uniqueName="80" name="TE_CFURH" queryTableFieldId="37" dataDxfId="6"/>
    <tableColumn id="81" xr3:uid="{5383AD8D-004E-462E-AC05-631459827FE1}" uniqueName="81" name="TE_ENERGIA" queryTableFieldId="38" dataDxfId="5"/>
    <tableColumn id="82" xr3:uid="{244D2D9C-AA9B-4978-8DD9-6D2C04F01332}" uniqueName="82" name="TE_TRANSPORTE_ITAIPU" queryTableFieldId="39" dataDxfId="4"/>
    <tableColumn id="83" xr3:uid="{8CF37209-FE1B-4512-B192-837459DF073C}" uniqueName="83" name="TE_TUST_ITAIPU" queryTableFieldId="40" dataDxfId="3"/>
    <tableColumn id="84" xr3:uid="{2D4A32C8-C3E7-4B02-887B-D526E2E150DA}" uniqueName="84" name="TE_TUST_CI" queryTableFieldId="41" dataDxfId="2"/>
    <tableColumn id="85" xr3:uid="{70A0A70A-43D2-4EE6-AA4B-E61697056B11}" uniqueName="85" name="TE Subsidio" queryTableFieldId="42" dataDxfId="1"/>
    <tableColumn id="86" xr3:uid="{E8CCBE3A-0211-4F9F-B23D-BE49F72919DE}" uniqueName="86" name="TE_Per_RB" queryTableFieldId="4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FB255-2563-4DAB-9567-4A9327223C57}">
  <dimension ref="A1:W444"/>
  <sheetViews>
    <sheetView showGridLines="0" workbookViewId="0"/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8" width="10.28515625" style="4" bestFit="1" customWidth="1"/>
    <col min="9" max="9" width="8.7109375" style="5" bestFit="1" customWidth="1"/>
    <col min="10" max="12" width="7" style="6" bestFit="1" customWidth="1"/>
    <col min="13" max="13" width="8" style="6" bestFit="1" customWidth="1"/>
    <col min="14" max="16" width="7" style="6" bestFit="1" customWidth="1"/>
    <col min="17" max="17" width="6.5703125" style="4" bestFit="1" customWidth="1"/>
    <col min="18" max="18" width="8.5703125" style="4" bestFit="1" customWidth="1"/>
    <col min="19" max="19" width="78.140625" style="4" bestFit="1" customWidth="1"/>
    <col min="20" max="20" width="83.85546875" style="4" bestFit="1" customWidth="1"/>
    <col min="21" max="21" width="18.42578125" style="4" bestFit="1" customWidth="1"/>
    <col min="22" max="22" width="19.85546875" style="4" bestFit="1" customWidth="1"/>
    <col min="23" max="23" width="17.7109375" style="4" bestFit="1" customWidth="1"/>
    <col min="24" max="16384" width="9.140625" style="4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89</v>
      </c>
      <c r="T1" s="1" t="s">
        <v>270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4" t="s">
        <v>21</v>
      </c>
      <c r="B2" s="4" t="s">
        <v>34</v>
      </c>
      <c r="C2" s="4" t="s">
        <v>51</v>
      </c>
      <c r="D2" s="4" t="s">
        <v>33</v>
      </c>
      <c r="E2" s="4" t="s">
        <v>25</v>
      </c>
      <c r="F2" s="4" t="s">
        <v>52</v>
      </c>
      <c r="G2" s="4" t="s">
        <v>25</v>
      </c>
      <c r="H2" s="4" t="s">
        <v>37</v>
      </c>
      <c r="I2" s="5">
        <v>44378</v>
      </c>
      <c r="J2" s="6">
        <v>1800</v>
      </c>
      <c r="K2" s="6">
        <v>905.36929199999997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53</v>
      </c>
      <c r="R2" s="4">
        <v>0</v>
      </c>
      <c r="S2" s="4" t="s">
        <v>90</v>
      </c>
      <c r="U2" s="4">
        <v>2</v>
      </c>
      <c r="V2" s="4">
        <v>0</v>
      </c>
      <c r="W2" s="4">
        <v>0</v>
      </c>
    </row>
    <row r="3" spans="1:23" ht="11.25" customHeight="1" x14ac:dyDescent="0.25">
      <c r="A3" s="4" t="s">
        <v>21</v>
      </c>
      <c r="B3" s="4" t="s">
        <v>34</v>
      </c>
      <c r="C3" s="4" t="s">
        <v>51</v>
      </c>
      <c r="D3" s="4" t="s">
        <v>33</v>
      </c>
      <c r="E3" s="4" t="s">
        <v>25</v>
      </c>
      <c r="F3" s="4" t="s">
        <v>52</v>
      </c>
      <c r="G3" s="4" t="s">
        <v>25</v>
      </c>
      <c r="H3" s="4" t="s">
        <v>37</v>
      </c>
      <c r="I3" s="5">
        <v>44409</v>
      </c>
      <c r="J3" s="6">
        <v>1802</v>
      </c>
      <c r="K3" s="6">
        <v>918.92490845999998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53</v>
      </c>
      <c r="R3" s="4">
        <v>0</v>
      </c>
      <c r="S3" s="4" t="s">
        <v>91</v>
      </c>
      <c r="U3" s="4">
        <v>2</v>
      </c>
      <c r="V3" s="4">
        <v>0</v>
      </c>
      <c r="W3" s="4">
        <v>0</v>
      </c>
    </row>
    <row r="4" spans="1:23" ht="11.25" customHeight="1" x14ac:dyDescent="0.25">
      <c r="A4" s="4" t="s">
        <v>21</v>
      </c>
      <c r="B4" s="4" t="s">
        <v>34</v>
      </c>
      <c r="C4" s="4" t="s">
        <v>51</v>
      </c>
      <c r="D4" s="4" t="s">
        <v>33</v>
      </c>
      <c r="E4" s="4" t="s">
        <v>25</v>
      </c>
      <c r="F4" s="4" t="s">
        <v>52</v>
      </c>
      <c r="G4" s="4" t="s">
        <v>25</v>
      </c>
      <c r="H4" s="4" t="s">
        <v>37</v>
      </c>
      <c r="I4" s="5">
        <v>44440</v>
      </c>
      <c r="J4" s="6">
        <v>1800</v>
      </c>
      <c r="K4" s="6">
        <v>907.34920199999999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53</v>
      </c>
      <c r="R4" s="4">
        <v>0</v>
      </c>
      <c r="S4" s="4" t="s">
        <v>92</v>
      </c>
      <c r="U4" s="4">
        <v>2</v>
      </c>
      <c r="V4" s="4">
        <v>0</v>
      </c>
      <c r="W4" s="4">
        <v>0</v>
      </c>
    </row>
    <row r="5" spans="1:23" ht="11.25" customHeight="1" x14ac:dyDescent="0.25">
      <c r="A5" s="4" t="s">
        <v>21</v>
      </c>
      <c r="B5" s="4" t="s">
        <v>34</v>
      </c>
      <c r="C5" s="4" t="s">
        <v>51</v>
      </c>
      <c r="D5" s="4" t="s">
        <v>33</v>
      </c>
      <c r="E5" s="4" t="s">
        <v>25</v>
      </c>
      <c r="F5" s="4" t="s">
        <v>52</v>
      </c>
      <c r="G5" s="4" t="s">
        <v>25</v>
      </c>
      <c r="H5" s="4" t="s">
        <v>37</v>
      </c>
      <c r="I5" s="5">
        <v>44470</v>
      </c>
      <c r="J5" s="6">
        <v>1813</v>
      </c>
      <c r="K5" s="6">
        <v>906.93687861000001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53</v>
      </c>
      <c r="R5" s="4">
        <v>0</v>
      </c>
      <c r="S5" s="4" t="s">
        <v>93</v>
      </c>
      <c r="U5" s="4">
        <v>2</v>
      </c>
      <c r="V5" s="4">
        <v>0</v>
      </c>
      <c r="W5" s="4">
        <v>0</v>
      </c>
    </row>
    <row r="6" spans="1:23" ht="11.25" customHeight="1" x14ac:dyDescent="0.25">
      <c r="A6" s="4" t="s">
        <v>21</v>
      </c>
      <c r="B6" s="4" t="s">
        <v>34</v>
      </c>
      <c r="C6" s="4" t="s">
        <v>51</v>
      </c>
      <c r="D6" s="4" t="s">
        <v>33</v>
      </c>
      <c r="E6" s="4" t="s">
        <v>25</v>
      </c>
      <c r="F6" s="4" t="s">
        <v>52</v>
      </c>
      <c r="G6" s="4" t="s">
        <v>25</v>
      </c>
      <c r="H6" s="4" t="s">
        <v>37</v>
      </c>
      <c r="I6" s="5">
        <v>44501</v>
      </c>
      <c r="J6" s="6">
        <v>1809</v>
      </c>
      <c r="K6" s="6">
        <v>904.5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53</v>
      </c>
      <c r="R6" s="4">
        <v>0</v>
      </c>
      <c r="S6" s="4" t="s">
        <v>94</v>
      </c>
      <c r="U6" s="4">
        <v>2</v>
      </c>
      <c r="V6" s="4">
        <v>0</v>
      </c>
      <c r="W6" s="4">
        <v>0</v>
      </c>
    </row>
    <row r="7" spans="1:23" ht="11.25" customHeight="1" x14ac:dyDescent="0.25">
      <c r="A7" s="4" t="s">
        <v>21</v>
      </c>
      <c r="B7" s="4" t="s">
        <v>34</v>
      </c>
      <c r="C7" s="4" t="s">
        <v>51</v>
      </c>
      <c r="D7" s="4" t="s">
        <v>33</v>
      </c>
      <c r="E7" s="4" t="s">
        <v>25</v>
      </c>
      <c r="F7" s="4" t="s">
        <v>52</v>
      </c>
      <c r="G7" s="4" t="s">
        <v>25</v>
      </c>
      <c r="H7" s="4" t="s">
        <v>37</v>
      </c>
      <c r="I7" s="5">
        <v>44531</v>
      </c>
      <c r="J7" s="6">
        <v>1800</v>
      </c>
      <c r="K7" s="6">
        <v>932.78597400000001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53</v>
      </c>
      <c r="R7" s="4">
        <v>0</v>
      </c>
      <c r="S7" s="4" t="s">
        <v>95</v>
      </c>
      <c r="U7" s="4">
        <v>2</v>
      </c>
      <c r="V7" s="4">
        <v>0</v>
      </c>
      <c r="W7" s="4">
        <v>0</v>
      </c>
    </row>
    <row r="8" spans="1:23" ht="11.25" customHeight="1" x14ac:dyDescent="0.25">
      <c r="A8" s="4" t="s">
        <v>21</v>
      </c>
      <c r="B8" s="4" t="s">
        <v>34</v>
      </c>
      <c r="C8" s="4" t="s">
        <v>51</v>
      </c>
      <c r="D8" s="4" t="s">
        <v>33</v>
      </c>
      <c r="E8" s="4" t="s">
        <v>25</v>
      </c>
      <c r="F8" s="4" t="s">
        <v>52</v>
      </c>
      <c r="G8" s="4" t="s">
        <v>25</v>
      </c>
      <c r="H8" s="4" t="s">
        <v>37</v>
      </c>
      <c r="I8" s="5">
        <v>44562</v>
      </c>
      <c r="J8" s="6">
        <v>1800</v>
      </c>
      <c r="K8" s="6">
        <v>901.16834400000005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53</v>
      </c>
      <c r="R8" s="4">
        <v>0</v>
      </c>
      <c r="S8" s="4" t="s">
        <v>96</v>
      </c>
      <c r="U8" s="4">
        <v>2</v>
      </c>
      <c r="V8" s="4">
        <v>0</v>
      </c>
      <c r="W8" s="4">
        <v>0</v>
      </c>
    </row>
    <row r="9" spans="1:23" ht="11.25" customHeight="1" x14ac:dyDescent="0.25">
      <c r="A9" s="4" t="s">
        <v>21</v>
      </c>
      <c r="B9" s="4" t="s">
        <v>34</v>
      </c>
      <c r="C9" s="4" t="s">
        <v>51</v>
      </c>
      <c r="D9" s="4" t="s">
        <v>33</v>
      </c>
      <c r="E9" s="4" t="s">
        <v>25</v>
      </c>
      <c r="F9" s="4" t="s">
        <v>52</v>
      </c>
      <c r="G9" s="4" t="s">
        <v>25</v>
      </c>
      <c r="H9" s="4" t="s">
        <v>37</v>
      </c>
      <c r="I9" s="5">
        <v>44593</v>
      </c>
      <c r="J9" s="6">
        <v>1800</v>
      </c>
      <c r="K9" s="6">
        <v>900.80544599999996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53</v>
      </c>
      <c r="R9" s="4">
        <v>0</v>
      </c>
      <c r="S9" s="4" t="s">
        <v>97</v>
      </c>
      <c r="U9" s="4">
        <v>2</v>
      </c>
      <c r="V9" s="4">
        <v>0</v>
      </c>
      <c r="W9" s="4">
        <v>0</v>
      </c>
    </row>
    <row r="10" spans="1:23" ht="11.25" customHeight="1" x14ac:dyDescent="0.25">
      <c r="A10" s="4" t="s">
        <v>21</v>
      </c>
      <c r="B10" s="4" t="s">
        <v>34</v>
      </c>
      <c r="C10" s="4" t="s">
        <v>51</v>
      </c>
      <c r="D10" s="4" t="s">
        <v>33</v>
      </c>
      <c r="E10" s="4" t="s">
        <v>25</v>
      </c>
      <c r="F10" s="4" t="s">
        <v>52</v>
      </c>
      <c r="G10" s="4" t="s">
        <v>25</v>
      </c>
      <c r="H10" s="4" t="s">
        <v>37</v>
      </c>
      <c r="I10" s="5">
        <v>44621</v>
      </c>
      <c r="J10" s="6">
        <v>1800</v>
      </c>
      <c r="K10" s="6">
        <v>901.23863400000005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53</v>
      </c>
      <c r="R10" s="4">
        <v>0</v>
      </c>
      <c r="S10" s="4" t="s">
        <v>98</v>
      </c>
      <c r="U10" s="4">
        <v>2</v>
      </c>
      <c r="V10" s="4">
        <v>0</v>
      </c>
      <c r="W10" s="4">
        <v>0</v>
      </c>
    </row>
    <row r="11" spans="1:23" ht="11.25" customHeight="1" x14ac:dyDescent="0.25">
      <c r="A11" s="4" t="s">
        <v>21</v>
      </c>
      <c r="B11" s="4" t="s">
        <v>34</v>
      </c>
      <c r="C11" s="4" t="s">
        <v>51</v>
      </c>
      <c r="D11" s="4" t="s">
        <v>33</v>
      </c>
      <c r="E11" s="4" t="s">
        <v>25</v>
      </c>
      <c r="F11" s="4" t="s">
        <v>52</v>
      </c>
      <c r="G11" s="4" t="s">
        <v>25</v>
      </c>
      <c r="H11" s="4" t="s">
        <v>37</v>
      </c>
      <c r="I11" s="5">
        <v>44652</v>
      </c>
      <c r="J11" s="6">
        <v>1800</v>
      </c>
      <c r="K11" s="6">
        <v>901.65754800000002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53</v>
      </c>
      <c r="R11" s="4">
        <v>0</v>
      </c>
      <c r="S11" s="4" t="s">
        <v>99</v>
      </c>
      <c r="U11" s="4">
        <v>2</v>
      </c>
      <c r="V11" s="4">
        <v>0</v>
      </c>
      <c r="W11" s="4">
        <v>0</v>
      </c>
    </row>
    <row r="12" spans="1:23" ht="11.25" customHeight="1" x14ac:dyDescent="0.25">
      <c r="A12" s="4" t="s">
        <v>21</v>
      </c>
      <c r="B12" s="4" t="s">
        <v>34</v>
      </c>
      <c r="C12" s="4" t="s">
        <v>51</v>
      </c>
      <c r="D12" s="4" t="s">
        <v>33</v>
      </c>
      <c r="E12" s="4" t="s">
        <v>25</v>
      </c>
      <c r="F12" s="4" t="s">
        <v>52</v>
      </c>
      <c r="G12" s="4" t="s">
        <v>25</v>
      </c>
      <c r="H12" s="4" t="s">
        <v>37</v>
      </c>
      <c r="I12" s="5">
        <v>44682</v>
      </c>
      <c r="J12" s="6">
        <v>1800</v>
      </c>
      <c r="K12" s="6">
        <v>990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53</v>
      </c>
      <c r="R12" s="4">
        <v>0</v>
      </c>
      <c r="S12" s="4" t="s">
        <v>100</v>
      </c>
      <c r="U12" s="4">
        <v>2</v>
      </c>
      <c r="V12" s="4">
        <v>0</v>
      </c>
      <c r="W12" s="4">
        <v>0</v>
      </c>
    </row>
    <row r="13" spans="1:23" ht="11.25" customHeight="1" x14ac:dyDescent="0.25">
      <c r="A13" s="4" t="s">
        <v>21</v>
      </c>
      <c r="B13" s="4" t="s">
        <v>34</v>
      </c>
      <c r="C13" s="4" t="s">
        <v>51</v>
      </c>
      <c r="D13" s="4" t="s">
        <v>33</v>
      </c>
      <c r="E13" s="4" t="s">
        <v>25</v>
      </c>
      <c r="F13" s="4" t="s">
        <v>52</v>
      </c>
      <c r="G13" s="4" t="s">
        <v>25</v>
      </c>
      <c r="H13" s="4" t="s">
        <v>37</v>
      </c>
      <c r="I13" s="5">
        <v>44713</v>
      </c>
      <c r="J13" s="6">
        <v>1800</v>
      </c>
      <c r="K13" s="6">
        <v>990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53</v>
      </c>
      <c r="R13" s="4">
        <v>0</v>
      </c>
      <c r="S13" s="4" t="s">
        <v>101</v>
      </c>
      <c r="U13" s="4">
        <v>2</v>
      </c>
      <c r="V13" s="4">
        <v>0</v>
      </c>
      <c r="W13" s="4">
        <v>0</v>
      </c>
    </row>
    <row r="14" spans="1:23" ht="11.25" customHeight="1" x14ac:dyDescent="0.25">
      <c r="A14" s="4" t="s">
        <v>21</v>
      </c>
      <c r="B14" s="4" t="s">
        <v>34</v>
      </c>
      <c r="C14" s="4" t="s">
        <v>51</v>
      </c>
      <c r="D14" s="4" t="s">
        <v>33</v>
      </c>
      <c r="E14" s="4" t="s">
        <v>25</v>
      </c>
      <c r="F14" s="4" t="s">
        <v>52</v>
      </c>
      <c r="G14" s="4" t="s">
        <v>25</v>
      </c>
      <c r="H14" s="4" t="s">
        <v>25</v>
      </c>
      <c r="I14" s="5">
        <v>44378</v>
      </c>
      <c r="J14" s="6">
        <v>0</v>
      </c>
      <c r="K14" s="6">
        <v>0</v>
      </c>
      <c r="L14" s="6">
        <v>816.21</v>
      </c>
      <c r="M14" s="6">
        <v>816.21</v>
      </c>
      <c r="N14" s="6">
        <v>0</v>
      </c>
      <c r="O14" s="6">
        <v>0</v>
      </c>
      <c r="P14" s="6">
        <v>1</v>
      </c>
      <c r="Q14" s="4" t="s">
        <v>53</v>
      </c>
      <c r="R14" s="4">
        <v>0</v>
      </c>
      <c r="S14" s="4" t="s">
        <v>102</v>
      </c>
      <c r="U14" s="4">
        <v>0</v>
      </c>
      <c r="V14" s="4">
        <v>19</v>
      </c>
      <c r="W14" s="4">
        <v>0</v>
      </c>
    </row>
    <row r="15" spans="1:23" ht="11.25" customHeight="1" x14ac:dyDescent="0.25">
      <c r="A15" s="4" t="s">
        <v>21</v>
      </c>
      <c r="B15" s="4" t="s">
        <v>34</v>
      </c>
      <c r="C15" s="4" t="s">
        <v>51</v>
      </c>
      <c r="D15" s="4" t="s">
        <v>33</v>
      </c>
      <c r="E15" s="4" t="s">
        <v>25</v>
      </c>
      <c r="F15" s="4" t="s">
        <v>52</v>
      </c>
      <c r="G15" s="4" t="s">
        <v>25</v>
      </c>
      <c r="H15" s="4" t="s">
        <v>25</v>
      </c>
      <c r="I15" s="5">
        <v>44409</v>
      </c>
      <c r="J15" s="6">
        <v>0</v>
      </c>
      <c r="K15" s="6">
        <v>0</v>
      </c>
      <c r="L15" s="6">
        <v>769.80899999999997</v>
      </c>
      <c r="M15" s="6">
        <v>769.80899999999997</v>
      </c>
      <c r="N15" s="6">
        <v>0</v>
      </c>
      <c r="O15" s="6">
        <v>0</v>
      </c>
      <c r="P15" s="6">
        <v>1</v>
      </c>
      <c r="Q15" s="4" t="s">
        <v>53</v>
      </c>
      <c r="R15" s="4">
        <v>0</v>
      </c>
      <c r="S15" s="4" t="s">
        <v>103</v>
      </c>
      <c r="U15" s="4">
        <v>0</v>
      </c>
      <c r="V15" s="4">
        <v>19</v>
      </c>
      <c r="W15" s="4">
        <v>0</v>
      </c>
    </row>
    <row r="16" spans="1:23" ht="11.25" customHeight="1" x14ac:dyDescent="0.25">
      <c r="A16" s="4" t="s">
        <v>21</v>
      </c>
      <c r="B16" s="4" t="s">
        <v>34</v>
      </c>
      <c r="C16" s="4" t="s">
        <v>51</v>
      </c>
      <c r="D16" s="4" t="s">
        <v>33</v>
      </c>
      <c r="E16" s="4" t="s">
        <v>25</v>
      </c>
      <c r="F16" s="4" t="s">
        <v>52</v>
      </c>
      <c r="G16" s="4" t="s">
        <v>25</v>
      </c>
      <c r="H16" s="4" t="s">
        <v>25</v>
      </c>
      <c r="I16" s="5">
        <v>44440</v>
      </c>
      <c r="J16" s="6">
        <v>0</v>
      </c>
      <c r="K16" s="6">
        <v>0</v>
      </c>
      <c r="L16" s="6">
        <v>736.49300000000005</v>
      </c>
      <c r="M16" s="6">
        <v>736.49300000000005</v>
      </c>
      <c r="N16" s="6">
        <v>0</v>
      </c>
      <c r="O16" s="6">
        <v>0</v>
      </c>
      <c r="P16" s="6">
        <v>1</v>
      </c>
      <c r="Q16" s="4" t="s">
        <v>53</v>
      </c>
      <c r="R16" s="4">
        <v>0</v>
      </c>
      <c r="S16" s="4" t="s">
        <v>104</v>
      </c>
      <c r="U16" s="4">
        <v>0</v>
      </c>
      <c r="V16" s="4">
        <v>19</v>
      </c>
      <c r="W16" s="4">
        <v>0</v>
      </c>
    </row>
    <row r="17" spans="1:23" ht="11.25" customHeight="1" x14ac:dyDescent="0.25">
      <c r="A17" s="4" t="s">
        <v>21</v>
      </c>
      <c r="B17" s="4" t="s">
        <v>34</v>
      </c>
      <c r="C17" s="4" t="s">
        <v>51</v>
      </c>
      <c r="D17" s="4" t="s">
        <v>33</v>
      </c>
      <c r="E17" s="4" t="s">
        <v>25</v>
      </c>
      <c r="F17" s="4" t="s">
        <v>52</v>
      </c>
      <c r="G17" s="4" t="s">
        <v>25</v>
      </c>
      <c r="H17" s="4" t="s">
        <v>25</v>
      </c>
      <c r="I17" s="5">
        <v>44470</v>
      </c>
      <c r="J17" s="6">
        <v>0</v>
      </c>
      <c r="K17" s="6">
        <v>0</v>
      </c>
      <c r="L17" s="6">
        <v>814.29600000000005</v>
      </c>
      <c r="M17" s="6">
        <v>814.29600000000005</v>
      </c>
      <c r="N17" s="6">
        <v>0</v>
      </c>
      <c r="O17" s="6">
        <v>0</v>
      </c>
      <c r="P17" s="6">
        <v>1</v>
      </c>
      <c r="Q17" s="4" t="s">
        <v>53</v>
      </c>
      <c r="R17" s="4">
        <v>0</v>
      </c>
      <c r="S17" s="4" t="s">
        <v>105</v>
      </c>
      <c r="U17" s="4">
        <v>0</v>
      </c>
      <c r="V17" s="4">
        <v>19</v>
      </c>
      <c r="W17" s="4">
        <v>0</v>
      </c>
    </row>
    <row r="18" spans="1:23" ht="11.25" customHeight="1" x14ac:dyDescent="0.25">
      <c r="A18" s="4" t="s">
        <v>21</v>
      </c>
      <c r="B18" s="4" t="s">
        <v>34</v>
      </c>
      <c r="C18" s="4" t="s">
        <v>51</v>
      </c>
      <c r="D18" s="4" t="s">
        <v>33</v>
      </c>
      <c r="E18" s="4" t="s">
        <v>25</v>
      </c>
      <c r="F18" s="4" t="s">
        <v>52</v>
      </c>
      <c r="G18" s="4" t="s">
        <v>25</v>
      </c>
      <c r="H18" s="4" t="s">
        <v>25</v>
      </c>
      <c r="I18" s="5">
        <v>44501</v>
      </c>
      <c r="J18" s="6">
        <v>0</v>
      </c>
      <c r="K18" s="6">
        <v>0</v>
      </c>
      <c r="L18" s="6">
        <v>772.84299999999996</v>
      </c>
      <c r="M18" s="6">
        <v>772.84299999999996</v>
      </c>
      <c r="N18" s="6">
        <v>0</v>
      </c>
      <c r="O18" s="6">
        <v>0</v>
      </c>
      <c r="P18" s="6">
        <v>1</v>
      </c>
      <c r="Q18" s="4" t="s">
        <v>53</v>
      </c>
      <c r="R18" s="4">
        <v>0</v>
      </c>
      <c r="S18" s="4" t="s">
        <v>106</v>
      </c>
      <c r="U18" s="4">
        <v>0</v>
      </c>
      <c r="V18" s="4">
        <v>19</v>
      </c>
      <c r="W18" s="4">
        <v>0</v>
      </c>
    </row>
    <row r="19" spans="1:23" ht="11.25" customHeight="1" x14ac:dyDescent="0.25">
      <c r="A19" s="4" t="s">
        <v>21</v>
      </c>
      <c r="B19" s="4" t="s">
        <v>34</v>
      </c>
      <c r="C19" s="4" t="s">
        <v>51</v>
      </c>
      <c r="D19" s="4" t="s">
        <v>33</v>
      </c>
      <c r="E19" s="4" t="s">
        <v>25</v>
      </c>
      <c r="F19" s="4" t="s">
        <v>52</v>
      </c>
      <c r="G19" s="4" t="s">
        <v>25</v>
      </c>
      <c r="H19" s="4" t="s">
        <v>25</v>
      </c>
      <c r="I19" s="5">
        <v>44531</v>
      </c>
      <c r="J19" s="6">
        <v>0</v>
      </c>
      <c r="K19" s="6">
        <v>0</v>
      </c>
      <c r="L19" s="6">
        <v>596.46600000000001</v>
      </c>
      <c r="M19" s="6">
        <v>596.46600000000001</v>
      </c>
      <c r="N19" s="6">
        <v>0</v>
      </c>
      <c r="O19" s="6">
        <v>0</v>
      </c>
      <c r="P19" s="6">
        <v>1</v>
      </c>
      <c r="Q19" s="4" t="s">
        <v>53</v>
      </c>
      <c r="R19" s="4">
        <v>0</v>
      </c>
      <c r="S19" s="4" t="s">
        <v>107</v>
      </c>
      <c r="U19" s="4">
        <v>0</v>
      </c>
      <c r="V19" s="4">
        <v>19</v>
      </c>
      <c r="W19" s="4">
        <v>0</v>
      </c>
    </row>
    <row r="20" spans="1:23" ht="11.25" customHeight="1" x14ac:dyDescent="0.25">
      <c r="A20" s="4" t="s">
        <v>21</v>
      </c>
      <c r="B20" s="4" t="s">
        <v>34</v>
      </c>
      <c r="C20" s="4" t="s">
        <v>51</v>
      </c>
      <c r="D20" s="4" t="s">
        <v>33</v>
      </c>
      <c r="E20" s="4" t="s">
        <v>25</v>
      </c>
      <c r="F20" s="4" t="s">
        <v>52</v>
      </c>
      <c r="G20" s="4" t="s">
        <v>25</v>
      </c>
      <c r="H20" s="4" t="s">
        <v>25</v>
      </c>
      <c r="I20" s="5">
        <v>44562</v>
      </c>
      <c r="J20" s="6">
        <v>0</v>
      </c>
      <c r="K20" s="6">
        <v>0</v>
      </c>
      <c r="L20" s="6">
        <v>601.54100000000005</v>
      </c>
      <c r="M20" s="6">
        <v>601.54100000000005</v>
      </c>
      <c r="N20" s="6">
        <v>0</v>
      </c>
      <c r="O20" s="6">
        <v>0</v>
      </c>
      <c r="P20" s="6">
        <v>1</v>
      </c>
      <c r="Q20" s="4" t="s">
        <v>53</v>
      </c>
      <c r="R20" s="4">
        <v>0</v>
      </c>
      <c r="S20" s="4" t="s">
        <v>108</v>
      </c>
      <c r="U20" s="4">
        <v>0</v>
      </c>
      <c r="V20" s="4">
        <v>19</v>
      </c>
      <c r="W20" s="4">
        <v>0</v>
      </c>
    </row>
    <row r="21" spans="1:23" ht="11.25" customHeight="1" x14ac:dyDescent="0.25">
      <c r="A21" s="4" t="s">
        <v>21</v>
      </c>
      <c r="B21" s="4" t="s">
        <v>34</v>
      </c>
      <c r="C21" s="4" t="s">
        <v>51</v>
      </c>
      <c r="D21" s="4" t="s">
        <v>33</v>
      </c>
      <c r="E21" s="4" t="s">
        <v>25</v>
      </c>
      <c r="F21" s="4" t="s">
        <v>52</v>
      </c>
      <c r="G21" s="4" t="s">
        <v>25</v>
      </c>
      <c r="H21" s="4" t="s">
        <v>25</v>
      </c>
      <c r="I21" s="5">
        <v>44593</v>
      </c>
      <c r="J21" s="6">
        <v>0</v>
      </c>
      <c r="K21" s="6">
        <v>0</v>
      </c>
      <c r="L21" s="6">
        <v>705.21699999999998</v>
      </c>
      <c r="M21" s="6">
        <v>705.21699999999998</v>
      </c>
      <c r="N21" s="6">
        <v>0</v>
      </c>
      <c r="O21" s="6">
        <v>0</v>
      </c>
      <c r="P21" s="6">
        <v>1</v>
      </c>
      <c r="Q21" s="4" t="s">
        <v>53</v>
      </c>
      <c r="R21" s="4">
        <v>0</v>
      </c>
      <c r="S21" s="4" t="s">
        <v>109</v>
      </c>
      <c r="U21" s="4">
        <v>0</v>
      </c>
      <c r="V21" s="4">
        <v>19</v>
      </c>
      <c r="W21" s="4">
        <v>0</v>
      </c>
    </row>
    <row r="22" spans="1:23" ht="11.25" customHeight="1" x14ac:dyDescent="0.25">
      <c r="A22" s="4" t="s">
        <v>21</v>
      </c>
      <c r="B22" s="4" t="s">
        <v>34</v>
      </c>
      <c r="C22" s="4" t="s">
        <v>51</v>
      </c>
      <c r="D22" s="4" t="s">
        <v>33</v>
      </c>
      <c r="E22" s="4" t="s">
        <v>25</v>
      </c>
      <c r="F22" s="4" t="s">
        <v>52</v>
      </c>
      <c r="G22" s="4" t="s">
        <v>25</v>
      </c>
      <c r="H22" s="4" t="s">
        <v>25</v>
      </c>
      <c r="I22" s="5">
        <v>44621</v>
      </c>
      <c r="J22" s="6">
        <v>0</v>
      </c>
      <c r="K22" s="6">
        <v>0</v>
      </c>
      <c r="L22" s="6">
        <v>761.19200000000001</v>
      </c>
      <c r="M22" s="6">
        <v>761.19200000000001</v>
      </c>
      <c r="N22" s="6">
        <v>0</v>
      </c>
      <c r="O22" s="6">
        <v>0</v>
      </c>
      <c r="P22" s="6">
        <v>1</v>
      </c>
      <c r="Q22" s="4" t="s">
        <v>53</v>
      </c>
      <c r="R22" s="4">
        <v>0</v>
      </c>
      <c r="S22" s="4" t="s">
        <v>110</v>
      </c>
      <c r="U22" s="4">
        <v>0</v>
      </c>
      <c r="V22" s="4">
        <v>19</v>
      </c>
      <c r="W22" s="4">
        <v>0</v>
      </c>
    </row>
    <row r="23" spans="1:23" ht="11.25" customHeight="1" x14ac:dyDescent="0.25">
      <c r="A23" s="4" t="s">
        <v>21</v>
      </c>
      <c r="B23" s="4" t="s">
        <v>34</v>
      </c>
      <c r="C23" s="4" t="s">
        <v>51</v>
      </c>
      <c r="D23" s="4" t="s">
        <v>33</v>
      </c>
      <c r="E23" s="4" t="s">
        <v>25</v>
      </c>
      <c r="F23" s="4" t="s">
        <v>52</v>
      </c>
      <c r="G23" s="4" t="s">
        <v>25</v>
      </c>
      <c r="H23" s="4" t="s">
        <v>25</v>
      </c>
      <c r="I23" s="5">
        <v>44652</v>
      </c>
      <c r="J23" s="6">
        <v>0</v>
      </c>
      <c r="K23" s="6">
        <v>0</v>
      </c>
      <c r="L23" s="6">
        <v>683.74400000000003</v>
      </c>
      <c r="M23" s="6">
        <v>683.74400000000003</v>
      </c>
      <c r="N23" s="6">
        <v>0</v>
      </c>
      <c r="O23" s="6">
        <v>0</v>
      </c>
      <c r="P23" s="6">
        <v>1</v>
      </c>
      <c r="Q23" s="4" t="s">
        <v>53</v>
      </c>
      <c r="R23" s="4">
        <v>0</v>
      </c>
      <c r="S23" s="4" t="s">
        <v>111</v>
      </c>
      <c r="U23" s="4">
        <v>0</v>
      </c>
      <c r="V23" s="4">
        <v>19</v>
      </c>
      <c r="W23" s="4">
        <v>0</v>
      </c>
    </row>
    <row r="24" spans="1:23" ht="11.25" customHeight="1" x14ac:dyDescent="0.25">
      <c r="A24" s="4" t="s">
        <v>21</v>
      </c>
      <c r="B24" s="4" t="s">
        <v>34</v>
      </c>
      <c r="C24" s="4" t="s">
        <v>51</v>
      </c>
      <c r="D24" s="4" t="s">
        <v>33</v>
      </c>
      <c r="E24" s="4" t="s">
        <v>25</v>
      </c>
      <c r="F24" s="4" t="s">
        <v>52</v>
      </c>
      <c r="G24" s="4" t="s">
        <v>25</v>
      </c>
      <c r="H24" s="4" t="s">
        <v>25</v>
      </c>
      <c r="I24" s="5">
        <v>44682</v>
      </c>
      <c r="J24" s="6">
        <v>0</v>
      </c>
      <c r="K24" s="6">
        <v>0</v>
      </c>
      <c r="L24" s="6">
        <v>709.04</v>
      </c>
      <c r="M24" s="6">
        <v>709.04</v>
      </c>
      <c r="N24" s="6">
        <v>0</v>
      </c>
      <c r="O24" s="6">
        <v>0</v>
      </c>
      <c r="P24" s="6">
        <v>1</v>
      </c>
      <c r="Q24" s="4" t="s">
        <v>53</v>
      </c>
      <c r="R24" s="4">
        <v>0</v>
      </c>
      <c r="S24" s="4" t="s">
        <v>112</v>
      </c>
      <c r="U24" s="4">
        <v>0</v>
      </c>
      <c r="V24" s="4">
        <v>19</v>
      </c>
      <c r="W24" s="4">
        <v>0</v>
      </c>
    </row>
    <row r="25" spans="1:23" ht="11.25" customHeight="1" x14ac:dyDescent="0.25">
      <c r="A25" s="4" t="s">
        <v>21</v>
      </c>
      <c r="B25" s="4" t="s">
        <v>34</v>
      </c>
      <c r="C25" s="4" t="s">
        <v>51</v>
      </c>
      <c r="D25" s="4" t="s">
        <v>33</v>
      </c>
      <c r="E25" s="4" t="s">
        <v>25</v>
      </c>
      <c r="F25" s="4" t="s">
        <v>52</v>
      </c>
      <c r="G25" s="4" t="s">
        <v>25</v>
      </c>
      <c r="H25" s="4" t="s">
        <v>25</v>
      </c>
      <c r="I25" s="5">
        <v>44713</v>
      </c>
      <c r="J25" s="6">
        <v>0</v>
      </c>
      <c r="K25" s="6">
        <v>0</v>
      </c>
      <c r="L25" s="6">
        <v>709.08799999999997</v>
      </c>
      <c r="M25" s="6">
        <v>709.08799999999997</v>
      </c>
      <c r="N25" s="6">
        <v>0</v>
      </c>
      <c r="O25" s="6">
        <v>0</v>
      </c>
      <c r="P25" s="6">
        <v>1</v>
      </c>
      <c r="Q25" s="4" t="s">
        <v>53</v>
      </c>
      <c r="R25" s="4">
        <v>0</v>
      </c>
      <c r="S25" s="4" t="s">
        <v>113</v>
      </c>
      <c r="U25" s="4">
        <v>0</v>
      </c>
      <c r="V25" s="4">
        <v>19</v>
      </c>
      <c r="W25" s="4">
        <v>0</v>
      </c>
    </row>
    <row r="26" spans="1:23" ht="11.25" customHeight="1" x14ac:dyDescent="0.25">
      <c r="A26" s="4" t="s">
        <v>21</v>
      </c>
      <c r="B26" s="4" t="s">
        <v>34</v>
      </c>
      <c r="C26" s="4" t="s">
        <v>51</v>
      </c>
      <c r="D26" s="4" t="s">
        <v>33</v>
      </c>
      <c r="E26" s="4" t="s">
        <v>25</v>
      </c>
      <c r="F26" s="4" t="s">
        <v>52</v>
      </c>
      <c r="G26" s="4" t="s">
        <v>25</v>
      </c>
      <c r="H26" s="4" t="s">
        <v>36</v>
      </c>
      <c r="I26" s="5">
        <v>44378</v>
      </c>
      <c r="J26" s="6">
        <v>1700</v>
      </c>
      <c r="K26" s="6">
        <v>855.07099800000003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53</v>
      </c>
      <c r="R26" s="4">
        <v>0</v>
      </c>
      <c r="S26" s="4" t="s">
        <v>114</v>
      </c>
      <c r="U26" s="4">
        <v>8</v>
      </c>
      <c r="V26" s="4">
        <v>0</v>
      </c>
      <c r="W26" s="4">
        <v>0</v>
      </c>
    </row>
    <row r="27" spans="1:23" ht="11.25" customHeight="1" x14ac:dyDescent="0.25">
      <c r="A27" s="4" t="s">
        <v>21</v>
      </c>
      <c r="B27" s="4" t="s">
        <v>34</v>
      </c>
      <c r="C27" s="4" t="s">
        <v>51</v>
      </c>
      <c r="D27" s="4" t="s">
        <v>33</v>
      </c>
      <c r="E27" s="4" t="s">
        <v>25</v>
      </c>
      <c r="F27" s="4" t="s">
        <v>52</v>
      </c>
      <c r="G27" s="4" t="s">
        <v>25</v>
      </c>
      <c r="H27" s="4" t="s">
        <v>36</v>
      </c>
      <c r="I27" s="5">
        <v>44409</v>
      </c>
      <c r="J27" s="6">
        <v>1757</v>
      </c>
      <c r="K27" s="6">
        <v>895.97728311000003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53</v>
      </c>
      <c r="R27" s="4">
        <v>0</v>
      </c>
      <c r="S27" s="4" t="s">
        <v>115</v>
      </c>
      <c r="U27" s="4">
        <v>8</v>
      </c>
      <c r="V27" s="4">
        <v>0</v>
      </c>
      <c r="W27" s="4">
        <v>0</v>
      </c>
    </row>
    <row r="28" spans="1:23" ht="11.25" customHeight="1" x14ac:dyDescent="0.25">
      <c r="A28" s="4" t="s">
        <v>21</v>
      </c>
      <c r="B28" s="4" t="s">
        <v>34</v>
      </c>
      <c r="C28" s="4" t="s">
        <v>51</v>
      </c>
      <c r="D28" s="4" t="s">
        <v>33</v>
      </c>
      <c r="E28" s="4" t="s">
        <v>25</v>
      </c>
      <c r="F28" s="4" t="s">
        <v>52</v>
      </c>
      <c r="G28" s="4" t="s">
        <v>25</v>
      </c>
      <c r="H28" s="4" t="s">
        <v>36</v>
      </c>
      <c r="I28" s="5">
        <v>44440</v>
      </c>
      <c r="J28" s="6">
        <v>1700</v>
      </c>
      <c r="K28" s="6">
        <v>856.94091300000002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53</v>
      </c>
      <c r="R28" s="4">
        <v>0</v>
      </c>
      <c r="S28" s="4" t="s">
        <v>116</v>
      </c>
      <c r="U28" s="4">
        <v>8</v>
      </c>
      <c r="V28" s="4">
        <v>0</v>
      </c>
      <c r="W28" s="4">
        <v>0</v>
      </c>
    </row>
    <row r="29" spans="1:23" ht="11.25" customHeight="1" x14ac:dyDescent="0.25">
      <c r="A29" s="4" t="s">
        <v>21</v>
      </c>
      <c r="B29" s="4" t="s">
        <v>34</v>
      </c>
      <c r="C29" s="4" t="s">
        <v>51</v>
      </c>
      <c r="D29" s="4" t="s">
        <v>33</v>
      </c>
      <c r="E29" s="4" t="s">
        <v>25</v>
      </c>
      <c r="F29" s="4" t="s">
        <v>52</v>
      </c>
      <c r="G29" s="4" t="s">
        <v>25</v>
      </c>
      <c r="H29" s="4" t="s">
        <v>36</v>
      </c>
      <c r="I29" s="5">
        <v>44470</v>
      </c>
      <c r="J29" s="6">
        <v>1730</v>
      </c>
      <c r="K29" s="6">
        <v>865.41687809999996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53</v>
      </c>
      <c r="R29" s="4">
        <v>0</v>
      </c>
      <c r="S29" s="4" t="s">
        <v>117</v>
      </c>
      <c r="U29" s="4">
        <v>8</v>
      </c>
      <c r="V29" s="4">
        <v>0</v>
      </c>
      <c r="W29" s="4">
        <v>0</v>
      </c>
    </row>
    <row r="30" spans="1:23" ht="11.25" customHeight="1" x14ac:dyDescent="0.25">
      <c r="A30" s="4" t="s">
        <v>21</v>
      </c>
      <c r="B30" s="4" t="s">
        <v>34</v>
      </c>
      <c r="C30" s="4" t="s">
        <v>51</v>
      </c>
      <c r="D30" s="4" t="s">
        <v>33</v>
      </c>
      <c r="E30" s="4" t="s">
        <v>25</v>
      </c>
      <c r="F30" s="4" t="s">
        <v>52</v>
      </c>
      <c r="G30" s="4" t="s">
        <v>25</v>
      </c>
      <c r="H30" s="4" t="s">
        <v>36</v>
      </c>
      <c r="I30" s="5">
        <v>44501</v>
      </c>
      <c r="J30" s="6">
        <v>1700</v>
      </c>
      <c r="K30" s="6">
        <v>850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53</v>
      </c>
      <c r="R30" s="4">
        <v>0</v>
      </c>
      <c r="S30" s="4" t="s">
        <v>118</v>
      </c>
      <c r="U30" s="4">
        <v>8</v>
      </c>
      <c r="V30" s="4">
        <v>0</v>
      </c>
      <c r="W30" s="4">
        <v>0</v>
      </c>
    </row>
    <row r="31" spans="1:23" ht="11.25" customHeight="1" x14ac:dyDescent="0.25">
      <c r="A31" s="4" t="s">
        <v>21</v>
      </c>
      <c r="B31" s="4" t="s">
        <v>34</v>
      </c>
      <c r="C31" s="4" t="s">
        <v>51</v>
      </c>
      <c r="D31" s="4" t="s">
        <v>33</v>
      </c>
      <c r="E31" s="4" t="s">
        <v>25</v>
      </c>
      <c r="F31" s="4" t="s">
        <v>52</v>
      </c>
      <c r="G31" s="4" t="s">
        <v>25</v>
      </c>
      <c r="H31" s="4" t="s">
        <v>36</v>
      </c>
      <c r="I31" s="5">
        <v>44531</v>
      </c>
      <c r="J31" s="6">
        <v>1700</v>
      </c>
      <c r="K31" s="6">
        <v>880.96453099999997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53</v>
      </c>
      <c r="R31" s="4">
        <v>0</v>
      </c>
      <c r="S31" s="4" t="s">
        <v>119</v>
      </c>
      <c r="U31" s="4">
        <v>8</v>
      </c>
      <c r="V31" s="4">
        <v>0</v>
      </c>
      <c r="W31" s="4">
        <v>0</v>
      </c>
    </row>
    <row r="32" spans="1:23" ht="11.25" customHeight="1" x14ac:dyDescent="0.25">
      <c r="A32" s="4" t="s">
        <v>21</v>
      </c>
      <c r="B32" s="4" t="s">
        <v>34</v>
      </c>
      <c r="C32" s="4" t="s">
        <v>51</v>
      </c>
      <c r="D32" s="4" t="s">
        <v>33</v>
      </c>
      <c r="E32" s="4" t="s">
        <v>25</v>
      </c>
      <c r="F32" s="4" t="s">
        <v>52</v>
      </c>
      <c r="G32" s="4" t="s">
        <v>25</v>
      </c>
      <c r="H32" s="4" t="s">
        <v>36</v>
      </c>
      <c r="I32" s="5">
        <v>44562</v>
      </c>
      <c r="J32" s="6">
        <v>1700</v>
      </c>
      <c r="K32" s="6">
        <v>851.10343599999999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53</v>
      </c>
      <c r="R32" s="4">
        <v>0</v>
      </c>
      <c r="S32" s="4" t="s">
        <v>120</v>
      </c>
      <c r="U32" s="4">
        <v>8</v>
      </c>
      <c r="V32" s="4">
        <v>0</v>
      </c>
      <c r="W32" s="4">
        <v>0</v>
      </c>
    </row>
    <row r="33" spans="1:23" ht="11.25" customHeight="1" x14ac:dyDescent="0.25">
      <c r="A33" s="4" t="s">
        <v>21</v>
      </c>
      <c r="B33" s="4" t="s">
        <v>34</v>
      </c>
      <c r="C33" s="4" t="s">
        <v>51</v>
      </c>
      <c r="D33" s="4" t="s">
        <v>33</v>
      </c>
      <c r="E33" s="4" t="s">
        <v>25</v>
      </c>
      <c r="F33" s="4" t="s">
        <v>52</v>
      </c>
      <c r="G33" s="4" t="s">
        <v>25</v>
      </c>
      <c r="H33" s="4" t="s">
        <v>36</v>
      </c>
      <c r="I33" s="5">
        <v>44593</v>
      </c>
      <c r="J33" s="6">
        <v>1700</v>
      </c>
      <c r="K33" s="6">
        <v>850.76069900000005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53</v>
      </c>
      <c r="R33" s="4">
        <v>0</v>
      </c>
      <c r="S33" s="4" t="s">
        <v>121</v>
      </c>
      <c r="U33" s="4">
        <v>8</v>
      </c>
      <c r="V33" s="4">
        <v>0</v>
      </c>
      <c r="W33" s="4">
        <v>0</v>
      </c>
    </row>
    <row r="34" spans="1:23" ht="11.25" customHeight="1" x14ac:dyDescent="0.25">
      <c r="A34" s="4" t="s">
        <v>21</v>
      </c>
      <c r="B34" s="4" t="s">
        <v>34</v>
      </c>
      <c r="C34" s="4" t="s">
        <v>51</v>
      </c>
      <c r="D34" s="4" t="s">
        <v>33</v>
      </c>
      <c r="E34" s="4" t="s">
        <v>25</v>
      </c>
      <c r="F34" s="4" t="s">
        <v>52</v>
      </c>
      <c r="G34" s="4" t="s">
        <v>25</v>
      </c>
      <c r="H34" s="4" t="s">
        <v>36</v>
      </c>
      <c r="I34" s="5">
        <v>44621</v>
      </c>
      <c r="J34" s="6">
        <v>1700</v>
      </c>
      <c r="K34" s="6">
        <v>851.16982099999996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53</v>
      </c>
      <c r="R34" s="4">
        <v>0</v>
      </c>
      <c r="S34" s="4" t="s">
        <v>122</v>
      </c>
      <c r="U34" s="4">
        <v>8</v>
      </c>
      <c r="V34" s="4">
        <v>0</v>
      </c>
      <c r="W34" s="4">
        <v>0</v>
      </c>
    </row>
    <row r="35" spans="1:23" ht="11.25" customHeight="1" x14ac:dyDescent="0.25">
      <c r="A35" s="4" t="s">
        <v>21</v>
      </c>
      <c r="B35" s="4" t="s">
        <v>34</v>
      </c>
      <c r="C35" s="4" t="s">
        <v>51</v>
      </c>
      <c r="D35" s="4" t="s">
        <v>33</v>
      </c>
      <c r="E35" s="4" t="s">
        <v>25</v>
      </c>
      <c r="F35" s="4" t="s">
        <v>52</v>
      </c>
      <c r="G35" s="4" t="s">
        <v>25</v>
      </c>
      <c r="H35" s="4" t="s">
        <v>36</v>
      </c>
      <c r="I35" s="5">
        <v>44652</v>
      </c>
      <c r="J35" s="6">
        <v>1700</v>
      </c>
      <c r="K35" s="6">
        <v>851.56546200000003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53</v>
      </c>
      <c r="R35" s="4">
        <v>0</v>
      </c>
      <c r="S35" s="4" t="s">
        <v>123</v>
      </c>
      <c r="U35" s="4">
        <v>8</v>
      </c>
      <c r="V35" s="4">
        <v>0</v>
      </c>
      <c r="W35" s="4">
        <v>0</v>
      </c>
    </row>
    <row r="36" spans="1:23" ht="11.25" customHeight="1" x14ac:dyDescent="0.25">
      <c r="A36" s="4" t="s">
        <v>21</v>
      </c>
      <c r="B36" s="4" t="s">
        <v>34</v>
      </c>
      <c r="C36" s="4" t="s">
        <v>51</v>
      </c>
      <c r="D36" s="4" t="s">
        <v>33</v>
      </c>
      <c r="E36" s="4" t="s">
        <v>25</v>
      </c>
      <c r="F36" s="4" t="s">
        <v>52</v>
      </c>
      <c r="G36" s="4" t="s">
        <v>25</v>
      </c>
      <c r="H36" s="4" t="s">
        <v>36</v>
      </c>
      <c r="I36" s="5">
        <v>44682</v>
      </c>
      <c r="J36" s="6">
        <v>1700</v>
      </c>
      <c r="K36" s="6">
        <v>935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53</v>
      </c>
      <c r="R36" s="4">
        <v>0</v>
      </c>
      <c r="S36" s="4" t="s">
        <v>124</v>
      </c>
      <c r="U36" s="4">
        <v>8</v>
      </c>
      <c r="V36" s="4">
        <v>0</v>
      </c>
      <c r="W36" s="4">
        <v>0</v>
      </c>
    </row>
    <row r="37" spans="1:23" ht="11.25" customHeight="1" x14ac:dyDescent="0.25">
      <c r="A37" s="4" t="s">
        <v>21</v>
      </c>
      <c r="B37" s="4" t="s">
        <v>34</v>
      </c>
      <c r="C37" s="4" t="s">
        <v>51</v>
      </c>
      <c r="D37" s="4" t="s">
        <v>33</v>
      </c>
      <c r="E37" s="4" t="s">
        <v>25</v>
      </c>
      <c r="F37" s="4" t="s">
        <v>52</v>
      </c>
      <c r="G37" s="4" t="s">
        <v>25</v>
      </c>
      <c r="H37" s="4" t="s">
        <v>36</v>
      </c>
      <c r="I37" s="5">
        <v>44713</v>
      </c>
      <c r="J37" s="6">
        <v>1700</v>
      </c>
      <c r="K37" s="6">
        <v>935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53</v>
      </c>
      <c r="R37" s="4">
        <v>0</v>
      </c>
      <c r="S37" s="4" t="s">
        <v>125</v>
      </c>
      <c r="U37" s="4">
        <v>8</v>
      </c>
      <c r="V37" s="4">
        <v>0</v>
      </c>
      <c r="W37" s="4">
        <v>0</v>
      </c>
    </row>
    <row r="38" spans="1:23" ht="11.25" customHeight="1" x14ac:dyDescent="0.25">
      <c r="A38" s="4" t="s">
        <v>21</v>
      </c>
      <c r="B38" s="4" t="s">
        <v>34</v>
      </c>
      <c r="C38" s="4" t="s">
        <v>35</v>
      </c>
      <c r="D38" s="4" t="s">
        <v>38</v>
      </c>
      <c r="E38" s="4" t="s">
        <v>25</v>
      </c>
      <c r="F38" s="4" t="s">
        <v>25</v>
      </c>
      <c r="G38" s="4" t="s">
        <v>25</v>
      </c>
      <c r="H38" s="4" t="s">
        <v>37</v>
      </c>
      <c r="I38" s="5">
        <v>44378</v>
      </c>
      <c r="J38" s="6">
        <v>0</v>
      </c>
      <c r="K38" s="6">
        <v>0</v>
      </c>
      <c r="L38" s="6">
        <v>178.31800000000001</v>
      </c>
      <c r="M38" s="6">
        <v>178.31800000000001</v>
      </c>
      <c r="N38" s="6">
        <v>178.31800000000001</v>
      </c>
      <c r="O38" s="6">
        <v>178.31800000000001</v>
      </c>
      <c r="P38" s="6">
        <v>0</v>
      </c>
      <c r="Q38" s="4" t="s">
        <v>26</v>
      </c>
      <c r="R38" s="4">
        <v>0</v>
      </c>
      <c r="S38" s="4" t="s">
        <v>126</v>
      </c>
      <c r="T38" s="4" t="s">
        <v>271</v>
      </c>
      <c r="U38" s="4">
        <v>0</v>
      </c>
      <c r="V38" s="4">
        <v>13</v>
      </c>
      <c r="W38" s="4">
        <v>16</v>
      </c>
    </row>
    <row r="39" spans="1:23" ht="11.25" customHeight="1" x14ac:dyDescent="0.25">
      <c r="A39" s="4" t="s">
        <v>27</v>
      </c>
      <c r="B39" s="4" t="s">
        <v>34</v>
      </c>
      <c r="C39" s="4" t="s">
        <v>35</v>
      </c>
      <c r="D39" s="4" t="s">
        <v>38</v>
      </c>
      <c r="E39" s="4" t="s">
        <v>25</v>
      </c>
      <c r="F39" s="4" t="s">
        <v>25</v>
      </c>
      <c r="G39" s="4" t="s">
        <v>25</v>
      </c>
      <c r="H39" s="4" t="s">
        <v>37</v>
      </c>
      <c r="I39" s="5">
        <v>44378</v>
      </c>
      <c r="J39" s="6">
        <v>0</v>
      </c>
      <c r="K39" s="6">
        <v>0</v>
      </c>
      <c r="L39" s="6">
        <v>12.545</v>
      </c>
      <c r="M39" s="6">
        <v>12.545</v>
      </c>
      <c r="N39" s="6">
        <v>12.545</v>
      </c>
      <c r="O39" s="6">
        <v>12.545</v>
      </c>
      <c r="P39" s="6">
        <v>0</v>
      </c>
      <c r="Q39" s="4" t="s">
        <v>26</v>
      </c>
      <c r="R39" s="4">
        <v>0</v>
      </c>
      <c r="S39" s="4" t="s">
        <v>126</v>
      </c>
      <c r="T39" s="4" t="s">
        <v>271</v>
      </c>
      <c r="U39" s="4">
        <v>0</v>
      </c>
      <c r="V39" s="4">
        <v>13</v>
      </c>
      <c r="W39" s="4">
        <v>16</v>
      </c>
    </row>
    <row r="40" spans="1:23" ht="11.25" customHeight="1" x14ac:dyDescent="0.25">
      <c r="A40" s="4" t="s">
        <v>21</v>
      </c>
      <c r="B40" s="4" t="s">
        <v>34</v>
      </c>
      <c r="C40" s="4" t="s">
        <v>35</v>
      </c>
      <c r="D40" s="4" t="s">
        <v>38</v>
      </c>
      <c r="E40" s="4" t="s">
        <v>25</v>
      </c>
      <c r="F40" s="4" t="s">
        <v>25</v>
      </c>
      <c r="G40" s="4" t="s">
        <v>25</v>
      </c>
      <c r="H40" s="4" t="s">
        <v>37</v>
      </c>
      <c r="I40" s="5">
        <v>44409</v>
      </c>
      <c r="J40" s="6">
        <v>0</v>
      </c>
      <c r="K40" s="6">
        <v>0</v>
      </c>
      <c r="L40" s="6">
        <v>172.43899999999999</v>
      </c>
      <c r="M40" s="6">
        <v>172.43899999999999</v>
      </c>
      <c r="N40" s="6">
        <v>172.43899999999999</v>
      </c>
      <c r="O40" s="6">
        <v>172.43899999999999</v>
      </c>
      <c r="P40" s="6">
        <v>0</v>
      </c>
      <c r="Q40" s="4" t="s">
        <v>26</v>
      </c>
      <c r="R40" s="4">
        <v>0</v>
      </c>
      <c r="S40" s="4" t="s">
        <v>127</v>
      </c>
      <c r="T40" s="4" t="s">
        <v>272</v>
      </c>
      <c r="U40" s="4">
        <v>0</v>
      </c>
      <c r="V40" s="4">
        <v>13</v>
      </c>
      <c r="W40" s="4">
        <v>16</v>
      </c>
    </row>
    <row r="41" spans="1:23" ht="11.25" customHeight="1" x14ac:dyDescent="0.25">
      <c r="A41" s="4" t="s">
        <v>27</v>
      </c>
      <c r="B41" s="4" t="s">
        <v>34</v>
      </c>
      <c r="C41" s="4" t="s">
        <v>35</v>
      </c>
      <c r="D41" s="4" t="s">
        <v>38</v>
      </c>
      <c r="E41" s="4" t="s">
        <v>25</v>
      </c>
      <c r="F41" s="4" t="s">
        <v>25</v>
      </c>
      <c r="G41" s="4" t="s">
        <v>25</v>
      </c>
      <c r="H41" s="4" t="s">
        <v>37</v>
      </c>
      <c r="I41" s="5">
        <v>44409</v>
      </c>
      <c r="J41" s="6">
        <v>0</v>
      </c>
      <c r="K41" s="6">
        <v>0</v>
      </c>
      <c r="L41" s="6">
        <v>9.2539999999999996</v>
      </c>
      <c r="M41" s="6">
        <v>9.2539999999999996</v>
      </c>
      <c r="N41" s="6">
        <v>9.2539999999999996</v>
      </c>
      <c r="O41" s="6">
        <v>9.2539999999999996</v>
      </c>
      <c r="P41" s="6">
        <v>0</v>
      </c>
      <c r="Q41" s="4" t="s">
        <v>26</v>
      </c>
      <c r="R41" s="4">
        <v>0</v>
      </c>
      <c r="S41" s="4" t="s">
        <v>127</v>
      </c>
      <c r="T41" s="4" t="s">
        <v>272</v>
      </c>
      <c r="U41" s="4">
        <v>0</v>
      </c>
      <c r="V41" s="4">
        <v>13</v>
      </c>
      <c r="W41" s="4">
        <v>16</v>
      </c>
    </row>
    <row r="42" spans="1:23" ht="11.25" customHeight="1" x14ac:dyDescent="0.25">
      <c r="A42" s="4" t="s">
        <v>21</v>
      </c>
      <c r="B42" s="4" t="s">
        <v>34</v>
      </c>
      <c r="C42" s="4" t="s">
        <v>35</v>
      </c>
      <c r="D42" s="4" t="s">
        <v>38</v>
      </c>
      <c r="E42" s="4" t="s">
        <v>25</v>
      </c>
      <c r="F42" s="4" t="s">
        <v>25</v>
      </c>
      <c r="G42" s="4" t="s">
        <v>25</v>
      </c>
      <c r="H42" s="4" t="s">
        <v>37</v>
      </c>
      <c r="I42" s="5">
        <v>44440</v>
      </c>
      <c r="J42" s="6">
        <v>0</v>
      </c>
      <c r="K42" s="6">
        <v>0</v>
      </c>
      <c r="L42" s="6">
        <v>166.48099999999999</v>
      </c>
      <c r="M42" s="6">
        <v>166.48099999999999</v>
      </c>
      <c r="N42" s="6">
        <v>166.48099999999999</v>
      </c>
      <c r="O42" s="6">
        <v>166.48099999999999</v>
      </c>
      <c r="P42" s="6">
        <v>0</v>
      </c>
      <c r="Q42" s="4" t="s">
        <v>26</v>
      </c>
      <c r="R42" s="4">
        <v>0</v>
      </c>
      <c r="S42" s="4" t="s">
        <v>128</v>
      </c>
      <c r="T42" s="4" t="s">
        <v>273</v>
      </c>
      <c r="U42" s="4">
        <v>0</v>
      </c>
      <c r="V42" s="4">
        <v>13</v>
      </c>
      <c r="W42" s="4">
        <v>16</v>
      </c>
    </row>
    <row r="43" spans="1:23" ht="11.25" customHeight="1" x14ac:dyDescent="0.25">
      <c r="A43" s="4" t="s">
        <v>27</v>
      </c>
      <c r="B43" s="4" t="s">
        <v>34</v>
      </c>
      <c r="C43" s="4" t="s">
        <v>35</v>
      </c>
      <c r="D43" s="4" t="s">
        <v>38</v>
      </c>
      <c r="E43" s="4" t="s">
        <v>25</v>
      </c>
      <c r="F43" s="4" t="s">
        <v>25</v>
      </c>
      <c r="G43" s="4" t="s">
        <v>25</v>
      </c>
      <c r="H43" s="4" t="s">
        <v>37</v>
      </c>
      <c r="I43" s="5">
        <v>44440</v>
      </c>
      <c r="J43" s="6">
        <v>0</v>
      </c>
      <c r="K43" s="6">
        <v>0</v>
      </c>
      <c r="L43" s="6">
        <v>7.24</v>
      </c>
      <c r="M43" s="6">
        <v>7.24</v>
      </c>
      <c r="N43" s="6">
        <v>7.24</v>
      </c>
      <c r="O43" s="6">
        <v>7.24</v>
      </c>
      <c r="P43" s="6">
        <v>0</v>
      </c>
      <c r="Q43" s="4" t="s">
        <v>26</v>
      </c>
      <c r="R43" s="4">
        <v>0</v>
      </c>
      <c r="S43" s="4" t="s">
        <v>128</v>
      </c>
      <c r="T43" s="4" t="s">
        <v>273</v>
      </c>
      <c r="U43" s="4">
        <v>0</v>
      </c>
      <c r="V43" s="4">
        <v>13</v>
      </c>
      <c r="W43" s="4">
        <v>16</v>
      </c>
    </row>
    <row r="44" spans="1:23" ht="11.25" customHeight="1" x14ac:dyDescent="0.25">
      <c r="A44" s="4" t="s">
        <v>21</v>
      </c>
      <c r="B44" s="4" t="s">
        <v>34</v>
      </c>
      <c r="C44" s="4" t="s">
        <v>35</v>
      </c>
      <c r="D44" s="4" t="s">
        <v>38</v>
      </c>
      <c r="E44" s="4" t="s">
        <v>25</v>
      </c>
      <c r="F44" s="4" t="s">
        <v>25</v>
      </c>
      <c r="G44" s="4" t="s">
        <v>25</v>
      </c>
      <c r="H44" s="4" t="s">
        <v>37</v>
      </c>
      <c r="I44" s="5">
        <v>44470</v>
      </c>
      <c r="J44" s="6">
        <v>0</v>
      </c>
      <c r="K44" s="6">
        <v>0</v>
      </c>
      <c r="L44" s="6">
        <v>175.33600000000001</v>
      </c>
      <c r="M44" s="6">
        <v>175.33600000000001</v>
      </c>
      <c r="N44" s="6">
        <v>175.33600000000001</v>
      </c>
      <c r="O44" s="6">
        <v>175.33600000000001</v>
      </c>
      <c r="P44" s="6">
        <v>0</v>
      </c>
      <c r="Q44" s="4" t="s">
        <v>26</v>
      </c>
      <c r="R44" s="4">
        <v>0</v>
      </c>
      <c r="S44" s="4" t="s">
        <v>129</v>
      </c>
      <c r="T44" s="4" t="s">
        <v>274</v>
      </c>
      <c r="U44" s="4">
        <v>0</v>
      </c>
      <c r="V44" s="4">
        <v>13</v>
      </c>
      <c r="W44" s="4">
        <v>16</v>
      </c>
    </row>
    <row r="45" spans="1:23" ht="11.25" customHeight="1" x14ac:dyDescent="0.25">
      <c r="A45" s="4" t="s">
        <v>27</v>
      </c>
      <c r="B45" s="4" t="s">
        <v>34</v>
      </c>
      <c r="C45" s="4" t="s">
        <v>35</v>
      </c>
      <c r="D45" s="4" t="s">
        <v>38</v>
      </c>
      <c r="E45" s="4" t="s">
        <v>25</v>
      </c>
      <c r="F45" s="4" t="s">
        <v>25</v>
      </c>
      <c r="G45" s="4" t="s">
        <v>25</v>
      </c>
      <c r="H45" s="4" t="s">
        <v>37</v>
      </c>
      <c r="I45" s="5">
        <v>44470</v>
      </c>
      <c r="J45" s="6">
        <v>0</v>
      </c>
      <c r="K45" s="6">
        <v>0</v>
      </c>
      <c r="L45" s="6">
        <v>8.6389999999999993</v>
      </c>
      <c r="M45" s="6">
        <v>8.6389999999999993</v>
      </c>
      <c r="N45" s="6">
        <v>8.6389999999999993</v>
      </c>
      <c r="O45" s="6">
        <v>8.6389999999999993</v>
      </c>
      <c r="P45" s="6">
        <v>0</v>
      </c>
      <c r="Q45" s="4" t="s">
        <v>26</v>
      </c>
      <c r="R45" s="4">
        <v>0</v>
      </c>
      <c r="S45" s="4" t="s">
        <v>129</v>
      </c>
      <c r="T45" s="4" t="s">
        <v>274</v>
      </c>
      <c r="U45" s="4">
        <v>0</v>
      </c>
      <c r="V45" s="4">
        <v>13</v>
      </c>
      <c r="W45" s="4">
        <v>16</v>
      </c>
    </row>
    <row r="46" spans="1:23" ht="11.25" customHeight="1" x14ac:dyDescent="0.25">
      <c r="A46" s="4" t="s">
        <v>21</v>
      </c>
      <c r="B46" s="4" t="s">
        <v>34</v>
      </c>
      <c r="C46" s="4" t="s">
        <v>35</v>
      </c>
      <c r="D46" s="4" t="s">
        <v>38</v>
      </c>
      <c r="E46" s="4" t="s">
        <v>25</v>
      </c>
      <c r="F46" s="4" t="s">
        <v>25</v>
      </c>
      <c r="G46" s="4" t="s">
        <v>25</v>
      </c>
      <c r="H46" s="4" t="s">
        <v>37</v>
      </c>
      <c r="I46" s="5">
        <v>44501</v>
      </c>
      <c r="J46" s="6">
        <v>0</v>
      </c>
      <c r="K46" s="6">
        <v>0</v>
      </c>
      <c r="L46" s="6">
        <v>205.268</v>
      </c>
      <c r="M46" s="6">
        <v>205.268</v>
      </c>
      <c r="N46" s="6">
        <v>205.268</v>
      </c>
      <c r="O46" s="6">
        <v>205.268</v>
      </c>
      <c r="P46" s="6">
        <v>0</v>
      </c>
      <c r="Q46" s="4" t="s">
        <v>26</v>
      </c>
      <c r="R46" s="4">
        <v>0</v>
      </c>
      <c r="S46" s="4" t="s">
        <v>130</v>
      </c>
      <c r="T46" s="4" t="s">
        <v>275</v>
      </c>
      <c r="U46" s="4">
        <v>0</v>
      </c>
      <c r="V46" s="4">
        <v>13</v>
      </c>
      <c r="W46" s="4">
        <v>16</v>
      </c>
    </row>
    <row r="47" spans="1:23" ht="11.25" customHeight="1" x14ac:dyDescent="0.25">
      <c r="A47" s="4" t="s">
        <v>27</v>
      </c>
      <c r="B47" s="4" t="s">
        <v>34</v>
      </c>
      <c r="C47" s="4" t="s">
        <v>35</v>
      </c>
      <c r="D47" s="4" t="s">
        <v>38</v>
      </c>
      <c r="E47" s="4" t="s">
        <v>25</v>
      </c>
      <c r="F47" s="4" t="s">
        <v>25</v>
      </c>
      <c r="G47" s="4" t="s">
        <v>25</v>
      </c>
      <c r="H47" s="4" t="s">
        <v>37</v>
      </c>
      <c r="I47" s="5">
        <v>44501</v>
      </c>
      <c r="J47" s="6">
        <v>0</v>
      </c>
      <c r="K47" s="6">
        <v>0</v>
      </c>
      <c r="L47" s="6">
        <v>32.134999999999998</v>
      </c>
      <c r="M47" s="6">
        <v>32.134999999999998</v>
      </c>
      <c r="N47" s="6">
        <v>32.134999999999998</v>
      </c>
      <c r="O47" s="6">
        <v>32.134999999999998</v>
      </c>
      <c r="P47" s="6">
        <v>0</v>
      </c>
      <c r="Q47" s="4" t="s">
        <v>26</v>
      </c>
      <c r="R47" s="4">
        <v>0</v>
      </c>
      <c r="S47" s="4" t="s">
        <v>130</v>
      </c>
      <c r="T47" s="4" t="s">
        <v>275</v>
      </c>
      <c r="U47" s="4">
        <v>0</v>
      </c>
      <c r="V47" s="4">
        <v>13</v>
      </c>
      <c r="W47" s="4">
        <v>16</v>
      </c>
    </row>
    <row r="48" spans="1:23" ht="11.25" customHeight="1" x14ac:dyDescent="0.25">
      <c r="A48" s="4" t="s">
        <v>21</v>
      </c>
      <c r="B48" s="4" t="s">
        <v>34</v>
      </c>
      <c r="C48" s="4" t="s">
        <v>35</v>
      </c>
      <c r="D48" s="4" t="s">
        <v>38</v>
      </c>
      <c r="E48" s="4" t="s">
        <v>25</v>
      </c>
      <c r="F48" s="4" t="s">
        <v>25</v>
      </c>
      <c r="G48" s="4" t="s">
        <v>25</v>
      </c>
      <c r="H48" s="4" t="s">
        <v>37</v>
      </c>
      <c r="I48" s="5">
        <v>44531</v>
      </c>
      <c r="J48" s="6">
        <v>0</v>
      </c>
      <c r="K48" s="6">
        <v>0</v>
      </c>
      <c r="L48" s="6">
        <v>219.99600000000001</v>
      </c>
      <c r="M48" s="6">
        <v>219.99600000000001</v>
      </c>
      <c r="N48" s="6">
        <v>219.99600000000001</v>
      </c>
      <c r="O48" s="6">
        <v>219.99600000000001</v>
      </c>
      <c r="P48" s="6">
        <v>0</v>
      </c>
      <c r="Q48" s="4" t="s">
        <v>26</v>
      </c>
      <c r="R48" s="4">
        <v>0</v>
      </c>
      <c r="S48" s="4" t="s">
        <v>131</v>
      </c>
      <c r="T48" s="4" t="s">
        <v>276</v>
      </c>
      <c r="U48" s="4">
        <v>0</v>
      </c>
      <c r="V48" s="4">
        <v>13</v>
      </c>
      <c r="W48" s="4">
        <v>16</v>
      </c>
    </row>
    <row r="49" spans="1:23" ht="11.25" customHeight="1" x14ac:dyDescent="0.25">
      <c r="A49" s="4" t="s">
        <v>27</v>
      </c>
      <c r="B49" s="4" t="s">
        <v>34</v>
      </c>
      <c r="C49" s="4" t="s">
        <v>35</v>
      </c>
      <c r="D49" s="4" t="s">
        <v>38</v>
      </c>
      <c r="E49" s="4" t="s">
        <v>25</v>
      </c>
      <c r="F49" s="4" t="s">
        <v>25</v>
      </c>
      <c r="G49" s="4" t="s">
        <v>25</v>
      </c>
      <c r="H49" s="4" t="s">
        <v>37</v>
      </c>
      <c r="I49" s="5">
        <v>44531</v>
      </c>
      <c r="J49" s="6">
        <v>0</v>
      </c>
      <c r="K49" s="6">
        <v>0</v>
      </c>
      <c r="L49" s="6">
        <v>16.257999999999999</v>
      </c>
      <c r="M49" s="6">
        <v>16.257999999999999</v>
      </c>
      <c r="N49" s="6">
        <v>16.257999999999999</v>
      </c>
      <c r="O49" s="6">
        <v>16.257999999999999</v>
      </c>
      <c r="P49" s="6">
        <v>0</v>
      </c>
      <c r="Q49" s="4" t="s">
        <v>26</v>
      </c>
      <c r="R49" s="4">
        <v>0</v>
      </c>
      <c r="S49" s="4" t="s">
        <v>131</v>
      </c>
      <c r="T49" s="4" t="s">
        <v>276</v>
      </c>
      <c r="U49" s="4">
        <v>0</v>
      </c>
      <c r="V49" s="4">
        <v>13</v>
      </c>
      <c r="W49" s="4">
        <v>16</v>
      </c>
    </row>
    <row r="50" spans="1:23" ht="11.25" customHeight="1" x14ac:dyDescent="0.25">
      <c r="A50" s="4" t="s">
        <v>21</v>
      </c>
      <c r="B50" s="4" t="s">
        <v>34</v>
      </c>
      <c r="C50" s="4" t="s">
        <v>35</v>
      </c>
      <c r="D50" s="4" t="s">
        <v>38</v>
      </c>
      <c r="E50" s="4" t="s">
        <v>25</v>
      </c>
      <c r="F50" s="4" t="s">
        <v>25</v>
      </c>
      <c r="G50" s="4" t="s">
        <v>25</v>
      </c>
      <c r="H50" s="4" t="s">
        <v>37</v>
      </c>
      <c r="I50" s="5">
        <v>44562</v>
      </c>
      <c r="J50" s="6">
        <v>0</v>
      </c>
      <c r="K50" s="6">
        <v>0</v>
      </c>
      <c r="L50" s="6">
        <v>234.53899999999999</v>
      </c>
      <c r="M50" s="6">
        <v>234.53899999999999</v>
      </c>
      <c r="N50" s="6">
        <v>234.53899999999999</v>
      </c>
      <c r="O50" s="6">
        <v>234.53899999999999</v>
      </c>
      <c r="P50" s="6">
        <v>0</v>
      </c>
      <c r="Q50" s="4" t="s">
        <v>26</v>
      </c>
      <c r="R50" s="4">
        <v>0</v>
      </c>
      <c r="S50" s="4" t="s">
        <v>132</v>
      </c>
      <c r="T50" s="4" t="s">
        <v>277</v>
      </c>
      <c r="U50" s="4">
        <v>0</v>
      </c>
      <c r="V50" s="4">
        <v>13</v>
      </c>
      <c r="W50" s="4">
        <v>16</v>
      </c>
    </row>
    <row r="51" spans="1:23" ht="11.25" customHeight="1" x14ac:dyDescent="0.25">
      <c r="A51" s="4" t="s">
        <v>27</v>
      </c>
      <c r="B51" s="4" t="s">
        <v>34</v>
      </c>
      <c r="C51" s="4" t="s">
        <v>35</v>
      </c>
      <c r="D51" s="4" t="s">
        <v>38</v>
      </c>
      <c r="E51" s="4" t="s">
        <v>25</v>
      </c>
      <c r="F51" s="4" t="s">
        <v>25</v>
      </c>
      <c r="G51" s="4" t="s">
        <v>25</v>
      </c>
      <c r="H51" s="4" t="s">
        <v>37</v>
      </c>
      <c r="I51" s="5">
        <v>44562</v>
      </c>
      <c r="J51" s="6">
        <v>0</v>
      </c>
      <c r="K51" s="6">
        <v>0</v>
      </c>
      <c r="L51" s="6">
        <v>20.654</v>
      </c>
      <c r="M51" s="6">
        <v>20.654</v>
      </c>
      <c r="N51" s="6">
        <v>20.654</v>
      </c>
      <c r="O51" s="6">
        <v>20.654</v>
      </c>
      <c r="P51" s="6">
        <v>0</v>
      </c>
      <c r="Q51" s="4" t="s">
        <v>26</v>
      </c>
      <c r="R51" s="4">
        <v>0</v>
      </c>
      <c r="S51" s="4" t="s">
        <v>132</v>
      </c>
      <c r="T51" s="4" t="s">
        <v>277</v>
      </c>
      <c r="U51" s="4">
        <v>0</v>
      </c>
      <c r="V51" s="4">
        <v>13</v>
      </c>
      <c r="W51" s="4">
        <v>16</v>
      </c>
    </row>
    <row r="52" spans="1:23" ht="11.25" customHeight="1" x14ac:dyDescent="0.25">
      <c r="A52" s="4" t="s">
        <v>21</v>
      </c>
      <c r="B52" s="4" t="s">
        <v>34</v>
      </c>
      <c r="C52" s="4" t="s">
        <v>35</v>
      </c>
      <c r="D52" s="4" t="s">
        <v>38</v>
      </c>
      <c r="E52" s="4" t="s">
        <v>25</v>
      </c>
      <c r="F52" s="4" t="s">
        <v>25</v>
      </c>
      <c r="G52" s="4" t="s">
        <v>25</v>
      </c>
      <c r="H52" s="4" t="s">
        <v>37</v>
      </c>
      <c r="I52" s="5">
        <v>44593</v>
      </c>
      <c r="J52" s="6">
        <v>0</v>
      </c>
      <c r="K52" s="6">
        <v>0</v>
      </c>
      <c r="L52" s="6">
        <v>208.126</v>
      </c>
      <c r="M52" s="6">
        <v>208.126</v>
      </c>
      <c r="N52" s="6">
        <v>208.126</v>
      </c>
      <c r="O52" s="6">
        <v>208.126</v>
      </c>
      <c r="P52" s="6">
        <v>0</v>
      </c>
      <c r="Q52" s="4" t="s">
        <v>26</v>
      </c>
      <c r="R52" s="4">
        <v>0</v>
      </c>
      <c r="S52" s="4" t="s">
        <v>133</v>
      </c>
      <c r="T52" s="4" t="s">
        <v>278</v>
      </c>
      <c r="U52" s="4">
        <v>0</v>
      </c>
      <c r="V52" s="4">
        <v>13</v>
      </c>
      <c r="W52" s="4">
        <v>16</v>
      </c>
    </row>
    <row r="53" spans="1:23" ht="11.25" customHeight="1" x14ac:dyDescent="0.25">
      <c r="A53" s="4" t="s">
        <v>27</v>
      </c>
      <c r="B53" s="4" t="s">
        <v>34</v>
      </c>
      <c r="C53" s="4" t="s">
        <v>35</v>
      </c>
      <c r="D53" s="4" t="s">
        <v>38</v>
      </c>
      <c r="E53" s="4" t="s">
        <v>25</v>
      </c>
      <c r="F53" s="4" t="s">
        <v>25</v>
      </c>
      <c r="G53" s="4" t="s">
        <v>25</v>
      </c>
      <c r="H53" s="4" t="s">
        <v>37</v>
      </c>
      <c r="I53" s="5">
        <v>44593</v>
      </c>
      <c r="J53" s="6">
        <v>0</v>
      </c>
      <c r="K53" s="6">
        <v>0</v>
      </c>
      <c r="L53" s="6">
        <v>41.901000000000003</v>
      </c>
      <c r="M53" s="6">
        <v>41.901000000000003</v>
      </c>
      <c r="N53" s="6">
        <v>41.901000000000003</v>
      </c>
      <c r="O53" s="6">
        <v>41.901000000000003</v>
      </c>
      <c r="P53" s="6">
        <v>0</v>
      </c>
      <c r="Q53" s="4" t="s">
        <v>26</v>
      </c>
      <c r="R53" s="4">
        <v>0</v>
      </c>
      <c r="S53" s="4" t="s">
        <v>133</v>
      </c>
      <c r="T53" s="4" t="s">
        <v>278</v>
      </c>
      <c r="U53" s="4">
        <v>0</v>
      </c>
      <c r="V53" s="4">
        <v>13</v>
      </c>
      <c r="W53" s="4">
        <v>16</v>
      </c>
    </row>
    <row r="54" spans="1:23" ht="11.25" customHeight="1" x14ac:dyDescent="0.25">
      <c r="A54" s="4" t="s">
        <v>21</v>
      </c>
      <c r="B54" s="4" t="s">
        <v>34</v>
      </c>
      <c r="C54" s="4" t="s">
        <v>35</v>
      </c>
      <c r="D54" s="4" t="s">
        <v>38</v>
      </c>
      <c r="E54" s="4" t="s">
        <v>25</v>
      </c>
      <c r="F54" s="4" t="s">
        <v>25</v>
      </c>
      <c r="G54" s="4" t="s">
        <v>25</v>
      </c>
      <c r="H54" s="4" t="s">
        <v>37</v>
      </c>
      <c r="I54" s="5">
        <v>44621</v>
      </c>
      <c r="J54" s="6">
        <v>0</v>
      </c>
      <c r="K54" s="6">
        <v>0</v>
      </c>
      <c r="L54" s="6">
        <v>209.947</v>
      </c>
      <c r="M54" s="6">
        <v>209.947</v>
      </c>
      <c r="N54" s="6">
        <v>209.947</v>
      </c>
      <c r="O54" s="6">
        <v>209.947</v>
      </c>
      <c r="P54" s="6">
        <v>0</v>
      </c>
      <c r="Q54" s="4" t="s">
        <v>26</v>
      </c>
      <c r="R54" s="4">
        <v>0</v>
      </c>
      <c r="S54" s="4" t="s">
        <v>134</v>
      </c>
      <c r="T54" s="4" t="s">
        <v>279</v>
      </c>
      <c r="U54" s="4">
        <v>0</v>
      </c>
      <c r="V54" s="4">
        <v>13</v>
      </c>
      <c r="W54" s="4">
        <v>16</v>
      </c>
    </row>
    <row r="55" spans="1:23" ht="11.25" customHeight="1" x14ac:dyDescent="0.25">
      <c r="A55" s="4" t="s">
        <v>27</v>
      </c>
      <c r="B55" s="4" t="s">
        <v>34</v>
      </c>
      <c r="C55" s="4" t="s">
        <v>35</v>
      </c>
      <c r="D55" s="4" t="s">
        <v>38</v>
      </c>
      <c r="E55" s="4" t="s">
        <v>25</v>
      </c>
      <c r="F55" s="4" t="s">
        <v>25</v>
      </c>
      <c r="G55" s="4" t="s">
        <v>25</v>
      </c>
      <c r="H55" s="4" t="s">
        <v>37</v>
      </c>
      <c r="I55" s="5">
        <v>44621</v>
      </c>
      <c r="J55" s="6">
        <v>0</v>
      </c>
      <c r="K55" s="6">
        <v>0</v>
      </c>
      <c r="L55" s="6">
        <v>32.024000000000001</v>
      </c>
      <c r="M55" s="6">
        <v>32.024000000000001</v>
      </c>
      <c r="N55" s="6">
        <v>32.024000000000001</v>
      </c>
      <c r="O55" s="6">
        <v>32.024000000000001</v>
      </c>
      <c r="P55" s="6">
        <v>0</v>
      </c>
      <c r="Q55" s="4" t="s">
        <v>26</v>
      </c>
      <c r="R55" s="4">
        <v>0</v>
      </c>
      <c r="S55" s="4" t="s">
        <v>134</v>
      </c>
      <c r="T55" s="4" t="s">
        <v>279</v>
      </c>
      <c r="U55" s="4">
        <v>0</v>
      </c>
      <c r="V55" s="4">
        <v>13</v>
      </c>
      <c r="W55" s="4">
        <v>16</v>
      </c>
    </row>
    <row r="56" spans="1:23" ht="11.25" customHeight="1" x14ac:dyDescent="0.25">
      <c r="A56" s="4" t="s">
        <v>21</v>
      </c>
      <c r="B56" s="4" t="s">
        <v>34</v>
      </c>
      <c r="C56" s="4" t="s">
        <v>35</v>
      </c>
      <c r="D56" s="4" t="s">
        <v>38</v>
      </c>
      <c r="E56" s="4" t="s">
        <v>25</v>
      </c>
      <c r="F56" s="4" t="s">
        <v>25</v>
      </c>
      <c r="G56" s="4" t="s">
        <v>25</v>
      </c>
      <c r="H56" s="4" t="s">
        <v>37</v>
      </c>
      <c r="I56" s="5">
        <v>44652</v>
      </c>
      <c r="J56" s="6">
        <v>0</v>
      </c>
      <c r="K56" s="6">
        <v>0</v>
      </c>
      <c r="L56" s="6">
        <v>178.52699999999999</v>
      </c>
      <c r="M56" s="6">
        <v>178.52699999999999</v>
      </c>
      <c r="N56" s="6">
        <v>178.52699999999999</v>
      </c>
      <c r="O56" s="6">
        <v>178.52699999999999</v>
      </c>
      <c r="P56" s="6">
        <v>0</v>
      </c>
      <c r="Q56" s="4" t="s">
        <v>26</v>
      </c>
      <c r="R56" s="4">
        <v>0</v>
      </c>
      <c r="S56" s="4" t="s">
        <v>135</v>
      </c>
      <c r="T56" s="4" t="s">
        <v>280</v>
      </c>
      <c r="U56" s="4">
        <v>0</v>
      </c>
      <c r="V56" s="4">
        <v>13</v>
      </c>
      <c r="W56" s="4">
        <v>16</v>
      </c>
    </row>
    <row r="57" spans="1:23" ht="11.25" customHeight="1" x14ac:dyDescent="0.25">
      <c r="A57" s="4" t="s">
        <v>27</v>
      </c>
      <c r="B57" s="4" t="s">
        <v>34</v>
      </c>
      <c r="C57" s="4" t="s">
        <v>35</v>
      </c>
      <c r="D57" s="4" t="s">
        <v>38</v>
      </c>
      <c r="E57" s="4" t="s">
        <v>25</v>
      </c>
      <c r="F57" s="4" t="s">
        <v>25</v>
      </c>
      <c r="G57" s="4" t="s">
        <v>25</v>
      </c>
      <c r="H57" s="4" t="s">
        <v>37</v>
      </c>
      <c r="I57" s="5">
        <v>44652</v>
      </c>
      <c r="J57" s="6">
        <v>0</v>
      </c>
      <c r="K57" s="6">
        <v>0</v>
      </c>
      <c r="L57" s="6">
        <v>46.622</v>
      </c>
      <c r="M57" s="6">
        <v>46.622</v>
      </c>
      <c r="N57" s="6">
        <v>46.622</v>
      </c>
      <c r="O57" s="6">
        <v>46.622</v>
      </c>
      <c r="P57" s="6">
        <v>0</v>
      </c>
      <c r="Q57" s="4" t="s">
        <v>26</v>
      </c>
      <c r="R57" s="4">
        <v>0</v>
      </c>
      <c r="S57" s="4" t="s">
        <v>135</v>
      </c>
      <c r="T57" s="4" t="s">
        <v>280</v>
      </c>
      <c r="U57" s="4">
        <v>0</v>
      </c>
      <c r="V57" s="4">
        <v>13</v>
      </c>
      <c r="W57" s="4">
        <v>16</v>
      </c>
    </row>
    <row r="58" spans="1:23" ht="11.25" customHeight="1" x14ac:dyDescent="0.25">
      <c r="A58" s="4" t="s">
        <v>21</v>
      </c>
      <c r="B58" s="4" t="s">
        <v>34</v>
      </c>
      <c r="C58" s="4" t="s">
        <v>35</v>
      </c>
      <c r="D58" s="4" t="s">
        <v>38</v>
      </c>
      <c r="E58" s="4" t="s">
        <v>25</v>
      </c>
      <c r="F58" s="4" t="s">
        <v>25</v>
      </c>
      <c r="G58" s="4" t="s">
        <v>25</v>
      </c>
      <c r="H58" s="4" t="s">
        <v>37</v>
      </c>
      <c r="I58" s="5">
        <v>44682</v>
      </c>
      <c r="J58" s="6">
        <v>0</v>
      </c>
      <c r="K58" s="6">
        <v>0</v>
      </c>
      <c r="L58" s="6">
        <v>187.43799999999999</v>
      </c>
      <c r="M58" s="6">
        <v>187.43799999999999</v>
      </c>
      <c r="N58" s="6">
        <v>187.43799999999999</v>
      </c>
      <c r="O58" s="6">
        <v>187.43799999999999</v>
      </c>
      <c r="P58" s="6">
        <v>0</v>
      </c>
      <c r="Q58" s="4" t="s">
        <v>26</v>
      </c>
      <c r="R58" s="4">
        <v>0</v>
      </c>
      <c r="S58" s="4" t="s">
        <v>136</v>
      </c>
      <c r="T58" s="4" t="s">
        <v>281</v>
      </c>
      <c r="U58" s="4">
        <v>0</v>
      </c>
      <c r="V58" s="4">
        <v>13</v>
      </c>
      <c r="W58" s="4">
        <v>16</v>
      </c>
    </row>
    <row r="59" spans="1:23" ht="11.25" customHeight="1" x14ac:dyDescent="0.25">
      <c r="A59" s="4" t="s">
        <v>27</v>
      </c>
      <c r="B59" s="4" t="s">
        <v>34</v>
      </c>
      <c r="C59" s="4" t="s">
        <v>35</v>
      </c>
      <c r="D59" s="4" t="s">
        <v>38</v>
      </c>
      <c r="E59" s="4" t="s">
        <v>25</v>
      </c>
      <c r="F59" s="4" t="s">
        <v>25</v>
      </c>
      <c r="G59" s="4" t="s">
        <v>25</v>
      </c>
      <c r="H59" s="4" t="s">
        <v>37</v>
      </c>
      <c r="I59" s="5">
        <v>44682</v>
      </c>
      <c r="J59" s="6">
        <v>0</v>
      </c>
      <c r="K59" s="6">
        <v>0</v>
      </c>
      <c r="L59" s="6">
        <v>28.597999999999999</v>
      </c>
      <c r="M59" s="6">
        <v>28.597999999999999</v>
      </c>
      <c r="N59" s="6">
        <v>28.597999999999999</v>
      </c>
      <c r="O59" s="6">
        <v>28.597999999999999</v>
      </c>
      <c r="P59" s="6">
        <v>0</v>
      </c>
      <c r="Q59" s="4" t="s">
        <v>26</v>
      </c>
      <c r="R59" s="4">
        <v>0</v>
      </c>
      <c r="S59" s="4" t="s">
        <v>136</v>
      </c>
      <c r="T59" s="4" t="s">
        <v>281</v>
      </c>
      <c r="U59" s="4">
        <v>0</v>
      </c>
      <c r="V59" s="4">
        <v>13</v>
      </c>
      <c r="W59" s="4">
        <v>16</v>
      </c>
    </row>
    <row r="60" spans="1:23" ht="11.25" customHeight="1" x14ac:dyDescent="0.25">
      <c r="A60" s="4" t="s">
        <v>21</v>
      </c>
      <c r="B60" s="4" t="s">
        <v>34</v>
      </c>
      <c r="C60" s="4" t="s">
        <v>35</v>
      </c>
      <c r="D60" s="4" t="s">
        <v>38</v>
      </c>
      <c r="E60" s="4" t="s">
        <v>25</v>
      </c>
      <c r="F60" s="4" t="s">
        <v>25</v>
      </c>
      <c r="G60" s="4" t="s">
        <v>25</v>
      </c>
      <c r="H60" s="4" t="s">
        <v>37</v>
      </c>
      <c r="I60" s="5">
        <v>44713</v>
      </c>
      <c r="J60" s="6">
        <v>0</v>
      </c>
      <c r="K60" s="6">
        <v>0</v>
      </c>
      <c r="L60" s="6">
        <v>177.31899999999999</v>
      </c>
      <c r="M60" s="6">
        <v>177.31899999999999</v>
      </c>
      <c r="N60" s="6">
        <v>177.31899999999999</v>
      </c>
      <c r="O60" s="6">
        <v>177.31899999999999</v>
      </c>
      <c r="P60" s="6">
        <v>0</v>
      </c>
      <c r="Q60" s="4" t="s">
        <v>26</v>
      </c>
      <c r="R60" s="4">
        <v>0</v>
      </c>
      <c r="S60" s="4" t="s">
        <v>137</v>
      </c>
      <c r="T60" s="4" t="s">
        <v>282</v>
      </c>
      <c r="U60" s="4">
        <v>0</v>
      </c>
      <c r="V60" s="4">
        <v>13</v>
      </c>
      <c r="W60" s="4">
        <v>16</v>
      </c>
    </row>
    <row r="61" spans="1:23" ht="11.25" customHeight="1" x14ac:dyDescent="0.25">
      <c r="A61" s="4" t="s">
        <v>27</v>
      </c>
      <c r="B61" s="4" t="s">
        <v>34</v>
      </c>
      <c r="C61" s="4" t="s">
        <v>35</v>
      </c>
      <c r="D61" s="4" t="s">
        <v>38</v>
      </c>
      <c r="E61" s="4" t="s">
        <v>25</v>
      </c>
      <c r="F61" s="4" t="s">
        <v>25</v>
      </c>
      <c r="G61" s="4" t="s">
        <v>25</v>
      </c>
      <c r="H61" s="4" t="s">
        <v>37</v>
      </c>
      <c r="I61" s="5">
        <v>44713</v>
      </c>
      <c r="J61" s="6">
        <v>0</v>
      </c>
      <c r="K61" s="6">
        <v>0</v>
      </c>
      <c r="L61" s="6">
        <v>22.238</v>
      </c>
      <c r="M61" s="6">
        <v>22.238</v>
      </c>
      <c r="N61" s="6">
        <v>22.238</v>
      </c>
      <c r="O61" s="6">
        <v>22.238</v>
      </c>
      <c r="P61" s="6">
        <v>0</v>
      </c>
      <c r="Q61" s="4" t="s">
        <v>26</v>
      </c>
      <c r="R61" s="4">
        <v>0</v>
      </c>
      <c r="S61" s="4" t="s">
        <v>137</v>
      </c>
      <c r="T61" s="4" t="s">
        <v>282</v>
      </c>
      <c r="U61" s="4">
        <v>0</v>
      </c>
      <c r="V61" s="4">
        <v>13</v>
      </c>
      <c r="W61" s="4">
        <v>16</v>
      </c>
    </row>
    <row r="62" spans="1:23" ht="11.25" customHeight="1" x14ac:dyDescent="0.25">
      <c r="A62" s="4" t="s">
        <v>21</v>
      </c>
      <c r="B62" s="4" t="s">
        <v>34</v>
      </c>
      <c r="C62" s="4" t="s">
        <v>35</v>
      </c>
      <c r="D62" s="4" t="s">
        <v>38</v>
      </c>
      <c r="E62" s="4" t="s">
        <v>25</v>
      </c>
      <c r="F62" s="4" t="s">
        <v>25</v>
      </c>
      <c r="G62" s="4" t="s">
        <v>25</v>
      </c>
      <c r="H62" s="4" t="s">
        <v>25</v>
      </c>
      <c r="I62" s="5">
        <v>44378</v>
      </c>
      <c r="J62" s="6">
        <v>900</v>
      </c>
      <c r="K62" s="6">
        <v>900</v>
      </c>
      <c r="L62" s="6">
        <v>0</v>
      </c>
      <c r="M62" s="6">
        <v>0</v>
      </c>
      <c r="N62" s="6">
        <v>0</v>
      </c>
      <c r="O62" s="6">
        <v>0</v>
      </c>
      <c r="P62" s="6">
        <v>9</v>
      </c>
      <c r="Q62" s="4" t="s">
        <v>26</v>
      </c>
      <c r="R62" s="4">
        <v>0</v>
      </c>
      <c r="S62" s="4" t="s">
        <v>138</v>
      </c>
      <c r="U62" s="4">
        <v>36</v>
      </c>
      <c r="V62" s="4">
        <v>0</v>
      </c>
      <c r="W62" s="4">
        <v>0</v>
      </c>
    </row>
    <row r="63" spans="1:23" ht="11.25" customHeight="1" x14ac:dyDescent="0.25">
      <c r="A63" s="4" t="s">
        <v>27</v>
      </c>
      <c r="B63" s="4" t="s">
        <v>34</v>
      </c>
      <c r="C63" s="4" t="s">
        <v>35</v>
      </c>
      <c r="D63" s="4" t="s">
        <v>38</v>
      </c>
      <c r="E63" s="4" t="s">
        <v>25</v>
      </c>
      <c r="F63" s="4" t="s">
        <v>25</v>
      </c>
      <c r="G63" s="4" t="s">
        <v>25</v>
      </c>
      <c r="H63" s="4" t="s">
        <v>25</v>
      </c>
      <c r="I63" s="5">
        <v>44378</v>
      </c>
      <c r="J63" s="6">
        <v>150</v>
      </c>
      <c r="K63" s="6">
        <v>150</v>
      </c>
      <c r="L63" s="6">
        <v>0</v>
      </c>
      <c r="M63" s="6">
        <v>0</v>
      </c>
      <c r="N63" s="6">
        <v>0</v>
      </c>
      <c r="O63" s="6">
        <v>0</v>
      </c>
      <c r="P63" s="6">
        <v>1</v>
      </c>
      <c r="Q63" s="4" t="s">
        <v>26</v>
      </c>
      <c r="R63" s="4">
        <v>0</v>
      </c>
      <c r="S63" s="4" t="s">
        <v>138</v>
      </c>
      <c r="U63" s="4">
        <v>36</v>
      </c>
      <c r="V63" s="4">
        <v>0</v>
      </c>
      <c r="W63" s="4">
        <v>0</v>
      </c>
    </row>
    <row r="64" spans="1:23" ht="11.25" customHeight="1" x14ac:dyDescent="0.25">
      <c r="A64" s="4" t="s">
        <v>21</v>
      </c>
      <c r="B64" s="4" t="s">
        <v>34</v>
      </c>
      <c r="C64" s="4" t="s">
        <v>35</v>
      </c>
      <c r="D64" s="4" t="s">
        <v>38</v>
      </c>
      <c r="E64" s="4" t="s">
        <v>25</v>
      </c>
      <c r="F64" s="4" t="s">
        <v>25</v>
      </c>
      <c r="G64" s="4" t="s">
        <v>25</v>
      </c>
      <c r="H64" s="4" t="s">
        <v>25</v>
      </c>
      <c r="I64" s="5">
        <v>44409</v>
      </c>
      <c r="J64" s="6">
        <v>877</v>
      </c>
      <c r="K64" s="6">
        <v>877</v>
      </c>
      <c r="L64" s="6">
        <v>0</v>
      </c>
      <c r="M64" s="6">
        <v>0</v>
      </c>
      <c r="N64" s="6">
        <v>0</v>
      </c>
      <c r="O64" s="6">
        <v>0</v>
      </c>
      <c r="P64" s="6">
        <v>9</v>
      </c>
      <c r="Q64" s="4" t="s">
        <v>26</v>
      </c>
      <c r="R64" s="4">
        <v>0</v>
      </c>
      <c r="S64" s="4" t="s">
        <v>139</v>
      </c>
      <c r="U64" s="4">
        <v>36</v>
      </c>
      <c r="V64" s="4">
        <v>0</v>
      </c>
      <c r="W64" s="4">
        <v>0</v>
      </c>
    </row>
    <row r="65" spans="1:23" ht="11.25" customHeight="1" x14ac:dyDescent="0.25">
      <c r="A65" s="4" t="s">
        <v>27</v>
      </c>
      <c r="B65" s="4" t="s">
        <v>34</v>
      </c>
      <c r="C65" s="4" t="s">
        <v>35</v>
      </c>
      <c r="D65" s="4" t="s">
        <v>38</v>
      </c>
      <c r="E65" s="4" t="s">
        <v>25</v>
      </c>
      <c r="F65" s="4" t="s">
        <v>25</v>
      </c>
      <c r="G65" s="4" t="s">
        <v>25</v>
      </c>
      <c r="H65" s="4" t="s">
        <v>25</v>
      </c>
      <c r="I65" s="5">
        <v>44409</v>
      </c>
      <c r="J65" s="6">
        <v>150</v>
      </c>
      <c r="K65" s="6">
        <v>150</v>
      </c>
      <c r="L65" s="6">
        <v>0</v>
      </c>
      <c r="M65" s="6">
        <v>0</v>
      </c>
      <c r="N65" s="6">
        <v>0</v>
      </c>
      <c r="O65" s="6">
        <v>0</v>
      </c>
      <c r="P65" s="6">
        <v>1</v>
      </c>
      <c r="Q65" s="4" t="s">
        <v>26</v>
      </c>
      <c r="R65" s="4">
        <v>0</v>
      </c>
      <c r="S65" s="4" t="s">
        <v>139</v>
      </c>
      <c r="U65" s="4">
        <v>36</v>
      </c>
      <c r="V65" s="4">
        <v>0</v>
      </c>
      <c r="W65" s="4">
        <v>0</v>
      </c>
    </row>
    <row r="66" spans="1:23" ht="11.25" customHeight="1" x14ac:dyDescent="0.25">
      <c r="A66" s="4" t="s">
        <v>21</v>
      </c>
      <c r="B66" s="4" t="s">
        <v>34</v>
      </c>
      <c r="C66" s="4" t="s">
        <v>35</v>
      </c>
      <c r="D66" s="4" t="s">
        <v>38</v>
      </c>
      <c r="E66" s="4" t="s">
        <v>25</v>
      </c>
      <c r="F66" s="4" t="s">
        <v>25</v>
      </c>
      <c r="G66" s="4" t="s">
        <v>25</v>
      </c>
      <c r="H66" s="4" t="s">
        <v>25</v>
      </c>
      <c r="I66" s="5">
        <v>44440</v>
      </c>
      <c r="J66" s="6">
        <v>877</v>
      </c>
      <c r="K66" s="6">
        <v>877</v>
      </c>
      <c r="L66" s="6">
        <v>0</v>
      </c>
      <c r="M66" s="6">
        <v>0</v>
      </c>
      <c r="N66" s="6">
        <v>0</v>
      </c>
      <c r="O66" s="6">
        <v>0</v>
      </c>
      <c r="P66" s="6">
        <v>9</v>
      </c>
      <c r="Q66" s="4" t="s">
        <v>26</v>
      </c>
      <c r="R66" s="4">
        <v>0</v>
      </c>
      <c r="S66" s="4" t="s">
        <v>140</v>
      </c>
      <c r="U66" s="4">
        <v>36</v>
      </c>
      <c r="V66" s="4">
        <v>0</v>
      </c>
      <c r="W66" s="4">
        <v>0</v>
      </c>
    </row>
    <row r="67" spans="1:23" ht="11.25" customHeight="1" x14ac:dyDescent="0.25">
      <c r="A67" s="4" t="s">
        <v>27</v>
      </c>
      <c r="B67" s="4" t="s">
        <v>34</v>
      </c>
      <c r="C67" s="4" t="s">
        <v>35</v>
      </c>
      <c r="D67" s="4" t="s">
        <v>38</v>
      </c>
      <c r="E67" s="4" t="s">
        <v>25</v>
      </c>
      <c r="F67" s="4" t="s">
        <v>25</v>
      </c>
      <c r="G67" s="4" t="s">
        <v>25</v>
      </c>
      <c r="H67" s="4" t="s">
        <v>25</v>
      </c>
      <c r="I67" s="5">
        <v>44440</v>
      </c>
      <c r="J67" s="6">
        <v>150</v>
      </c>
      <c r="K67" s="6">
        <v>150</v>
      </c>
      <c r="L67" s="6">
        <v>0</v>
      </c>
      <c r="M67" s="6">
        <v>0</v>
      </c>
      <c r="N67" s="6">
        <v>0</v>
      </c>
      <c r="O67" s="6">
        <v>0</v>
      </c>
      <c r="P67" s="6">
        <v>1</v>
      </c>
      <c r="Q67" s="4" t="s">
        <v>26</v>
      </c>
      <c r="R67" s="4">
        <v>0</v>
      </c>
      <c r="S67" s="4" t="s">
        <v>140</v>
      </c>
      <c r="U67" s="4">
        <v>36</v>
      </c>
      <c r="V67" s="4">
        <v>0</v>
      </c>
      <c r="W67" s="4">
        <v>0</v>
      </c>
    </row>
    <row r="68" spans="1:23" ht="11.25" customHeight="1" x14ac:dyDescent="0.25">
      <c r="A68" s="4" t="s">
        <v>21</v>
      </c>
      <c r="B68" s="4" t="s">
        <v>34</v>
      </c>
      <c r="C68" s="4" t="s">
        <v>35</v>
      </c>
      <c r="D68" s="4" t="s">
        <v>38</v>
      </c>
      <c r="E68" s="4" t="s">
        <v>25</v>
      </c>
      <c r="F68" s="4" t="s">
        <v>25</v>
      </c>
      <c r="G68" s="4" t="s">
        <v>25</v>
      </c>
      <c r="H68" s="4" t="s">
        <v>25</v>
      </c>
      <c r="I68" s="5">
        <v>44470</v>
      </c>
      <c r="J68" s="6">
        <v>877</v>
      </c>
      <c r="K68" s="6">
        <v>877</v>
      </c>
      <c r="L68" s="6">
        <v>0</v>
      </c>
      <c r="M68" s="6">
        <v>0</v>
      </c>
      <c r="N68" s="6">
        <v>0</v>
      </c>
      <c r="O68" s="6">
        <v>0</v>
      </c>
      <c r="P68" s="6">
        <v>9</v>
      </c>
      <c r="Q68" s="4" t="s">
        <v>26</v>
      </c>
      <c r="R68" s="4">
        <v>0</v>
      </c>
      <c r="S68" s="4" t="s">
        <v>141</v>
      </c>
      <c r="U68" s="4">
        <v>36</v>
      </c>
      <c r="V68" s="4">
        <v>0</v>
      </c>
      <c r="W68" s="4">
        <v>0</v>
      </c>
    </row>
    <row r="69" spans="1:23" ht="11.25" customHeight="1" x14ac:dyDescent="0.25">
      <c r="A69" s="4" t="s">
        <v>27</v>
      </c>
      <c r="B69" s="4" t="s">
        <v>34</v>
      </c>
      <c r="C69" s="4" t="s">
        <v>35</v>
      </c>
      <c r="D69" s="4" t="s">
        <v>38</v>
      </c>
      <c r="E69" s="4" t="s">
        <v>25</v>
      </c>
      <c r="F69" s="4" t="s">
        <v>25</v>
      </c>
      <c r="G69" s="4" t="s">
        <v>25</v>
      </c>
      <c r="H69" s="4" t="s">
        <v>25</v>
      </c>
      <c r="I69" s="5">
        <v>44470</v>
      </c>
      <c r="J69" s="6">
        <v>150</v>
      </c>
      <c r="K69" s="6">
        <v>150</v>
      </c>
      <c r="L69" s="6">
        <v>0</v>
      </c>
      <c r="M69" s="6">
        <v>0</v>
      </c>
      <c r="N69" s="6">
        <v>0</v>
      </c>
      <c r="O69" s="6">
        <v>0</v>
      </c>
      <c r="P69" s="6">
        <v>1</v>
      </c>
      <c r="Q69" s="4" t="s">
        <v>26</v>
      </c>
      <c r="R69" s="4">
        <v>0</v>
      </c>
      <c r="S69" s="4" t="s">
        <v>141</v>
      </c>
      <c r="U69" s="4">
        <v>36</v>
      </c>
      <c r="V69" s="4">
        <v>0</v>
      </c>
      <c r="W69" s="4">
        <v>0</v>
      </c>
    </row>
    <row r="70" spans="1:23" ht="11.25" customHeight="1" x14ac:dyDescent="0.25">
      <c r="A70" s="4" t="s">
        <v>21</v>
      </c>
      <c r="B70" s="4" t="s">
        <v>34</v>
      </c>
      <c r="C70" s="4" t="s">
        <v>35</v>
      </c>
      <c r="D70" s="4" t="s">
        <v>38</v>
      </c>
      <c r="E70" s="4" t="s">
        <v>25</v>
      </c>
      <c r="F70" s="4" t="s">
        <v>25</v>
      </c>
      <c r="G70" s="4" t="s">
        <v>25</v>
      </c>
      <c r="H70" s="4" t="s">
        <v>25</v>
      </c>
      <c r="I70" s="5">
        <v>44501</v>
      </c>
      <c r="J70" s="6">
        <v>880</v>
      </c>
      <c r="K70" s="6">
        <v>880</v>
      </c>
      <c r="L70" s="6">
        <v>0</v>
      </c>
      <c r="M70" s="6">
        <v>0</v>
      </c>
      <c r="N70" s="6">
        <v>0</v>
      </c>
      <c r="O70" s="6">
        <v>0</v>
      </c>
      <c r="P70" s="6">
        <v>9</v>
      </c>
      <c r="Q70" s="4" t="s">
        <v>26</v>
      </c>
      <c r="R70" s="4">
        <v>0</v>
      </c>
      <c r="S70" s="4" t="s">
        <v>142</v>
      </c>
      <c r="U70" s="4">
        <v>36</v>
      </c>
      <c r="V70" s="4">
        <v>0</v>
      </c>
      <c r="W70" s="4">
        <v>0</v>
      </c>
    </row>
    <row r="71" spans="1:23" ht="11.25" customHeight="1" x14ac:dyDescent="0.25">
      <c r="A71" s="4" t="s">
        <v>27</v>
      </c>
      <c r="B71" s="4" t="s">
        <v>34</v>
      </c>
      <c r="C71" s="4" t="s">
        <v>35</v>
      </c>
      <c r="D71" s="4" t="s">
        <v>38</v>
      </c>
      <c r="E71" s="4" t="s">
        <v>25</v>
      </c>
      <c r="F71" s="4" t="s">
        <v>25</v>
      </c>
      <c r="G71" s="4" t="s">
        <v>25</v>
      </c>
      <c r="H71" s="4" t="s">
        <v>25</v>
      </c>
      <c r="I71" s="5">
        <v>44501</v>
      </c>
      <c r="J71" s="6">
        <v>187</v>
      </c>
      <c r="K71" s="6">
        <v>187</v>
      </c>
      <c r="L71" s="6">
        <v>0</v>
      </c>
      <c r="M71" s="6">
        <v>0</v>
      </c>
      <c r="N71" s="6">
        <v>0</v>
      </c>
      <c r="O71" s="6">
        <v>0</v>
      </c>
      <c r="P71" s="6">
        <v>1</v>
      </c>
      <c r="Q71" s="4" t="s">
        <v>26</v>
      </c>
      <c r="R71" s="4">
        <v>0</v>
      </c>
      <c r="S71" s="4" t="s">
        <v>142</v>
      </c>
      <c r="U71" s="4">
        <v>36</v>
      </c>
      <c r="V71" s="4">
        <v>0</v>
      </c>
      <c r="W71" s="4">
        <v>0</v>
      </c>
    </row>
    <row r="72" spans="1:23" ht="11.25" customHeight="1" x14ac:dyDescent="0.25">
      <c r="A72" s="4" t="s">
        <v>21</v>
      </c>
      <c r="B72" s="4" t="s">
        <v>34</v>
      </c>
      <c r="C72" s="4" t="s">
        <v>35</v>
      </c>
      <c r="D72" s="4" t="s">
        <v>38</v>
      </c>
      <c r="E72" s="4" t="s">
        <v>25</v>
      </c>
      <c r="F72" s="4" t="s">
        <v>25</v>
      </c>
      <c r="G72" s="4" t="s">
        <v>25</v>
      </c>
      <c r="H72" s="4" t="s">
        <v>25</v>
      </c>
      <c r="I72" s="5">
        <v>44531</v>
      </c>
      <c r="J72" s="6">
        <v>890</v>
      </c>
      <c r="K72" s="6">
        <v>890</v>
      </c>
      <c r="L72" s="6">
        <v>0</v>
      </c>
      <c r="M72" s="6">
        <v>0</v>
      </c>
      <c r="N72" s="6">
        <v>0</v>
      </c>
      <c r="O72" s="6">
        <v>0</v>
      </c>
      <c r="P72" s="6">
        <v>9</v>
      </c>
      <c r="Q72" s="4" t="s">
        <v>26</v>
      </c>
      <c r="R72" s="4">
        <v>0</v>
      </c>
      <c r="S72" s="4" t="s">
        <v>143</v>
      </c>
      <c r="U72" s="4">
        <v>36</v>
      </c>
      <c r="V72" s="4">
        <v>0</v>
      </c>
      <c r="W72" s="4">
        <v>0</v>
      </c>
    </row>
    <row r="73" spans="1:23" ht="11.25" customHeight="1" x14ac:dyDescent="0.25">
      <c r="A73" s="4" t="s">
        <v>27</v>
      </c>
      <c r="B73" s="4" t="s">
        <v>34</v>
      </c>
      <c r="C73" s="4" t="s">
        <v>35</v>
      </c>
      <c r="D73" s="4" t="s">
        <v>38</v>
      </c>
      <c r="E73" s="4" t="s">
        <v>25</v>
      </c>
      <c r="F73" s="4" t="s">
        <v>25</v>
      </c>
      <c r="G73" s="4" t="s">
        <v>25</v>
      </c>
      <c r="H73" s="4" t="s">
        <v>25</v>
      </c>
      <c r="I73" s="5">
        <v>44531</v>
      </c>
      <c r="J73" s="6">
        <v>150</v>
      </c>
      <c r="K73" s="6">
        <v>150</v>
      </c>
      <c r="L73" s="6">
        <v>0</v>
      </c>
      <c r="M73" s="6">
        <v>0</v>
      </c>
      <c r="N73" s="6">
        <v>0</v>
      </c>
      <c r="O73" s="6">
        <v>0</v>
      </c>
      <c r="P73" s="6">
        <v>1</v>
      </c>
      <c r="Q73" s="4" t="s">
        <v>26</v>
      </c>
      <c r="R73" s="4">
        <v>0</v>
      </c>
      <c r="S73" s="4" t="s">
        <v>143</v>
      </c>
      <c r="U73" s="4">
        <v>36</v>
      </c>
      <c r="V73" s="4">
        <v>0</v>
      </c>
      <c r="W73" s="4">
        <v>0</v>
      </c>
    </row>
    <row r="74" spans="1:23" ht="11.25" customHeight="1" x14ac:dyDescent="0.25">
      <c r="A74" s="4" t="s">
        <v>21</v>
      </c>
      <c r="B74" s="4" t="s">
        <v>34</v>
      </c>
      <c r="C74" s="4" t="s">
        <v>35</v>
      </c>
      <c r="D74" s="4" t="s">
        <v>38</v>
      </c>
      <c r="E74" s="4" t="s">
        <v>25</v>
      </c>
      <c r="F74" s="4" t="s">
        <v>25</v>
      </c>
      <c r="G74" s="4" t="s">
        <v>25</v>
      </c>
      <c r="H74" s="4" t="s">
        <v>25</v>
      </c>
      <c r="I74" s="5">
        <v>44562</v>
      </c>
      <c r="J74" s="6">
        <v>933</v>
      </c>
      <c r="K74" s="6">
        <v>933</v>
      </c>
      <c r="L74" s="6">
        <v>0</v>
      </c>
      <c r="M74" s="6">
        <v>0</v>
      </c>
      <c r="N74" s="6">
        <v>0</v>
      </c>
      <c r="O74" s="6">
        <v>0</v>
      </c>
      <c r="P74" s="6">
        <v>9</v>
      </c>
      <c r="Q74" s="4" t="s">
        <v>26</v>
      </c>
      <c r="R74" s="4">
        <v>0</v>
      </c>
      <c r="S74" s="4" t="s">
        <v>144</v>
      </c>
      <c r="U74" s="4">
        <v>36</v>
      </c>
      <c r="V74" s="4">
        <v>0</v>
      </c>
      <c r="W74" s="4">
        <v>0</v>
      </c>
    </row>
    <row r="75" spans="1:23" ht="11.25" customHeight="1" x14ac:dyDescent="0.25">
      <c r="A75" s="4" t="s">
        <v>27</v>
      </c>
      <c r="B75" s="4" t="s">
        <v>34</v>
      </c>
      <c r="C75" s="4" t="s">
        <v>35</v>
      </c>
      <c r="D75" s="4" t="s">
        <v>38</v>
      </c>
      <c r="E75" s="4" t="s">
        <v>25</v>
      </c>
      <c r="F75" s="4" t="s">
        <v>25</v>
      </c>
      <c r="G75" s="4" t="s">
        <v>25</v>
      </c>
      <c r="H75" s="4" t="s">
        <v>25</v>
      </c>
      <c r="I75" s="5">
        <v>44562</v>
      </c>
      <c r="J75" s="6">
        <v>150</v>
      </c>
      <c r="K75" s="6">
        <v>150</v>
      </c>
      <c r="L75" s="6">
        <v>0</v>
      </c>
      <c r="M75" s="6">
        <v>0</v>
      </c>
      <c r="N75" s="6">
        <v>0</v>
      </c>
      <c r="O75" s="6">
        <v>0</v>
      </c>
      <c r="P75" s="6">
        <v>1</v>
      </c>
      <c r="Q75" s="4" t="s">
        <v>26</v>
      </c>
      <c r="R75" s="4">
        <v>0</v>
      </c>
      <c r="S75" s="4" t="s">
        <v>144</v>
      </c>
      <c r="U75" s="4">
        <v>36</v>
      </c>
      <c r="V75" s="4">
        <v>0</v>
      </c>
      <c r="W75" s="4">
        <v>0</v>
      </c>
    </row>
    <row r="76" spans="1:23" ht="11.25" customHeight="1" x14ac:dyDescent="0.25">
      <c r="A76" s="4" t="s">
        <v>21</v>
      </c>
      <c r="B76" s="4" t="s">
        <v>34</v>
      </c>
      <c r="C76" s="4" t="s">
        <v>35</v>
      </c>
      <c r="D76" s="4" t="s">
        <v>38</v>
      </c>
      <c r="E76" s="4" t="s">
        <v>25</v>
      </c>
      <c r="F76" s="4" t="s">
        <v>25</v>
      </c>
      <c r="G76" s="4" t="s">
        <v>25</v>
      </c>
      <c r="H76" s="4" t="s">
        <v>25</v>
      </c>
      <c r="I76" s="5">
        <v>44593</v>
      </c>
      <c r="J76" s="6">
        <v>891</v>
      </c>
      <c r="K76" s="6">
        <v>891</v>
      </c>
      <c r="L76" s="6">
        <v>0</v>
      </c>
      <c r="M76" s="6">
        <v>0</v>
      </c>
      <c r="N76" s="6">
        <v>0</v>
      </c>
      <c r="O76" s="6">
        <v>0</v>
      </c>
      <c r="P76" s="6">
        <v>9</v>
      </c>
      <c r="Q76" s="4" t="s">
        <v>26</v>
      </c>
      <c r="R76" s="4">
        <v>0</v>
      </c>
      <c r="S76" s="4" t="s">
        <v>145</v>
      </c>
      <c r="U76" s="4">
        <v>36</v>
      </c>
      <c r="V76" s="4">
        <v>0</v>
      </c>
      <c r="W76" s="4">
        <v>0</v>
      </c>
    </row>
    <row r="77" spans="1:23" ht="11.25" customHeight="1" x14ac:dyDescent="0.25">
      <c r="A77" s="4" t="s">
        <v>27</v>
      </c>
      <c r="B77" s="4" t="s">
        <v>34</v>
      </c>
      <c r="C77" s="4" t="s">
        <v>35</v>
      </c>
      <c r="D77" s="4" t="s">
        <v>38</v>
      </c>
      <c r="E77" s="4" t="s">
        <v>25</v>
      </c>
      <c r="F77" s="4" t="s">
        <v>25</v>
      </c>
      <c r="G77" s="4" t="s">
        <v>25</v>
      </c>
      <c r="H77" s="4" t="s">
        <v>25</v>
      </c>
      <c r="I77" s="5">
        <v>44593</v>
      </c>
      <c r="J77" s="6">
        <v>191</v>
      </c>
      <c r="K77" s="6">
        <v>191</v>
      </c>
      <c r="L77" s="6">
        <v>0</v>
      </c>
      <c r="M77" s="6">
        <v>0</v>
      </c>
      <c r="N77" s="6">
        <v>0</v>
      </c>
      <c r="O77" s="6">
        <v>0</v>
      </c>
      <c r="P77" s="6">
        <v>1</v>
      </c>
      <c r="Q77" s="4" t="s">
        <v>26</v>
      </c>
      <c r="R77" s="4">
        <v>0</v>
      </c>
      <c r="S77" s="4" t="s">
        <v>145</v>
      </c>
      <c r="U77" s="4">
        <v>36</v>
      </c>
      <c r="V77" s="4">
        <v>0</v>
      </c>
      <c r="W77" s="4">
        <v>0</v>
      </c>
    </row>
    <row r="78" spans="1:23" ht="11.25" customHeight="1" x14ac:dyDescent="0.25">
      <c r="A78" s="4" t="s">
        <v>21</v>
      </c>
      <c r="B78" s="4" t="s">
        <v>34</v>
      </c>
      <c r="C78" s="4" t="s">
        <v>35</v>
      </c>
      <c r="D78" s="4" t="s">
        <v>38</v>
      </c>
      <c r="E78" s="4" t="s">
        <v>25</v>
      </c>
      <c r="F78" s="4" t="s">
        <v>25</v>
      </c>
      <c r="G78" s="4" t="s">
        <v>25</v>
      </c>
      <c r="H78" s="4" t="s">
        <v>25</v>
      </c>
      <c r="I78" s="5">
        <v>44621</v>
      </c>
      <c r="J78" s="6">
        <v>882</v>
      </c>
      <c r="K78" s="6">
        <v>882</v>
      </c>
      <c r="L78" s="6">
        <v>0</v>
      </c>
      <c r="M78" s="6">
        <v>0</v>
      </c>
      <c r="N78" s="6">
        <v>0</v>
      </c>
      <c r="O78" s="6">
        <v>0</v>
      </c>
      <c r="P78" s="6">
        <v>9</v>
      </c>
      <c r="Q78" s="4" t="s">
        <v>26</v>
      </c>
      <c r="R78" s="4">
        <v>0</v>
      </c>
      <c r="S78" s="4" t="s">
        <v>146</v>
      </c>
      <c r="U78" s="4">
        <v>36</v>
      </c>
      <c r="V78" s="4">
        <v>0</v>
      </c>
      <c r="W78" s="4">
        <v>0</v>
      </c>
    </row>
    <row r="79" spans="1:23" ht="11.25" customHeight="1" x14ac:dyDescent="0.25">
      <c r="A79" s="4" t="s">
        <v>27</v>
      </c>
      <c r="B79" s="4" t="s">
        <v>34</v>
      </c>
      <c r="C79" s="4" t="s">
        <v>35</v>
      </c>
      <c r="D79" s="4" t="s">
        <v>38</v>
      </c>
      <c r="E79" s="4" t="s">
        <v>25</v>
      </c>
      <c r="F79" s="4" t="s">
        <v>25</v>
      </c>
      <c r="G79" s="4" t="s">
        <v>25</v>
      </c>
      <c r="H79" s="4" t="s">
        <v>25</v>
      </c>
      <c r="I79" s="5">
        <v>44621</v>
      </c>
      <c r="J79" s="6">
        <v>155</v>
      </c>
      <c r="K79" s="6">
        <v>155</v>
      </c>
      <c r="L79" s="6">
        <v>0</v>
      </c>
      <c r="M79" s="6">
        <v>0</v>
      </c>
      <c r="N79" s="6">
        <v>0</v>
      </c>
      <c r="O79" s="6">
        <v>0</v>
      </c>
      <c r="P79" s="6">
        <v>1</v>
      </c>
      <c r="Q79" s="4" t="s">
        <v>26</v>
      </c>
      <c r="R79" s="4">
        <v>0</v>
      </c>
      <c r="S79" s="4" t="s">
        <v>146</v>
      </c>
      <c r="U79" s="4">
        <v>36</v>
      </c>
      <c r="V79" s="4">
        <v>0</v>
      </c>
      <c r="W79" s="4">
        <v>0</v>
      </c>
    </row>
    <row r="80" spans="1:23" ht="11.25" customHeight="1" x14ac:dyDescent="0.25">
      <c r="A80" s="4" t="s">
        <v>21</v>
      </c>
      <c r="B80" s="4" t="s">
        <v>34</v>
      </c>
      <c r="C80" s="4" t="s">
        <v>35</v>
      </c>
      <c r="D80" s="4" t="s">
        <v>38</v>
      </c>
      <c r="E80" s="4" t="s">
        <v>25</v>
      </c>
      <c r="F80" s="4" t="s">
        <v>25</v>
      </c>
      <c r="G80" s="4" t="s">
        <v>25</v>
      </c>
      <c r="H80" s="4" t="s">
        <v>25</v>
      </c>
      <c r="I80" s="5">
        <v>44652</v>
      </c>
      <c r="J80" s="6">
        <v>887</v>
      </c>
      <c r="K80" s="6">
        <v>887</v>
      </c>
      <c r="L80" s="6">
        <v>0</v>
      </c>
      <c r="M80" s="6">
        <v>0</v>
      </c>
      <c r="N80" s="6">
        <v>0</v>
      </c>
      <c r="O80" s="6">
        <v>0</v>
      </c>
      <c r="P80" s="6">
        <v>9</v>
      </c>
      <c r="Q80" s="4" t="s">
        <v>26</v>
      </c>
      <c r="R80" s="4">
        <v>0</v>
      </c>
      <c r="S80" s="4" t="s">
        <v>147</v>
      </c>
      <c r="U80" s="4">
        <v>36</v>
      </c>
      <c r="V80" s="4">
        <v>0</v>
      </c>
      <c r="W80" s="4">
        <v>0</v>
      </c>
    </row>
    <row r="81" spans="1:23" ht="11.25" customHeight="1" x14ac:dyDescent="0.25">
      <c r="A81" s="4" t="s">
        <v>27</v>
      </c>
      <c r="B81" s="4" t="s">
        <v>34</v>
      </c>
      <c r="C81" s="4" t="s">
        <v>35</v>
      </c>
      <c r="D81" s="4" t="s">
        <v>38</v>
      </c>
      <c r="E81" s="4" t="s">
        <v>25</v>
      </c>
      <c r="F81" s="4" t="s">
        <v>25</v>
      </c>
      <c r="G81" s="4" t="s">
        <v>25</v>
      </c>
      <c r="H81" s="4" t="s">
        <v>25</v>
      </c>
      <c r="I81" s="5">
        <v>44652</v>
      </c>
      <c r="J81" s="6">
        <v>199</v>
      </c>
      <c r="K81" s="6">
        <v>199</v>
      </c>
      <c r="L81" s="6">
        <v>0</v>
      </c>
      <c r="M81" s="6">
        <v>0</v>
      </c>
      <c r="N81" s="6">
        <v>0</v>
      </c>
      <c r="O81" s="6">
        <v>0</v>
      </c>
      <c r="P81" s="6">
        <v>1</v>
      </c>
      <c r="Q81" s="4" t="s">
        <v>26</v>
      </c>
      <c r="R81" s="4">
        <v>0</v>
      </c>
      <c r="S81" s="4" t="s">
        <v>147</v>
      </c>
      <c r="U81" s="4">
        <v>36</v>
      </c>
      <c r="V81" s="4">
        <v>0</v>
      </c>
      <c r="W81" s="4">
        <v>0</v>
      </c>
    </row>
    <row r="82" spans="1:23" ht="11.25" customHeight="1" x14ac:dyDescent="0.25">
      <c r="A82" s="4" t="s">
        <v>21</v>
      </c>
      <c r="B82" s="4" t="s">
        <v>34</v>
      </c>
      <c r="C82" s="4" t="s">
        <v>35</v>
      </c>
      <c r="D82" s="4" t="s">
        <v>38</v>
      </c>
      <c r="E82" s="4" t="s">
        <v>25</v>
      </c>
      <c r="F82" s="4" t="s">
        <v>25</v>
      </c>
      <c r="G82" s="4" t="s">
        <v>25</v>
      </c>
      <c r="H82" s="4" t="s">
        <v>25</v>
      </c>
      <c r="I82" s="5">
        <v>44682</v>
      </c>
      <c r="J82" s="6">
        <v>887</v>
      </c>
      <c r="K82" s="6">
        <v>887</v>
      </c>
      <c r="L82" s="6">
        <v>0</v>
      </c>
      <c r="M82" s="6">
        <v>0</v>
      </c>
      <c r="N82" s="6">
        <v>0</v>
      </c>
      <c r="O82" s="6">
        <v>0</v>
      </c>
      <c r="P82" s="6">
        <v>9</v>
      </c>
      <c r="Q82" s="4" t="s">
        <v>26</v>
      </c>
      <c r="R82" s="4">
        <v>0</v>
      </c>
      <c r="S82" s="4" t="s">
        <v>148</v>
      </c>
      <c r="U82" s="4">
        <v>36</v>
      </c>
      <c r="V82" s="4">
        <v>0</v>
      </c>
      <c r="W82" s="4">
        <v>0</v>
      </c>
    </row>
    <row r="83" spans="1:23" ht="11.25" customHeight="1" x14ac:dyDescent="0.25">
      <c r="A83" s="4" t="s">
        <v>27</v>
      </c>
      <c r="B83" s="4" t="s">
        <v>34</v>
      </c>
      <c r="C83" s="4" t="s">
        <v>35</v>
      </c>
      <c r="D83" s="4" t="s">
        <v>38</v>
      </c>
      <c r="E83" s="4" t="s">
        <v>25</v>
      </c>
      <c r="F83" s="4" t="s">
        <v>25</v>
      </c>
      <c r="G83" s="4" t="s">
        <v>25</v>
      </c>
      <c r="H83" s="4" t="s">
        <v>25</v>
      </c>
      <c r="I83" s="5">
        <v>44682</v>
      </c>
      <c r="J83" s="6">
        <v>181</v>
      </c>
      <c r="K83" s="6">
        <v>181</v>
      </c>
      <c r="L83" s="6">
        <v>0</v>
      </c>
      <c r="M83" s="6">
        <v>0</v>
      </c>
      <c r="N83" s="6">
        <v>0</v>
      </c>
      <c r="O83" s="6">
        <v>0</v>
      </c>
      <c r="P83" s="6">
        <v>1</v>
      </c>
      <c r="Q83" s="4" t="s">
        <v>26</v>
      </c>
      <c r="R83" s="4">
        <v>0</v>
      </c>
      <c r="S83" s="4" t="s">
        <v>148</v>
      </c>
      <c r="U83" s="4">
        <v>36</v>
      </c>
      <c r="V83" s="4">
        <v>0</v>
      </c>
      <c r="W83" s="4">
        <v>0</v>
      </c>
    </row>
    <row r="84" spans="1:23" ht="11.25" customHeight="1" x14ac:dyDescent="0.25">
      <c r="A84" s="4" t="s">
        <v>21</v>
      </c>
      <c r="B84" s="4" t="s">
        <v>34</v>
      </c>
      <c r="C84" s="4" t="s">
        <v>35</v>
      </c>
      <c r="D84" s="4" t="s">
        <v>38</v>
      </c>
      <c r="E84" s="4" t="s">
        <v>25</v>
      </c>
      <c r="F84" s="4" t="s">
        <v>25</v>
      </c>
      <c r="G84" s="4" t="s">
        <v>25</v>
      </c>
      <c r="H84" s="4" t="s">
        <v>25</v>
      </c>
      <c r="I84" s="5">
        <v>44713</v>
      </c>
      <c r="J84" s="6">
        <v>887</v>
      </c>
      <c r="K84" s="6">
        <v>887</v>
      </c>
      <c r="L84" s="6">
        <v>0</v>
      </c>
      <c r="M84" s="6">
        <v>0</v>
      </c>
      <c r="N84" s="6">
        <v>0</v>
      </c>
      <c r="O84" s="6">
        <v>0</v>
      </c>
      <c r="P84" s="6">
        <v>9</v>
      </c>
      <c r="Q84" s="4" t="s">
        <v>26</v>
      </c>
      <c r="R84" s="4">
        <v>0</v>
      </c>
      <c r="S84" s="4" t="s">
        <v>149</v>
      </c>
      <c r="U84" s="4">
        <v>36</v>
      </c>
      <c r="V84" s="4">
        <v>0</v>
      </c>
      <c r="W84" s="4">
        <v>0</v>
      </c>
    </row>
    <row r="85" spans="1:23" ht="11.25" customHeight="1" x14ac:dyDescent="0.25">
      <c r="A85" s="4" t="s">
        <v>27</v>
      </c>
      <c r="B85" s="4" t="s">
        <v>34</v>
      </c>
      <c r="C85" s="4" t="s">
        <v>35</v>
      </c>
      <c r="D85" s="4" t="s">
        <v>38</v>
      </c>
      <c r="E85" s="4" t="s">
        <v>25</v>
      </c>
      <c r="F85" s="4" t="s">
        <v>25</v>
      </c>
      <c r="G85" s="4" t="s">
        <v>25</v>
      </c>
      <c r="H85" s="4" t="s">
        <v>25</v>
      </c>
      <c r="I85" s="5">
        <v>44713</v>
      </c>
      <c r="J85" s="6">
        <v>150</v>
      </c>
      <c r="K85" s="6">
        <v>150</v>
      </c>
      <c r="L85" s="6">
        <v>0</v>
      </c>
      <c r="M85" s="6">
        <v>0</v>
      </c>
      <c r="N85" s="6">
        <v>0</v>
      </c>
      <c r="O85" s="6">
        <v>0</v>
      </c>
      <c r="P85" s="6">
        <v>1</v>
      </c>
      <c r="Q85" s="4" t="s">
        <v>26</v>
      </c>
      <c r="R85" s="4">
        <v>0</v>
      </c>
      <c r="S85" s="4" t="s">
        <v>149</v>
      </c>
      <c r="U85" s="4">
        <v>36</v>
      </c>
      <c r="V85" s="4">
        <v>0</v>
      </c>
      <c r="W85" s="4">
        <v>0</v>
      </c>
    </row>
    <row r="86" spans="1:23" ht="11.25" customHeight="1" x14ac:dyDescent="0.25">
      <c r="A86" s="4" t="s">
        <v>21</v>
      </c>
      <c r="B86" s="4" t="s">
        <v>34</v>
      </c>
      <c r="C86" s="4" t="s">
        <v>35</v>
      </c>
      <c r="D86" s="4" t="s">
        <v>38</v>
      </c>
      <c r="E86" s="4" t="s">
        <v>25</v>
      </c>
      <c r="F86" s="4" t="s">
        <v>25</v>
      </c>
      <c r="G86" s="4" t="s">
        <v>25</v>
      </c>
      <c r="H86" s="4" t="s">
        <v>36</v>
      </c>
      <c r="I86" s="5">
        <v>44378</v>
      </c>
      <c r="J86" s="6">
        <v>0</v>
      </c>
      <c r="K86" s="6">
        <v>0</v>
      </c>
      <c r="L86" s="6">
        <v>16.327999999999999</v>
      </c>
      <c r="M86" s="6">
        <v>16.327999999999999</v>
      </c>
      <c r="N86" s="6">
        <v>16.327999999999999</v>
      </c>
      <c r="O86" s="6">
        <v>16.327999999999999</v>
      </c>
      <c r="P86" s="6">
        <v>0</v>
      </c>
      <c r="Q86" s="4" t="s">
        <v>26</v>
      </c>
      <c r="R86" s="4">
        <v>0</v>
      </c>
      <c r="S86" s="4" t="s">
        <v>150</v>
      </c>
      <c r="T86" s="4" t="s">
        <v>287</v>
      </c>
      <c r="U86" s="4">
        <v>0</v>
      </c>
      <c r="V86" s="4">
        <v>15</v>
      </c>
      <c r="W86" s="4">
        <v>9</v>
      </c>
    </row>
    <row r="87" spans="1:23" ht="11.25" customHeight="1" x14ac:dyDescent="0.25">
      <c r="A87" s="4" t="s">
        <v>27</v>
      </c>
      <c r="B87" s="4" t="s">
        <v>34</v>
      </c>
      <c r="C87" s="4" t="s">
        <v>35</v>
      </c>
      <c r="D87" s="4" t="s">
        <v>38</v>
      </c>
      <c r="E87" s="4" t="s">
        <v>25</v>
      </c>
      <c r="F87" s="4" t="s">
        <v>25</v>
      </c>
      <c r="G87" s="4" t="s">
        <v>25</v>
      </c>
      <c r="H87" s="4" t="s">
        <v>36</v>
      </c>
      <c r="I87" s="5">
        <v>44378</v>
      </c>
      <c r="J87" s="6">
        <v>0</v>
      </c>
      <c r="K87" s="6">
        <v>0</v>
      </c>
      <c r="L87" s="6">
        <v>1.6339999999999999</v>
      </c>
      <c r="M87" s="6">
        <v>1.6339999999999999</v>
      </c>
      <c r="N87" s="6">
        <v>1.6339999999999999</v>
      </c>
      <c r="O87" s="6">
        <v>1.6339999999999999</v>
      </c>
      <c r="P87" s="6">
        <v>0</v>
      </c>
      <c r="Q87" s="4" t="s">
        <v>26</v>
      </c>
      <c r="R87" s="4">
        <v>0</v>
      </c>
      <c r="S87" s="4" t="s">
        <v>150</v>
      </c>
      <c r="T87" s="4" t="s">
        <v>287</v>
      </c>
      <c r="U87" s="4">
        <v>0</v>
      </c>
      <c r="V87" s="4">
        <v>15</v>
      </c>
      <c r="W87" s="4">
        <v>9</v>
      </c>
    </row>
    <row r="88" spans="1:23" ht="11.25" customHeight="1" x14ac:dyDescent="0.25">
      <c r="A88" s="4" t="s">
        <v>21</v>
      </c>
      <c r="B88" s="4" t="s">
        <v>34</v>
      </c>
      <c r="C88" s="4" t="s">
        <v>35</v>
      </c>
      <c r="D88" s="4" t="s">
        <v>38</v>
      </c>
      <c r="E88" s="4" t="s">
        <v>25</v>
      </c>
      <c r="F88" s="4" t="s">
        <v>25</v>
      </c>
      <c r="G88" s="4" t="s">
        <v>25</v>
      </c>
      <c r="H88" s="4" t="s">
        <v>36</v>
      </c>
      <c r="I88" s="5">
        <v>44409</v>
      </c>
      <c r="J88" s="6">
        <v>0</v>
      </c>
      <c r="K88" s="6">
        <v>0</v>
      </c>
      <c r="L88" s="6">
        <v>16.292999999999999</v>
      </c>
      <c r="M88" s="6">
        <v>16.292999999999999</v>
      </c>
      <c r="N88" s="6">
        <v>16.292999999999999</v>
      </c>
      <c r="O88" s="6">
        <v>16.292999999999999</v>
      </c>
      <c r="P88" s="6">
        <v>0</v>
      </c>
      <c r="Q88" s="4" t="s">
        <v>26</v>
      </c>
      <c r="R88" s="4">
        <v>0</v>
      </c>
      <c r="S88" s="4" t="s">
        <v>151</v>
      </c>
      <c r="T88" s="4" t="s">
        <v>288</v>
      </c>
      <c r="U88" s="4">
        <v>0</v>
      </c>
      <c r="V88" s="4">
        <v>15</v>
      </c>
      <c r="W88" s="4">
        <v>9</v>
      </c>
    </row>
    <row r="89" spans="1:23" ht="11.25" customHeight="1" x14ac:dyDescent="0.25">
      <c r="A89" s="4" t="s">
        <v>27</v>
      </c>
      <c r="B89" s="4" t="s">
        <v>34</v>
      </c>
      <c r="C89" s="4" t="s">
        <v>35</v>
      </c>
      <c r="D89" s="4" t="s">
        <v>38</v>
      </c>
      <c r="E89" s="4" t="s">
        <v>25</v>
      </c>
      <c r="F89" s="4" t="s">
        <v>25</v>
      </c>
      <c r="G89" s="4" t="s">
        <v>25</v>
      </c>
      <c r="H89" s="4" t="s">
        <v>36</v>
      </c>
      <c r="I89" s="5">
        <v>44409</v>
      </c>
      <c r="J89" s="6">
        <v>0</v>
      </c>
      <c r="K89" s="6">
        <v>0</v>
      </c>
      <c r="L89" s="6">
        <v>1.1910000000000001</v>
      </c>
      <c r="M89" s="6">
        <v>1.1910000000000001</v>
      </c>
      <c r="N89" s="6">
        <v>1.1910000000000001</v>
      </c>
      <c r="O89" s="6">
        <v>1.1910000000000001</v>
      </c>
      <c r="P89" s="6">
        <v>0</v>
      </c>
      <c r="Q89" s="4" t="s">
        <v>26</v>
      </c>
      <c r="R89" s="4">
        <v>0</v>
      </c>
      <c r="S89" s="4" t="s">
        <v>151</v>
      </c>
      <c r="T89" s="4" t="s">
        <v>288</v>
      </c>
      <c r="U89" s="4">
        <v>0</v>
      </c>
      <c r="V89" s="4">
        <v>15</v>
      </c>
      <c r="W89" s="4">
        <v>9</v>
      </c>
    </row>
    <row r="90" spans="1:23" ht="11.25" customHeight="1" x14ac:dyDescent="0.25">
      <c r="A90" s="4" t="s">
        <v>21</v>
      </c>
      <c r="B90" s="4" t="s">
        <v>34</v>
      </c>
      <c r="C90" s="4" t="s">
        <v>35</v>
      </c>
      <c r="D90" s="4" t="s">
        <v>38</v>
      </c>
      <c r="E90" s="4" t="s">
        <v>25</v>
      </c>
      <c r="F90" s="4" t="s">
        <v>25</v>
      </c>
      <c r="G90" s="4" t="s">
        <v>25</v>
      </c>
      <c r="H90" s="4" t="s">
        <v>36</v>
      </c>
      <c r="I90" s="5">
        <v>44440</v>
      </c>
      <c r="J90" s="6">
        <v>0</v>
      </c>
      <c r="K90" s="6">
        <v>0</v>
      </c>
      <c r="L90" s="6">
        <v>16.042000000000002</v>
      </c>
      <c r="M90" s="6">
        <v>16.042000000000002</v>
      </c>
      <c r="N90" s="6">
        <v>16.042000000000002</v>
      </c>
      <c r="O90" s="6">
        <v>16.042000000000002</v>
      </c>
      <c r="P90" s="6">
        <v>0</v>
      </c>
      <c r="Q90" s="4" t="s">
        <v>26</v>
      </c>
      <c r="R90" s="4">
        <v>0</v>
      </c>
      <c r="S90" s="4" t="s">
        <v>152</v>
      </c>
      <c r="T90" s="4" t="s">
        <v>289</v>
      </c>
      <c r="U90" s="4">
        <v>0</v>
      </c>
      <c r="V90" s="4">
        <v>15</v>
      </c>
      <c r="W90" s="4">
        <v>9</v>
      </c>
    </row>
    <row r="91" spans="1:23" ht="11.25" customHeight="1" x14ac:dyDescent="0.25">
      <c r="A91" s="4" t="s">
        <v>27</v>
      </c>
      <c r="B91" s="4" t="s">
        <v>34</v>
      </c>
      <c r="C91" s="4" t="s">
        <v>35</v>
      </c>
      <c r="D91" s="4" t="s">
        <v>38</v>
      </c>
      <c r="E91" s="4" t="s">
        <v>25</v>
      </c>
      <c r="F91" s="4" t="s">
        <v>25</v>
      </c>
      <c r="G91" s="4" t="s">
        <v>25</v>
      </c>
      <c r="H91" s="4" t="s">
        <v>36</v>
      </c>
      <c r="I91" s="5">
        <v>44440</v>
      </c>
      <c r="J91" s="6">
        <v>0</v>
      </c>
      <c r="K91" s="6">
        <v>0</v>
      </c>
      <c r="L91" s="6">
        <v>0.97299999999999998</v>
      </c>
      <c r="M91" s="6">
        <v>0.97299999999999998</v>
      </c>
      <c r="N91" s="6">
        <v>0.97299999999999998</v>
      </c>
      <c r="O91" s="6">
        <v>0.97299999999999998</v>
      </c>
      <c r="P91" s="6">
        <v>0</v>
      </c>
      <c r="Q91" s="4" t="s">
        <v>26</v>
      </c>
      <c r="R91" s="4">
        <v>0</v>
      </c>
      <c r="S91" s="4" t="s">
        <v>152</v>
      </c>
      <c r="T91" s="4" t="s">
        <v>289</v>
      </c>
      <c r="U91" s="4">
        <v>0</v>
      </c>
      <c r="V91" s="4">
        <v>15</v>
      </c>
      <c r="W91" s="4">
        <v>9</v>
      </c>
    </row>
    <row r="92" spans="1:23" ht="11.25" customHeight="1" x14ac:dyDescent="0.25">
      <c r="A92" s="4" t="s">
        <v>21</v>
      </c>
      <c r="B92" s="4" t="s">
        <v>34</v>
      </c>
      <c r="C92" s="4" t="s">
        <v>35</v>
      </c>
      <c r="D92" s="4" t="s">
        <v>38</v>
      </c>
      <c r="E92" s="4" t="s">
        <v>25</v>
      </c>
      <c r="F92" s="4" t="s">
        <v>25</v>
      </c>
      <c r="G92" s="4" t="s">
        <v>25</v>
      </c>
      <c r="H92" s="4" t="s">
        <v>36</v>
      </c>
      <c r="I92" s="5">
        <v>44470</v>
      </c>
      <c r="J92" s="6">
        <v>0</v>
      </c>
      <c r="K92" s="6">
        <v>0</v>
      </c>
      <c r="L92" s="6">
        <v>15.581</v>
      </c>
      <c r="M92" s="6">
        <v>15.581</v>
      </c>
      <c r="N92" s="6">
        <v>15.581</v>
      </c>
      <c r="O92" s="6">
        <v>15.581</v>
      </c>
      <c r="P92" s="6">
        <v>0</v>
      </c>
      <c r="Q92" s="4" t="s">
        <v>26</v>
      </c>
      <c r="R92" s="4">
        <v>0</v>
      </c>
      <c r="S92" s="4" t="s">
        <v>153</v>
      </c>
      <c r="T92" s="4" t="s">
        <v>290</v>
      </c>
      <c r="U92" s="4">
        <v>0</v>
      </c>
      <c r="V92" s="4">
        <v>15</v>
      </c>
      <c r="W92" s="4">
        <v>9</v>
      </c>
    </row>
    <row r="93" spans="1:23" ht="11.25" customHeight="1" x14ac:dyDescent="0.25">
      <c r="A93" s="4" t="s">
        <v>27</v>
      </c>
      <c r="B93" s="4" t="s">
        <v>34</v>
      </c>
      <c r="C93" s="4" t="s">
        <v>35</v>
      </c>
      <c r="D93" s="4" t="s">
        <v>38</v>
      </c>
      <c r="E93" s="4" t="s">
        <v>25</v>
      </c>
      <c r="F93" s="4" t="s">
        <v>25</v>
      </c>
      <c r="G93" s="4" t="s">
        <v>25</v>
      </c>
      <c r="H93" s="4" t="s">
        <v>36</v>
      </c>
      <c r="I93" s="5">
        <v>44470</v>
      </c>
      <c r="J93" s="6">
        <v>0</v>
      </c>
      <c r="K93" s="6">
        <v>0</v>
      </c>
      <c r="L93" s="6">
        <v>0.995</v>
      </c>
      <c r="M93" s="6">
        <v>0.995</v>
      </c>
      <c r="N93" s="6">
        <v>0.995</v>
      </c>
      <c r="O93" s="6">
        <v>0.995</v>
      </c>
      <c r="P93" s="6">
        <v>0</v>
      </c>
      <c r="Q93" s="4" t="s">
        <v>26</v>
      </c>
      <c r="R93" s="4">
        <v>0</v>
      </c>
      <c r="S93" s="4" t="s">
        <v>153</v>
      </c>
      <c r="T93" s="4" t="s">
        <v>290</v>
      </c>
      <c r="U93" s="4">
        <v>0</v>
      </c>
      <c r="V93" s="4">
        <v>15</v>
      </c>
      <c r="W93" s="4">
        <v>9</v>
      </c>
    </row>
    <row r="94" spans="1:23" ht="11.25" customHeight="1" x14ac:dyDescent="0.25">
      <c r="A94" s="4" t="s">
        <v>21</v>
      </c>
      <c r="B94" s="4" t="s">
        <v>34</v>
      </c>
      <c r="C94" s="4" t="s">
        <v>35</v>
      </c>
      <c r="D94" s="4" t="s">
        <v>38</v>
      </c>
      <c r="E94" s="4" t="s">
        <v>25</v>
      </c>
      <c r="F94" s="4" t="s">
        <v>25</v>
      </c>
      <c r="G94" s="4" t="s">
        <v>25</v>
      </c>
      <c r="H94" s="4" t="s">
        <v>36</v>
      </c>
      <c r="I94" s="5">
        <v>44501</v>
      </c>
      <c r="J94" s="6">
        <v>0</v>
      </c>
      <c r="K94" s="6">
        <v>0</v>
      </c>
      <c r="L94" s="6">
        <v>18.66</v>
      </c>
      <c r="M94" s="6">
        <v>18.66</v>
      </c>
      <c r="N94" s="6">
        <v>18.66</v>
      </c>
      <c r="O94" s="6">
        <v>18.66</v>
      </c>
      <c r="P94" s="6">
        <v>0</v>
      </c>
      <c r="Q94" s="4" t="s">
        <v>26</v>
      </c>
      <c r="R94" s="4">
        <v>0</v>
      </c>
      <c r="S94" s="4" t="s">
        <v>154</v>
      </c>
      <c r="T94" s="4" t="s">
        <v>291</v>
      </c>
      <c r="U94" s="4">
        <v>0</v>
      </c>
      <c r="V94" s="4">
        <v>15</v>
      </c>
      <c r="W94" s="4">
        <v>9</v>
      </c>
    </row>
    <row r="95" spans="1:23" ht="11.25" customHeight="1" x14ac:dyDescent="0.25">
      <c r="A95" s="4" t="s">
        <v>27</v>
      </c>
      <c r="B95" s="4" t="s">
        <v>34</v>
      </c>
      <c r="C95" s="4" t="s">
        <v>35</v>
      </c>
      <c r="D95" s="4" t="s">
        <v>38</v>
      </c>
      <c r="E95" s="4" t="s">
        <v>25</v>
      </c>
      <c r="F95" s="4" t="s">
        <v>25</v>
      </c>
      <c r="G95" s="4" t="s">
        <v>25</v>
      </c>
      <c r="H95" s="4" t="s">
        <v>36</v>
      </c>
      <c r="I95" s="5">
        <v>44501</v>
      </c>
      <c r="J95" s="6">
        <v>0</v>
      </c>
      <c r="K95" s="6">
        <v>0</v>
      </c>
      <c r="L95" s="6">
        <v>2.6749999999999998</v>
      </c>
      <c r="M95" s="6">
        <v>2.6749999999999998</v>
      </c>
      <c r="N95" s="6">
        <v>2.6749999999999998</v>
      </c>
      <c r="O95" s="6">
        <v>2.6749999999999998</v>
      </c>
      <c r="P95" s="6">
        <v>0</v>
      </c>
      <c r="Q95" s="4" t="s">
        <v>26</v>
      </c>
      <c r="R95" s="4">
        <v>0</v>
      </c>
      <c r="S95" s="4" t="s">
        <v>154</v>
      </c>
      <c r="T95" s="4" t="s">
        <v>291</v>
      </c>
      <c r="U95" s="4">
        <v>0</v>
      </c>
      <c r="V95" s="4">
        <v>15</v>
      </c>
      <c r="W95" s="4">
        <v>9</v>
      </c>
    </row>
    <row r="96" spans="1:23" ht="11.25" customHeight="1" x14ac:dyDescent="0.25">
      <c r="A96" s="4" t="s">
        <v>21</v>
      </c>
      <c r="B96" s="4" t="s">
        <v>34</v>
      </c>
      <c r="C96" s="4" t="s">
        <v>35</v>
      </c>
      <c r="D96" s="4" t="s">
        <v>38</v>
      </c>
      <c r="E96" s="4" t="s">
        <v>25</v>
      </c>
      <c r="F96" s="4" t="s">
        <v>25</v>
      </c>
      <c r="G96" s="4" t="s">
        <v>25</v>
      </c>
      <c r="H96" s="4" t="s">
        <v>36</v>
      </c>
      <c r="I96" s="5">
        <v>44531</v>
      </c>
      <c r="J96" s="6">
        <v>0</v>
      </c>
      <c r="K96" s="6">
        <v>0</v>
      </c>
      <c r="L96" s="6">
        <v>22.087</v>
      </c>
      <c r="M96" s="6">
        <v>22.087</v>
      </c>
      <c r="N96" s="6">
        <v>22.087</v>
      </c>
      <c r="O96" s="6">
        <v>22.087</v>
      </c>
      <c r="P96" s="6">
        <v>0</v>
      </c>
      <c r="Q96" s="4" t="s">
        <v>26</v>
      </c>
      <c r="R96" s="4">
        <v>0</v>
      </c>
      <c r="S96" s="4" t="s">
        <v>155</v>
      </c>
      <c r="T96" s="4" t="s">
        <v>292</v>
      </c>
      <c r="U96" s="4">
        <v>0</v>
      </c>
      <c r="V96" s="4">
        <v>15</v>
      </c>
      <c r="W96" s="4">
        <v>9</v>
      </c>
    </row>
    <row r="97" spans="1:23" ht="11.25" customHeight="1" x14ac:dyDescent="0.25">
      <c r="A97" s="4" t="s">
        <v>27</v>
      </c>
      <c r="B97" s="4" t="s">
        <v>34</v>
      </c>
      <c r="C97" s="4" t="s">
        <v>35</v>
      </c>
      <c r="D97" s="4" t="s">
        <v>38</v>
      </c>
      <c r="E97" s="4" t="s">
        <v>25</v>
      </c>
      <c r="F97" s="4" t="s">
        <v>25</v>
      </c>
      <c r="G97" s="4" t="s">
        <v>25</v>
      </c>
      <c r="H97" s="4" t="s">
        <v>36</v>
      </c>
      <c r="I97" s="5">
        <v>44531</v>
      </c>
      <c r="J97" s="6">
        <v>0</v>
      </c>
      <c r="K97" s="6">
        <v>0</v>
      </c>
      <c r="L97" s="6">
        <v>0.97</v>
      </c>
      <c r="M97" s="6">
        <v>0.97</v>
      </c>
      <c r="N97" s="6">
        <v>0.97</v>
      </c>
      <c r="O97" s="6">
        <v>0.97</v>
      </c>
      <c r="P97" s="6">
        <v>0</v>
      </c>
      <c r="Q97" s="4" t="s">
        <v>26</v>
      </c>
      <c r="R97" s="4">
        <v>0</v>
      </c>
      <c r="S97" s="4" t="s">
        <v>155</v>
      </c>
      <c r="T97" s="4" t="s">
        <v>292</v>
      </c>
      <c r="U97" s="4">
        <v>0</v>
      </c>
      <c r="V97" s="4">
        <v>15</v>
      </c>
      <c r="W97" s="4">
        <v>9</v>
      </c>
    </row>
    <row r="98" spans="1:23" ht="11.25" customHeight="1" x14ac:dyDescent="0.25">
      <c r="A98" s="4" t="s">
        <v>21</v>
      </c>
      <c r="B98" s="4" t="s">
        <v>34</v>
      </c>
      <c r="C98" s="4" t="s">
        <v>35</v>
      </c>
      <c r="D98" s="4" t="s">
        <v>38</v>
      </c>
      <c r="E98" s="4" t="s">
        <v>25</v>
      </c>
      <c r="F98" s="4" t="s">
        <v>25</v>
      </c>
      <c r="G98" s="4" t="s">
        <v>25</v>
      </c>
      <c r="H98" s="4" t="s">
        <v>36</v>
      </c>
      <c r="I98" s="5">
        <v>44562</v>
      </c>
      <c r="J98" s="6">
        <v>0</v>
      </c>
      <c r="K98" s="6">
        <v>0</v>
      </c>
      <c r="L98" s="6">
        <v>21.966000000000001</v>
      </c>
      <c r="M98" s="6">
        <v>21.966000000000001</v>
      </c>
      <c r="N98" s="6">
        <v>21.966000000000001</v>
      </c>
      <c r="O98" s="6">
        <v>21.966000000000001</v>
      </c>
      <c r="P98" s="6">
        <v>0</v>
      </c>
      <c r="Q98" s="4" t="s">
        <v>26</v>
      </c>
      <c r="R98" s="4">
        <v>0</v>
      </c>
      <c r="S98" s="4" t="s">
        <v>156</v>
      </c>
      <c r="T98" s="4" t="s">
        <v>293</v>
      </c>
      <c r="U98" s="4">
        <v>0</v>
      </c>
      <c r="V98" s="4">
        <v>15</v>
      </c>
      <c r="W98" s="4">
        <v>9</v>
      </c>
    </row>
    <row r="99" spans="1:23" ht="11.25" customHeight="1" x14ac:dyDescent="0.25">
      <c r="A99" s="4" t="s">
        <v>27</v>
      </c>
      <c r="B99" s="4" t="s">
        <v>34</v>
      </c>
      <c r="C99" s="4" t="s">
        <v>35</v>
      </c>
      <c r="D99" s="4" t="s">
        <v>38</v>
      </c>
      <c r="E99" s="4" t="s">
        <v>25</v>
      </c>
      <c r="F99" s="4" t="s">
        <v>25</v>
      </c>
      <c r="G99" s="4" t="s">
        <v>25</v>
      </c>
      <c r="H99" s="4" t="s">
        <v>36</v>
      </c>
      <c r="I99" s="5">
        <v>44562</v>
      </c>
      <c r="J99" s="6">
        <v>0</v>
      </c>
      <c r="K99" s="6">
        <v>0</v>
      </c>
      <c r="L99" s="6">
        <v>2.1240000000000001</v>
      </c>
      <c r="M99" s="6">
        <v>2.1240000000000001</v>
      </c>
      <c r="N99" s="6">
        <v>2.1240000000000001</v>
      </c>
      <c r="O99" s="6">
        <v>2.1240000000000001</v>
      </c>
      <c r="P99" s="6">
        <v>0</v>
      </c>
      <c r="Q99" s="4" t="s">
        <v>26</v>
      </c>
      <c r="R99" s="4">
        <v>0</v>
      </c>
      <c r="S99" s="4" t="s">
        <v>156</v>
      </c>
      <c r="T99" s="4" t="s">
        <v>293</v>
      </c>
      <c r="U99" s="4">
        <v>0</v>
      </c>
      <c r="V99" s="4">
        <v>15</v>
      </c>
      <c r="W99" s="4">
        <v>9</v>
      </c>
    </row>
    <row r="100" spans="1:23" ht="11.25" customHeight="1" x14ac:dyDescent="0.25">
      <c r="A100" s="4" t="s">
        <v>21</v>
      </c>
      <c r="B100" s="4" t="s">
        <v>34</v>
      </c>
      <c r="C100" s="4" t="s">
        <v>35</v>
      </c>
      <c r="D100" s="4" t="s">
        <v>38</v>
      </c>
      <c r="E100" s="4" t="s">
        <v>25</v>
      </c>
      <c r="F100" s="4" t="s">
        <v>25</v>
      </c>
      <c r="G100" s="4" t="s">
        <v>25</v>
      </c>
      <c r="H100" s="4" t="s">
        <v>36</v>
      </c>
      <c r="I100" s="5">
        <v>44593</v>
      </c>
      <c r="J100" s="6">
        <v>0</v>
      </c>
      <c r="K100" s="6">
        <v>0</v>
      </c>
      <c r="L100" s="6">
        <v>20.425000000000001</v>
      </c>
      <c r="M100" s="6">
        <v>20.425000000000001</v>
      </c>
      <c r="N100" s="6">
        <v>20.425000000000001</v>
      </c>
      <c r="O100" s="6">
        <v>20.425000000000001</v>
      </c>
      <c r="P100" s="6">
        <v>0</v>
      </c>
      <c r="Q100" s="4" t="s">
        <v>26</v>
      </c>
      <c r="R100" s="4">
        <v>0</v>
      </c>
      <c r="S100" s="4" t="s">
        <v>157</v>
      </c>
      <c r="T100" s="4" t="s">
        <v>294</v>
      </c>
      <c r="U100" s="4">
        <v>0</v>
      </c>
      <c r="V100" s="4">
        <v>15</v>
      </c>
      <c r="W100" s="4">
        <v>9</v>
      </c>
    </row>
    <row r="101" spans="1:23" ht="11.25" customHeight="1" x14ac:dyDescent="0.25">
      <c r="A101" s="4" t="s">
        <v>27</v>
      </c>
      <c r="B101" s="4" t="s">
        <v>34</v>
      </c>
      <c r="C101" s="4" t="s">
        <v>35</v>
      </c>
      <c r="D101" s="4" t="s">
        <v>38</v>
      </c>
      <c r="E101" s="4" t="s">
        <v>25</v>
      </c>
      <c r="F101" s="4" t="s">
        <v>25</v>
      </c>
      <c r="G101" s="4" t="s">
        <v>25</v>
      </c>
      <c r="H101" s="4" t="s">
        <v>36</v>
      </c>
      <c r="I101" s="5">
        <v>44593</v>
      </c>
      <c r="J101" s="6">
        <v>0</v>
      </c>
      <c r="K101" s="6">
        <v>0</v>
      </c>
      <c r="L101" s="6">
        <v>4.3490000000000002</v>
      </c>
      <c r="M101" s="6">
        <v>4.3490000000000002</v>
      </c>
      <c r="N101" s="6">
        <v>4.3490000000000002</v>
      </c>
      <c r="O101" s="6">
        <v>4.3490000000000002</v>
      </c>
      <c r="P101" s="6">
        <v>0</v>
      </c>
      <c r="Q101" s="4" t="s">
        <v>26</v>
      </c>
      <c r="R101" s="4">
        <v>0</v>
      </c>
      <c r="S101" s="4" t="s">
        <v>157</v>
      </c>
      <c r="T101" s="4" t="s">
        <v>294</v>
      </c>
      <c r="U101" s="4">
        <v>0</v>
      </c>
      <c r="V101" s="4">
        <v>15</v>
      </c>
      <c r="W101" s="4">
        <v>9</v>
      </c>
    </row>
    <row r="102" spans="1:23" ht="11.25" customHeight="1" x14ac:dyDescent="0.25">
      <c r="A102" s="4" t="s">
        <v>21</v>
      </c>
      <c r="B102" s="4" t="s">
        <v>34</v>
      </c>
      <c r="C102" s="4" t="s">
        <v>35</v>
      </c>
      <c r="D102" s="4" t="s">
        <v>38</v>
      </c>
      <c r="E102" s="4" t="s">
        <v>25</v>
      </c>
      <c r="F102" s="4" t="s">
        <v>25</v>
      </c>
      <c r="G102" s="4" t="s">
        <v>25</v>
      </c>
      <c r="H102" s="4" t="s">
        <v>36</v>
      </c>
      <c r="I102" s="5">
        <v>44621</v>
      </c>
      <c r="J102" s="6">
        <v>0</v>
      </c>
      <c r="K102" s="6">
        <v>0</v>
      </c>
      <c r="L102" s="6">
        <v>19.513000000000002</v>
      </c>
      <c r="M102" s="6">
        <v>19.513000000000002</v>
      </c>
      <c r="N102" s="6">
        <v>19.513000000000002</v>
      </c>
      <c r="O102" s="6">
        <v>19.513000000000002</v>
      </c>
      <c r="P102" s="6">
        <v>0</v>
      </c>
      <c r="Q102" s="4" t="s">
        <v>26</v>
      </c>
      <c r="R102" s="4">
        <v>0</v>
      </c>
      <c r="S102" s="4" t="s">
        <v>158</v>
      </c>
      <c r="T102" s="4" t="s">
        <v>295</v>
      </c>
      <c r="U102" s="4">
        <v>0</v>
      </c>
      <c r="V102" s="4">
        <v>15</v>
      </c>
      <c r="W102" s="4">
        <v>9</v>
      </c>
    </row>
    <row r="103" spans="1:23" ht="11.25" customHeight="1" x14ac:dyDescent="0.25">
      <c r="A103" s="4" t="s">
        <v>27</v>
      </c>
      <c r="B103" s="4" t="s">
        <v>34</v>
      </c>
      <c r="C103" s="4" t="s">
        <v>35</v>
      </c>
      <c r="D103" s="4" t="s">
        <v>38</v>
      </c>
      <c r="E103" s="4" t="s">
        <v>25</v>
      </c>
      <c r="F103" s="4" t="s">
        <v>25</v>
      </c>
      <c r="G103" s="4" t="s">
        <v>25</v>
      </c>
      <c r="H103" s="4" t="s">
        <v>36</v>
      </c>
      <c r="I103" s="5">
        <v>44621</v>
      </c>
      <c r="J103" s="6">
        <v>0</v>
      </c>
      <c r="K103" s="6">
        <v>0</v>
      </c>
      <c r="L103" s="6">
        <v>3.1930000000000001</v>
      </c>
      <c r="M103" s="6">
        <v>3.1930000000000001</v>
      </c>
      <c r="N103" s="6">
        <v>3.1930000000000001</v>
      </c>
      <c r="O103" s="6">
        <v>3.1930000000000001</v>
      </c>
      <c r="P103" s="6">
        <v>0</v>
      </c>
      <c r="Q103" s="4" t="s">
        <v>26</v>
      </c>
      <c r="R103" s="4">
        <v>0</v>
      </c>
      <c r="S103" s="4" t="s">
        <v>158</v>
      </c>
      <c r="T103" s="4" t="s">
        <v>295</v>
      </c>
      <c r="U103" s="4">
        <v>0</v>
      </c>
      <c r="V103" s="4">
        <v>15</v>
      </c>
      <c r="W103" s="4">
        <v>9</v>
      </c>
    </row>
    <row r="104" spans="1:23" ht="11.25" customHeight="1" x14ac:dyDescent="0.25">
      <c r="A104" s="4" t="s">
        <v>21</v>
      </c>
      <c r="B104" s="4" t="s">
        <v>34</v>
      </c>
      <c r="C104" s="4" t="s">
        <v>35</v>
      </c>
      <c r="D104" s="4" t="s">
        <v>38</v>
      </c>
      <c r="E104" s="4" t="s">
        <v>25</v>
      </c>
      <c r="F104" s="4" t="s">
        <v>25</v>
      </c>
      <c r="G104" s="4" t="s">
        <v>25</v>
      </c>
      <c r="H104" s="4" t="s">
        <v>36</v>
      </c>
      <c r="I104" s="5">
        <v>44652</v>
      </c>
      <c r="J104" s="6">
        <v>0</v>
      </c>
      <c r="K104" s="6">
        <v>0</v>
      </c>
      <c r="L104" s="6">
        <v>15.244999999999999</v>
      </c>
      <c r="M104" s="6">
        <v>15.244999999999999</v>
      </c>
      <c r="N104" s="6">
        <v>15.244999999999999</v>
      </c>
      <c r="O104" s="6">
        <v>15.244999999999999</v>
      </c>
      <c r="P104" s="6">
        <v>0</v>
      </c>
      <c r="Q104" s="4" t="s">
        <v>26</v>
      </c>
      <c r="R104" s="4">
        <v>0</v>
      </c>
      <c r="S104" s="4" t="s">
        <v>159</v>
      </c>
      <c r="T104" s="4" t="s">
        <v>296</v>
      </c>
      <c r="U104" s="4">
        <v>0</v>
      </c>
      <c r="V104" s="4">
        <v>15</v>
      </c>
      <c r="W104" s="4">
        <v>9</v>
      </c>
    </row>
    <row r="105" spans="1:23" ht="11.25" customHeight="1" x14ac:dyDescent="0.25">
      <c r="A105" s="4" t="s">
        <v>27</v>
      </c>
      <c r="B105" s="4" t="s">
        <v>34</v>
      </c>
      <c r="C105" s="4" t="s">
        <v>35</v>
      </c>
      <c r="D105" s="4" t="s">
        <v>38</v>
      </c>
      <c r="E105" s="4" t="s">
        <v>25</v>
      </c>
      <c r="F105" s="4" t="s">
        <v>25</v>
      </c>
      <c r="G105" s="4" t="s">
        <v>25</v>
      </c>
      <c r="H105" s="4" t="s">
        <v>36</v>
      </c>
      <c r="I105" s="5">
        <v>44652</v>
      </c>
      <c r="J105" s="6">
        <v>0</v>
      </c>
      <c r="K105" s="6">
        <v>0</v>
      </c>
      <c r="L105" s="6">
        <v>4.415</v>
      </c>
      <c r="M105" s="6">
        <v>4.415</v>
      </c>
      <c r="N105" s="6">
        <v>4.415</v>
      </c>
      <c r="O105" s="6">
        <v>4.415</v>
      </c>
      <c r="P105" s="6">
        <v>0</v>
      </c>
      <c r="Q105" s="4" t="s">
        <v>26</v>
      </c>
      <c r="R105" s="4">
        <v>0</v>
      </c>
      <c r="S105" s="4" t="s">
        <v>159</v>
      </c>
      <c r="T105" s="4" t="s">
        <v>296</v>
      </c>
      <c r="U105" s="4">
        <v>0</v>
      </c>
      <c r="V105" s="4">
        <v>15</v>
      </c>
      <c r="W105" s="4">
        <v>9</v>
      </c>
    </row>
    <row r="106" spans="1:23" ht="11.25" customHeight="1" x14ac:dyDescent="0.25">
      <c r="A106" s="4" t="s">
        <v>21</v>
      </c>
      <c r="B106" s="4" t="s">
        <v>34</v>
      </c>
      <c r="C106" s="4" t="s">
        <v>35</v>
      </c>
      <c r="D106" s="4" t="s">
        <v>38</v>
      </c>
      <c r="E106" s="4" t="s">
        <v>25</v>
      </c>
      <c r="F106" s="4" t="s">
        <v>25</v>
      </c>
      <c r="G106" s="4" t="s">
        <v>25</v>
      </c>
      <c r="H106" s="4" t="s">
        <v>36</v>
      </c>
      <c r="I106" s="5">
        <v>44682</v>
      </c>
      <c r="J106" s="6">
        <v>0</v>
      </c>
      <c r="K106" s="6">
        <v>0</v>
      </c>
      <c r="L106" s="6">
        <v>16.850000000000001</v>
      </c>
      <c r="M106" s="6">
        <v>16.850000000000001</v>
      </c>
      <c r="N106" s="6">
        <v>16.850000000000001</v>
      </c>
      <c r="O106" s="6">
        <v>16.850000000000001</v>
      </c>
      <c r="P106" s="6">
        <v>0</v>
      </c>
      <c r="Q106" s="4" t="s">
        <v>26</v>
      </c>
      <c r="R106" s="4">
        <v>0</v>
      </c>
      <c r="S106" s="4" t="s">
        <v>160</v>
      </c>
      <c r="T106" s="4" t="s">
        <v>297</v>
      </c>
      <c r="U106" s="4">
        <v>0</v>
      </c>
      <c r="V106" s="4">
        <v>15</v>
      </c>
      <c r="W106" s="4">
        <v>9</v>
      </c>
    </row>
    <row r="107" spans="1:23" ht="11.25" customHeight="1" x14ac:dyDescent="0.25">
      <c r="A107" s="4" t="s">
        <v>27</v>
      </c>
      <c r="B107" s="4" t="s">
        <v>34</v>
      </c>
      <c r="C107" s="4" t="s">
        <v>35</v>
      </c>
      <c r="D107" s="4" t="s">
        <v>38</v>
      </c>
      <c r="E107" s="4" t="s">
        <v>25</v>
      </c>
      <c r="F107" s="4" t="s">
        <v>25</v>
      </c>
      <c r="G107" s="4" t="s">
        <v>25</v>
      </c>
      <c r="H107" s="4" t="s">
        <v>36</v>
      </c>
      <c r="I107" s="5">
        <v>44682</v>
      </c>
      <c r="J107" s="6">
        <v>0</v>
      </c>
      <c r="K107" s="6">
        <v>0</v>
      </c>
      <c r="L107" s="6">
        <v>3.4889999999999999</v>
      </c>
      <c r="M107" s="6">
        <v>3.4889999999999999</v>
      </c>
      <c r="N107" s="6">
        <v>3.4889999999999999</v>
      </c>
      <c r="O107" s="6">
        <v>3.4889999999999999</v>
      </c>
      <c r="P107" s="6">
        <v>0</v>
      </c>
      <c r="Q107" s="4" t="s">
        <v>26</v>
      </c>
      <c r="R107" s="4">
        <v>0</v>
      </c>
      <c r="S107" s="4" t="s">
        <v>160</v>
      </c>
      <c r="T107" s="4" t="s">
        <v>297</v>
      </c>
      <c r="U107" s="4">
        <v>0</v>
      </c>
      <c r="V107" s="4">
        <v>15</v>
      </c>
      <c r="W107" s="4">
        <v>9</v>
      </c>
    </row>
    <row r="108" spans="1:23" ht="11.25" customHeight="1" x14ac:dyDescent="0.25">
      <c r="A108" s="4" t="s">
        <v>21</v>
      </c>
      <c r="B108" s="4" t="s">
        <v>34</v>
      </c>
      <c r="C108" s="4" t="s">
        <v>35</v>
      </c>
      <c r="D108" s="4" t="s">
        <v>38</v>
      </c>
      <c r="E108" s="4" t="s">
        <v>25</v>
      </c>
      <c r="F108" s="4" t="s">
        <v>25</v>
      </c>
      <c r="G108" s="4" t="s">
        <v>25</v>
      </c>
      <c r="H108" s="4" t="s">
        <v>36</v>
      </c>
      <c r="I108" s="5">
        <v>44713</v>
      </c>
      <c r="J108" s="6">
        <v>0</v>
      </c>
      <c r="K108" s="6">
        <v>0</v>
      </c>
      <c r="L108" s="6">
        <v>16.263999999999999</v>
      </c>
      <c r="M108" s="6">
        <v>16.263999999999999</v>
      </c>
      <c r="N108" s="6">
        <v>16.263999999999999</v>
      </c>
      <c r="O108" s="6">
        <v>16.263999999999999</v>
      </c>
      <c r="P108" s="6">
        <v>0</v>
      </c>
      <c r="Q108" s="4" t="s">
        <v>26</v>
      </c>
      <c r="R108" s="4">
        <v>0</v>
      </c>
      <c r="S108" s="4" t="s">
        <v>161</v>
      </c>
      <c r="T108" s="4" t="s">
        <v>298</v>
      </c>
      <c r="U108" s="4">
        <v>0</v>
      </c>
      <c r="V108" s="4">
        <v>15</v>
      </c>
      <c r="W108" s="4">
        <v>9</v>
      </c>
    </row>
    <row r="109" spans="1:23" ht="11.25" customHeight="1" x14ac:dyDescent="0.25">
      <c r="A109" s="4" t="s">
        <v>27</v>
      </c>
      <c r="B109" s="4" t="s">
        <v>34</v>
      </c>
      <c r="C109" s="4" t="s">
        <v>35</v>
      </c>
      <c r="D109" s="4" t="s">
        <v>38</v>
      </c>
      <c r="E109" s="4" t="s">
        <v>25</v>
      </c>
      <c r="F109" s="4" t="s">
        <v>25</v>
      </c>
      <c r="G109" s="4" t="s">
        <v>25</v>
      </c>
      <c r="H109" s="4" t="s">
        <v>36</v>
      </c>
      <c r="I109" s="5">
        <v>44713</v>
      </c>
      <c r="J109" s="6">
        <v>0</v>
      </c>
      <c r="K109" s="6">
        <v>0</v>
      </c>
      <c r="L109" s="6">
        <v>1.599</v>
      </c>
      <c r="M109" s="6">
        <v>1.599</v>
      </c>
      <c r="N109" s="6">
        <v>1.599</v>
      </c>
      <c r="O109" s="6">
        <v>1.599</v>
      </c>
      <c r="P109" s="6">
        <v>0</v>
      </c>
      <c r="Q109" s="4" t="s">
        <v>26</v>
      </c>
      <c r="R109" s="4">
        <v>0</v>
      </c>
      <c r="S109" s="4" t="s">
        <v>161</v>
      </c>
      <c r="T109" s="4" t="s">
        <v>298</v>
      </c>
      <c r="U109" s="4">
        <v>0</v>
      </c>
      <c r="V109" s="4">
        <v>15</v>
      </c>
      <c r="W109" s="4">
        <v>9</v>
      </c>
    </row>
    <row r="110" spans="1:23" ht="11.25" customHeight="1" x14ac:dyDescent="0.25">
      <c r="A110" s="4" t="s">
        <v>21</v>
      </c>
      <c r="B110" s="4" t="s">
        <v>34</v>
      </c>
      <c r="C110" s="4" t="s">
        <v>35</v>
      </c>
      <c r="D110" s="4" t="s">
        <v>33</v>
      </c>
      <c r="E110" s="4" t="s">
        <v>25</v>
      </c>
      <c r="F110" s="4" t="s">
        <v>52</v>
      </c>
      <c r="G110" s="4" t="s">
        <v>25</v>
      </c>
      <c r="H110" s="4" t="s">
        <v>37</v>
      </c>
      <c r="I110" s="5">
        <v>44378</v>
      </c>
      <c r="J110" s="6">
        <v>0</v>
      </c>
      <c r="K110" s="6">
        <v>0</v>
      </c>
      <c r="L110" s="6">
        <v>203.71100000000001</v>
      </c>
      <c r="M110" s="6">
        <v>203.71100000000001</v>
      </c>
      <c r="N110" s="6">
        <v>0</v>
      </c>
      <c r="O110" s="6">
        <v>0</v>
      </c>
      <c r="P110" s="6">
        <v>0</v>
      </c>
      <c r="Q110" s="4" t="s">
        <v>53</v>
      </c>
      <c r="R110" s="4">
        <v>0</v>
      </c>
      <c r="S110" s="4" t="s">
        <v>126</v>
      </c>
      <c r="U110" s="4">
        <v>0</v>
      </c>
      <c r="V110" s="4">
        <v>13</v>
      </c>
      <c r="W110" s="4">
        <v>0</v>
      </c>
    </row>
    <row r="111" spans="1:23" ht="11.25" customHeight="1" x14ac:dyDescent="0.25">
      <c r="A111" s="4" t="s">
        <v>21</v>
      </c>
      <c r="B111" s="4" t="s">
        <v>34</v>
      </c>
      <c r="C111" s="4" t="s">
        <v>35</v>
      </c>
      <c r="D111" s="4" t="s">
        <v>33</v>
      </c>
      <c r="E111" s="4" t="s">
        <v>25</v>
      </c>
      <c r="F111" s="4" t="s">
        <v>52</v>
      </c>
      <c r="G111" s="4" t="s">
        <v>25</v>
      </c>
      <c r="H111" s="4" t="s">
        <v>37</v>
      </c>
      <c r="I111" s="5">
        <v>44409</v>
      </c>
      <c r="J111" s="6">
        <v>0</v>
      </c>
      <c r="K111" s="6">
        <v>0</v>
      </c>
      <c r="L111" s="6">
        <v>190.25899999999999</v>
      </c>
      <c r="M111" s="6">
        <v>190.25899999999999</v>
      </c>
      <c r="N111" s="6">
        <v>0</v>
      </c>
      <c r="O111" s="6">
        <v>0</v>
      </c>
      <c r="P111" s="6">
        <v>0</v>
      </c>
      <c r="Q111" s="4" t="s">
        <v>53</v>
      </c>
      <c r="R111" s="4">
        <v>0</v>
      </c>
      <c r="S111" s="4" t="s">
        <v>127</v>
      </c>
      <c r="U111" s="4">
        <v>0</v>
      </c>
      <c r="V111" s="4">
        <v>13</v>
      </c>
      <c r="W111" s="4">
        <v>0</v>
      </c>
    </row>
    <row r="112" spans="1:23" ht="11.25" customHeight="1" x14ac:dyDescent="0.25">
      <c r="A112" s="4" t="s">
        <v>21</v>
      </c>
      <c r="B112" s="4" t="s">
        <v>34</v>
      </c>
      <c r="C112" s="4" t="s">
        <v>35</v>
      </c>
      <c r="D112" s="4" t="s">
        <v>33</v>
      </c>
      <c r="E112" s="4" t="s">
        <v>25</v>
      </c>
      <c r="F112" s="4" t="s">
        <v>52</v>
      </c>
      <c r="G112" s="4" t="s">
        <v>25</v>
      </c>
      <c r="H112" s="4" t="s">
        <v>37</v>
      </c>
      <c r="I112" s="5">
        <v>44440</v>
      </c>
      <c r="J112" s="6">
        <v>0</v>
      </c>
      <c r="K112" s="6">
        <v>0</v>
      </c>
      <c r="L112" s="6">
        <v>195.62299999999999</v>
      </c>
      <c r="M112" s="6">
        <v>195.62299999999999</v>
      </c>
      <c r="N112" s="6">
        <v>0</v>
      </c>
      <c r="O112" s="6">
        <v>0</v>
      </c>
      <c r="P112" s="6">
        <v>0</v>
      </c>
      <c r="Q112" s="4" t="s">
        <v>53</v>
      </c>
      <c r="R112" s="4">
        <v>0</v>
      </c>
      <c r="S112" s="4" t="s">
        <v>128</v>
      </c>
      <c r="U112" s="4">
        <v>0</v>
      </c>
      <c r="V112" s="4">
        <v>13</v>
      </c>
      <c r="W112" s="4">
        <v>0</v>
      </c>
    </row>
    <row r="113" spans="1:23" ht="11.25" customHeight="1" x14ac:dyDescent="0.25">
      <c r="A113" s="4" t="s">
        <v>21</v>
      </c>
      <c r="B113" s="4" t="s">
        <v>34</v>
      </c>
      <c r="C113" s="4" t="s">
        <v>35</v>
      </c>
      <c r="D113" s="4" t="s">
        <v>33</v>
      </c>
      <c r="E113" s="4" t="s">
        <v>25</v>
      </c>
      <c r="F113" s="4" t="s">
        <v>52</v>
      </c>
      <c r="G113" s="4" t="s">
        <v>25</v>
      </c>
      <c r="H113" s="4" t="s">
        <v>37</v>
      </c>
      <c r="I113" s="5">
        <v>44470</v>
      </c>
      <c r="J113" s="6">
        <v>0</v>
      </c>
      <c r="K113" s="6">
        <v>0</v>
      </c>
      <c r="L113" s="6">
        <v>207.36500000000001</v>
      </c>
      <c r="M113" s="6">
        <v>207.36500000000001</v>
      </c>
      <c r="N113" s="6">
        <v>0</v>
      </c>
      <c r="O113" s="6">
        <v>0</v>
      </c>
      <c r="P113" s="6">
        <v>0</v>
      </c>
      <c r="Q113" s="4" t="s">
        <v>53</v>
      </c>
      <c r="R113" s="4">
        <v>0</v>
      </c>
      <c r="S113" s="4" t="s">
        <v>129</v>
      </c>
      <c r="U113" s="4">
        <v>0</v>
      </c>
      <c r="V113" s="4">
        <v>13</v>
      </c>
      <c r="W113" s="4">
        <v>0</v>
      </c>
    </row>
    <row r="114" spans="1:23" ht="11.25" customHeight="1" x14ac:dyDescent="0.25">
      <c r="A114" s="4" t="s">
        <v>21</v>
      </c>
      <c r="B114" s="4" t="s">
        <v>34</v>
      </c>
      <c r="C114" s="4" t="s">
        <v>35</v>
      </c>
      <c r="D114" s="4" t="s">
        <v>33</v>
      </c>
      <c r="E114" s="4" t="s">
        <v>25</v>
      </c>
      <c r="F114" s="4" t="s">
        <v>52</v>
      </c>
      <c r="G114" s="4" t="s">
        <v>25</v>
      </c>
      <c r="H114" s="4" t="s">
        <v>37</v>
      </c>
      <c r="I114" s="5">
        <v>44501</v>
      </c>
      <c r="J114" s="6">
        <v>0</v>
      </c>
      <c r="K114" s="6">
        <v>0</v>
      </c>
      <c r="L114" s="6">
        <v>204.29</v>
      </c>
      <c r="M114" s="6">
        <v>204.29</v>
      </c>
      <c r="N114" s="6">
        <v>0</v>
      </c>
      <c r="O114" s="6">
        <v>0</v>
      </c>
      <c r="P114" s="6">
        <v>0</v>
      </c>
      <c r="Q114" s="4" t="s">
        <v>53</v>
      </c>
      <c r="R114" s="4">
        <v>0</v>
      </c>
      <c r="S114" s="4" t="s">
        <v>130</v>
      </c>
      <c r="U114" s="4">
        <v>0</v>
      </c>
      <c r="V114" s="4">
        <v>13</v>
      </c>
      <c r="W114" s="4">
        <v>0</v>
      </c>
    </row>
    <row r="115" spans="1:23" ht="11.25" customHeight="1" x14ac:dyDescent="0.25">
      <c r="A115" s="4" t="s">
        <v>21</v>
      </c>
      <c r="B115" s="4" t="s">
        <v>34</v>
      </c>
      <c r="C115" s="4" t="s">
        <v>35</v>
      </c>
      <c r="D115" s="4" t="s">
        <v>33</v>
      </c>
      <c r="E115" s="4" t="s">
        <v>25</v>
      </c>
      <c r="F115" s="4" t="s">
        <v>52</v>
      </c>
      <c r="G115" s="4" t="s">
        <v>25</v>
      </c>
      <c r="H115" s="4" t="s">
        <v>37</v>
      </c>
      <c r="I115" s="5">
        <v>44531</v>
      </c>
      <c r="J115" s="6">
        <v>0</v>
      </c>
      <c r="K115" s="6">
        <v>0</v>
      </c>
      <c r="L115" s="6">
        <v>141.66499999999999</v>
      </c>
      <c r="M115" s="6">
        <v>141.66499999999999</v>
      </c>
      <c r="N115" s="6">
        <v>0</v>
      </c>
      <c r="O115" s="6">
        <v>0</v>
      </c>
      <c r="P115" s="6">
        <v>0</v>
      </c>
      <c r="Q115" s="4" t="s">
        <v>53</v>
      </c>
      <c r="R115" s="4">
        <v>0</v>
      </c>
      <c r="S115" s="4" t="s">
        <v>131</v>
      </c>
      <c r="U115" s="4">
        <v>0</v>
      </c>
      <c r="V115" s="4">
        <v>13</v>
      </c>
      <c r="W115" s="4">
        <v>0</v>
      </c>
    </row>
    <row r="116" spans="1:23" ht="11.25" customHeight="1" x14ac:dyDescent="0.25">
      <c r="A116" s="4" t="s">
        <v>21</v>
      </c>
      <c r="B116" s="4" t="s">
        <v>34</v>
      </c>
      <c r="C116" s="4" t="s">
        <v>35</v>
      </c>
      <c r="D116" s="4" t="s">
        <v>33</v>
      </c>
      <c r="E116" s="4" t="s">
        <v>25</v>
      </c>
      <c r="F116" s="4" t="s">
        <v>52</v>
      </c>
      <c r="G116" s="4" t="s">
        <v>25</v>
      </c>
      <c r="H116" s="4" t="s">
        <v>37</v>
      </c>
      <c r="I116" s="5">
        <v>44562</v>
      </c>
      <c r="J116" s="6">
        <v>0</v>
      </c>
      <c r="K116" s="6">
        <v>0</v>
      </c>
      <c r="L116" s="6">
        <v>332.79</v>
      </c>
      <c r="M116" s="6">
        <v>332.79</v>
      </c>
      <c r="N116" s="6">
        <v>0</v>
      </c>
      <c r="O116" s="6">
        <v>0</v>
      </c>
      <c r="P116" s="6">
        <v>0</v>
      </c>
      <c r="Q116" s="4" t="s">
        <v>53</v>
      </c>
      <c r="R116" s="4">
        <v>0</v>
      </c>
      <c r="S116" s="4" t="s">
        <v>132</v>
      </c>
      <c r="U116" s="4">
        <v>0</v>
      </c>
      <c r="V116" s="4">
        <v>13</v>
      </c>
      <c r="W116" s="4">
        <v>0</v>
      </c>
    </row>
    <row r="117" spans="1:23" ht="11.25" customHeight="1" x14ac:dyDescent="0.25">
      <c r="A117" s="4" t="s">
        <v>21</v>
      </c>
      <c r="B117" s="4" t="s">
        <v>34</v>
      </c>
      <c r="C117" s="4" t="s">
        <v>35</v>
      </c>
      <c r="D117" s="4" t="s">
        <v>33</v>
      </c>
      <c r="E117" s="4" t="s">
        <v>25</v>
      </c>
      <c r="F117" s="4" t="s">
        <v>52</v>
      </c>
      <c r="G117" s="4" t="s">
        <v>25</v>
      </c>
      <c r="H117" s="4" t="s">
        <v>37</v>
      </c>
      <c r="I117" s="5">
        <v>44593</v>
      </c>
      <c r="J117" s="6">
        <v>0</v>
      </c>
      <c r="K117" s="6">
        <v>0</v>
      </c>
      <c r="L117" s="6">
        <v>302.23500000000001</v>
      </c>
      <c r="M117" s="6">
        <v>302.23500000000001</v>
      </c>
      <c r="N117" s="6">
        <v>0</v>
      </c>
      <c r="O117" s="6">
        <v>0</v>
      </c>
      <c r="P117" s="6">
        <v>0</v>
      </c>
      <c r="Q117" s="4" t="s">
        <v>53</v>
      </c>
      <c r="R117" s="4">
        <v>0</v>
      </c>
      <c r="S117" s="4" t="s">
        <v>133</v>
      </c>
      <c r="U117" s="4">
        <v>0</v>
      </c>
      <c r="V117" s="4">
        <v>13</v>
      </c>
      <c r="W117" s="4">
        <v>0</v>
      </c>
    </row>
    <row r="118" spans="1:23" ht="11.25" customHeight="1" x14ac:dyDescent="0.25">
      <c r="A118" s="4" t="s">
        <v>21</v>
      </c>
      <c r="B118" s="4" t="s">
        <v>34</v>
      </c>
      <c r="C118" s="4" t="s">
        <v>35</v>
      </c>
      <c r="D118" s="4" t="s">
        <v>33</v>
      </c>
      <c r="E118" s="4" t="s">
        <v>25</v>
      </c>
      <c r="F118" s="4" t="s">
        <v>52</v>
      </c>
      <c r="G118" s="4" t="s">
        <v>25</v>
      </c>
      <c r="H118" s="4" t="s">
        <v>37</v>
      </c>
      <c r="I118" s="5">
        <v>44621</v>
      </c>
      <c r="J118" s="6">
        <v>0</v>
      </c>
      <c r="K118" s="6">
        <v>0</v>
      </c>
      <c r="L118" s="6">
        <v>346.10300000000001</v>
      </c>
      <c r="M118" s="6">
        <v>346.10300000000001</v>
      </c>
      <c r="N118" s="6">
        <v>0</v>
      </c>
      <c r="O118" s="6">
        <v>0</v>
      </c>
      <c r="P118" s="6">
        <v>0</v>
      </c>
      <c r="Q118" s="4" t="s">
        <v>53</v>
      </c>
      <c r="R118" s="4">
        <v>0</v>
      </c>
      <c r="S118" s="4" t="s">
        <v>134</v>
      </c>
      <c r="U118" s="4">
        <v>0</v>
      </c>
      <c r="V118" s="4">
        <v>13</v>
      </c>
      <c r="W118" s="4">
        <v>0</v>
      </c>
    </row>
    <row r="119" spans="1:23" ht="11.25" customHeight="1" x14ac:dyDescent="0.25">
      <c r="A119" s="4" t="s">
        <v>21</v>
      </c>
      <c r="B119" s="4" t="s">
        <v>34</v>
      </c>
      <c r="C119" s="4" t="s">
        <v>35</v>
      </c>
      <c r="D119" s="4" t="s">
        <v>33</v>
      </c>
      <c r="E119" s="4" t="s">
        <v>25</v>
      </c>
      <c r="F119" s="4" t="s">
        <v>52</v>
      </c>
      <c r="G119" s="4" t="s">
        <v>25</v>
      </c>
      <c r="H119" s="4" t="s">
        <v>37</v>
      </c>
      <c r="I119" s="5">
        <v>44652</v>
      </c>
      <c r="J119" s="6">
        <v>0</v>
      </c>
      <c r="K119" s="6">
        <v>0</v>
      </c>
      <c r="L119" s="6">
        <v>285.63600000000002</v>
      </c>
      <c r="M119" s="6">
        <v>285.63600000000002</v>
      </c>
      <c r="N119" s="6">
        <v>0</v>
      </c>
      <c r="O119" s="6">
        <v>0</v>
      </c>
      <c r="P119" s="6">
        <v>0</v>
      </c>
      <c r="Q119" s="4" t="s">
        <v>53</v>
      </c>
      <c r="R119" s="4">
        <v>0</v>
      </c>
      <c r="S119" s="4" t="s">
        <v>135</v>
      </c>
      <c r="U119" s="4">
        <v>0</v>
      </c>
      <c r="V119" s="4">
        <v>13</v>
      </c>
      <c r="W119" s="4">
        <v>0</v>
      </c>
    </row>
    <row r="120" spans="1:23" ht="11.25" customHeight="1" x14ac:dyDescent="0.25">
      <c r="A120" s="4" t="s">
        <v>21</v>
      </c>
      <c r="B120" s="4" t="s">
        <v>34</v>
      </c>
      <c r="C120" s="4" t="s">
        <v>35</v>
      </c>
      <c r="D120" s="4" t="s">
        <v>33</v>
      </c>
      <c r="E120" s="4" t="s">
        <v>25</v>
      </c>
      <c r="F120" s="4" t="s">
        <v>52</v>
      </c>
      <c r="G120" s="4" t="s">
        <v>25</v>
      </c>
      <c r="H120" s="4" t="s">
        <v>37</v>
      </c>
      <c r="I120" s="5">
        <v>44682</v>
      </c>
      <c r="J120" s="6">
        <v>0</v>
      </c>
      <c r="K120" s="6">
        <v>0</v>
      </c>
      <c r="L120" s="6">
        <v>303.78500000000003</v>
      </c>
      <c r="M120" s="6">
        <v>303.78500000000003</v>
      </c>
      <c r="N120" s="6">
        <v>0</v>
      </c>
      <c r="O120" s="6">
        <v>0</v>
      </c>
      <c r="P120" s="6">
        <v>0</v>
      </c>
      <c r="Q120" s="4" t="s">
        <v>53</v>
      </c>
      <c r="R120" s="4">
        <v>0</v>
      </c>
      <c r="S120" s="4" t="s">
        <v>136</v>
      </c>
      <c r="U120" s="4">
        <v>0</v>
      </c>
      <c r="V120" s="4">
        <v>13</v>
      </c>
      <c r="W120" s="4">
        <v>0</v>
      </c>
    </row>
    <row r="121" spans="1:23" ht="11.25" customHeight="1" x14ac:dyDescent="0.25">
      <c r="A121" s="4" t="s">
        <v>21</v>
      </c>
      <c r="B121" s="4" t="s">
        <v>34</v>
      </c>
      <c r="C121" s="4" t="s">
        <v>35</v>
      </c>
      <c r="D121" s="4" t="s">
        <v>33</v>
      </c>
      <c r="E121" s="4" t="s">
        <v>25</v>
      </c>
      <c r="F121" s="4" t="s">
        <v>52</v>
      </c>
      <c r="G121" s="4" t="s">
        <v>25</v>
      </c>
      <c r="H121" s="4" t="s">
        <v>37</v>
      </c>
      <c r="I121" s="5">
        <v>44713</v>
      </c>
      <c r="J121" s="6">
        <v>0</v>
      </c>
      <c r="K121" s="6">
        <v>0</v>
      </c>
      <c r="L121" s="6">
        <v>301.58699999999999</v>
      </c>
      <c r="M121" s="6">
        <v>301.58699999999999</v>
      </c>
      <c r="N121" s="6">
        <v>0</v>
      </c>
      <c r="O121" s="6">
        <v>0</v>
      </c>
      <c r="P121" s="6">
        <v>0</v>
      </c>
      <c r="Q121" s="4" t="s">
        <v>53</v>
      </c>
      <c r="R121" s="4">
        <v>0</v>
      </c>
      <c r="S121" s="4" t="s">
        <v>137</v>
      </c>
      <c r="U121" s="4">
        <v>0</v>
      </c>
      <c r="V121" s="4">
        <v>13</v>
      </c>
      <c r="W121" s="4">
        <v>0</v>
      </c>
    </row>
    <row r="122" spans="1:23" ht="11.25" customHeight="1" x14ac:dyDescent="0.25">
      <c r="A122" s="4" t="s">
        <v>21</v>
      </c>
      <c r="B122" s="4" t="s">
        <v>34</v>
      </c>
      <c r="C122" s="4" t="s">
        <v>35</v>
      </c>
      <c r="D122" s="4" t="s">
        <v>33</v>
      </c>
      <c r="E122" s="4" t="s">
        <v>25</v>
      </c>
      <c r="F122" s="4" t="s">
        <v>52</v>
      </c>
      <c r="G122" s="4" t="s">
        <v>25</v>
      </c>
      <c r="H122" s="4" t="s">
        <v>25</v>
      </c>
      <c r="I122" s="5">
        <v>44378</v>
      </c>
      <c r="J122" s="6">
        <v>750</v>
      </c>
      <c r="K122" s="6">
        <v>376.36172249999998</v>
      </c>
      <c r="L122" s="6">
        <v>0</v>
      </c>
      <c r="M122" s="6">
        <v>0</v>
      </c>
      <c r="N122" s="6">
        <v>0</v>
      </c>
      <c r="O122" s="6">
        <v>0</v>
      </c>
      <c r="P122" s="6">
        <v>1</v>
      </c>
      <c r="Q122" s="4" t="s">
        <v>53</v>
      </c>
      <c r="R122" s="4">
        <v>0</v>
      </c>
      <c r="S122" s="4" t="s">
        <v>138</v>
      </c>
      <c r="U122" s="4">
        <v>36</v>
      </c>
      <c r="V122" s="4">
        <v>0</v>
      </c>
      <c r="W122" s="4">
        <v>0</v>
      </c>
    </row>
    <row r="123" spans="1:23" ht="11.25" customHeight="1" x14ac:dyDescent="0.25">
      <c r="A123" s="4" t="s">
        <v>21</v>
      </c>
      <c r="B123" s="4" t="s">
        <v>34</v>
      </c>
      <c r="C123" s="4" t="s">
        <v>35</v>
      </c>
      <c r="D123" s="4" t="s">
        <v>33</v>
      </c>
      <c r="E123" s="4" t="s">
        <v>25</v>
      </c>
      <c r="F123" s="4" t="s">
        <v>52</v>
      </c>
      <c r="G123" s="4" t="s">
        <v>25</v>
      </c>
      <c r="H123" s="4" t="s">
        <v>25</v>
      </c>
      <c r="I123" s="5">
        <v>44409</v>
      </c>
      <c r="J123" s="6">
        <v>750</v>
      </c>
      <c r="K123" s="6">
        <v>376.08338250000003</v>
      </c>
      <c r="L123" s="6">
        <v>0</v>
      </c>
      <c r="M123" s="6">
        <v>0</v>
      </c>
      <c r="N123" s="6">
        <v>0</v>
      </c>
      <c r="O123" s="6">
        <v>0</v>
      </c>
      <c r="P123" s="6">
        <v>1</v>
      </c>
      <c r="Q123" s="4" t="s">
        <v>53</v>
      </c>
      <c r="R123" s="4">
        <v>0</v>
      </c>
      <c r="S123" s="4" t="s">
        <v>139</v>
      </c>
      <c r="U123" s="4">
        <v>36</v>
      </c>
      <c r="V123" s="4">
        <v>0</v>
      </c>
      <c r="W123" s="4">
        <v>0</v>
      </c>
    </row>
    <row r="124" spans="1:23" ht="11.25" customHeight="1" x14ac:dyDescent="0.25">
      <c r="A124" s="4" t="s">
        <v>21</v>
      </c>
      <c r="B124" s="4" t="s">
        <v>34</v>
      </c>
      <c r="C124" s="4" t="s">
        <v>35</v>
      </c>
      <c r="D124" s="4" t="s">
        <v>33</v>
      </c>
      <c r="E124" s="4" t="s">
        <v>25</v>
      </c>
      <c r="F124" s="4" t="s">
        <v>52</v>
      </c>
      <c r="G124" s="4" t="s">
        <v>25</v>
      </c>
      <c r="H124" s="4" t="s">
        <v>25</v>
      </c>
      <c r="I124" s="5">
        <v>44440</v>
      </c>
      <c r="J124" s="6">
        <v>700</v>
      </c>
      <c r="K124" s="6">
        <v>352.28124400000002</v>
      </c>
      <c r="L124" s="6">
        <v>0</v>
      </c>
      <c r="M124" s="6">
        <v>0</v>
      </c>
      <c r="N124" s="6">
        <v>0</v>
      </c>
      <c r="O124" s="6">
        <v>0</v>
      </c>
      <c r="P124" s="6">
        <v>1</v>
      </c>
      <c r="Q124" s="4" t="s">
        <v>53</v>
      </c>
      <c r="R124" s="4">
        <v>0</v>
      </c>
      <c r="S124" s="4" t="s">
        <v>140</v>
      </c>
      <c r="U124" s="4">
        <v>36</v>
      </c>
      <c r="V124" s="4">
        <v>0</v>
      </c>
      <c r="W124" s="4">
        <v>0</v>
      </c>
    </row>
    <row r="125" spans="1:23" ht="11.25" customHeight="1" x14ac:dyDescent="0.25">
      <c r="A125" s="4" t="s">
        <v>21</v>
      </c>
      <c r="B125" s="4" t="s">
        <v>34</v>
      </c>
      <c r="C125" s="4" t="s">
        <v>35</v>
      </c>
      <c r="D125" s="4" t="s">
        <v>33</v>
      </c>
      <c r="E125" s="4" t="s">
        <v>25</v>
      </c>
      <c r="F125" s="4" t="s">
        <v>52</v>
      </c>
      <c r="G125" s="4" t="s">
        <v>25</v>
      </c>
      <c r="H125" s="4" t="s">
        <v>25</v>
      </c>
      <c r="I125" s="5">
        <v>44470</v>
      </c>
      <c r="J125" s="6">
        <v>708</v>
      </c>
      <c r="K125" s="6">
        <v>355.96836036000002</v>
      </c>
      <c r="L125" s="6">
        <v>0</v>
      </c>
      <c r="M125" s="6">
        <v>0</v>
      </c>
      <c r="N125" s="6">
        <v>0</v>
      </c>
      <c r="O125" s="6">
        <v>0</v>
      </c>
      <c r="P125" s="6">
        <v>1</v>
      </c>
      <c r="Q125" s="4" t="s">
        <v>53</v>
      </c>
      <c r="R125" s="4">
        <v>0</v>
      </c>
      <c r="S125" s="4" t="s">
        <v>141</v>
      </c>
      <c r="U125" s="4">
        <v>36</v>
      </c>
      <c r="V125" s="4">
        <v>0</v>
      </c>
      <c r="W125" s="4">
        <v>0</v>
      </c>
    </row>
    <row r="126" spans="1:23" ht="11.25" customHeight="1" x14ac:dyDescent="0.25">
      <c r="A126" s="4" t="s">
        <v>21</v>
      </c>
      <c r="B126" s="4" t="s">
        <v>34</v>
      </c>
      <c r="C126" s="4" t="s">
        <v>35</v>
      </c>
      <c r="D126" s="4" t="s">
        <v>33</v>
      </c>
      <c r="E126" s="4" t="s">
        <v>25</v>
      </c>
      <c r="F126" s="4" t="s">
        <v>52</v>
      </c>
      <c r="G126" s="4" t="s">
        <v>25</v>
      </c>
      <c r="H126" s="4" t="s">
        <v>25</v>
      </c>
      <c r="I126" s="5">
        <v>44501</v>
      </c>
      <c r="J126" s="6">
        <v>703</v>
      </c>
      <c r="K126" s="6">
        <v>382.22738482</v>
      </c>
      <c r="L126" s="6">
        <v>0</v>
      </c>
      <c r="M126" s="6">
        <v>0</v>
      </c>
      <c r="N126" s="6">
        <v>0</v>
      </c>
      <c r="O126" s="6">
        <v>0</v>
      </c>
      <c r="P126" s="6">
        <v>1</v>
      </c>
      <c r="Q126" s="4" t="s">
        <v>53</v>
      </c>
      <c r="R126" s="4">
        <v>0</v>
      </c>
      <c r="S126" s="4" t="s">
        <v>142</v>
      </c>
      <c r="U126" s="4">
        <v>36</v>
      </c>
      <c r="V126" s="4">
        <v>0</v>
      </c>
      <c r="W126" s="4">
        <v>0</v>
      </c>
    </row>
    <row r="127" spans="1:23" ht="11.25" customHeight="1" x14ac:dyDescent="0.25">
      <c r="A127" s="4" t="s">
        <v>21</v>
      </c>
      <c r="B127" s="4" t="s">
        <v>34</v>
      </c>
      <c r="C127" s="4" t="s">
        <v>35</v>
      </c>
      <c r="D127" s="4" t="s">
        <v>33</v>
      </c>
      <c r="E127" s="4" t="s">
        <v>25</v>
      </c>
      <c r="F127" s="4" t="s">
        <v>52</v>
      </c>
      <c r="G127" s="4" t="s">
        <v>25</v>
      </c>
      <c r="H127" s="4" t="s">
        <v>25</v>
      </c>
      <c r="I127" s="5">
        <v>44531</v>
      </c>
      <c r="J127" s="6">
        <v>700</v>
      </c>
      <c r="K127" s="6">
        <v>350.86538200000001</v>
      </c>
      <c r="L127" s="6">
        <v>0</v>
      </c>
      <c r="M127" s="6">
        <v>0</v>
      </c>
      <c r="N127" s="6">
        <v>0</v>
      </c>
      <c r="O127" s="6">
        <v>0</v>
      </c>
      <c r="P127" s="6">
        <v>1</v>
      </c>
      <c r="Q127" s="4" t="s">
        <v>53</v>
      </c>
      <c r="R127" s="4">
        <v>0</v>
      </c>
      <c r="S127" s="4" t="s">
        <v>143</v>
      </c>
      <c r="U127" s="4">
        <v>36</v>
      </c>
      <c r="V127" s="4">
        <v>0</v>
      </c>
      <c r="W127" s="4">
        <v>0</v>
      </c>
    </row>
    <row r="128" spans="1:23" ht="11.25" customHeight="1" x14ac:dyDescent="0.25">
      <c r="A128" s="4" t="s">
        <v>21</v>
      </c>
      <c r="B128" s="4" t="s">
        <v>34</v>
      </c>
      <c r="C128" s="4" t="s">
        <v>35</v>
      </c>
      <c r="D128" s="4" t="s">
        <v>33</v>
      </c>
      <c r="E128" s="4" t="s">
        <v>25</v>
      </c>
      <c r="F128" s="4" t="s">
        <v>52</v>
      </c>
      <c r="G128" s="4" t="s">
        <v>25</v>
      </c>
      <c r="H128" s="4" t="s">
        <v>25</v>
      </c>
      <c r="I128" s="5">
        <v>44562</v>
      </c>
      <c r="J128" s="6">
        <v>1160</v>
      </c>
      <c r="K128" s="6">
        <v>645.33774240000002</v>
      </c>
      <c r="L128" s="6">
        <v>0</v>
      </c>
      <c r="M128" s="6">
        <v>0</v>
      </c>
      <c r="N128" s="6">
        <v>0</v>
      </c>
      <c r="O128" s="6">
        <v>0</v>
      </c>
      <c r="P128" s="6">
        <v>2</v>
      </c>
      <c r="Q128" s="4" t="s">
        <v>53</v>
      </c>
      <c r="R128" s="4">
        <v>0</v>
      </c>
      <c r="S128" s="4" t="s">
        <v>144</v>
      </c>
      <c r="U128" s="4">
        <v>36</v>
      </c>
      <c r="V128" s="4">
        <v>0</v>
      </c>
      <c r="W128" s="4">
        <v>0</v>
      </c>
    </row>
    <row r="129" spans="1:23" ht="11.25" customHeight="1" x14ac:dyDescent="0.25">
      <c r="A129" s="4" t="s">
        <v>21</v>
      </c>
      <c r="B129" s="4" t="s">
        <v>34</v>
      </c>
      <c r="C129" s="4" t="s">
        <v>35</v>
      </c>
      <c r="D129" s="4" t="s">
        <v>33</v>
      </c>
      <c r="E129" s="4" t="s">
        <v>25</v>
      </c>
      <c r="F129" s="4" t="s">
        <v>52</v>
      </c>
      <c r="G129" s="4" t="s">
        <v>25</v>
      </c>
      <c r="H129" s="4" t="s">
        <v>25</v>
      </c>
      <c r="I129" s="5">
        <v>44593</v>
      </c>
      <c r="J129" s="6">
        <v>1191</v>
      </c>
      <c r="K129" s="6">
        <v>665.26108613999997</v>
      </c>
      <c r="L129" s="6">
        <v>0</v>
      </c>
      <c r="M129" s="6">
        <v>0</v>
      </c>
      <c r="N129" s="6">
        <v>0</v>
      </c>
      <c r="O129" s="6">
        <v>0</v>
      </c>
      <c r="P129" s="6">
        <v>2</v>
      </c>
      <c r="Q129" s="4" t="s">
        <v>53</v>
      </c>
      <c r="R129" s="4">
        <v>0</v>
      </c>
      <c r="S129" s="4" t="s">
        <v>145</v>
      </c>
      <c r="U129" s="4">
        <v>36</v>
      </c>
      <c r="V129" s="4">
        <v>0</v>
      </c>
      <c r="W129" s="4">
        <v>0</v>
      </c>
    </row>
    <row r="130" spans="1:23" ht="11.25" customHeight="1" x14ac:dyDescent="0.25">
      <c r="A130" s="4" t="s">
        <v>21</v>
      </c>
      <c r="B130" s="4" t="s">
        <v>34</v>
      </c>
      <c r="C130" s="4" t="s">
        <v>35</v>
      </c>
      <c r="D130" s="4" t="s">
        <v>33</v>
      </c>
      <c r="E130" s="4" t="s">
        <v>25</v>
      </c>
      <c r="F130" s="4" t="s">
        <v>52</v>
      </c>
      <c r="G130" s="4" t="s">
        <v>25</v>
      </c>
      <c r="H130" s="4" t="s">
        <v>25</v>
      </c>
      <c r="I130" s="5">
        <v>44621</v>
      </c>
      <c r="J130" s="6">
        <v>1174</v>
      </c>
      <c r="K130" s="6">
        <v>623.45041070000002</v>
      </c>
      <c r="L130" s="6">
        <v>0</v>
      </c>
      <c r="M130" s="6">
        <v>0</v>
      </c>
      <c r="N130" s="6">
        <v>0</v>
      </c>
      <c r="O130" s="6">
        <v>0</v>
      </c>
      <c r="P130" s="6">
        <v>2</v>
      </c>
      <c r="Q130" s="4" t="s">
        <v>53</v>
      </c>
      <c r="R130" s="4">
        <v>0</v>
      </c>
      <c r="S130" s="4" t="s">
        <v>146</v>
      </c>
      <c r="U130" s="4">
        <v>36</v>
      </c>
      <c r="V130" s="4">
        <v>0</v>
      </c>
      <c r="W130" s="4">
        <v>0</v>
      </c>
    </row>
    <row r="131" spans="1:23" ht="11.25" customHeight="1" x14ac:dyDescent="0.25">
      <c r="A131" s="4" t="s">
        <v>21</v>
      </c>
      <c r="B131" s="4" t="s">
        <v>34</v>
      </c>
      <c r="C131" s="4" t="s">
        <v>35</v>
      </c>
      <c r="D131" s="4" t="s">
        <v>33</v>
      </c>
      <c r="E131" s="4" t="s">
        <v>25</v>
      </c>
      <c r="F131" s="4" t="s">
        <v>52</v>
      </c>
      <c r="G131" s="4" t="s">
        <v>25</v>
      </c>
      <c r="H131" s="4" t="s">
        <v>25</v>
      </c>
      <c r="I131" s="5">
        <v>44652</v>
      </c>
      <c r="J131" s="6">
        <v>1200</v>
      </c>
      <c r="K131" s="6">
        <v>618.96823199999994</v>
      </c>
      <c r="L131" s="6">
        <v>0</v>
      </c>
      <c r="M131" s="6">
        <v>0</v>
      </c>
      <c r="N131" s="6">
        <v>0</v>
      </c>
      <c r="O131" s="6">
        <v>0</v>
      </c>
      <c r="P131" s="6">
        <v>2</v>
      </c>
      <c r="Q131" s="4" t="s">
        <v>53</v>
      </c>
      <c r="R131" s="4">
        <v>0</v>
      </c>
      <c r="S131" s="4" t="s">
        <v>147</v>
      </c>
      <c r="U131" s="4">
        <v>36</v>
      </c>
      <c r="V131" s="4">
        <v>0</v>
      </c>
      <c r="W131" s="4">
        <v>0</v>
      </c>
    </row>
    <row r="132" spans="1:23" ht="11.25" customHeight="1" x14ac:dyDescent="0.25">
      <c r="A132" s="4" t="s">
        <v>21</v>
      </c>
      <c r="B132" s="4" t="s">
        <v>34</v>
      </c>
      <c r="C132" s="4" t="s">
        <v>35</v>
      </c>
      <c r="D132" s="4" t="s">
        <v>33</v>
      </c>
      <c r="E132" s="4" t="s">
        <v>25</v>
      </c>
      <c r="F132" s="4" t="s">
        <v>52</v>
      </c>
      <c r="G132" s="4" t="s">
        <v>25</v>
      </c>
      <c r="H132" s="4" t="s">
        <v>25</v>
      </c>
      <c r="I132" s="5">
        <v>44682</v>
      </c>
      <c r="J132" s="6">
        <v>1200</v>
      </c>
      <c r="K132" s="6">
        <v>660</v>
      </c>
      <c r="L132" s="6">
        <v>0</v>
      </c>
      <c r="M132" s="6">
        <v>0</v>
      </c>
      <c r="N132" s="6">
        <v>0</v>
      </c>
      <c r="O132" s="6">
        <v>0</v>
      </c>
      <c r="P132" s="6">
        <v>2</v>
      </c>
      <c r="Q132" s="4" t="s">
        <v>53</v>
      </c>
      <c r="R132" s="4">
        <v>0</v>
      </c>
      <c r="S132" s="4" t="s">
        <v>148</v>
      </c>
      <c r="U132" s="4">
        <v>36</v>
      </c>
      <c r="V132" s="4">
        <v>0</v>
      </c>
      <c r="W132" s="4">
        <v>0</v>
      </c>
    </row>
    <row r="133" spans="1:23" ht="11.25" customHeight="1" x14ac:dyDescent="0.25">
      <c r="A133" s="4" t="s">
        <v>21</v>
      </c>
      <c r="B133" s="4" t="s">
        <v>34</v>
      </c>
      <c r="C133" s="4" t="s">
        <v>35</v>
      </c>
      <c r="D133" s="4" t="s">
        <v>33</v>
      </c>
      <c r="E133" s="4" t="s">
        <v>25</v>
      </c>
      <c r="F133" s="4" t="s">
        <v>52</v>
      </c>
      <c r="G133" s="4" t="s">
        <v>25</v>
      </c>
      <c r="H133" s="4" t="s">
        <v>25</v>
      </c>
      <c r="I133" s="5">
        <v>44713</v>
      </c>
      <c r="J133" s="6">
        <v>1200</v>
      </c>
      <c r="K133" s="6">
        <v>660</v>
      </c>
      <c r="L133" s="6">
        <v>0</v>
      </c>
      <c r="M133" s="6">
        <v>0</v>
      </c>
      <c r="N133" s="6">
        <v>0</v>
      </c>
      <c r="O133" s="6">
        <v>0</v>
      </c>
      <c r="P133" s="6">
        <v>2</v>
      </c>
      <c r="Q133" s="4" t="s">
        <v>53</v>
      </c>
      <c r="R133" s="4">
        <v>0</v>
      </c>
      <c r="S133" s="4" t="s">
        <v>149</v>
      </c>
      <c r="U133" s="4">
        <v>36</v>
      </c>
      <c r="V133" s="4">
        <v>0</v>
      </c>
      <c r="W133" s="4">
        <v>0</v>
      </c>
    </row>
    <row r="134" spans="1:23" ht="11.25" customHeight="1" x14ac:dyDescent="0.25">
      <c r="A134" s="4" t="s">
        <v>21</v>
      </c>
      <c r="B134" s="4" t="s">
        <v>34</v>
      </c>
      <c r="C134" s="4" t="s">
        <v>35</v>
      </c>
      <c r="D134" s="4" t="s">
        <v>33</v>
      </c>
      <c r="E134" s="4" t="s">
        <v>25</v>
      </c>
      <c r="F134" s="4" t="s">
        <v>52</v>
      </c>
      <c r="G134" s="4" t="s">
        <v>25</v>
      </c>
      <c r="H134" s="4" t="s">
        <v>36</v>
      </c>
      <c r="I134" s="5">
        <v>44378</v>
      </c>
      <c r="J134" s="6">
        <v>0</v>
      </c>
      <c r="K134" s="6">
        <v>0</v>
      </c>
      <c r="L134" s="6">
        <v>27.850999999999999</v>
      </c>
      <c r="M134" s="6">
        <v>15.163322376949999</v>
      </c>
      <c r="N134" s="6">
        <v>0</v>
      </c>
      <c r="O134" s="6">
        <v>0</v>
      </c>
      <c r="P134" s="6">
        <v>0</v>
      </c>
      <c r="Q134" s="4" t="s">
        <v>53</v>
      </c>
      <c r="R134" s="4">
        <v>0</v>
      </c>
      <c r="S134" s="4" t="s">
        <v>150</v>
      </c>
      <c r="U134" s="4">
        <v>0</v>
      </c>
      <c r="V134" s="4">
        <v>15</v>
      </c>
      <c r="W134" s="4">
        <v>0</v>
      </c>
    </row>
    <row r="135" spans="1:23" ht="11.25" customHeight="1" x14ac:dyDescent="0.25">
      <c r="A135" s="4" t="s">
        <v>21</v>
      </c>
      <c r="B135" s="4" t="s">
        <v>34</v>
      </c>
      <c r="C135" s="4" t="s">
        <v>35</v>
      </c>
      <c r="D135" s="4" t="s">
        <v>33</v>
      </c>
      <c r="E135" s="4" t="s">
        <v>25</v>
      </c>
      <c r="F135" s="4" t="s">
        <v>52</v>
      </c>
      <c r="G135" s="4" t="s">
        <v>25</v>
      </c>
      <c r="H135" s="4" t="s">
        <v>36</v>
      </c>
      <c r="I135" s="5">
        <v>44409</v>
      </c>
      <c r="J135" s="6">
        <v>0</v>
      </c>
      <c r="K135" s="6">
        <v>0</v>
      </c>
      <c r="L135" s="6">
        <v>26.913</v>
      </c>
      <c r="M135" s="6">
        <v>14.617136581500001</v>
      </c>
      <c r="N135" s="6">
        <v>0</v>
      </c>
      <c r="O135" s="6">
        <v>0</v>
      </c>
      <c r="P135" s="6">
        <v>0</v>
      </c>
      <c r="Q135" s="4" t="s">
        <v>53</v>
      </c>
      <c r="R135" s="4">
        <v>0</v>
      </c>
      <c r="S135" s="4" t="s">
        <v>151</v>
      </c>
      <c r="U135" s="4">
        <v>0</v>
      </c>
      <c r="V135" s="4">
        <v>15</v>
      </c>
      <c r="W135" s="4">
        <v>0</v>
      </c>
    </row>
    <row r="136" spans="1:23" ht="11.25" customHeight="1" x14ac:dyDescent="0.25">
      <c r="A136" s="4" t="s">
        <v>21</v>
      </c>
      <c r="B136" s="4" t="s">
        <v>34</v>
      </c>
      <c r="C136" s="4" t="s">
        <v>35</v>
      </c>
      <c r="D136" s="4" t="s">
        <v>33</v>
      </c>
      <c r="E136" s="4" t="s">
        <v>25</v>
      </c>
      <c r="F136" s="4" t="s">
        <v>52</v>
      </c>
      <c r="G136" s="4" t="s">
        <v>25</v>
      </c>
      <c r="H136" s="4" t="s">
        <v>36</v>
      </c>
      <c r="I136" s="5">
        <v>44440</v>
      </c>
      <c r="J136" s="6">
        <v>0</v>
      </c>
      <c r="K136" s="6">
        <v>0</v>
      </c>
      <c r="L136" s="6">
        <v>27.526</v>
      </c>
      <c r="M136" s="6">
        <v>14.99584054372</v>
      </c>
      <c r="N136" s="6">
        <v>0</v>
      </c>
      <c r="O136" s="6">
        <v>0</v>
      </c>
      <c r="P136" s="6">
        <v>0</v>
      </c>
      <c r="Q136" s="4" t="s">
        <v>53</v>
      </c>
      <c r="R136" s="4">
        <v>0</v>
      </c>
      <c r="S136" s="4" t="s">
        <v>152</v>
      </c>
      <c r="U136" s="4">
        <v>0</v>
      </c>
      <c r="V136" s="4">
        <v>15</v>
      </c>
      <c r="W136" s="4">
        <v>0</v>
      </c>
    </row>
    <row r="137" spans="1:23" ht="11.25" customHeight="1" x14ac:dyDescent="0.25">
      <c r="A137" s="4" t="s">
        <v>21</v>
      </c>
      <c r="B137" s="4" t="s">
        <v>34</v>
      </c>
      <c r="C137" s="4" t="s">
        <v>35</v>
      </c>
      <c r="D137" s="4" t="s">
        <v>33</v>
      </c>
      <c r="E137" s="4" t="s">
        <v>25</v>
      </c>
      <c r="F137" s="4" t="s">
        <v>52</v>
      </c>
      <c r="G137" s="4" t="s">
        <v>25</v>
      </c>
      <c r="H137" s="4" t="s">
        <v>36</v>
      </c>
      <c r="I137" s="5">
        <v>44470</v>
      </c>
      <c r="J137" s="6">
        <v>0</v>
      </c>
      <c r="K137" s="6">
        <v>0</v>
      </c>
      <c r="L137" s="6">
        <v>27.867999999999999</v>
      </c>
      <c r="M137" s="6">
        <v>15.169931587320001</v>
      </c>
      <c r="N137" s="6">
        <v>0</v>
      </c>
      <c r="O137" s="6">
        <v>0</v>
      </c>
      <c r="P137" s="6">
        <v>0</v>
      </c>
      <c r="Q137" s="4" t="s">
        <v>53</v>
      </c>
      <c r="R137" s="4">
        <v>0</v>
      </c>
      <c r="S137" s="4" t="s">
        <v>153</v>
      </c>
      <c r="U137" s="4">
        <v>0</v>
      </c>
      <c r="V137" s="4">
        <v>15</v>
      </c>
      <c r="W137" s="4">
        <v>0</v>
      </c>
    </row>
    <row r="138" spans="1:23" ht="11.25" customHeight="1" x14ac:dyDescent="0.25">
      <c r="A138" s="4" t="s">
        <v>21</v>
      </c>
      <c r="B138" s="4" t="s">
        <v>34</v>
      </c>
      <c r="C138" s="4" t="s">
        <v>35</v>
      </c>
      <c r="D138" s="4" t="s">
        <v>33</v>
      </c>
      <c r="E138" s="4" t="s">
        <v>25</v>
      </c>
      <c r="F138" s="4" t="s">
        <v>52</v>
      </c>
      <c r="G138" s="4" t="s">
        <v>25</v>
      </c>
      <c r="H138" s="4" t="s">
        <v>36</v>
      </c>
      <c r="I138" s="5">
        <v>44501</v>
      </c>
      <c r="J138" s="6">
        <v>0</v>
      </c>
      <c r="K138" s="6">
        <v>0</v>
      </c>
      <c r="L138" s="6">
        <v>28.105</v>
      </c>
      <c r="M138" s="6">
        <v>14.110991563900001</v>
      </c>
      <c r="N138" s="6">
        <v>0</v>
      </c>
      <c r="O138" s="6">
        <v>0</v>
      </c>
      <c r="P138" s="6">
        <v>0</v>
      </c>
      <c r="Q138" s="4" t="s">
        <v>53</v>
      </c>
      <c r="R138" s="4">
        <v>0</v>
      </c>
      <c r="S138" s="4" t="s">
        <v>154</v>
      </c>
      <c r="U138" s="4">
        <v>0</v>
      </c>
      <c r="V138" s="4">
        <v>15</v>
      </c>
      <c r="W138" s="4">
        <v>0</v>
      </c>
    </row>
    <row r="139" spans="1:23" ht="11.25" customHeight="1" x14ac:dyDescent="0.25">
      <c r="A139" s="4" t="s">
        <v>21</v>
      </c>
      <c r="B139" s="4" t="s">
        <v>34</v>
      </c>
      <c r="C139" s="4" t="s">
        <v>35</v>
      </c>
      <c r="D139" s="4" t="s">
        <v>33</v>
      </c>
      <c r="E139" s="4" t="s">
        <v>25</v>
      </c>
      <c r="F139" s="4" t="s">
        <v>52</v>
      </c>
      <c r="G139" s="4" t="s">
        <v>25</v>
      </c>
      <c r="H139" s="4" t="s">
        <v>36</v>
      </c>
      <c r="I139" s="5">
        <v>44531</v>
      </c>
      <c r="J139" s="6">
        <v>0</v>
      </c>
      <c r="K139" s="6">
        <v>0</v>
      </c>
      <c r="L139" s="6">
        <v>18.141999999999999</v>
      </c>
      <c r="M139" s="6">
        <v>9.8499206017199992</v>
      </c>
      <c r="N139" s="6">
        <v>0</v>
      </c>
      <c r="O139" s="6">
        <v>0</v>
      </c>
      <c r="P139" s="6">
        <v>0</v>
      </c>
      <c r="Q139" s="4" t="s">
        <v>53</v>
      </c>
      <c r="R139" s="4">
        <v>0</v>
      </c>
      <c r="S139" s="4" t="s">
        <v>155</v>
      </c>
      <c r="U139" s="4">
        <v>0</v>
      </c>
      <c r="V139" s="4">
        <v>15</v>
      </c>
      <c r="W139" s="4">
        <v>0</v>
      </c>
    </row>
    <row r="140" spans="1:23" ht="11.25" customHeight="1" x14ac:dyDescent="0.25">
      <c r="A140" s="4" t="s">
        <v>21</v>
      </c>
      <c r="B140" s="4" t="s">
        <v>34</v>
      </c>
      <c r="C140" s="4" t="s">
        <v>35</v>
      </c>
      <c r="D140" s="4" t="s">
        <v>33</v>
      </c>
      <c r="E140" s="4" t="s">
        <v>25</v>
      </c>
      <c r="F140" s="4" t="s">
        <v>52</v>
      </c>
      <c r="G140" s="4" t="s">
        <v>25</v>
      </c>
      <c r="H140" s="4" t="s">
        <v>36</v>
      </c>
      <c r="I140" s="5">
        <v>44562</v>
      </c>
      <c r="J140" s="6">
        <v>0</v>
      </c>
      <c r="K140" s="6">
        <v>0</v>
      </c>
      <c r="L140" s="6">
        <v>46.316000000000003</v>
      </c>
      <c r="M140" s="6">
        <v>27.48476568808</v>
      </c>
      <c r="N140" s="6">
        <v>0</v>
      </c>
      <c r="O140" s="6">
        <v>0</v>
      </c>
      <c r="P140" s="6">
        <v>0</v>
      </c>
      <c r="Q140" s="4" t="s">
        <v>53</v>
      </c>
      <c r="R140" s="4">
        <v>0</v>
      </c>
      <c r="S140" s="4" t="s">
        <v>156</v>
      </c>
      <c r="U140" s="4">
        <v>0</v>
      </c>
      <c r="V140" s="4">
        <v>15</v>
      </c>
      <c r="W140" s="4">
        <v>0</v>
      </c>
    </row>
    <row r="141" spans="1:23" ht="11.25" customHeight="1" x14ac:dyDescent="0.25">
      <c r="A141" s="4" t="s">
        <v>21</v>
      </c>
      <c r="B141" s="4" t="s">
        <v>34</v>
      </c>
      <c r="C141" s="4" t="s">
        <v>35</v>
      </c>
      <c r="D141" s="4" t="s">
        <v>33</v>
      </c>
      <c r="E141" s="4" t="s">
        <v>25</v>
      </c>
      <c r="F141" s="4" t="s">
        <v>52</v>
      </c>
      <c r="G141" s="4" t="s">
        <v>25</v>
      </c>
      <c r="H141" s="4" t="s">
        <v>36</v>
      </c>
      <c r="I141" s="5">
        <v>44593</v>
      </c>
      <c r="J141" s="6">
        <v>0</v>
      </c>
      <c r="K141" s="6">
        <v>0</v>
      </c>
      <c r="L141" s="6">
        <v>41.395000000000003</v>
      </c>
      <c r="M141" s="6">
        <v>24.649826298250002</v>
      </c>
      <c r="N141" s="6">
        <v>0</v>
      </c>
      <c r="O141" s="6">
        <v>0</v>
      </c>
      <c r="P141" s="6">
        <v>0</v>
      </c>
      <c r="Q141" s="4" t="s">
        <v>53</v>
      </c>
      <c r="R141" s="4">
        <v>0</v>
      </c>
      <c r="S141" s="4" t="s">
        <v>157</v>
      </c>
      <c r="U141" s="4">
        <v>0</v>
      </c>
      <c r="V141" s="4">
        <v>15</v>
      </c>
      <c r="W141" s="4">
        <v>0</v>
      </c>
    </row>
    <row r="142" spans="1:23" ht="11.25" customHeight="1" x14ac:dyDescent="0.25">
      <c r="A142" s="4" t="s">
        <v>21</v>
      </c>
      <c r="B142" s="4" t="s">
        <v>34</v>
      </c>
      <c r="C142" s="4" t="s">
        <v>35</v>
      </c>
      <c r="D142" s="4" t="s">
        <v>33</v>
      </c>
      <c r="E142" s="4" t="s">
        <v>25</v>
      </c>
      <c r="F142" s="4" t="s">
        <v>52</v>
      </c>
      <c r="G142" s="4" t="s">
        <v>25</v>
      </c>
      <c r="H142" s="4" t="s">
        <v>36</v>
      </c>
      <c r="I142" s="5">
        <v>44621</v>
      </c>
      <c r="J142" s="6">
        <v>0</v>
      </c>
      <c r="K142" s="6">
        <v>0</v>
      </c>
      <c r="L142" s="6">
        <v>46.118000000000002</v>
      </c>
      <c r="M142" s="6">
        <v>26.298977661439999</v>
      </c>
      <c r="N142" s="6">
        <v>0</v>
      </c>
      <c r="O142" s="6">
        <v>0</v>
      </c>
      <c r="P142" s="6">
        <v>0</v>
      </c>
      <c r="Q142" s="4" t="s">
        <v>53</v>
      </c>
      <c r="R142" s="4">
        <v>0</v>
      </c>
      <c r="S142" s="4" t="s">
        <v>158</v>
      </c>
      <c r="U142" s="4">
        <v>0</v>
      </c>
      <c r="V142" s="4">
        <v>15</v>
      </c>
      <c r="W142" s="4">
        <v>0</v>
      </c>
    </row>
    <row r="143" spans="1:23" ht="11.25" customHeight="1" x14ac:dyDescent="0.25">
      <c r="A143" s="4" t="s">
        <v>21</v>
      </c>
      <c r="B143" s="4" t="s">
        <v>34</v>
      </c>
      <c r="C143" s="4" t="s">
        <v>35</v>
      </c>
      <c r="D143" s="4" t="s">
        <v>33</v>
      </c>
      <c r="E143" s="4" t="s">
        <v>25</v>
      </c>
      <c r="F143" s="4" t="s">
        <v>52</v>
      </c>
      <c r="G143" s="4" t="s">
        <v>25</v>
      </c>
      <c r="H143" s="4" t="s">
        <v>36</v>
      </c>
      <c r="I143" s="5">
        <v>44652</v>
      </c>
      <c r="J143" s="6">
        <v>0</v>
      </c>
      <c r="K143" s="6">
        <v>0</v>
      </c>
      <c r="L143" s="6">
        <v>36.996000000000002</v>
      </c>
      <c r="M143" s="6">
        <v>20.580397551600001</v>
      </c>
      <c r="N143" s="6">
        <v>0</v>
      </c>
      <c r="O143" s="6">
        <v>0</v>
      </c>
      <c r="P143" s="6">
        <v>0</v>
      </c>
      <c r="Q143" s="4" t="s">
        <v>53</v>
      </c>
      <c r="R143" s="4">
        <v>0</v>
      </c>
      <c r="S143" s="4" t="s">
        <v>159</v>
      </c>
      <c r="U143" s="4">
        <v>0</v>
      </c>
      <c r="V143" s="4">
        <v>15</v>
      </c>
      <c r="W143" s="4">
        <v>0</v>
      </c>
    </row>
    <row r="144" spans="1:23" ht="11.25" customHeight="1" x14ac:dyDescent="0.25">
      <c r="A144" s="4" t="s">
        <v>21</v>
      </c>
      <c r="B144" s="4" t="s">
        <v>34</v>
      </c>
      <c r="C144" s="4" t="s">
        <v>35</v>
      </c>
      <c r="D144" s="4" t="s">
        <v>33</v>
      </c>
      <c r="E144" s="4" t="s">
        <v>25</v>
      </c>
      <c r="F144" s="4" t="s">
        <v>52</v>
      </c>
      <c r="G144" s="4" t="s">
        <v>25</v>
      </c>
      <c r="H144" s="4" t="s">
        <v>36</v>
      </c>
      <c r="I144" s="5">
        <v>44682</v>
      </c>
      <c r="J144" s="6">
        <v>0</v>
      </c>
      <c r="K144" s="6">
        <v>0</v>
      </c>
      <c r="L144" s="6">
        <v>42.427</v>
      </c>
      <c r="M144" s="6">
        <v>24.931020774659999</v>
      </c>
      <c r="N144" s="6">
        <v>0</v>
      </c>
      <c r="O144" s="6">
        <v>0</v>
      </c>
      <c r="P144" s="6">
        <v>0</v>
      </c>
      <c r="Q144" s="4" t="s">
        <v>53</v>
      </c>
      <c r="R144" s="4">
        <v>0</v>
      </c>
      <c r="S144" s="4" t="s">
        <v>160</v>
      </c>
      <c r="U144" s="4">
        <v>0</v>
      </c>
      <c r="V144" s="4">
        <v>15</v>
      </c>
      <c r="W144" s="4">
        <v>0</v>
      </c>
    </row>
    <row r="145" spans="1:23" ht="11.25" customHeight="1" x14ac:dyDescent="0.25">
      <c r="A145" s="4" t="s">
        <v>21</v>
      </c>
      <c r="B145" s="4" t="s">
        <v>34</v>
      </c>
      <c r="C145" s="4" t="s">
        <v>35</v>
      </c>
      <c r="D145" s="4" t="s">
        <v>33</v>
      </c>
      <c r="E145" s="4" t="s">
        <v>25</v>
      </c>
      <c r="F145" s="4" t="s">
        <v>52</v>
      </c>
      <c r="G145" s="4" t="s">
        <v>25</v>
      </c>
      <c r="H145" s="4" t="s">
        <v>36</v>
      </c>
      <c r="I145" s="5">
        <v>44713</v>
      </c>
      <c r="J145" s="6">
        <v>0</v>
      </c>
      <c r="K145" s="6">
        <v>0</v>
      </c>
      <c r="L145" s="6">
        <v>42.43</v>
      </c>
      <c r="M145" s="6">
        <v>24.9327836394</v>
      </c>
      <c r="N145" s="6">
        <v>0</v>
      </c>
      <c r="O145" s="6">
        <v>0</v>
      </c>
      <c r="P145" s="6">
        <v>0</v>
      </c>
      <c r="Q145" s="4" t="s">
        <v>53</v>
      </c>
      <c r="R145" s="4">
        <v>0</v>
      </c>
      <c r="S145" s="4" t="s">
        <v>161</v>
      </c>
      <c r="U145" s="4">
        <v>0</v>
      </c>
      <c r="V145" s="4">
        <v>15</v>
      </c>
      <c r="W145" s="4">
        <v>0</v>
      </c>
    </row>
    <row r="146" spans="1:23" ht="11.25" customHeight="1" x14ac:dyDescent="0.25">
      <c r="A146" s="4" t="s">
        <v>21</v>
      </c>
      <c r="B146" s="4" t="s">
        <v>34</v>
      </c>
      <c r="C146" s="4" t="s">
        <v>35</v>
      </c>
      <c r="D146" s="4" t="s">
        <v>33</v>
      </c>
      <c r="E146" s="4" t="s">
        <v>25</v>
      </c>
      <c r="F146" s="4" t="s">
        <v>25</v>
      </c>
      <c r="G146" s="4" t="s">
        <v>25</v>
      </c>
      <c r="H146" s="4" t="s">
        <v>37</v>
      </c>
      <c r="I146" s="5">
        <v>44378</v>
      </c>
      <c r="J146" s="6">
        <v>0</v>
      </c>
      <c r="K146" s="6">
        <v>0</v>
      </c>
      <c r="L146" s="6">
        <v>1832.672</v>
      </c>
      <c r="M146" s="6">
        <v>1832.672</v>
      </c>
      <c r="N146" s="6">
        <v>1832.672</v>
      </c>
      <c r="O146" s="6">
        <v>1832.672</v>
      </c>
      <c r="P146" s="6">
        <v>0</v>
      </c>
      <c r="Q146" s="4" t="s">
        <v>26</v>
      </c>
      <c r="R146" s="4">
        <v>0</v>
      </c>
      <c r="S146" s="4" t="s">
        <v>126</v>
      </c>
      <c r="T146" s="4" t="s">
        <v>271</v>
      </c>
      <c r="U146" s="4">
        <v>0</v>
      </c>
      <c r="V146" s="4">
        <v>13</v>
      </c>
      <c r="W146" s="4">
        <v>16</v>
      </c>
    </row>
    <row r="147" spans="1:23" ht="11.25" customHeight="1" x14ac:dyDescent="0.25">
      <c r="A147" s="4" t="s">
        <v>21</v>
      </c>
      <c r="B147" s="4" t="s">
        <v>34</v>
      </c>
      <c r="C147" s="4" t="s">
        <v>35</v>
      </c>
      <c r="D147" s="4" t="s">
        <v>33</v>
      </c>
      <c r="E147" s="4" t="s">
        <v>25</v>
      </c>
      <c r="F147" s="4" t="s">
        <v>25</v>
      </c>
      <c r="G147" s="4" t="s">
        <v>25</v>
      </c>
      <c r="H147" s="4" t="s">
        <v>37</v>
      </c>
      <c r="I147" s="5">
        <v>44409</v>
      </c>
      <c r="J147" s="6">
        <v>0</v>
      </c>
      <c r="K147" s="6">
        <v>0</v>
      </c>
      <c r="L147" s="6">
        <v>1881.9169999999999</v>
      </c>
      <c r="M147" s="6">
        <v>1881.9169999999999</v>
      </c>
      <c r="N147" s="6">
        <v>1881.9169999999999</v>
      </c>
      <c r="O147" s="6">
        <v>1881.9169999999999</v>
      </c>
      <c r="P147" s="6">
        <v>0</v>
      </c>
      <c r="Q147" s="4" t="s">
        <v>26</v>
      </c>
      <c r="R147" s="4">
        <v>0</v>
      </c>
      <c r="S147" s="4" t="s">
        <v>127</v>
      </c>
      <c r="T147" s="4" t="s">
        <v>272</v>
      </c>
      <c r="U147" s="4">
        <v>0</v>
      </c>
      <c r="V147" s="4">
        <v>13</v>
      </c>
      <c r="W147" s="4">
        <v>16</v>
      </c>
    </row>
    <row r="148" spans="1:23" ht="11.25" customHeight="1" x14ac:dyDescent="0.25">
      <c r="A148" s="4" t="s">
        <v>21</v>
      </c>
      <c r="B148" s="4" t="s">
        <v>34</v>
      </c>
      <c r="C148" s="4" t="s">
        <v>35</v>
      </c>
      <c r="D148" s="4" t="s">
        <v>33</v>
      </c>
      <c r="E148" s="4" t="s">
        <v>25</v>
      </c>
      <c r="F148" s="4" t="s">
        <v>25</v>
      </c>
      <c r="G148" s="4" t="s">
        <v>25</v>
      </c>
      <c r="H148" s="4" t="s">
        <v>37</v>
      </c>
      <c r="I148" s="5">
        <v>44440</v>
      </c>
      <c r="J148" s="6">
        <v>0</v>
      </c>
      <c r="K148" s="6">
        <v>0</v>
      </c>
      <c r="L148" s="6">
        <v>1820.164</v>
      </c>
      <c r="M148" s="6">
        <v>1820.164</v>
      </c>
      <c r="N148" s="6">
        <v>1820.164</v>
      </c>
      <c r="O148" s="6">
        <v>1820.164</v>
      </c>
      <c r="P148" s="6">
        <v>0</v>
      </c>
      <c r="Q148" s="4" t="s">
        <v>26</v>
      </c>
      <c r="R148" s="4">
        <v>0</v>
      </c>
      <c r="S148" s="4" t="s">
        <v>128</v>
      </c>
      <c r="T148" s="4" t="s">
        <v>273</v>
      </c>
      <c r="U148" s="4">
        <v>0</v>
      </c>
      <c r="V148" s="4">
        <v>13</v>
      </c>
      <c r="W148" s="4">
        <v>16</v>
      </c>
    </row>
    <row r="149" spans="1:23" ht="11.25" customHeight="1" x14ac:dyDescent="0.25">
      <c r="A149" s="4" t="s">
        <v>21</v>
      </c>
      <c r="B149" s="4" t="s">
        <v>34</v>
      </c>
      <c r="C149" s="4" t="s">
        <v>35</v>
      </c>
      <c r="D149" s="4" t="s">
        <v>33</v>
      </c>
      <c r="E149" s="4" t="s">
        <v>25</v>
      </c>
      <c r="F149" s="4" t="s">
        <v>25</v>
      </c>
      <c r="G149" s="4" t="s">
        <v>25</v>
      </c>
      <c r="H149" s="4" t="s">
        <v>37</v>
      </c>
      <c r="I149" s="5">
        <v>44470</v>
      </c>
      <c r="J149" s="6">
        <v>0</v>
      </c>
      <c r="K149" s="6">
        <v>0</v>
      </c>
      <c r="L149" s="6">
        <v>1922.569</v>
      </c>
      <c r="M149" s="6">
        <v>1922.569</v>
      </c>
      <c r="N149" s="6">
        <v>1922.569</v>
      </c>
      <c r="O149" s="6">
        <v>1922.569</v>
      </c>
      <c r="P149" s="6">
        <v>0</v>
      </c>
      <c r="Q149" s="4" t="s">
        <v>26</v>
      </c>
      <c r="R149" s="4">
        <v>0</v>
      </c>
      <c r="S149" s="4" t="s">
        <v>129</v>
      </c>
      <c r="T149" s="4" t="s">
        <v>274</v>
      </c>
      <c r="U149" s="4">
        <v>0</v>
      </c>
      <c r="V149" s="4">
        <v>13</v>
      </c>
      <c r="W149" s="4">
        <v>16</v>
      </c>
    </row>
    <row r="150" spans="1:23" ht="11.25" customHeight="1" x14ac:dyDescent="0.25">
      <c r="A150" s="4" t="s">
        <v>21</v>
      </c>
      <c r="B150" s="4" t="s">
        <v>34</v>
      </c>
      <c r="C150" s="4" t="s">
        <v>35</v>
      </c>
      <c r="D150" s="4" t="s">
        <v>33</v>
      </c>
      <c r="E150" s="4" t="s">
        <v>25</v>
      </c>
      <c r="F150" s="4" t="s">
        <v>25</v>
      </c>
      <c r="G150" s="4" t="s">
        <v>25</v>
      </c>
      <c r="H150" s="4" t="s">
        <v>37</v>
      </c>
      <c r="I150" s="5">
        <v>44501</v>
      </c>
      <c r="J150" s="6">
        <v>0</v>
      </c>
      <c r="K150" s="6">
        <v>0</v>
      </c>
      <c r="L150" s="6">
        <v>1873.943</v>
      </c>
      <c r="M150" s="6">
        <v>1873.943</v>
      </c>
      <c r="N150" s="6">
        <v>1873.943</v>
      </c>
      <c r="O150" s="6">
        <v>1873.943</v>
      </c>
      <c r="P150" s="6">
        <v>0</v>
      </c>
      <c r="Q150" s="4" t="s">
        <v>26</v>
      </c>
      <c r="R150" s="4">
        <v>0</v>
      </c>
      <c r="S150" s="4" t="s">
        <v>130</v>
      </c>
      <c r="T150" s="4" t="s">
        <v>275</v>
      </c>
      <c r="U150" s="4">
        <v>0</v>
      </c>
      <c r="V150" s="4">
        <v>13</v>
      </c>
      <c r="W150" s="4">
        <v>16</v>
      </c>
    </row>
    <row r="151" spans="1:23" ht="11.25" customHeight="1" x14ac:dyDescent="0.25">
      <c r="A151" s="4" t="s">
        <v>21</v>
      </c>
      <c r="B151" s="4" t="s">
        <v>34</v>
      </c>
      <c r="C151" s="4" t="s">
        <v>35</v>
      </c>
      <c r="D151" s="4" t="s">
        <v>33</v>
      </c>
      <c r="E151" s="4" t="s">
        <v>25</v>
      </c>
      <c r="F151" s="4" t="s">
        <v>25</v>
      </c>
      <c r="G151" s="4" t="s">
        <v>25</v>
      </c>
      <c r="H151" s="4" t="s">
        <v>37</v>
      </c>
      <c r="I151" s="5">
        <v>44531</v>
      </c>
      <c r="J151" s="6">
        <v>0</v>
      </c>
      <c r="K151" s="6">
        <v>0</v>
      </c>
      <c r="L151" s="6">
        <v>1865.4459999999999</v>
      </c>
      <c r="M151" s="6">
        <v>1865.4459999999999</v>
      </c>
      <c r="N151" s="6">
        <v>1865.4459999999999</v>
      </c>
      <c r="O151" s="6">
        <v>1865.4459999999999</v>
      </c>
      <c r="P151" s="6">
        <v>0</v>
      </c>
      <c r="Q151" s="4" t="s">
        <v>26</v>
      </c>
      <c r="R151" s="4">
        <v>0</v>
      </c>
      <c r="S151" s="4" t="s">
        <v>131</v>
      </c>
      <c r="T151" s="4" t="s">
        <v>276</v>
      </c>
      <c r="U151" s="4">
        <v>0</v>
      </c>
      <c r="V151" s="4">
        <v>13</v>
      </c>
      <c r="W151" s="4">
        <v>16</v>
      </c>
    </row>
    <row r="152" spans="1:23" ht="11.25" customHeight="1" x14ac:dyDescent="0.25">
      <c r="A152" s="4" t="s">
        <v>21</v>
      </c>
      <c r="B152" s="4" t="s">
        <v>34</v>
      </c>
      <c r="C152" s="4" t="s">
        <v>35</v>
      </c>
      <c r="D152" s="4" t="s">
        <v>33</v>
      </c>
      <c r="E152" s="4" t="s">
        <v>25</v>
      </c>
      <c r="F152" s="4" t="s">
        <v>25</v>
      </c>
      <c r="G152" s="4" t="s">
        <v>25</v>
      </c>
      <c r="H152" s="4" t="s">
        <v>37</v>
      </c>
      <c r="I152" s="5">
        <v>44562</v>
      </c>
      <c r="J152" s="6">
        <v>0</v>
      </c>
      <c r="K152" s="6">
        <v>0</v>
      </c>
      <c r="L152" s="6">
        <v>1800.578</v>
      </c>
      <c r="M152" s="6">
        <v>1800.578</v>
      </c>
      <c r="N152" s="6">
        <v>1800.578</v>
      </c>
      <c r="O152" s="6">
        <v>1800.578</v>
      </c>
      <c r="P152" s="6">
        <v>0</v>
      </c>
      <c r="Q152" s="4" t="s">
        <v>26</v>
      </c>
      <c r="R152" s="4">
        <v>0</v>
      </c>
      <c r="S152" s="4" t="s">
        <v>132</v>
      </c>
      <c r="T152" s="4" t="s">
        <v>277</v>
      </c>
      <c r="U152" s="4">
        <v>0</v>
      </c>
      <c r="V152" s="4">
        <v>13</v>
      </c>
      <c r="W152" s="4">
        <v>16</v>
      </c>
    </row>
    <row r="153" spans="1:23" ht="11.25" customHeight="1" x14ac:dyDescent="0.25">
      <c r="A153" s="4" t="s">
        <v>21</v>
      </c>
      <c r="B153" s="4" t="s">
        <v>34</v>
      </c>
      <c r="C153" s="4" t="s">
        <v>35</v>
      </c>
      <c r="D153" s="4" t="s">
        <v>33</v>
      </c>
      <c r="E153" s="4" t="s">
        <v>25</v>
      </c>
      <c r="F153" s="4" t="s">
        <v>25</v>
      </c>
      <c r="G153" s="4" t="s">
        <v>25</v>
      </c>
      <c r="H153" s="4" t="s">
        <v>37</v>
      </c>
      <c r="I153" s="5">
        <v>44593</v>
      </c>
      <c r="J153" s="6">
        <v>0</v>
      </c>
      <c r="K153" s="6">
        <v>0</v>
      </c>
      <c r="L153" s="6">
        <v>1468.173</v>
      </c>
      <c r="M153" s="6">
        <v>1468.173</v>
      </c>
      <c r="N153" s="6">
        <v>1468.173</v>
      </c>
      <c r="O153" s="6">
        <v>1468.173</v>
      </c>
      <c r="P153" s="6">
        <v>0</v>
      </c>
      <c r="Q153" s="4" t="s">
        <v>26</v>
      </c>
      <c r="R153" s="4">
        <v>0</v>
      </c>
      <c r="S153" s="4" t="s">
        <v>133</v>
      </c>
      <c r="T153" s="4" t="s">
        <v>278</v>
      </c>
      <c r="U153" s="4">
        <v>0</v>
      </c>
      <c r="V153" s="4">
        <v>13</v>
      </c>
      <c r="W153" s="4">
        <v>16</v>
      </c>
    </row>
    <row r="154" spans="1:23" ht="11.25" customHeight="1" x14ac:dyDescent="0.25">
      <c r="A154" s="4" t="s">
        <v>21</v>
      </c>
      <c r="B154" s="4" t="s">
        <v>34</v>
      </c>
      <c r="C154" s="4" t="s">
        <v>35</v>
      </c>
      <c r="D154" s="4" t="s">
        <v>33</v>
      </c>
      <c r="E154" s="4" t="s">
        <v>25</v>
      </c>
      <c r="F154" s="4" t="s">
        <v>25</v>
      </c>
      <c r="G154" s="4" t="s">
        <v>25</v>
      </c>
      <c r="H154" s="4" t="s">
        <v>37</v>
      </c>
      <c r="I154" s="5">
        <v>44621</v>
      </c>
      <c r="J154" s="6">
        <v>0</v>
      </c>
      <c r="K154" s="6">
        <v>0</v>
      </c>
      <c r="L154" s="6">
        <v>1524.0909999999999</v>
      </c>
      <c r="M154" s="6">
        <v>1524.0909999999999</v>
      </c>
      <c r="N154" s="6">
        <v>1524.0909999999999</v>
      </c>
      <c r="O154" s="6">
        <v>1524.0909999999999</v>
      </c>
      <c r="P154" s="6">
        <v>0</v>
      </c>
      <c r="Q154" s="4" t="s">
        <v>26</v>
      </c>
      <c r="R154" s="4">
        <v>0</v>
      </c>
      <c r="S154" s="4" t="s">
        <v>134</v>
      </c>
      <c r="T154" s="4" t="s">
        <v>279</v>
      </c>
      <c r="U154" s="4">
        <v>0</v>
      </c>
      <c r="V154" s="4">
        <v>13</v>
      </c>
      <c r="W154" s="4">
        <v>16</v>
      </c>
    </row>
    <row r="155" spans="1:23" ht="11.25" customHeight="1" x14ac:dyDescent="0.25">
      <c r="A155" s="4" t="s">
        <v>21</v>
      </c>
      <c r="B155" s="4" t="s">
        <v>34</v>
      </c>
      <c r="C155" s="4" t="s">
        <v>35</v>
      </c>
      <c r="D155" s="4" t="s">
        <v>33</v>
      </c>
      <c r="E155" s="4" t="s">
        <v>25</v>
      </c>
      <c r="F155" s="4" t="s">
        <v>25</v>
      </c>
      <c r="G155" s="4" t="s">
        <v>25</v>
      </c>
      <c r="H155" s="4" t="s">
        <v>37</v>
      </c>
      <c r="I155" s="5">
        <v>44652</v>
      </c>
      <c r="J155" s="6">
        <v>0</v>
      </c>
      <c r="K155" s="6">
        <v>0</v>
      </c>
      <c r="L155" s="6">
        <v>1579.4380000000001</v>
      </c>
      <c r="M155" s="6">
        <v>1579.4380000000001</v>
      </c>
      <c r="N155" s="6">
        <v>1579.4380000000001</v>
      </c>
      <c r="O155" s="6">
        <v>1579.4380000000001</v>
      </c>
      <c r="P155" s="6">
        <v>0</v>
      </c>
      <c r="Q155" s="4" t="s">
        <v>26</v>
      </c>
      <c r="R155" s="4">
        <v>0</v>
      </c>
      <c r="S155" s="4" t="s">
        <v>135</v>
      </c>
      <c r="T155" s="4" t="s">
        <v>280</v>
      </c>
      <c r="U155" s="4">
        <v>0</v>
      </c>
      <c r="V155" s="4">
        <v>13</v>
      </c>
      <c r="W155" s="4">
        <v>16</v>
      </c>
    </row>
    <row r="156" spans="1:23" ht="11.25" customHeight="1" x14ac:dyDescent="0.25">
      <c r="A156" s="4" t="s">
        <v>21</v>
      </c>
      <c r="B156" s="4" t="s">
        <v>34</v>
      </c>
      <c r="C156" s="4" t="s">
        <v>35</v>
      </c>
      <c r="D156" s="4" t="s">
        <v>33</v>
      </c>
      <c r="E156" s="4" t="s">
        <v>25</v>
      </c>
      <c r="F156" s="4" t="s">
        <v>25</v>
      </c>
      <c r="G156" s="4" t="s">
        <v>25</v>
      </c>
      <c r="H156" s="4" t="s">
        <v>37</v>
      </c>
      <c r="I156" s="5">
        <v>44682</v>
      </c>
      <c r="J156" s="6">
        <v>0</v>
      </c>
      <c r="K156" s="6">
        <v>0</v>
      </c>
      <c r="L156" s="6">
        <v>1475.4010000000001</v>
      </c>
      <c r="M156" s="6">
        <v>1475.4010000000001</v>
      </c>
      <c r="N156" s="6">
        <v>1475.4010000000001</v>
      </c>
      <c r="O156" s="6">
        <v>1475.4010000000001</v>
      </c>
      <c r="P156" s="6">
        <v>0</v>
      </c>
      <c r="Q156" s="4" t="s">
        <v>26</v>
      </c>
      <c r="R156" s="4">
        <v>0</v>
      </c>
      <c r="S156" s="4" t="s">
        <v>136</v>
      </c>
      <c r="T156" s="4" t="s">
        <v>281</v>
      </c>
      <c r="U156" s="4">
        <v>0</v>
      </c>
      <c r="V156" s="4">
        <v>13</v>
      </c>
      <c r="W156" s="4">
        <v>16</v>
      </c>
    </row>
    <row r="157" spans="1:23" ht="11.25" customHeight="1" x14ac:dyDescent="0.25">
      <c r="A157" s="4" t="s">
        <v>21</v>
      </c>
      <c r="B157" s="4" t="s">
        <v>34</v>
      </c>
      <c r="C157" s="4" t="s">
        <v>35</v>
      </c>
      <c r="D157" s="4" t="s">
        <v>33</v>
      </c>
      <c r="E157" s="4" t="s">
        <v>25</v>
      </c>
      <c r="F157" s="4" t="s">
        <v>25</v>
      </c>
      <c r="G157" s="4" t="s">
        <v>25</v>
      </c>
      <c r="H157" s="4" t="s">
        <v>37</v>
      </c>
      <c r="I157" s="5">
        <v>44713</v>
      </c>
      <c r="J157" s="6">
        <v>0</v>
      </c>
      <c r="K157" s="6">
        <v>0</v>
      </c>
      <c r="L157" s="6">
        <v>1476.998</v>
      </c>
      <c r="M157" s="6">
        <v>1476.998</v>
      </c>
      <c r="N157" s="6">
        <v>1476.998</v>
      </c>
      <c r="O157" s="6">
        <v>1476.998</v>
      </c>
      <c r="P157" s="6">
        <v>0</v>
      </c>
      <c r="Q157" s="4" t="s">
        <v>26</v>
      </c>
      <c r="R157" s="4">
        <v>0</v>
      </c>
      <c r="S157" s="4" t="s">
        <v>137</v>
      </c>
      <c r="T157" s="4" t="s">
        <v>282</v>
      </c>
      <c r="U157" s="4">
        <v>0</v>
      </c>
      <c r="V157" s="4">
        <v>13</v>
      </c>
      <c r="W157" s="4">
        <v>16</v>
      </c>
    </row>
    <row r="158" spans="1:23" ht="11.25" customHeight="1" x14ac:dyDescent="0.25">
      <c r="A158" s="4" t="s">
        <v>21</v>
      </c>
      <c r="B158" s="4" t="s">
        <v>34</v>
      </c>
      <c r="C158" s="4" t="s">
        <v>35</v>
      </c>
      <c r="D158" s="4" t="s">
        <v>33</v>
      </c>
      <c r="E158" s="4" t="s">
        <v>25</v>
      </c>
      <c r="F158" s="4" t="s">
        <v>25</v>
      </c>
      <c r="G158" s="4" t="s">
        <v>25</v>
      </c>
      <c r="H158" s="4" t="s">
        <v>25</v>
      </c>
      <c r="I158" s="5">
        <v>44378</v>
      </c>
      <c r="J158" s="6">
        <v>4799</v>
      </c>
      <c r="K158" s="6">
        <v>4799</v>
      </c>
      <c r="L158" s="6">
        <v>0</v>
      </c>
      <c r="M158" s="6">
        <v>0</v>
      </c>
      <c r="N158" s="6">
        <v>0</v>
      </c>
      <c r="O158" s="6">
        <v>0</v>
      </c>
      <c r="P158" s="6">
        <v>13</v>
      </c>
      <c r="Q158" s="4" t="s">
        <v>26</v>
      </c>
      <c r="R158" s="4">
        <v>0</v>
      </c>
      <c r="S158" s="4" t="s">
        <v>138</v>
      </c>
      <c r="U158" s="4">
        <v>36</v>
      </c>
      <c r="V158" s="4">
        <v>0</v>
      </c>
      <c r="W158" s="4">
        <v>0</v>
      </c>
    </row>
    <row r="159" spans="1:23" ht="11.25" customHeight="1" x14ac:dyDescent="0.25">
      <c r="A159" s="4" t="s">
        <v>21</v>
      </c>
      <c r="B159" s="4" t="s">
        <v>34</v>
      </c>
      <c r="C159" s="4" t="s">
        <v>35</v>
      </c>
      <c r="D159" s="4" t="s">
        <v>33</v>
      </c>
      <c r="E159" s="4" t="s">
        <v>25</v>
      </c>
      <c r="F159" s="4" t="s">
        <v>25</v>
      </c>
      <c r="G159" s="4" t="s">
        <v>25</v>
      </c>
      <c r="H159" s="4" t="s">
        <v>25</v>
      </c>
      <c r="I159" s="5">
        <v>44409</v>
      </c>
      <c r="J159" s="6">
        <v>4673</v>
      </c>
      <c r="K159" s="6">
        <v>4673</v>
      </c>
      <c r="L159" s="6">
        <v>0</v>
      </c>
      <c r="M159" s="6">
        <v>0</v>
      </c>
      <c r="N159" s="6">
        <v>0</v>
      </c>
      <c r="O159" s="6">
        <v>0</v>
      </c>
      <c r="P159" s="6">
        <v>13</v>
      </c>
      <c r="Q159" s="4" t="s">
        <v>26</v>
      </c>
      <c r="R159" s="4">
        <v>0</v>
      </c>
      <c r="S159" s="4" t="s">
        <v>139</v>
      </c>
      <c r="U159" s="4">
        <v>36</v>
      </c>
      <c r="V159" s="4">
        <v>0</v>
      </c>
      <c r="W159" s="4">
        <v>0</v>
      </c>
    </row>
    <row r="160" spans="1:23" ht="11.25" customHeight="1" x14ac:dyDescent="0.25">
      <c r="A160" s="4" t="s">
        <v>21</v>
      </c>
      <c r="B160" s="4" t="s">
        <v>34</v>
      </c>
      <c r="C160" s="4" t="s">
        <v>35</v>
      </c>
      <c r="D160" s="4" t="s">
        <v>33</v>
      </c>
      <c r="E160" s="4" t="s">
        <v>25</v>
      </c>
      <c r="F160" s="4" t="s">
        <v>25</v>
      </c>
      <c r="G160" s="4" t="s">
        <v>25</v>
      </c>
      <c r="H160" s="4" t="s">
        <v>25</v>
      </c>
      <c r="I160" s="5">
        <v>44440</v>
      </c>
      <c r="J160" s="6">
        <v>4708</v>
      </c>
      <c r="K160" s="6">
        <v>4708</v>
      </c>
      <c r="L160" s="6">
        <v>0</v>
      </c>
      <c r="M160" s="6">
        <v>0</v>
      </c>
      <c r="N160" s="6">
        <v>0</v>
      </c>
      <c r="O160" s="6">
        <v>0</v>
      </c>
      <c r="P160" s="6">
        <v>13</v>
      </c>
      <c r="Q160" s="4" t="s">
        <v>26</v>
      </c>
      <c r="R160" s="4">
        <v>0</v>
      </c>
      <c r="S160" s="4" t="s">
        <v>140</v>
      </c>
      <c r="U160" s="4">
        <v>36</v>
      </c>
      <c r="V160" s="4">
        <v>0</v>
      </c>
      <c r="W160" s="4">
        <v>0</v>
      </c>
    </row>
    <row r="161" spans="1:23" ht="11.25" customHeight="1" x14ac:dyDescent="0.25">
      <c r="A161" s="4" t="s">
        <v>21</v>
      </c>
      <c r="B161" s="4" t="s">
        <v>34</v>
      </c>
      <c r="C161" s="4" t="s">
        <v>35</v>
      </c>
      <c r="D161" s="4" t="s">
        <v>33</v>
      </c>
      <c r="E161" s="4" t="s">
        <v>25</v>
      </c>
      <c r="F161" s="4" t="s">
        <v>25</v>
      </c>
      <c r="G161" s="4" t="s">
        <v>25</v>
      </c>
      <c r="H161" s="4" t="s">
        <v>25</v>
      </c>
      <c r="I161" s="5">
        <v>44470</v>
      </c>
      <c r="J161" s="6">
        <v>4705</v>
      </c>
      <c r="K161" s="6">
        <v>4705</v>
      </c>
      <c r="L161" s="6">
        <v>0</v>
      </c>
      <c r="M161" s="6">
        <v>0</v>
      </c>
      <c r="N161" s="6">
        <v>0</v>
      </c>
      <c r="O161" s="6">
        <v>0</v>
      </c>
      <c r="P161" s="6">
        <v>13</v>
      </c>
      <c r="Q161" s="4" t="s">
        <v>26</v>
      </c>
      <c r="R161" s="4">
        <v>0</v>
      </c>
      <c r="S161" s="4" t="s">
        <v>141</v>
      </c>
      <c r="U161" s="4">
        <v>36</v>
      </c>
      <c r="V161" s="4">
        <v>0</v>
      </c>
      <c r="W161" s="4">
        <v>0</v>
      </c>
    </row>
    <row r="162" spans="1:23" ht="11.25" customHeight="1" x14ac:dyDescent="0.25">
      <c r="A162" s="4" t="s">
        <v>21</v>
      </c>
      <c r="B162" s="4" t="s">
        <v>34</v>
      </c>
      <c r="C162" s="4" t="s">
        <v>35</v>
      </c>
      <c r="D162" s="4" t="s">
        <v>33</v>
      </c>
      <c r="E162" s="4" t="s">
        <v>25</v>
      </c>
      <c r="F162" s="4" t="s">
        <v>25</v>
      </c>
      <c r="G162" s="4" t="s">
        <v>25</v>
      </c>
      <c r="H162" s="4" t="s">
        <v>25</v>
      </c>
      <c r="I162" s="5">
        <v>44501</v>
      </c>
      <c r="J162" s="6">
        <v>4703</v>
      </c>
      <c r="K162" s="6">
        <v>4703</v>
      </c>
      <c r="L162" s="6">
        <v>0</v>
      </c>
      <c r="M162" s="6">
        <v>0</v>
      </c>
      <c r="N162" s="6">
        <v>0</v>
      </c>
      <c r="O162" s="6">
        <v>0</v>
      </c>
      <c r="P162" s="6">
        <v>13</v>
      </c>
      <c r="Q162" s="4" t="s">
        <v>26</v>
      </c>
      <c r="R162" s="4">
        <v>0</v>
      </c>
      <c r="S162" s="4" t="s">
        <v>142</v>
      </c>
      <c r="U162" s="4">
        <v>36</v>
      </c>
      <c r="V162" s="4">
        <v>0</v>
      </c>
      <c r="W162" s="4">
        <v>0</v>
      </c>
    </row>
    <row r="163" spans="1:23" ht="11.25" customHeight="1" x14ac:dyDescent="0.25">
      <c r="A163" s="4" t="s">
        <v>21</v>
      </c>
      <c r="B163" s="4" t="s">
        <v>34</v>
      </c>
      <c r="C163" s="4" t="s">
        <v>35</v>
      </c>
      <c r="D163" s="4" t="s">
        <v>33</v>
      </c>
      <c r="E163" s="4" t="s">
        <v>25</v>
      </c>
      <c r="F163" s="4" t="s">
        <v>25</v>
      </c>
      <c r="G163" s="4" t="s">
        <v>25</v>
      </c>
      <c r="H163" s="4" t="s">
        <v>25</v>
      </c>
      <c r="I163" s="5">
        <v>44531</v>
      </c>
      <c r="J163" s="6">
        <v>4706</v>
      </c>
      <c r="K163" s="6">
        <v>4706</v>
      </c>
      <c r="L163" s="6">
        <v>0</v>
      </c>
      <c r="M163" s="6">
        <v>0</v>
      </c>
      <c r="N163" s="6">
        <v>0</v>
      </c>
      <c r="O163" s="6">
        <v>0</v>
      </c>
      <c r="P163" s="6">
        <v>13</v>
      </c>
      <c r="Q163" s="4" t="s">
        <v>26</v>
      </c>
      <c r="R163" s="4">
        <v>0</v>
      </c>
      <c r="S163" s="4" t="s">
        <v>143</v>
      </c>
      <c r="U163" s="4">
        <v>36</v>
      </c>
      <c r="V163" s="4">
        <v>0</v>
      </c>
      <c r="W163" s="4">
        <v>0</v>
      </c>
    </row>
    <row r="164" spans="1:23" ht="11.25" customHeight="1" x14ac:dyDescent="0.25">
      <c r="A164" s="4" t="s">
        <v>21</v>
      </c>
      <c r="B164" s="4" t="s">
        <v>34</v>
      </c>
      <c r="C164" s="4" t="s">
        <v>35</v>
      </c>
      <c r="D164" s="4" t="s">
        <v>33</v>
      </c>
      <c r="E164" s="4" t="s">
        <v>25</v>
      </c>
      <c r="F164" s="4" t="s">
        <v>25</v>
      </c>
      <c r="G164" s="4" t="s">
        <v>25</v>
      </c>
      <c r="H164" s="4" t="s">
        <v>25</v>
      </c>
      <c r="I164" s="5">
        <v>44562</v>
      </c>
      <c r="J164" s="6">
        <v>4259</v>
      </c>
      <c r="K164" s="6">
        <v>4259</v>
      </c>
      <c r="L164" s="6">
        <v>0</v>
      </c>
      <c r="M164" s="6">
        <v>0</v>
      </c>
      <c r="N164" s="6">
        <v>0</v>
      </c>
      <c r="O164" s="6">
        <v>0</v>
      </c>
      <c r="P164" s="6">
        <v>12</v>
      </c>
      <c r="Q164" s="4" t="s">
        <v>26</v>
      </c>
      <c r="R164" s="4">
        <v>0</v>
      </c>
      <c r="S164" s="4" t="s">
        <v>144</v>
      </c>
      <c r="U164" s="4">
        <v>36</v>
      </c>
      <c r="V164" s="4">
        <v>0</v>
      </c>
      <c r="W164" s="4">
        <v>0</v>
      </c>
    </row>
    <row r="165" spans="1:23" ht="11.25" customHeight="1" x14ac:dyDescent="0.25">
      <c r="A165" s="4" t="s">
        <v>21</v>
      </c>
      <c r="B165" s="4" t="s">
        <v>34</v>
      </c>
      <c r="C165" s="4" t="s">
        <v>35</v>
      </c>
      <c r="D165" s="4" t="s">
        <v>33</v>
      </c>
      <c r="E165" s="4" t="s">
        <v>25</v>
      </c>
      <c r="F165" s="4" t="s">
        <v>25</v>
      </c>
      <c r="G165" s="4" t="s">
        <v>25</v>
      </c>
      <c r="H165" s="4" t="s">
        <v>25</v>
      </c>
      <c r="I165" s="5">
        <v>44593</v>
      </c>
      <c r="J165" s="6">
        <v>4233</v>
      </c>
      <c r="K165" s="6">
        <v>4233</v>
      </c>
      <c r="L165" s="6">
        <v>0</v>
      </c>
      <c r="M165" s="6">
        <v>0</v>
      </c>
      <c r="N165" s="6">
        <v>0</v>
      </c>
      <c r="O165" s="6">
        <v>0</v>
      </c>
      <c r="P165" s="6">
        <v>12</v>
      </c>
      <c r="Q165" s="4" t="s">
        <v>26</v>
      </c>
      <c r="R165" s="4">
        <v>0</v>
      </c>
      <c r="S165" s="4" t="s">
        <v>145</v>
      </c>
      <c r="U165" s="4">
        <v>36</v>
      </c>
      <c r="V165" s="4">
        <v>0</v>
      </c>
      <c r="W165" s="4">
        <v>0</v>
      </c>
    </row>
    <row r="166" spans="1:23" ht="11.25" customHeight="1" x14ac:dyDescent="0.25">
      <c r="A166" s="4" t="s">
        <v>21</v>
      </c>
      <c r="B166" s="4" t="s">
        <v>34</v>
      </c>
      <c r="C166" s="4" t="s">
        <v>35</v>
      </c>
      <c r="D166" s="4" t="s">
        <v>33</v>
      </c>
      <c r="E166" s="4" t="s">
        <v>25</v>
      </c>
      <c r="F166" s="4" t="s">
        <v>25</v>
      </c>
      <c r="G166" s="4" t="s">
        <v>25</v>
      </c>
      <c r="H166" s="4" t="s">
        <v>25</v>
      </c>
      <c r="I166" s="5">
        <v>44621</v>
      </c>
      <c r="J166" s="6">
        <v>4232</v>
      </c>
      <c r="K166" s="6">
        <v>4232</v>
      </c>
      <c r="L166" s="6">
        <v>0</v>
      </c>
      <c r="M166" s="6">
        <v>0</v>
      </c>
      <c r="N166" s="6">
        <v>0</v>
      </c>
      <c r="O166" s="6">
        <v>0</v>
      </c>
      <c r="P166" s="6">
        <v>12</v>
      </c>
      <c r="Q166" s="4" t="s">
        <v>26</v>
      </c>
      <c r="R166" s="4">
        <v>0</v>
      </c>
      <c r="S166" s="4" t="s">
        <v>146</v>
      </c>
      <c r="U166" s="4">
        <v>36</v>
      </c>
      <c r="V166" s="4">
        <v>0</v>
      </c>
      <c r="W166" s="4">
        <v>0</v>
      </c>
    </row>
    <row r="167" spans="1:23" ht="11.25" customHeight="1" x14ac:dyDescent="0.25">
      <c r="A167" s="4" t="s">
        <v>21</v>
      </c>
      <c r="B167" s="4" t="s">
        <v>34</v>
      </c>
      <c r="C167" s="4" t="s">
        <v>35</v>
      </c>
      <c r="D167" s="4" t="s">
        <v>33</v>
      </c>
      <c r="E167" s="4" t="s">
        <v>25</v>
      </c>
      <c r="F167" s="4" t="s">
        <v>25</v>
      </c>
      <c r="G167" s="4" t="s">
        <v>25</v>
      </c>
      <c r="H167" s="4" t="s">
        <v>25</v>
      </c>
      <c r="I167" s="5">
        <v>44652</v>
      </c>
      <c r="J167" s="6">
        <v>4288</v>
      </c>
      <c r="K167" s="6">
        <v>4288</v>
      </c>
      <c r="L167" s="6">
        <v>0</v>
      </c>
      <c r="M167" s="6">
        <v>0</v>
      </c>
      <c r="N167" s="6">
        <v>0</v>
      </c>
      <c r="O167" s="6">
        <v>0</v>
      </c>
      <c r="P167" s="6">
        <v>12</v>
      </c>
      <c r="Q167" s="4" t="s">
        <v>26</v>
      </c>
      <c r="R167" s="4">
        <v>0</v>
      </c>
      <c r="S167" s="4" t="s">
        <v>147</v>
      </c>
      <c r="U167" s="4">
        <v>36</v>
      </c>
      <c r="V167" s="4">
        <v>0</v>
      </c>
      <c r="W167" s="4">
        <v>0</v>
      </c>
    </row>
    <row r="168" spans="1:23" ht="11.25" customHeight="1" x14ac:dyDescent="0.25">
      <c r="A168" s="4" t="s">
        <v>21</v>
      </c>
      <c r="B168" s="4" t="s">
        <v>34</v>
      </c>
      <c r="C168" s="4" t="s">
        <v>35</v>
      </c>
      <c r="D168" s="4" t="s">
        <v>33</v>
      </c>
      <c r="E168" s="4" t="s">
        <v>25</v>
      </c>
      <c r="F168" s="4" t="s">
        <v>25</v>
      </c>
      <c r="G168" s="4" t="s">
        <v>25</v>
      </c>
      <c r="H168" s="4" t="s">
        <v>25</v>
      </c>
      <c r="I168" s="5">
        <v>44682</v>
      </c>
      <c r="J168" s="6">
        <v>4222</v>
      </c>
      <c r="K168" s="6">
        <v>4222</v>
      </c>
      <c r="L168" s="6">
        <v>0</v>
      </c>
      <c r="M168" s="6">
        <v>0</v>
      </c>
      <c r="N168" s="6">
        <v>0</v>
      </c>
      <c r="O168" s="6">
        <v>0</v>
      </c>
      <c r="P168" s="6">
        <v>12</v>
      </c>
      <c r="Q168" s="4" t="s">
        <v>26</v>
      </c>
      <c r="R168" s="4">
        <v>0</v>
      </c>
      <c r="S168" s="4" t="s">
        <v>148</v>
      </c>
      <c r="U168" s="4">
        <v>36</v>
      </c>
      <c r="V168" s="4">
        <v>0</v>
      </c>
      <c r="W168" s="4">
        <v>0</v>
      </c>
    </row>
    <row r="169" spans="1:23" ht="11.25" customHeight="1" x14ac:dyDescent="0.25">
      <c r="A169" s="4" t="s">
        <v>21</v>
      </c>
      <c r="B169" s="4" t="s">
        <v>34</v>
      </c>
      <c r="C169" s="4" t="s">
        <v>35</v>
      </c>
      <c r="D169" s="4" t="s">
        <v>33</v>
      </c>
      <c r="E169" s="4" t="s">
        <v>25</v>
      </c>
      <c r="F169" s="4" t="s">
        <v>25</v>
      </c>
      <c r="G169" s="4" t="s">
        <v>25</v>
      </c>
      <c r="H169" s="4" t="s">
        <v>25</v>
      </c>
      <c r="I169" s="5">
        <v>44713</v>
      </c>
      <c r="J169" s="6">
        <v>4278</v>
      </c>
      <c r="K169" s="6">
        <v>4278</v>
      </c>
      <c r="L169" s="6">
        <v>0</v>
      </c>
      <c r="M169" s="6">
        <v>0</v>
      </c>
      <c r="N169" s="6">
        <v>0</v>
      </c>
      <c r="O169" s="6">
        <v>0</v>
      </c>
      <c r="P169" s="6">
        <v>12</v>
      </c>
      <c r="Q169" s="4" t="s">
        <v>26</v>
      </c>
      <c r="R169" s="4">
        <v>0</v>
      </c>
      <c r="S169" s="4" t="s">
        <v>149</v>
      </c>
      <c r="U169" s="4">
        <v>36</v>
      </c>
      <c r="V169" s="4">
        <v>0</v>
      </c>
      <c r="W169" s="4">
        <v>0</v>
      </c>
    </row>
    <row r="170" spans="1:23" ht="11.25" customHeight="1" x14ac:dyDescent="0.25">
      <c r="A170" s="4" t="s">
        <v>21</v>
      </c>
      <c r="B170" s="4" t="s">
        <v>34</v>
      </c>
      <c r="C170" s="4" t="s">
        <v>35</v>
      </c>
      <c r="D170" s="4" t="s">
        <v>33</v>
      </c>
      <c r="E170" s="4" t="s">
        <v>25</v>
      </c>
      <c r="F170" s="4" t="s">
        <v>25</v>
      </c>
      <c r="G170" s="4" t="s">
        <v>25</v>
      </c>
      <c r="H170" s="4" t="s">
        <v>36</v>
      </c>
      <c r="I170" s="5">
        <v>44378</v>
      </c>
      <c r="J170" s="6">
        <v>0</v>
      </c>
      <c r="K170" s="6">
        <v>0</v>
      </c>
      <c r="L170" s="6">
        <v>170.327</v>
      </c>
      <c r="M170" s="6">
        <v>170.327</v>
      </c>
      <c r="N170" s="6">
        <v>170.327</v>
      </c>
      <c r="O170" s="6">
        <v>170.327</v>
      </c>
      <c r="P170" s="6">
        <v>0</v>
      </c>
      <c r="Q170" s="4" t="s">
        <v>26</v>
      </c>
      <c r="R170" s="4">
        <v>0</v>
      </c>
      <c r="S170" s="4" t="s">
        <v>150</v>
      </c>
      <c r="T170" s="4" t="s">
        <v>287</v>
      </c>
      <c r="U170" s="4">
        <v>0</v>
      </c>
      <c r="V170" s="4">
        <v>15</v>
      </c>
      <c r="W170" s="4">
        <v>9</v>
      </c>
    </row>
    <row r="171" spans="1:23" ht="11.25" customHeight="1" x14ac:dyDescent="0.25">
      <c r="A171" s="4" t="s">
        <v>21</v>
      </c>
      <c r="B171" s="4" t="s">
        <v>34</v>
      </c>
      <c r="C171" s="4" t="s">
        <v>35</v>
      </c>
      <c r="D171" s="4" t="s">
        <v>33</v>
      </c>
      <c r="E171" s="4" t="s">
        <v>25</v>
      </c>
      <c r="F171" s="4" t="s">
        <v>25</v>
      </c>
      <c r="G171" s="4" t="s">
        <v>25</v>
      </c>
      <c r="H171" s="4" t="s">
        <v>36</v>
      </c>
      <c r="I171" s="5">
        <v>44409</v>
      </c>
      <c r="J171" s="6">
        <v>0</v>
      </c>
      <c r="K171" s="6">
        <v>0</v>
      </c>
      <c r="L171" s="6">
        <v>176.798</v>
      </c>
      <c r="M171" s="6">
        <v>176.798</v>
      </c>
      <c r="N171" s="6">
        <v>176.798</v>
      </c>
      <c r="O171" s="6">
        <v>176.798</v>
      </c>
      <c r="P171" s="6">
        <v>0</v>
      </c>
      <c r="Q171" s="4" t="s">
        <v>26</v>
      </c>
      <c r="R171" s="4">
        <v>0</v>
      </c>
      <c r="S171" s="4" t="s">
        <v>151</v>
      </c>
      <c r="T171" s="4" t="s">
        <v>288</v>
      </c>
      <c r="U171" s="4">
        <v>0</v>
      </c>
      <c r="V171" s="4">
        <v>15</v>
      </c>
      <c r="W171" s="4">
        <v>9</v>
      </c>
    </row>
    <row r="172" spans="1:23" ht="11.25" customHeight="1" x14ac:dyDescent="0.25">
      <c r="A172" s="4" t="s">
        <v>21</v>
      </c>
      <c r="B172" s="4" t="s">
        <v>34</v>
      </c>
      <c r="C172" s="4" t="s">
        <v>35</v>
      </c>
      <c r="D172" s="4" t="s">
        <v>33</v>
      </c>
      <c r="E172" s="4" t="s">
        <v>25</v>
      </c>
      <c r="F172" s="4" t="s">
        <v>25</v>
      </c>
      <c r="G172" s="4" t="s">
        <v>25</v>
      </c>
      <c r="H172" s="4" t="s">
        <v>36</v>
      </c>
      <c r="I172" s="5">
        <v>44440</v>
      </c>
      <c r="J172" s="6">
        <v>0</v>
      </c>
      <c r="K172" s="6">
        <v>0</v>
      </c>
      <c r="L172" s="6">
        <v>166.45699999999999</v>
      </c>
      <c r="M172" s="6">
        <v>166.45699999999999</v>
      </c>
      <c r="N172" s="6">
        <v>166.45699999999999</v>
      </c>
      <c r="O172" s="6">
        <v>166.45699999999999</v>
      </c>
      <c r="P172" s="6">
        <v>0</v>
      </c>
      <c r="Q172" s="4" t="s">
        <v>26</v>
      </c>
      <c r="R172" s="4">
        <v>0</v>
      </c>
      <c r="S172" s="4" t="s">
        <v>152</v>
      </c>
      <c r="T172" s="4" t="s">
        <v>289</v>
      </c>
      <c r="U172" s="4">
        <v>0</v>
      </c>
      <c r="V172" s="4">
        <v>15</v>
      </c>
      <c r="W172" s="4">
        <v>9</v>
      </c>
    </row>
    <row r="173" spans="1:23" ht="11.25" customHeight="1" x14ac:dyDescent="0.25">
      <c r="A173" s="4" t="s">
        <v>21</v>
      </c>
      <c r="B173" s="4" t="s">
        <v>34</v>
      </c>
      <c r="C173" s="4" t="s">
        <v>35</v>
      </c>
      <c r="D173" s="4" t="s">
        <v>33</v>
      </c>
      <c r="E173" s="4" t="s">
        <v>25</v>
      </c>
      <c r="F173" s="4" t="s">
        <v>25</v>
      </c>
      <c r="G173" s="4" t="s">
        <v>25</v>
      </c>
      <c r="H173" s="4" t="s">
        <v>36</v>
      </c>
      <c r="I173" s="5">
        <v>44470</v>
      </c>
      <c r="J173" s="6">
        <v>0</v>
      </c>
      <c r="K173" s="6">
        <v>0</v>
      </c>
      <c r="L173" s="6">
        <v>168.898</v>
      </c>
      <c r="M173" s="6">
        <v>168.898</v>
      </c>
      <c r="N173" s="6">
        <v>168.898</v>
      </c>
      <c r="O173" s="6">
        <v>168.898</v>
      </c>
      <c r="P173" s="6">
        <v>0</v>
      </c>
      <c r="Q173" s="4" t="s">
        <v>26</v>
      </c>
      <c r="R173" s="4">
        <v>0</v>
      </c>
      <c r="S173" s="4" t="s">
        <v>153</v>
      </c>
      <c r="T173" s="4" t="s">
        <v>290</v>
      </c>
      <c r="U173" s="4">
        <v>0</v>
      </c>
      <c r="V173" s="4">
        <v>15</v>
      </c>
      <c r="W173" s="4">
        <v>9</v>
      </c>
    </row>
    <row r="174" spans="1:23" ht="11.25" customHeight="1" x14ac:dyDescent="0.25">
      <c r="A174" s="4" t="s">
        <v>21</v>
      </c>
      <c r="B174" s="4" t="s">
        <v>34</v>
      </c>
      <c r="C174" s="4" t="s">
        <v>35</v>
      </c>
      <c r="D174" s="4" t="s">
        <v>33</v>
      </c>
      <c r="E174" s="4" t="s">
        <v>25</v>
      </c>
      <c r="F174" s="4" t="s">
        <v>25</v>
      </c>
      <c r="G174" s="4" t="s">
        <v>25</v>
      </c>
      <c r="H174" s="4" t="s">
        <v>36</v>
      </c>
      <c r="I174" s="5">
        <v>44501</v>
      </c>
      <c r="J174" s="6">
        <v>0</v>
      </c>
      <c r="K174" s="6">
        <v>0</v>
      </c>
      <c r="L174" s="6">
        <v>166.696</v>
      </c>
      <c r="M174" s="6">
        <v>166.696</v>
      </c>
      <c r="N174" s="6">
        <v>166.696</v>
      </c>
      <c r="O174" s="6">
        <v>166.696</v>
      </c>
      <c r="P174" s="6">
        <v>0</v>
      </c>
      <c r="Q174" s="4" t="s">
        <v>26</v>
      </c>
      <c r="R174" s="4">
        <v>0</v>
      </c>
      <c r="S174" s="4" t="s">
        <v>154</v>
      </c>
      <c r="T174" s="4" t="s">
        <v>291</v>
      </c>
      <c r="U174" s="4">
        <v>0</v>
      </c>
      <c r="V174" s="4">
        <v>15</v>
      </c>
      <c r="W174" s="4">
        <v>9</v>
      </c>
    </row>
    <row r="175" spans="1:23" ht="11.25" customHeight="1" x14ac:dyDescent="0.25">
      <c r="A175" s="4" t="s">
        <v>21</v>
      </c>
      <c r="B175" s="4" t="s">
        <v>34</v>
      </c>
      <c r="C175" s="4" t="s">
        <v>35</v>
      </c>
      <c r="D175" s="4" t="s">
        <v>33</v>
      </c>
      <c r="E175" s="4" t="s">
        <v>25</v>
      </c>
      <c r="F175" s="4" t="s">
        <v>25</v>
      </c>
      <c r="G175" s="4" t="s">
        <v>25</v>
      </c>
      <c r="H175" s="4" t="s">
        <v>36</v>
      </c>
      <c r="I175" s="5">
        <v>44531</v>
      </c>
      <c r="J175" s="6">
        <v>0</v>
      </c>
      <c r="K175" s="6">
        <v>0</v>
      </c>
      <c r="L175" s="6">
        <v>185.05600000000001</v>
      </c>
      <c r="M175" s="6">
        <v>185.05600000000001</v>
      </c>
      <c r="N175" s="6">
        <v>185.05600000000001</v>
      </c>
      <c r="O175" s="6">
        <v>185.05600000000001</v>
      </c>
      <c r="P175" s="6">
        <v>0</v>
      </c>
      <c r="Q175" s="4" t="s">
        <v>26</v>
      </c>
      <c r="R175" s="4">
        <v>0</v>
      </c>
      <c r="S175" s="4" t="s">
        <v>155</v>
      </c>
      <c r="T175" s="4" t="s">
        <v>292</v>
      </c>
      <c r="U175" s="4">
        <v>0</v>
      </c>
      <c r="V175" s="4">
        <v>15</v>
      </c>
      <c r="W175" s="4">
        <v>9</v>
      </c>
    </row>
    <row r="176" spans="1:23" ht="11.25" customHeight="1" x14ac:dyDescent="0.25">
      <c r="A176" s="4" t="s">
        <v>21</v>
      </c>
      <c r="B176" s="4" t="s">
        <v>34</v>
      </c>
      <c r="C176" s="4" t="s">
        <v>35</v>
      </c>
      <c r="D176" s="4" t="s">
        <v>33</v>
      </c>
      <c r="E176" s="4" t="s">
        <v>25</v>
      </c>
      <c r="F176" s="4" t="s">
        <v>25</v>
      </c>
      <c r="G176" s="4" t="s">
        <v>25</v>
      </c>
      <c r="H176" s="4" t="s">
        <v>36</v>
      </c>
      <c r="I176" s="5">
        <v>44562</v>
      </c>
      <c r="J176" s="6">
        <v>0</v>
      </c>
      <c r="K176" s="6">
        <v>0</v>
      </c>
      <c r="L176" s="6">
        <v>165.161</v>
      </c>
      <c r="M176" s="6">
        <v>165.161</v>
      </c>
      <c r="N176" s="6">
        <v>165.161</v>
      </c>
      <c r="O176" s="6">
        <v>165.161</v>
      </c>
      <c r="P176" s="6">
        <v>0</v>
      </c>
      <c r="Q176" s="4" t="s">
        <v>26</v>
      </c>
      <c r="R176" s="4">
        <v>0</v>
      </c>
      <c r="S176" s="4" t="s">
        <v>156</v>
      </c>
      <c r="T176" s="4" t="s">
        <v>293</v>
      </c>
      <c r="U176" s="4">
        <v>0</v>
      </c>
      <c r="V176" s="4">
        <v>15</v>
      </c>
      <c r="W176" s="4">
        <v>9</v>
      </c>
    </row>
    <row r="177" spans="1:23" ht="11.25" customHeight="1" x14ac:dyDescent="0.25">
      <c r="A177" s="4" t="s">
        <v>21</v>
      </c>
      <c r="B177" s="4" t="s">
        <v>34</v>
      </c>
      <c r="C177" s="4" t="s">
        <v>35</v>
      </c>
      <c r="D177" s="4" t="s">
        <v>33</v>
      </c>
      <c r="E177" s="4" t="s">
        <v>25</v>
      </c>
      <c r="F177" s="4" t="s">
        <v>25</v>
      </c>
      <c r="G177" s="4" t="s">
        <v>25</v>
      </c>
      <c r="H177" s="4" t="s">
        <v>36</v>
      </c>
      <c r="I177" s="5">
        <v>44593</v>
      </c>
      <c r="J177" s="6">
        <v>0</v>
      </c>
      <c r="K177" s="6">
        <v>0</v>
      </c>
      <c r="L177" s="6">
        <v>144.17699999999999</v>
      </c>
      <c r="M177" s="6">
        <v>144.17699999999999</v>
      </c>
      <c r="N177" s="6">
        <v>144.17699999999999</v>
      </c>
      <c r="O177" s="6">
        <v>144.17699999999999</v>
      </c>
      <c r="P177" s="6">
        <v>0</v>
      </c>
      <c r="Q177" s="4" t="s">
        <v>26</v>
      </c>
      <c r="R177" s="4">
        <v>0</v>
      </c>
      <c r="S177" s="4" t="s">
        <v>157</v>
      </c>
      <c r="T177" s="4" t="s">
        <v>294</v>
      </c>
      <c r="U177" s="4">
        <v>0</v>
      </c>
      <c r="V177" s="4">
        <v>15</v>
      </c>
      <c r="W177" s="4">
        <v>9</v>
      </c>
    </row>
    <row r="178" spans="1:23" ht="11.25" customHeight="1" x14ac:dyDescent="0.25">
      <c r="A178" s="4" t="s">
        <v>21</v>
      </c>
      <c r="B178" s="4" t="s">
        <v>34</v>
      </c>
      <c r="C178" s="4" t="s">
        <v>35</v>
      </c>
      <c r="D178" s="4" t="s">
        <v>33</v>
      </c>
      <c r="E178" s="4" t="s">
        <v>25</v>
      </c>
      <c r="F178" s="4" t="s">
        <v>25</v>
      </c>
      <c r="G178" s="4" t="s">
        <v>25</v>
      </c>
      <c r="H178" s="4" t="s">
        <v>36</v>
      </c>
      <c r="I178" s="5">
        <v>44621</v>
      </c>
      <c r="J178" s="6">
        <v>0</v>
      </c>
      <c r="K178" s="6">
        <v>0</v>
      </c>
      <c r="L178" s="6">
        <v>145.80099999999999</v>
      </c>
      <c r="M178" s="6">
        <v>145.80099999999999</v>
      </c>
      <c r="N178" s="6">
        <v>145.80099999999999</v>
      </c>
      <c r="O178" s="6">
        <v>145.80099999999999</v>
      </c>
      <c r="P178" s="6">
        <v>0</v>
      </c>
      <c r="Q178" s="4" t="s">
        <v>26</v>
      </c>
      <c r="R178" s="4">
        <v>0</v>
      </c>
      <c r="S178" s="4" t="s">
        <v>158</v>
      </c>
      <c r="T178" s="4" t="s">
        <v>295</v>
      </c>
      <c r="U178" s="4">
        <v>0</v>
      </c>
      <c r="V178" s="4">
        <v>15</v>
      </c>
      <c r="W178" s="4">
        <v>9</v>
      </c>
    </row>
    <row r="179" spans="1:23" ht="11.25" customHeight="1" x14ac:dyDescent="0.25">
      <c r="A179" s="4" t="s">
        <v>21</v>
      </c>
      <c r="B179" s="4" t="s">
        <v>34</v>
      </c>
      <c r="C179" s="4" t="s">
        <v>35</v>
      </c>
      <c r="D179" s="4" t="s">
        <v>33</v>
      </c>
      <c r="E179" s="4" t="s">
        <v>25</v>
      </c>
      <c r="F179" s="4" t="s">
        <v>25</v>
      </c>
      <c r="G179" s="4" t="s">
        <v>25</v>
      </c>
      <c r="H179" s="4" t="s">
        <v>36</v>
      </c>
      <c r="I179" s="5">
        <v>44652</v>
      </c>
      <c r="J179" s="6">
        <v>0</v>
      </c>
      <c r="K179" s="6">
        <v>0</v>
      </c>
      <c r="L179" s="6">
        <v>136.58600000000001</v>
      </c>
      <c r="M179" s="6">
        <v>136.58600000000001</v>
      </c>
      <c r="N179" s="6">
        <v>136.58600000000001</v>
      </c>
      <c r="O179" s="6">
        <v>136.58600000000001</v>
      </c>
      <c r="P179" s="6">
        <v>0</v>
      </c>
      <c r="Q179" s="4" t="s">
        <v>26</v>
      </c>
      <c r="R179" s="4">
        <v>0</v>
      </c>
      <c r="S179" s="4" t="s">
        <v>159</v>
      </c>
      <c r="T179" s="4" t="s">
        <v>296</v>
      </c>
      <c r="U179" s="4">
        <v>0</v>
      </c>
      <c r="V179" s="4">
        <v>15</v>
      </c>
      <c r="W179" s="4">
        <v>9</v>
      </c>
    </row>
    <row r="180" spans="1:23" ht="11.25" customHeight="1" x14ac:dyDescent="0.25">
      <c r="A180" s="4" t="s">
        <v>21</v>
      </c>
      <c r="B180" s="4" t="s">
        <v>34</v>
      </c>
      <c r="C180" s="4" t="s">
        <v>35</v>
      </c>
      <c r="D180" s="4" t="s">
        <v>33</v>
      </c>
      <c r="E180" s="4" t="s">
        <v>25</v>
      </c>
      <c r="F180" s="4" t="s">
        <v>25</v>
      </c>
      <c r="G180" s="4" t="s">
        <v>25</v>
      </c>
      <c r="H180" s="4" t="s">
        <v>36</v>
      </c>
      <c r="I180" s="5">
        <v>44682</v>
      </c>
      <c r="J180" s="6">
        <v>0</v>
      </c>
      <c r="K180" s="6">
        <v>0</v>
      </c>
      <c r="L180" s="6">
        <v>141.852</v>
      </c>
      <c r="M180" s="6">
        <v>141.852</v>
      </c>
      <c r="N180" s="6">
        <v>141.852</v>
      </c>
      <c r="O180" s="6">
        <v>141.852</v>
      </c>
      <c r="P180" s="6">
        <v>0</v>
      </c>
      <c r="Q180" s="4" t="s">
        <v>26</v>
      </c>
      <c r="R180" s="4">
        <v>0</v>
      </c>
      <c r="S180" s="4" t="s">
        <v>160</v>
      </c>
      <c r="T180" s="4" t="s">
        <v>297</v>
      </c>
      <c r="U180" s="4">
        <v>0</v>
      </c>
      <c r="V180" s="4">
        <v>15</v>
      </c>
      <c r="W180" s="4">
        <v>9</v>
      </c>
    </row>
    <row r="181" spans="1:23" ht="11.25" customHeight="1" x14ac:dyDescent="0.25">
      <c r="A181" s="4" t="s">
        <v>21</v>
      </c>
      <c r="B181" s="4" t="s">
        <v>34</v>
      </c>
      <c r="C181" s="4" t="s">
        <v>35</v>
      </c>
      <c r="D181" s="4" t="s">
        <v>33</v>
      </c>
      <c r="E181" s="4" t="s">
        <v>25</v>
      </c>
      <c r="F181" s="4" t="s">
        <v>25</v>
      </c>
      <c r="G181" s="4" t="s">
        <v>25</v>
      </c>
      <c r="H181" s="4" t="s">
        <v>36</v>
      </c>
      <c r="I181" s="5">
        <v>44713</v>
      </c>
      <c r="J181" s="6">
        <v>0</v>
      </c>
      <c r="K181" s="6">
        <v>0</v>
      </c>
      <c r="L181" s="6">
        <v>133.19300000000001</v>
      </c>
      <c r="M181" s="6">
        <v>133.19300000000001</v>
      </c>
      <c r="N181" s="6">
        <v>133.19300000000001</v>
      </c>
      <c r="O181" s="6">
        <v>133.19300000000001</v>
      </c>
      <c r="P181" s="6">
        <v>0</v>
      </c>
      <c r="Q181" s="4" t="s">
        <v>26</v>
      </c>
      <c r="R181" s="4">
        <v>0</v>
      </c>
      <c r="S181" s="4" t="s">
        <v>161</v>
      </c>
      <c r="T181" s="4" t="s">
        <v>298</v>
      </c>
      <c r="U181" s="4">
        <v>0</v>
      </c>
      <c r="V181" s="4">
        <v>15</v>
      </c>
      <c r="W181" s="4">
        <v>9</v>
      </c>
    </row>
    <row r="182" spans="1:23" ht="11.25" customHeight="1" x14ac:dyDescent="0.25">
      <c r="A182" s="4" t="s">
        <v>21</v>
      </c>
      <c r="B182" s="4" t="s">
        <v>34</v>
      </c>
      <c r="C182" s="4" t="s">
        <v>35</v>
      </c>
      <c r="D182" s="4" t="s">
        <v>41</v>
      </c>
      <c r="E182" s="4" t="s">
        <v>25</v>
      </c>
      <c r="F182" s="4" t="s">
        <v>25</v>
      </c>
      <c r="G182" s="4" t="s">
        <v>25</v>
      </c>
      <c r="H182" s="4" t="s">
        <v>37</v>
      </c>
      <c r="I182" s="5">
        <v>44378</v>
      </c>
      <c r="J182" s="6">
        <v>0</v>
      </c>
      <c r="K182" s="6">
        <v>0</v>
      </c>
      <c r="L182" s="6">
        <v>21.629000000000001</v>
      </c>
      <c r="M182" s="6">
        <v>21.629000000000001</v>
      </c>
      <c r="N182" s="6">
        <v>21.629000000000001</v>
      </c>
      <c r="O182" s="6">
        <v>21.629000000000001</v>
      </c>
      <c r="P182" s="6">
        <v>0</v>
      </c>
      <c r="Q182" s="4" t="s">
        <v>26</v>
      </c>
      <c r="R182" s="4">
        <v>0</v>
      </c>
      <c r="S182" s="4" t="s">
        <v>126</v>
      </c>
      <c r="T182" s="4" t="s">
        <v>271</v>
      </c>
      <c r="U182" s="4">
        <v>0</v>
      </c>
      <c r="V182" s="4">
        <v>13</v>
      </c>
      <c r="W182" s="4">
        <v>16</v>
      </c>
    </row>
    <row r="183" spans="1:23" ht="11.25" customHeight="1" x14ac:dyDescent="0.25">
      <c r="A183" s="4" t="s">
        <v>21</v>
      </c>
      <c r="B183" s="4" t="s">
        <v>34</v>
      </c>
      <c r="C183" s="4" t="s">
        <v>35</v>
      </c>
      <c r="D183" s="4" t="s">
        <v>41</v>
      </c>
      <c r="E183" s="4" t="s">
        <v>25</v>
      </c>
      <c r="F183" s="4" t="s">
        <v>25</v>
      </c>
      <c r="G183" s="4" t="s">
        <v>25</v>
      </c>
      <c r="H183" s="4" t="s">
        <v>37</v>
      </c>
      <c r="I183" s="5">
        <v>44409</v>
      </c>
      <c r="J183" s="6">
        <v>0</v>
      </c>
      <c r="K183" s="6">
        <v>0</v>
      </c>
      <c r="L183" s="6">
        <v>16.440000000000001</v>
      </c>
      <c r="M183" s="6">
        <v>16.440000000000001</v>
      </c>
      <c r="N183" s="6">
        <v>16.440000000000001</v>
      </c>
      <c r="O183" s="6">
        <v>16.440000000000001</v>
      </c>
      <c r="P183" s="6">
        <v>0</v>
      </c>
      <c r="Q183" s="4" t="s">
        <v>26</v>
      </c>
      <c r="R183" s="4">
        <v>0</v>
      </c>
      <c r="S183" s="4" t="s">
        <v>127</v>
      </c>
      <c r="T183" s="4" t="s">
        <v>272</v>
      </c>
      <c r="U183" s="4">
        <v>0</v>
      </c>
      <c r="V183" s="4">
        <v>13</v>
      </c>
      <c r="W183" s="4">
        <v>16</v>
      </c>
    </row>
    <row r="184" spans="1:23" ht="11.25" customHeight="1" x14ac:dyDescent="0.25">
      <c r="A184" s="4" t="s">
        <v>21</v>
      </c>
      <c r="B184" s="4" t="s">
        <v>34</v>
      </c>
      <c r="C184" s="4" t="s">
        <v>35</v>
      </c>
      <c r="D184" s="4" t="s">
        <v>41</v>
      </c>
      <c r="E184" s="4" t="s">
        <v>25</v>
      </c>
      <c r="F184" s="4" t="s">
        <v>25</v>
      </c>
      <c r="G184" s="4" t="s">
        <v>25</v>
      </c>
      <c r="H184" s="4" t="s">
        <v>37</v>
      </c>
      <c r="I184" s="5">
        <v>44440</v>
      </c>
      <c r="J184" s="6">
        <v>0</v>
      </c>
      <c r="K184" s="6">
        <v>0</v>
      </c>
      <c r="L184" s="6">
        <v>13.742000000000001</v>
      </c>
      <c r="M184" s="6">
        <v>13.742000000000001</v>
      </c>
      <c r="N184" s="6">
        <v>13.742000000000001</v>
      </c>
      <c r="O184" s="6">
        <v>13.742000000000001</v>
      </c>
      <c r="P184" s="6">
        <v>0</v>
      </c>
      <c r="Q184" s="4" t="s">
        <v>26</v>
      </c>
      <c r="R184" s="4">
        <v>0</v>
      </c>
      <c r="S184" s="4" t="s">
        <v>128</v>
      </c>
      <c r="T184" s="4" t="s">
        <v>273</v>
      </c>
      <c r="U184" s="4">
        <v>0</v>
      </c>
      <c r="V184" s="4">
        <v>13</v>
      </c>
      <c r="W184" s="4">
        <v>16</v>
      </c>
    </row>
    <row r="185" spans="1:23" ht="11.25" customHeight="1" x14ac:dyDescent="0.25">
      <c r="A185" s="4" t="s">
        <v>21</v>
      </c>
      <c r="B185" s="4" t="s">
        <v>34</v>
      </c>
      <c r="C185" s="4" t="s">
        <v>35</v>
      </c>
      <c r="D185" s="4" t="s">
        <v>41</v>
      </c>
      <c r="E185" s="4" t="s">
        <v>25</v>
      </c>
      <c r="F185" s="4" t="s">
        <v>25</v>
      </c>
      <c r="G185" s="4" t="s">
        <v>25</v>
      </c>
      <c r="H185" s="4" t="s">
        <v>37</v>
      </c>
      <c r="I185" s="5">
        <v>44470</v>
      </c>
      <c r="J185" s="6">
        <v>0</v>
      </c>
      <c r="K185" s="6">
        <v>0</v>
      </c>
      <c r="L185" s="6">
        <v>13.641</v>
      </c>
      <c r="M185" s="6">
        <v>13.641</v>
      </c>
      <c r="N185" s="6">
        <v>13.641</v>
      </c>
      <c r="O185" s="6">
        <v>13.641</v>
      </c>
      <c r="P185" s="6">
        <v>0</v>
      </c>
      <c r="Q185" s="4" t="s">
        <v>26</v>
      </c>
      <c r="R185" s="4">
        <v>0</v>
      </c>
      <c r="S185" s="4" t="s">
        <v>129</v>
      </c>
      <c r="T185" s="4" t="s">
        <v>274</v>
      </c>
      <c r="U185" s="4">
        <v>0</v>
      </c>
      <c r="V185" s="4">
        <v>13</v>
      </c>
      <c r="W185" s="4">
        <v>16</v>
      </c>
    </row>
    <row r="186" spans="1:23" ht="11.25" customHeight="1" x14ac:dyDescent="0.25">
      <c r="A186" s="4" t="s">
        <v>21</v>
      </c>
      <c r="B186" s="4" t="s">
        <v>34</v>
      </c>
      <c r="C186" s="4" t="s">
        <v>35</v>
      </c>
      <c r="D186" s="4" t="s">
        <v>41</v>
      </c>
      <c r="E186" s="4" t="s">
        <v>25</v>
      </c>
      <c r="F186" s="4" t="s">
        <v>25</v>
      </c>
      <c r="G186" s="4" t="s">
        <v>25</v>
      </c>
      <c r="H186" s="4" t="s">
        <v>37</v>
      </c>
      <c r="I186" s="5">
        <v>44501</v>
      </c>
      <c r="J186" s="6">
        <v>0</v>
      </c>
      <c r="K186" s="6">
        <v>0</v>
      </c>
      <c r="L186" s="6">
        <v>19.138999999999999</v>
      </c>
      <c r="M186" s="6">
        <v>19.138999999999999</v>
      </c>
      <c r="N186" s="6">
        <v>19.138999999999999</v>
      </c>
      <c r="O186" s="6">
        <v>19.138999999999999</v>
      </c>
      <c r="P186" s="6">
        <v>0</v>
      </c>
      <c r="Q186" s="4" t="s">
        <v>26</v>
      </c>
      <c r="R186" s="4">
        <v>0</v>
      </c>
      <c r="S186" s="4" t="s">
        <v>130</v>
      </c>
      <c r="T186" s="4" t="s">
        <v>275</v>
      </c>
      <c r="U186" s="4">
        <v>0</v>
      </c>
      <c r="V186" s="4">
        <v>13</v>
      </c>
      <c r="W186" s="4">
        <v>16</v>
      </c>
    </row>
    <row r="187" spans="1:23" ht="11.25" customHeight="1" x14ac:dyDescent="0.25">
      <c r="A187" s="4" t="s">
        <v>21</v>
      </c>
      <c r="B187" s="4" t="s">
        <v>34</v>
      </c>
      <c r="C187" s="4" t="s">
        <v>35</v>
      </c>
      <c r="D187" s="4" t="s">
        <v>41</v>
      </c>
      <c r="E187" s="4" t="s">
        <v>25</v>
      </c>
      <c r="F187" s="4" t="s">
        <v>25</v>
      </c>
      <c r="G187" s="4" t="s">
        <v>25</v>
      </c>
      <c r="H187" s="4" t="s">
        <v>37</v>
      </c>
      <c r="I187" s="5">
        <v>44531</v>
      </c>
      <c r="J187" s="6">
        <v>0</v>
      </c>
      <c r="K187" s="6">
        <v>0</v>
      </c>
      <c r="L187" s="6">
        <v>23.221</v>
      </c>
      <c r="M187" s="6">
        <v>23.221</v>
      </c>
      <c r="N187" s="6">
        <v>23.221</v>
      </c>
      <c r="O187" s="6">
        <v>23.221</v>
      </c>
      <c r="P187" s="6">
        <v>0</v>
      </c>
      <c r="Q187" s="4" t="s">
        <v>26</v>
      </c>
      <c r="R187" s="4">
        <v>0</v>
      </c>
      <c r="S187" s="4" t="s">
        <v>131</v>
      </c>
      <c r="T187" s="4" t="s">
        <v>276</v>
      </c>
      <c r="U187" s="4">
        <v>0</v>
      </c>
      <c r="V187" s="4">
        <v>13</v>
      </c>
      <c r="W187" s="4">
        <v>16</v>
      </c>
    </row>
    <row r="188" spans="1:23" ht="11.25" customHeight="1" x14ac:dyDescent="0.25">
      <c r="A188" s="4" t="s">
        <v>21</v>
      </c>
      <c r="B188" s="4" t="s">
        <v>34</v>
      </c>
      <c r="C188" s="4" t="s">
        <v>35</v>
      </c>
      <c r="D188" s="4" t="s">
        <v>41</v>
      </c>
      <c r="E188" s="4" t="s">
        <v>25</v>
      </c>
      <c r="F188" s="4" t="s">
        <v>25</v>
      </c>
      <c r="G188" s="4" t="s">
        <v>25</v>
      </c>
      <c r="H188" s="4" t="s">
        <v>37</v>
      </c>
      <c r="I188" s="5">
        <v>44562</v>
      </c>
      <c r="J188" s="6">
        <v>0</v>
      </c>
      <c r="K188" s="6">
        <v>0</v>
      </c>
      <c r="L188" s="6">
        <v>21.416</v>
      </c>
      <c r="M188" s="6">
        <v>21.416</v>
      </c>
      <c r="N188" s="6">
        <v>21.416</v>
      </c>
      <c r="O188" s="6">
        <v>21.416</v>
      </c>
      <c r="P188" s="6">
        <v>0</v>
      </c>
      <c r="Q188" s="4" t="s">
        <v>26</v>
      </c>
      <c r="R188" s="4">
        <v>0</v>
      </c>
      <c r="S188" s="4" t="s">
        <v>132</v>
      </c>
      <c r="T188" s="4" t="s">
        <v>277</v>
      </c>
      <c r="U188" s="4">
        <v>0</v>
      </c>
      <c r="V188" s="4">
        <v>13</v>
      </c>
      <c r="W188" s="4">
        <v>16</v>
      </c>
    </row>
    <row r="189" spans="1:23" ht="11.25" customHeight="1" x14ac:dyDescent="0.25">
      <c r="A189" s="4" t="s">
        <v>21</v>
      </c>
      <c r="B189" s="4" t="s">
        <v>34</v>
      </c>
      <c r="C189" s="4" t="s">
        <v>35</v>
      </c>
      <c r="D189" s="4" t="s">
        <v>41</v>
      </c>
      <c r="E189" s="4" t="s">
        <v>25</v>
      </c>
      <c r="F189" s="4" t="s">
        <v>25</v>
      </c>
      <c r="G189" s="4" t="s">
        <v>25</v>
      </c>
      <c r="H189" s="4" t="s">
        <v>37</v>
      </c>
      <c r="I189" s="5">
        <v>44593</v>
      </c>
      <c r="J189" s="6">
        <v>0</v>
      </c>
      <c r="K189" s="6">
        <v>0</v>
      </c>
      <c r="L189" s="6">
        <v>17.783000000000001</v>
      </c>
      <c r="M189" s="6">
        <v>17.783000000000001</v>
      </c>
      <c r="N189" s="6">
        <v>17.783000000000001</v>
      </c>
      <c r="O189" s="6">
        <v>17.783000000000001</v>
      </c>
      <c r="P189" s="6">
        <v>0</v>
      </c>
      <c r="Q189" s="4" t="s">
        <v>26</v>
      </c>
      <c r="R189" s="4">
        <v>0</v>
      </c>
      <c r="S189" s="4" t="s">
        <v>133</v>
      </c>
      <c r="T189" s="4" t="s">
        <v>278</v>
      </c>
      <c r="U189" s="4">
        <v>0</v>
      </c>
      <c r="V189" s="4">
        <v>13</v>
      </c>
      <c r="W189" s="4">
        <v>16</v>
      </c>
    </row>
    <row r="190" spans="1:23" ht="11.25" customHeight="1" x14ac:dyDescent="0.25">
      <c r="A190" s="4" t="s">
        <v>21</v>
      </c>
      <c r="B190" s="4" t="s">
        <v>34</v>
      </c>
      <c r="C190" s="4" t="s">
        <v>35</v>
      </c>
      <c r="D190" s="4" t="s">
        <v>41</v>
      </c>
      <c r="E190" s="4" t="s">
        <v>25</v>
      </c>
      <c r="F190" s="4" t="s">
        <v>25</v>
      </c>
      <c r="G190" s="4" t="s">
        <v>25</v>
      </c>
      <c r="H190" s="4" t="s">
        <v>37</v>
      </c>
      <c r="I190" s="5">
        <v>44621</v>
      </c>
      <c r="J190" s="6">
        <v>0</v>
      </c>
      <c r="K190" s="6">
        <v>0</v>
      </c>
      <c r="L190" s="6">
        <v>21.353000000000002</v>
      </c>
      <c r="M190" s="6">
        <v>21.353000000000002</v>
      </c>
      <c r="N190" s="6">
        <v>21.353000000000002</v>
      </c>
      <c r="O190" s="6">
        <v>21.353000000000002</v>
      </c>
      <c r="P190" s="6">
        <v>0</v>
      </c>
      <c r="Q190" s="4" t="s">
        <v>26</v>
      </c>
      <c r="R190" s="4">
        <v>0</v>
      </c>
      <c r="S190" s="4" t="s">
        <v>134</v>
      </c>
      <c r="T190" s="4" t="s">
        <v>279</v>
      </c>
      <c r="U190" s="4">
        <v>0</v>
      </c>
      <c r="V190" s="4">
        <v>13</v>
      </c>
      <c r="W190" s="4">
        <v>16</v>
      </c>
    </row>
    <row r="191" spans="1:23" ht="11.25" customHeight="1" x14ac:dyDescent="0.25">
      <c r="A191" s="4" t="s">
        <v>21</v>
      </c>
      <c r="B191" s="4" t="s">
        <v>34</v>
      </c>
      <c r="C191" s="4" t="s">
        <v>35</v>
      </c>
      <c r="D191" s="4" t="s">
        <v>41</v>
      </c>
      <c r="E191" s="4" t="s">
        <v>25</v>
      </c>
      <c r="F191" s="4" t="s">
        <v>25</v>
      </c>
      <c r="G191" s="4" t="s">
        <v>25</v>
      </c>
      <c r="H191" s="4" t="s">
        <v>37</v>
      </c>
      <c r="I191" s="5">
        <v>44652</v>
      </c>
      <c r="J191" s="6">
        <v>0</v>
      </c>
      <c r="K191" s="6">
        <v>0</v>
      </c>
      <c r="L191" s="6">
        <v>13.961</v>
      </c>
      <c r="M191" s="6">
        <v>13.961</v>
      </c>
      <c r="N191" s="6">
        <v>13.961</v>
      </c>
      <c r="O191" s="6">
        <v>13.961</v>
      </c>
      <c r="P191" s="6">
        <v>0</v>
      </c>
      <c r="Q191" s="4" t="s">
        <v>26</v>
      </c>
      <c r="R191" s="4">
        <v>0</v>
      </c>
      <c r="S191" s="4" t="s">
        <v>135</v>
      </c>
      <c r="T191" s="4" t="s">
        <v>280</v>
      </c>
      <c r="U191" s="4">
        <v>0</v>
      </c>
      <c r="V191" s="4">
        <v>13</v>
      </c>
      <c r="W191" s="4">
        <v>16</v>
      </c>
    </row>
    <row r="192" spans="1:23" ht="11.25" customHeight="1" x14ac:dyDescent="0.25">
      <c r="A192" s="4" t="s">
        <v>21</v>
      </c>
      <c r="B192" s="4" t="s">
        <v>34</v>
      </c>
      <c r="C192" s="4" t="s">
        <v>35</v>
      </c>
      <c r="D192" s="4" t="s">
        <v>41</v>
      </c>
      <c r="E192" s="4" t="s">
        <v>25</v>
      </c>
      <c r="F192" s="4" t="s">
        <v>25</v>
      </c>
      <c r="G192" s="4" t="s">
        <v>25</v>
      </c>
      <c r="H192" s="4" t="s">
        <v>37</v>
      </c>
      <c r="I192" s="5">
        <v>44682</v>
      </c>
      <c r="J192" s="6">
        <v>0</v>
      </c>
      <c r="K192" s="6">
        <v>0</v>
      </c>
      <c r="L192" s="6">
        <v>19.73</v>
      </c>
      <c r="M192" s="6">
        <v>19.73</v>
      </c>
      <c r="N192" s="6">
        <v>19.73</v>
      </c>
      <c r="O192" s="6">
        <v>19.73</v>
      </c>
      <c r="P192" s="6">
        <v>0</v>
      </c>
      <c r="Q192" s="4" t="s">
        <v>26</v>
      </c>
      <c r="R192" s="4">
        <v>0</v>
      </c>
      <c r="S192" s="4" t="s">
        <v>136</v>
      </c>
      <c r="T192" s="4" t="s">
        <v>281</v>
      </c>
      <c r="U192" s="4">
        <v>0</v>
      </c>
      <c r="V192" s="4">
        <v>13</v>
      </c>
      <c r="W192" s="4">
        <v>16</v>
      </c>
    </row>
    <row r="193" spans="1:23" ht="11.25" customHeight="1" x14ac:dyDescent="0.25">
      <c r="A193" s="4" t="s">
        <v>21</v>
      </c>
      <c r="B193" s="4" t="s">
        <v>34</v>
      </c>
      <c r="C193" s="4" t="s">
        <v>35</v>
      </c>
      <c r="D193" s="4" t="s">
        <v>41</v>
      </c>
      <c r="E193" s="4" t="s">
        <v>25</v>
      </c>
      <c r="F193" s="4" t="s">
        <v>25</v>
      </c>
      <c r="G193" s="4" t="s">
        <v>25</v>
      </c>
      <c r="H193" s="4" t="s">
        <v>37</v>
      </c>
      <c r="I193" s="5">
        <v>44713</v>
      </c>
      <c r="J193" s="6">
        <v>0</v>
      </c>
      <c r="K193" s="6">
        <v>0</v>
      </c>
      <c r="L193" s="6">
        <v>22.042999999999999</v>
      </c>
      <c r="M193" s="6">
        <v>22.042999999999999</v>
      </c>
      <c r="N193" s="6">
        <v>22.042999999999999</v>
      </c>
      <c r="O193" s="6">
        <v>22.042999999999999</v>
      </c>
      <c r="P193" s="6">
        <v>0</v>
      </c>
      <c r="Q193" s="4" t="s">
        <v>26</v>
      </c>
      <c r="R193" s="4">
        <v>0</v>
      </c>
      <c r="S193" s="4" t="s">
        <v>137</v>
      </c>
      <c r="T193" s="4" t="s">
        <v>282</v>
      </c>
      <c r="U193" s="4">
        <v>0</v>
      </c>
      <c r="V193" s="4">
        <v>13</v>
      </c>
      <c r="W193" s="4">
        <v>16</v>
      </c>
    </row>
    <row r="194" spans="1:23" ht="11.25" customHeight="1" x14ac:dyDescent="0.25">
      <c r="A194" s="4" t="s">
        <v>21</v>
      </c>
      <c r="B194" s="4" t="s">
        <v>34</v>
      </c>
      <c r="C194" s="4" t="s">
        <v>35</v>
      </c>
      <c r="D194" s="4" t="s">
        <v>41</v>
      </c>
      <c r="E194" s="4" t="s">
        <v>25</v>
      </c>
      <c r="F194" s="4" t="s">
        <v>25</v>
      </c>
      <c r="G194" s="4" t="s">
        <v>25</v>
      </c>
      <c r="H194" s="4" t="s">
        <v>25</v>
      </c>
      <c r="I194" s="5">
        <v>44378</v>
      </c>
      <c r="J194" s="6">
        <v>368</v>
      </c>
      <c r="K194" s="6">
        <v>368</v>
      </c>
      <c r="L194" s="6">
        <v>0</v>
      </c>
      <c r="M194" s="6">
        <v>0</v>
      </c>
      <c r="N194" s="6">
        <v>0</v>
      </c>
      <c r="O194" s="6">
        <v>0</v>
      </c>
      <c r="P194" s="6">
        <v>4</v>
      </c>
      <c r="Q194" s="4" t="s">
        <v>26</v>
      </c>
      <c r="R194" s="4">
        <v>0</v>
      </c>
      <c r="S194" s="4" t="s">
        <v>138</v>
      </c>
      <c r="U194" s="4">
        <v>36</v>
      </c>
      <c r="V194" s="4">
        <v>0</v>
      </c>
      <c r="W194" s="4">
        <v>0</v>
      </c>
    </row>
    <row r="195" spans="1:23" ht="11.25" customHeight="1" x14ac:dyDescent="0.25">
      <c r="A195" s="4" t="s">
        <v>21</v>
      </c>
      <c r="B195" s="4" t="s">
        <v>34</v>
      </c>
      <c r="C195" s="4" t="s">
        <v>35</v>
      </c>
      <c r="D195" s="4" t="s">
        <v>41</v>
      </c>
      <c r="E195" s="4" t="s">
        <v>25</v>
      </c>
      <c r="F195" s="4" t="s">
        <v>25</v>
      </c>
      <c r="G195" s="4" t="s">
        <v>25</v>
      </c>
      <c r="H195" s="4" t="s">
        <v>25</v>
      </c>
      <c r="I195" s="5">
        <v>44409</v>
      </c>
      <c r="J195" s="6">
        <v>361</v>
      </c>
      <c r="K195" s="6">
        <v>361</v>
      </c>
      <c r="L195" s="6">
        <v>0</v>
      </c>
      <c r="M195" s="6">
        <v>0</v>
      </c>
      <c r="N195" s="6">
        <v>0</v>
      </c>
      <c r="O195" s="6">
        <v>0</v>
      </c>
      <c r="P195" s="6">
        <v>4</v>
      </c>
      <c r="Q195" s="4" t="s">
        <v>26</v>
      </c>
      <c r="R195" s="4">
        <v>0</v>
      </c>
      <c r="S195" s="4" t="s">
        <v>139</v>
      </c>
      <c r="U195" s="4">
        <v>36</v>
      </c>
      <c r="V195" s="4">
        <v>0</v>
      </c>
      <c r="W195" s="4">
        <v>0</v>
      </c>
    </row>
    <row r="196" spans="1:23" ht="11.25" customHeight="1" x14ac:dyDescent="0.25">
      <c r="A196" s="4" t="s">
        <v>21</v>
      </c>
      <c r="B196" s="4" t="s">
        <v>34</v>
      </c>
      <c r="C196" s="4" t="s">
        <v>35</v>
      </c>
      <c r="D196" s="4" t="s">
        <v>41</v>
      </c>
      <c r="E196" s="4" t="s">
        <v>25</v>
      </c>
      <c r="F196" s="4" t="s">
        <v>25</v>
      </c>
      <c r="G196" s="4" t="s">
        <v>25</v>
      </c>
      <c r="H196" s="4" t="s">
        <v>25</v>
      </c>
      <c r="I196" s="5">
        <v>44440</v>
      </c>
      <c r="J196" s="6">
        <v>353</v>
      </c>
      <c r="K196" s="6">
        <v>353</v>
      </c>
      <c r="L196" s="6">
        <v>0</v>
      </c>
      <c r="M196" s="6">
        <v>0</v>
      </c>
      <c r="N196" s="6">
        <v>0</v>
      </c>
      <c r="O196" s="6">
        <v>0</v>
      </c>
      <c r="P196" s="6">
        <v>4</v>
      </c>
      <c r="Q196" s="4" t="s">
        <v>26</v>
      </c>
      <c r="R196" s="4">
        <v>0</v>
      </c>
      <c r="S196" s="4" t="s">
        <v>140</v>
      </c>
      <c r="U196" s="4">
        <v>36</v>
      </c>
      <c r="V196" s="4">
        <v>0</v>
      </c>
      <c r="W196" s="4">
        <v>0</v>
      </c>
    </row>
    <row r="197" spans="1:23" ht="11.25" customHeight="1" x14ac:dyDescent="0.25">
      <c r="A197" s="4" t="s">
        <v>21</v>
      </c>
      <c r="B197" s="4" t="s">
        <v>34</v>
      </c>
      <c r="C197" s="4" t="s">
        <v>35</v>
      </c>
      <c r="D197" s="4" t="s">
        <v>41</v>
      </c>
      <c r="E197" s="4" t="s">
        <v>25</v>
      </c>
      <c r="F197" s="4" t="s">
        <v>25</v>
      </c>
      <c r="G197" s="4" t="s">
        <v>25</v>
      </c>
      <c r="H197" s="4" t="s">
        <v>25</v>
      </c>
      <c r="I197" s="5">
        <v>44470</v>
      </c>
      <c r="J197" s="6">
        <v>353</v>
      </c>
      <c r="K197" s="6">
        <v>353</v>
      </c>
      <c r="L197" s="6">
        <v>0</v>
      </c>
      <c r="M197" s="6">
        <v>0</v>
      </c>
      <c r="N197" s="6">
        <v>0</v>
      </c>
      <c r="O197" s="6">
        <v>0</v>
      </c>
      <c r="P197" s="6">
        <v>4</v>
      </c>
      <c r="Q197" s="4" t="s">
        <v>26</v>
      </c>
      <c r="R197" s="4">
        <v>0</v>
      </c>
      <c r="S197" s="4" t="s">
        <v>141</v>
      </c>
      <c r="U197" s="4">
        <v>36</v>
      </c>
      <c r="V197" s="4">
        <v>0</v>
      </c>
      <c r="W197" s="4">
        <v>0</v>
      </c>
    </row>
    <row r="198" spans="1:23" ht="11.25" customHeight="1" x14ac:dyDescent="0.25">
      <c r="A198" s="4" t="s">
        <v>21</v>
      </c>
      <c r="B198" s="4" t="s">
        <v>34</v>
      </c>
      <c r="C198" s="4" t="s">
        <v>35</v>
      </c>
      <c r="D198" s="4" t="s">
        <v>41</v>
      </c>
      <c r="E198" s="4" t="s">
        <v>25</v>
      </c>
      <c r="F198" s="4" t="s">
        <v>25</v>
      </c>
      <c r="G198" s="4" t="s">
        <v>25</v>
      </c>
      <c r="H198" s="4" t="s">
        <v>25</v>
      </c>
      <c r="I198" s="5">
        <v>44501</v>
      </c>
      <c r="J198" s="6">
        <v>354</v>
      </c>
      <c r="K198" s="6">
        <v>354</v>
      </c>
      <c r="L198" s="6">
        <v>0</v>
      </c>
      <c r="M198" s="6">
        <v>0</v>
      </c>
      <c r="N198" s="6">
        <v>0</v>
      </c>
      <c r="O198" s="6">
        <v>0</v>
      </c>
      <c r="P198" s="6">
        <v>4</v>
      </c>
      <c r="Q198" s="4" t="s">
        <v>26</v>
      </c>
      <c r="R198" s="4">
        <v>0</v>
      </c>
      <c r="S198" s="4" t="s">
        <v>142</v>
      </c>
      <c r="U198" s="4">
        <v>36</v>
      </c>
      <c r="V198" s="4">
        <v>0</v>
      </c>
      <c r="W198" s="4">
        <v>0</v>
      </c>
    </row>
    <row r="199" spans="1:23" ht="11.25" customHeight="1" x14ac:dyDescent="0.25">
      <c r="A199" s="4" t="s">
        <v>21</v>
      </c>
      <c r="B199" s="4" t="s">
        <v>34</v>
      </c>
      <c r="C199" s="4" t="s">
        <v>35</v>
      </c>
      <c r="D199" s="4" t="s">
        <v>41</v>
      </c>
      <c r="E199" s="4" t="s">
        <v>25</v>
      </c>
      <c r="F199" s="4" t="s">
        <v>25</v>
      </c>
      <c r="G199" s="4" t="s">
        <v>25</v>
      </c>
      <c r="H199" s="4" t="s">
        <v>25</v>
      </c>
      <c r="I199" s="5">
        <v>44531</v>
      </c>
      <c r="J199" s="6">
        <v>360</v>
      </c>
      <c r="K199" s="6">
        <v>360</v>
      </c>
      <c r="L199" s="6">
        <v>0</v>
      </c>
      <c r="M199" s="6">
        <v>0</v>
      </c>
      <c r="N199" s="6">
        <v>0</v>
      </c>
      <c r="O199" s="6">
        <v>0</v>
      </c>
      <c r="P199" s="6">
        <v>4</v>
      </c>
      <c r="Q199" s="4" t="s">
        <v>26</v>
      </c>
      <c r="R199" s="4">
        <v>0</v>
      </c>
      <c r="S199" s="4" t="s">
        <v>143</v>
      </c>
      <c r="U199" s="4">
        <v>36</v>
      </c>
      <c r="V199" s="4">
        <v>0</v>
      </c>
      <c r="W199" s="4">
        <v>0</v>
      </c>
    </row>
    <row r="200" spans="1:23" ht="11.25" customHeight="1" x14ac:dyDescent="0.25">
      <c r="A200" s="4" t="s">
        <v>21</v>
      </c>
      <c r="B200" s="4" t="s">
        <v>34</v>
      </c>
      <c r="C200" s="4" t="s">
        <v>35</v>
      </c>
      <c r="D200" s="4" t="s">
        <v>41</v>
      </c>
      <c r="E200" s="4" t="s">
        <v>25</v>
      </c>
      <c r="F200" s="4" t="s">
        <v>25</v>
      </c>
      <c r="G200" s="4" t="s">
        <v>25</v>
      </c>
      <c r="H200" s="4" t="s">
        <v>25</v>
      </c>
      <c r="I200" s="5">
        <v>44562</v>
      </c>
      <c r="J200" s="6">
        <v>364</v>
      </c>
      <c r="K200" s="6">
        <v>364</v>
      </c>
      <c r="L200" s="6">
        <v>0</v>
      </c>
      <c r="M200" s="6">
        <v>0</v>
      </c>
      <c r="N200" s="6">
        <v>0</v>
      </c>
      <c r="O200" s="6">
        <v>0</v>
      </c>
      <c r="P200" s="6">
        <v>4</v>
      </c>
      <c r="Q200" s="4" t="s">
        <v>26</v>
      </c>
      <c r="R200" s="4">
        <v>0</v>
      </c>
      <c r="S200" s="4" t="s">
        <v>144</v>
      </c>
      <c r="U200" s="4">
        <v>36</v>
      </c>
      <c r="V200" s="4">
        <v>0</v>
      </c>
      <c r="W200" s="4">
        <v>0</v>
      </c>
    </row>
    <row r="201" spans="1:23" ht="11.25" customHeight="1" x14ac:dyDescent="0.25">
      <c r="A201" s="4" t="s">
        <v>21</v>
      </c>
      <c r="B201" s="4" t="s">
        <v>34</v>
      </c>
      <c r="C201" s="4" t="s">
        <v>35</v>
      </c>
      <c r="D201" s="4" t="s">
        <v>41</v>
      </c>
      <c r="E201" s="4" t="s">
        <v>25</v>
      </c>
      <c r="F201" s="4" t="s">
        <v>25</v>
      </c>
      <c r="G201" s="4" t="s">
        <v>25</v>
      </c>
      <c r="H201" s="4" t="s">
        <v>25</v>
      </c>
      <c r="I201" s="5">
        <v>44593</v>
      </c>
      <c r="J201" s="6">
        <v>353</v>
      </c>
      <c r="K201" s="6">
        <v>353</v>
      </c>
      <c r="L201" s="6">
        <v>0</v>
      </c>
      <c r="M201" s="6">
        <v>0</v>
      </c>
      <c r="N201" s="6">
        <v>0</v>
      </c>
      <c r="O201" s="6">
        <v>0</v>
      </c>
      <c r="P201" s="6">
        <v>4</v>
      </c>
      <c r="Q201" s="4" t="s">
        <v>26</v>
      </c>
      <c r="R201" s="4">
        <v>0</v>
      </c>
      <c r="S201" s="4" t="s">
        <v>145</v>
      </c>
      <c r="U201" s="4">
        <v>36</v>
      </c>
      <c r="V201" s="4">
        <v>0</v>
      </c>
      <c r="W201" s="4">
        <v>0</v>
      </c>
    </row>
    <row r="202" spans="1:23" ht="11.25" customHeight="1" x14ac:dyDescent="0.25">
      <c r="A202" s="4" t="s">
        <v>21</v>
      </c>
      <c r="B202" s="4" t="s">
        <v>34</v>
      </c>
      <c r="C202" s="4" t="s">
        <v>35</v>
      </c>
      <c r="D202" s="4" t="s">
        <v>41</v>
      </c>
      <c r="E202" s="4" t="s">
        <v>25</v>
      </c>
      <c r="F202" s="4" t="s">
        <v>25</v>
      </c>
      <c r="G202" s="4" t="s">
        <v>25</v>
      </c>
      <c r="H202" s="4" t="s">
        <v>25</v>
      </c>
      <c r="I202" s="5">
        <v>44621</v>
      </c>
      <c r="J202" s="6">
        <v>356</v>
      </c>
      <c r="K202" s="6">
        <v>356</v>
      </c>
      <c r="L202" s="6">
        <v>0</v>
      </c>
      <c r="M202" s="6">
        <v>0</v>
      </c>
      <c r="N202" s="6">
        <v>0</v>
      </c>
      <c r="O202" s="6">
        <v>0</v>
      </c>
      <c r="P202" s="6">
        <v>4</v>
      </c>
      <c r="Q202" s="4" t="s">
        <v>26</v>
      </c>
      <c r="R202" s="4">
        <v>0</v>
      </c>
      <c r="S202" s="4" t="s">
        <v>146</v>
      </c>
      <c r="U202" s="4">
        <v>36</v>
      </c>
      <c r="V202" s="4">
        <v>0</v>
      </c>
      <c r="W202" s="4">
        <v>0</v>
      </c>
    </row>
    <row r="203" spans="1:23" ht="11.25" customHeight="1" x14ac:dyDescent="0.25">
      <c r="A203" s="4" t="s">
        <v>21</v>
      </c>
      <c r="B203" s="4" t="s">
        <v>34</v>
      </c>
      <c r="C203" s="4" t="s">
        <v>35</v>
      </c>
      <c r="D203" s="4" t="s">
        <v>41</v>
      </c>
      <c r="E203" s="4" t="s">
        <v>25</v>
      </c>
      <c r="F203" s="4" t="s">
        <v>25</v>
      </c>
      <c r="G203" s="4" t="s">
        <v>25</v>
      </c>
      <c r="H203" s="4" t="s">
        <v>25</v>
      </c>
      <c r="I203" s="5">
        <v>44652</v>
      </c>
      <c r="J203" s="6">
        <v>353</v>
      </c>
      <c r="K203" s="6">
        <v>353</v>
      </c>
      <c r="L203" s="6">
        <v>0</v>
      </c>
      <c r="M203" s="6">
        <v>0</v>
      </c>
      <c r="N203" s="6">
        <v>0</v>
      </c>
      <c r="O203" s="6">
        <v>0</v>
      </c>
      <c r="P203" s="6">
        <v>4</v>
      </c>
      <c r="Q203" s="4" t="s">
        <v>26</v>
      </c>
      <c r="R203" s="4">
        <v>0</v>
      </c>
      <c r="S203" s="4" t="s">
        <v>147</v>
      </c>
      <c r="U203" s="4">
        <v>36</v>
      </c>
      <c r="V203" s="4">
        <v>0</v>
      </c>
      <c r="W203" s="4">
        <v>0</v>
      </c>
    </row>
    <row r="204" spans="1:23" ht="11.25" customHeight="1" x14ac:dyDescent="0.25">
      <c r="A204" s="4" t="s">
        <v>21</v>
      </c>
      <c r="B204" s="4" t="s">
        <v>34</v>
      </c>
      <c r="C204" s="4" t="s">
        <v>35</v>
      </c>
      <c r="D204" s="4" t="s">
        <v>41</v>
      </c>
      <c r="E204" s="4" t="s">
        <v>25</v>
      </c>
      <c r="F204" s="4" t="s">
        <v>25</v>
      </c>
      <c r="G204" s="4" t="s">
        <v>25</v>
      </c>
      <c r="H204" s="4" t="s">
        <v>25</v>
      </c>
      <c r="I204" s="5">
        <v>44682</v>
      </c>
      <c r="J204" s="6">
        <v>354</v>
      </c>
      <c r="K204" s="6">
        <v>354</v>
      </c>
      <c r="L204" s="6">
        <v>0</v>
      </c>
      <c r="M204" s="6">
        <v>0</v>
      </c>
      <c r="N204" s="6">
        <v>0</v>
      </c>
      <c r="O204" s="6">
        <v>0</v>
      </c>
      <c r="P204" s="6">
        <v>4</v>
      </c>
      <c r="Q204" s="4" t="s">
        <v>26</v>
      </c>
      <c r="R204" s="4">
        <v>0</v>
      </c>
      <c r="S204" s="4" t="s">
        <v>148</v>
      </c>
      <c r="U204" s="4">
        <v>36</v>
      </c>
      <c r="V204" s="4">
        <v>0</v>
      </c>
      <c r="W204" s="4">
        <v>0</v>
      </c>
    </row>
    <row r="205" spans="1:23" ht="11.25" customHeight="1" x14ac:dyDescent="0.25">
      <c r="A205" s="4" t="s">
        <v>21</v>
      </c>
      <c r="B205" s="4" t="s">
        <v>34</v>
      </c>
      <c r="C205" s="4" t="s">
        <v>35</v>
      </c>
      <c r="D205" s="4" t="s">
        <v>41</v>
      </c>
      <c r="E205" s="4" t="s">
        <v>25</v>
      </c>
      <c r="F205" s="4" t="s">
        <v>25</v>
      </c>
      <c r="G205" s="4" t="s">
        <v>25</v>
      </c>
      <c r="H205" s="4" t="s">
        <v>25</v>
      </c>
      <c r="I205" s="5">
        <v>44713</v>
      </c>
      <c r="J205" s="6">
        <v>361</v>
      </c>
      <c r="K205" s="6">
        <v>361</v>
      </c>
      <c r="L205" s="6">
        <v>0</v>
      </c>
      <c r="M205" s="6">
        <v>0</v>
      </c>
      <c r="N205" s="6">
        <v>0</v>
      </c>
      <c r="O205" s="6">
        <v>0</v>
      </c>
      <c r="P205" s="6">
        <v>4</v>
      </c>
      <c r="Q205" s="4" t="s">
        <v>26</v>
      </c>
      <c r="R205" s="4">
        <v>0</v>
      </c>
      <c r="S205" s="4" t="s">
        <v>149</v>
      </c>
      <c r="U205" s="4">
        <v>36</v>
      </c>
      <c r="V205" s="4">
        <v>0</v>
      </c>
      <c r="W205" s="4">
        <v>0</v>
      </c>
    </row>
    <row r="206" spans="1:23" ht="11.25" customHeight="1" x14ac:dyDescent="0.25">
      <c r="A206" s="4" t="s">
        <v>21</v>
      </c>
      <c r="B206" s="4" t="s">
        <v>34</v>
      </c>
      <c r="C206" s="4" t="s">
        <v>35</v>
      </c>
      <c r="D206" s="4" t="s">
        <v>41</v>
      </c>
      <c r="E206" s="4" t="s">
        <v>25</v>
      </c>
      <c r="F206" s="4" t="s">
        <v>25</v>
      </c>
      <c r="G206" s="4" t="s">
        <v>25</v>
      </c>
      <c r="H206" s="4" t="s">
        <v>36</v>
      </c>
      <c r="I206" s="5">
        <v>44378</v>
      </c>
      <c r="J206" s="6">
        <v>0</v>
      </c>
      <c r="K206" s="6">
        <v>0</v>
      </c>
      <c r="L206" s="6">
        <v>0.93799999999999994</v>
      </c>
      <c r="M206" s="6">
        <v>0.93799999999999994</v>
      </c>
      <c r="N206" s="6">
        <v>0.93799999999999994</v>
      </c>
      <c r="O206" s="6">
        <v>0.93799999999999994</v>
      </c>
      <c r="P206" s="6">
        <v>0</v>
      </c>
      <c r="Q206" s="4" t="s">
        <v>26</v>
      </c>
      <c r="R206" s="4">
        <v>0</v>
      </c>
      <c r="S206" s="4" t="s">
        <v>150</v>
      </c>
      <c r="T206" s="4" t="s">
        <v>287</v>
      </c>
      <c r="U206" s="4">
        <v>0</v>
      </c>
      <c r="V206" s="4">
        <v>15</v>
      </c>
      <c r="W206" s="4">
        <v>9</v>
      </c>
    </row>
    <row r="207" spans="1:23" ht="11.25" customHeight="1" x14ac:dyDescent="0.25">
      <c r="A207" s="4" t="s">
        <v>21</v>
      </c>
      <c r="B207" s="4" t="s">
        <v>34</v>
      </c>
      <c r="C207" s="4" t="s">
        <v>35</v>
      </c>
      <c r="D207" s="4" t="s">
        <v>41</v>
      </c>
      <c r="E207" s="4" t="s">
        <v>25</v>
      </c>
      <c r="F207" s="4" t="s">
        <v>25</v>
      </c>
      <c r="G207" s="4" t="s">
        <v>25</v>
      </c>
      <c r="H207" s="4" t="s">
        <v>36</v>
      </c>
      <c r="I207" s="5">
        <v>44409</v>
      </c>
      <c r="J207" s="6">
        <v>0</v>
      </c>
      <c r="K207" s="6">
        <v>0</v>
      </c>
      <c r="L207" s="6">
        <v>0.749</v>
      </c>
      <c r="M207" s="6">
        <v>0.749</v>
      </c>
      <c r="N207" s="6">
        <v>0.749</v>
      </c>
      <c r="O207" s="6">
        <v>0.749</v>
      </c>
      <c r="P207" s="6">
        <v>0</v>
      </c>
      <c r="Q207" s="4" t="s">
        <v>26</v>
      </c>
      <c r="R207" s="4">
        <v>0</v>
      </c>
      <c r="S207" s="4" t="s">
        <v>151</v>
      </c>
      <c r="T207" s="4" t="s">
        <v>288</v>
      </c>
      <c r="U207" s="4">
        <v>0</v>
      </c>
      <c r="V207" s="4">
        <v>15</v>
      </c>
      <c r="W207" s="4">
        <v>9</v>
      </c>
    </row>
    <row r="208" spans="1:23" ht="11.25" customHeight="1" x14ac:dyDescent="0.25">
      <c r="A208" s="4" t="s">
        <v>21</v>
      </c>
      <c r="B208" s="4" t="s">
        <v>34</v>
      </c>
      <c r="C208" s="4" t="s">
        <v>35</v>
      </c>
      <c r="D208" s="4" t="s">
        <v>41</v>
      </c>
      <c r="E208" s="4" t="s">
        <v>25</v>
      </c>
      <c r="F208" s="4" t="s">
        <v>25</v>
      </c>
      <c r="G208" s="4" t="s">
        <v>25</v>
      </c>
      <c r="H208" s="4" t="s">
        <v>36</v>
      </c>
      <c r="I208" s="5">
        <v>44440</v>
      </c>
      <c r="J208" s="6">
        <v>0</v>
      </c>
      <c r="K208" s="6">
        <v>0</v>
      </c>
      <c r="L208" s="6">
        <v>0.73899999999999999</v>
      </c>
      <c r="M208" s="6">
        <v>0.73899999999999999</v>
      </c>
      <c r="N208" s="6">
        <v>0.73899999999999999</v>
      </c>
      <c r="O208" s="6">
        <v>0.73899999999999999</v>
      </c>
      <c r="P208" s="6">
        <v>0</v>
      </c>
      <c r="Q208" s="4" t="s">
        <v>26</v>
      </c>
      <c r="R208" s="4">
        <v>0</v>
      </c>
      <c r="S208" s="4" t="s">
        <v>152</v>
      </c>
      <c r="T208" s="4" t="s">
        <v>289</v>
      </c>
      <c r="U208" s="4">
        <v>0</v>
      </c>
      <c r="V208" s="4">
        <v>15</v>
      </c>
      <c r="W208" s="4">
        <v>9</v>
      </c>
    </row>
    <row r="209" spans="1:23" ht="11.25" customHeight="1" x14ac:dyDescent="0.25">
      <c r="A209" s="4" t="s">
        <v>21</v>
      </c>
      <c r="B209" s="4" t="s">
        <v>34</v>
      </c>
      <c r="C209" s="4" t="s">
        <v>35</v>
      </c>
      <c r="D209" s="4" t="s">
        <v>41</v>
      </c>
      <c r="E209" s="4" t="s">
        <v>25</v>
      </c>
      <c r="F209" s="4" t="s">
        <v>25</v>
      </c>
      <c r="G209" s="4" t="s">
        <v>25</v>
      </c>
      <c r="H209" s="4" t="s">
        <v>36</v>
      </c>
      <c r="I209" s="5">
        <v>44470</v>
      </c>
      <c r="J209" s="6">
        <v>0</v>
      </c>
      <c r="K209" s="6">
        <v>0</v>
      </c>
      <c r="L209" s="6">
        <v>0.70899999999999996</v>
      </c>
      <c r="M209" s="6">
        <v>0.70899999999999996</v>
      </c>
      <c r="N209" s="6">
        <v>0.70899999999999996</v>
      </c>
      <c r="O209" s="6">
        <v>0.70899999999999996</v>
      </c>
      <c r="P209" s="6">
        <v>0</v>
      </c>
      <c r="Q209" s="4" t="s">
        <v>26</v>
      </c>
      <c r="R209" s="4">
        <v>0</v>
      </c>
      <c r="S209" s="4" t="s">
        <v>153</v>
      </c>
      <c r="T209" s="4" t="s">
        <v>290</v>
      </c>
      <c r="U209" s="4">
        <v>0</v>
      </c>
      <c r="V209" s="4">
        <v>15</v>
      </c>
      <c r="W209" s="4">
        <v>9</v>
      </c>
    </row>
    <row r="210" spans="1:23" ht="11.25" customHeight="1" x14ac:dyDescent="0.25">
      <c r="A210" s="4" t="s">
        <v>21</v>
      </c>
      <c r="B210" s="4" t="s">
        <v>34</v>
      </c>
      <c r="C210" s="4" t="s">
        <v>35</v>
      </c>
      <c r="D210" s="4" t="s">
        <v>41</v>
      </c>
      <c r="E210" s="4" t="s">
        <v>25</v>
      </c>
      <c r="F210" s="4" t="s">
        <v>25</v>
      </c>
      <c r="G210" s="4" t="s">
        <v>25</v>
      </c>
      <c r="H210" s="4" t="s">
        <v>36</v>
      </c>
      <c r="I210" s="5">
        <v>44501</v>
      </c>
      <c r="J210" s="6">
        <v>0</v>
      </c>
      <c r="K210" s="6">
        <v>0</v>
      </c>
      <c r="L210" s="6">
        <v>0.81100000000000005</v>
      </c>
      <c r="M210" s="6">
        <v>0.81100000000000005</v>
      </c>
      <c r="N210" s="6">
        <v>0.81100000000000005</v>
      </c>
      <c r="O210" s="6">
        <v>0.81100000000000005</v>
      </c>
      <c r="P210" s="6">
        <v>0</v>
      </c>
      <c r="Q210" s="4" t="s">
        <v>26</v>
      </c>
      <c r="R210" s="4">
        <v>0</v>
      </c>
      <c r="S210" s="4" t="s">
        <v>154</v>
      </c>
      <c r="T210" s="4" t="s">
        <v>291</v>
      </c>
      <c r="U210" s="4">
        <v>0</v>
      </c>
      <c r="V210" s="4">
        <v>15</v>
      </c>
      <c r="W210" s="4">
        <v>9</v>
      </c>
    </row>
    <row r="211" spans="1:23" ht="11.25" customHeight="1" x14ac:dyDescent="0.25">
      <c r="A211" s="4" t="s">
        <v>21</v>
      </c>
      <c r="B211" s="4" t="s">
        <v>34</v>
      </c>
      <c r="C211" s="4" t="s">
        <v>35</v>
      </c>
      <c r="D211" s="4" t="s">
        <v>41</v>
      </c>
      <c r="E211" s="4" t="s">
        <v>25</v>
      </c>
      <c r="F211" s="4" t="s">
        <v>25</v>
      </c>
      <c r="G211" s="4" t="s">
        <v>25</v>
      </c>
      <c r="H211" s="4" t="s">
        <v>36</v>
      </c>
      <c r="I211" s="5">
        <v>44531</v>
      </c>
      <c r="J211" s="6">
        <v>0</v>
      </c>
      <c r="K211" s="6">
        <v>0</v>
      </c>
      <c r="L211" s="6">
        <v>0.92800000000000005</v>
      </c>
      <c r="M211" s="6">
        <v>0.92800000000000005</v>
      </c>
      <c r="N211" s="6">
        <v>0.92800000000000005</v>
      </c>
      <c r="O211" s="6">
        <v>0.92800000000000005</v>
      </c>
      <c r="P211" s="6">
        <v>0</v>
      </c>
      <c r="Q211" s="4" t="s">
        <v>26</v>
      </c>
      <c r="R211" s="4">
        <v>0</v>
      </c>
      <c r="S211" s="4" t="s">
        <v>155</v>
      </c>
      <c r="T211" s="4" t="s">
        <v>292</v>
      </c>
      <c r="U211" s="4">
        <v>0</v>
      </c>
      <c r="V211" s="4">
        <v>15</v>
      </c>
      <c r="W211" s="4">
        <v>9</v>
      </c>
    </row>
    <row r="212" spans="1:23" ht="11.25" customHeight="1" x14ac:dyDescent="0.25">
      <c r="A212" s="4" t="s">
        <v>21</v>
      </c>
      <c r="B212" s="4" t="s">
        <v>34</v>
      </c>
      <c r="C212" s="4" t="s">
        <v>35</v>
      </c>
      <c r="D212" s="4" t="s">
        <v>41</v>
      </c>
      <c r="E212" s="4" t="s">
        <v>25</v>
      </c>
      <c r="F212" s="4" t="s">
        <v>25</v>
      </c>
      <c r="G212" s="4" t="s">
        <v>25</v>
      </c>
      <c r="H212" s="4" t="s">
        <v>36</v>
      </c>
      <c r="I212" s="5">
        <v>44562</v>
      </c>
      <c r="J212" s="6">
        <v>0</v>
      </c>
      <c r="K212" s="6">
        <v>0</v>
      </c>
      <c r="L212" s="6">
        <v>0.92500000000000004</v>
      </c>
      <c r="M212" s="6">
        <v>0.92500000000000004</v>
      </c>
      <c r="N212" s="6">
        <v>0.92500000000000004</v>
      </c>
      <c r="O212" s="6">
        <v>0.92500000000000004</v>
      </c>
      <c r="P212" s="6">
        <v>0</v>
      </c>
      <c r="Q212" s="4" t="s">
        <v>26</v>
      </c>
      <c r="R212" s="4">
        <v>0</v>
      </c>
      <c r="S212" s="4" t="s">
        <v>156</v>
      </c>
      <c r="T212" s="4" t="s">
        <v>293</v>
      </c>
      <c r="U212" s="4">
        <v>0</v>
      </c>
      <c r="V212" s="4">
        <v>15</v>
      </c>
      <c r="W212" s="4">
        <v>9</v>
      </c>
    </row>
    <row r="213" spans="1:23" ht="11.25" customHeight="1" x14ac:dyDescent="0.25">
      <c r="A213" s="4" t="s">
        <v>21</v>
      </c>
      <c r="B213" s="4" t="s">
        <v>34</v>
      </c>
      <c r="C213" s="4" t="s">
        <v>35</v>
      </c>
      <c r="D213" s="4" t="s">
        <v>41</v>
      </c>
      <c r="E213" s="4" t="s">
        <v>25</v>
      </c>
      <c r="F213" s="4" t="s">
        <v>25</v>
      </c>
      <c r="G213" s="4" t="s">
        <v>25</v>
      </c>
      <c r="H213" s="4" t="s">
        <v>36</v>
      </c>
      <c r="I213" s="5">
        <v>44593</v>
      </c>
      <c r="J213" s="6">
        <v>0</v>
      </c>
      <c r="K213" s="6">
        <v>0</v>
      </c>
      <c r="L213" s="6">
        <v>0.86499999999999999</v>
      </c>
      <c r="M213" s="6">
        <v>0.86499999999999999</v>
      </c>
      <c r="N213" s="6">
        <v>0.86499999999999999</v>
      </c>
      <c r="O213" s="6">
        <v>0.86499999999999999</v>
      </c>
      <c r="P213" s="6">
        <v>0</v>
      </c>
      <c r="Q213" s="4" t="s">
        <v>26</v>
      </c>
      <c r="R213" s="4">
        <v>0</v>
      </c>
      <c r="S213" s="4" t="s">
        <v>157</v>
      </c>
      <c r="T213" s="4" t="s">
        <v>294</v>
      </c>
      <c r="U213" s="4">
        <v>0</v>
      </c>
      <c r="V213" s="4">
        <v>15</v>
      </c>
      <c r="W213" s="4">
        <v>9</v>
      </c>
    </row>
    <row r="214" spans="1:23" ht="11.25" customHeight="1" x14ac:dyDescent="0.25">
      <c r="A214" s="4" t="s">
        <v>21</v>
      </c>
      <c r="B214" s="4" t="s">
        <v>34</v>
      </c>
      <c r="C214" s="4" t="s">
        <v>35</v>
      </c>
      <c r="D214" s="4" t="s">
        <v>41</v>
      </c>
      <c r="E214" s="4" t="s">
        <v>25</v>
      </c>
      <c r="F214" s="4" t="s">
        <v>25</v>
      </c>
      <c r="G214" s="4" t="s">
        <v>25</v>
      </c>
      <c r="H214" s="4" t="s">
        <v>36</v>
      </c>
      <c r="I214" s="5">
        <v>44621</v>
      </c>
      <c r="J214" s="6">
        <v>0</v>
      </c>
      <c r="K214" s="6">
        <v>0</v>
      </c>
      <c r="L214" s="6">
        <v>0.878</v>
      </c>
      <c r="M214" s="6">
        <v>0.878</v>
      </c>
      <c r="N214" s="6">
        <v>0.878</v>
      </c>
      <c r="O214" s="6">
        <v>0.878</v>
      </c>
      <c r="P214" s="6">
        <v>0</v>
      </c>
      <c r="Q214" s="4" t="s">
        <v>26</v>
      </c>
      <c r="R214" s="4">
        <v>0</v>
      </c>
      <c r="S214" s="4" t="s">
        <v>158</v>
      </c>
      <c r="T214" s="4" t="s">
        <v>295</v>
      </c>
      <c r="U214" s="4">
        <v>0</v>
      </c>
      <c r="V214" s="4">
        <v>15</v>
      </c>
      <c r="W214" s="4">
        <v>9</v>
      </c>
    </row>
    <row r="215" spans="1:23" ht="11.25" customHeight="1" x14ac:dyDescent="0.25">
      <c r="A215" s="4" t="s">
        <v>21</v>
      </c>
      <c r="B215" s="4" t="s">
        <v>34</v>
      </c>
      <c r="C215" s="4" t="s">
        <v>35</v>
      </c>
      <c r="D215" s="4" t="s">
        <v>41</v>
      </c>
      <c r="E215" s="4" t="s">
        <v>25</v>
      </c>
      <c r="F215" s="4" t="s">
        <v>25</v>
      </c>
      <c r="G215" s="4" t="s">
        <v>25</v>
      </c>
      <c r="H215" s="4" t="s">
        <v>36</v>
      </c>
      <c r="I215" s="5">
        <v>44652</v>
      </c>
      <c r="J215" s="6">
        <v>0</v>
      </c>
      <c r="K215" s="6">
        <v>0</v>
      </c>
      <c r="L215" s="6">
        <v>0.67500000000000004</v>
      </c>
      <c r="M215" s="6">
        <v>0.67500000000000004</v>
      </c>
      <c r="N215" s="6">
        <v>0.67500000000000004</v>
      </c>
      <c r="O215" s="6">
        <v>0.67500000000000004</v>
      </c>
      <c r="P215" s="6">
        <v>0</v>
      </c>
      <c r="Q215" s="4" t="s">
        <v>26</v>
      </c>
      <c r="R215" s="4">
        <v>0</v>
      </c>
      <c r="S215" s="4" t="s">
        <v>159</v>
      </c>
      <c r="T215" s="4" t="s">
        <v>296</v>
      </c>
      <c r="U215" s="4">
        <v>0</v>
      </c>
      <c r="V215" s="4">
        <v>15</v>
      </c>
      <c r="W215" s="4">
        <v>9</v>
      </c>
    </row>
    <row r="216" spans="1:23" ht="11.25" customHeight="1" x14ac:dyDescent="0.25">
      <c r="A216" s="4" t="s">
        <v>21</v>
      </c>
      <c r="B216" s="4" t="s">
        <v>34</v>
      </c>
      <c r="C216" s="4" t="s">
        <v>35</v>
      </c>
      <c r="D216" s="4" t="s">
        <v>41</v>
      </c>
      <c r="E216" s="4" t="s">
        <v>25</v>
      </c>
      <c r="F216" s="4" t="s">
        <v>25</v>
      </c>
      <c r="G216" s="4" t="s">
        <v>25</v>
      </c>
      <c r="H216" s="4" t="s">
        <v>36</v>
      </c>
      <c r="I216" s="5">
        <v>44682</v>
      </c>
      <c r="J216" s="6">
        <v>0</v>
      </c>
      <c r="K216" s="6">
        <v>0</v>
      </c>
      <c r="L216" s="6">
        <v>0.82899999999999996</v>
      </c>
      <c r="M216" s="6">
        <v>0.82899999999999996</v>
      </c>
      <c r="N216" s="6">
        <v>0.82899999999999996</v>
      </c>
      <c r="O216" s="6">
        <v>0.82899999999999996</v>
      </c>
      <c r="P216" s="6">
        <v>0</v>
      </c>
      <c r="Q216" s="4" t="s">
        <v>26</v>
      </c>
      <c r="R216" s="4">
        <v>0</v>
      </c>
      <c r="S216" s="4" t="s">
        <v>160</v>
      </c>
      <c r="T216" s="4" t="s">
        <v>297</v>
      </c>
      <c r="U216" s="4">
        <v>0</v>
      </c>
      <c r="V216" s="4">
        <v>15</v>
      </c>
      <c r="W216" s="4">
        <v>9</v>
      </c>
    </row>
    <row r="217" spans="1:23" ht="11.25" customHeight="1" x14ac:dyDescent="0.25">
      <c r="A217" s="4" t="s">
        <v>21</v>
      </c>
      <c r="B217" s="4" t="s">
        <v>34</v>
      </c>
      <c r="C217" s="4" t="s">
        <v>35</v>
      </c>
      <c r="D217" s="4" t="s">
        <v>41</v>
      </c>
      <c r="E217" s="4" t="s">
        <v>25</v>
      </c>
      <c r="F217" s="4" t="s">
        <v>25</v>
      </c>
      <c r="G217" s="4" t="s">
        <v>25</v>
      </c>
      <c r="H217" s="4" t="s">
        <v>36</v>
      </c>
      <c r="I217" s="5">
        <v>44713</v>
      </c>
      <c r="J217" s="6">
        <v>0</v>
      </c>
      <c r="K217" s="6">
        <v>0</v>
      </c>
      <c r="L217" s="6">
        <v>0.91500000000000004</v>
      </c>
      <c r="M217" s="6">
        <v>0.91500000000000004</v>
      </c>
      <c r="N217" s="6">
        <v>0.91500000000000004</v>
      </c>
      <c r="O217" s="6">
        <v>0.91500000000000004</v>
      </c>
      <c r="P217" s="6">
        <v>0</v>
      </c>
      <c r="Q217" s="4" t="s">
        <v>26</v>
      </c>
      <c r="R217" s="4">
        <v>0</v>
      </c>
      <c r="S217" s="4" t="s">
        <v>161</v>
      </c>
      <c r="T217" s="4" t="s">
        <v>298</v>
      </c>
      <c r="U217" s="4">
        <v>0</v>
      </c>
      <c r="V217" s="4">
        <v>15</v>
      </c>
      <c r="W217" s="4">
        <v>9</v>
      </c>
    </row>
    <row r="218" spans="1:23" ht="11.25" customHeight="1" x14ac:dyDescent="0.25">
      <c r="A218" s="4" t="s">
        <v>27</v>
      </c>
      <c r="B218" s="4" t="s">
        <v>34</v>
      </c>
      <c r="C218" s="4" t="s">
        <v>35</v>
      </c>
      <c r="D218" s="4" t="s">
        <v>40</v>
      </c>
      <c r="E218" s="4" t="s">
        <v>25</v>
      </c>
      <c r="F218" s="4" t="s">
        <v>25</v>
      </c>
      <c r="G218" s="4" t="s">
        <v>25</v>
      </c>
      <c r="H218" s="4" t="s">
        <v>37</v>
      </c>
      <c r="I218" s="5">
        <v>44652</v>
      </c>
      <c r="J218" s="6">
        <v>0</v>
      </c>
      <c r="K218" s="6">
        <v>0</v>
      </c>
      <c r="L218" s="6">
        <v>10.224</v>
      </c>
      <c r="M218" s="6">
        <v>9.8150399999999998</v>
      </c>
      <c r="N218" s="6">
        <v>10.224</v>
      </c>
      <c r="O218" s="6">
        <v>9.8150399999999998</v>
      </c>
      <c r="P218" s="6">
        <v>0</v>
      </c>
      <c r="Q218" s="4" t="s">
        <v>26</v>
      </c>
      <c r="R218" s="4">
        <v>0</v>
      </c>
      <c r="S218" s="4" t="s">
        <v>135</v>
      </c>
      <c r="T218" s="4" t="s">
        <v>280</v>
      </c>
      <c r="U218" s="4">
        <v>0</v>
      </c>
      <c r="V218" s="4">
        <v>13</v>
      </c>
      <c r="W218" s="4">
        <v>16</v>
      </c>
    </row>
    <row r="219" spans="1:23" ht="11.25" customHeight="1" x14ac:dyDescent="0.25">
      <c r="A219" s="4" t="s">
        <v>27</v>
      </c>
      <c r="B219" s="4" t="s">
        <v>34</v>
      </c>
      <c r="C219" s="4" t="s">
        <v>35</v>
      </c>
      <c r="D219" s="4" t="s">
        <v>40</v>
      </c>
      <c r="E219" s="4" t="s">
        <v>25</v>
      </c>
      <c r="F219" s="4" t="s">
        <v>25</v>
      </c>
      <c r="G219" s="4" t="s">
        <v>25</v>
      </c>
      <c r="H219" s="4" t="s">
        <v>37</v>
      </c>
      <c r="I219" s="5">
        <v>44682</v>
      </c>
      <c r="J219" s="6">
        <v>0</v>
      </c>
      <c r="K219" s="6">
        <v>0</v>
      </c>
      <c r="L219" s="6">
        <v>6.71</v>
      </c>
      <c r="M219" s="6">
        <v>6.4415999999999993</v>
      </c>
      <c r="N219" s="6">
        <v>6.71</v>
      </c>
      <c r="O219" s="6">
        <v>6.4415999999999993</v>
      </c>
      <c r="P219" s="6">
        <v>0</v>
      </c>
      <c r="Q219" s="4" t="s">
        <v>26</v>
      </c>
      <c r="R219" s="4">
        <v>0</v>
      </c>
      <c r="S219" s="4" t="s">
        <v>136</v>
      </c>
      <c r="T219" s="4" t="s">
        <v>281</v>
      </c>
      <c r="U219" s="4">
        <v>0</v>
      </c>
      <c r="V219" s="4">
        <v>13</v>
      </c>
      <c r="W219" s="4">
        <v>16</v>
      </c>
    </row>
    <row r="220" spans="1:23" ht="11.25" customHeight="1" x14ac:dyDescent="0.25">
      <c r="A220" s="4" t="s">
        <v>27</v>
      </c>
      <c r="B220" s="4" t="s">
        <v>34</v>
      </c>
      <c r="C220" s="4" t="s">
        <v>35</v>
      </c>
      <c r="D220" s="4" t="s">
        <v>40</v>
      </c>
      <c r="E220" s="4" t="s">
        <v>25</v>
      </c>
      <c r="F220" s="4" t="s">
        <v>25</v>
      </c>
      <c r="G220" s="4" t="s">
        <v>25</v>
      </c>
      <c r="H220" s="4" t="s">
        <v>37</v>
      </c>
      <c r="I220" s="5">
        <v>44713</v>
      </c>
      <c r="J220" s="6">
        <v>0</v>
      </c>
      <c r="K220" s="6">
        <v>0</v>
      </c>
      <c r="L220" s="6">
        <v>2.5089999999999999</v>
      </c>
      <c r="M220" s="6">
        <v>2.4086399999999997</v>
      </c>
      <c r="N220" s="6">
        <v>2.5089999999999999</v>
      </c>
      <c r="O220" s="6">
        <v>2.4086399999999997</v>
      </c>
      <c r="P220" s="6">
        <v>0</v>
      </c>
      <c r="Q220" s="4" t="s">
        <v>26</v>
      </c>
      <c r="R220" s="4">
        <v>0</v>
      </c>
      <c r="S220" s="4" t="s">
        <v>137</v>
      </c>
      <c r="T220" s="4" t="s">
        <v>282</v>
      </c>
      <c r="U220" s="4">
        <v>0</v>
      </c>
      <c r="V220" s="4">
        <v>13</v>
      </c>
      <c r="W220" s="4">
        <v>16</v>
      </c>
    </row>
    <row r="221" spans="1:23" ht="11.25" customHeight="1" x14ac:dyDescent="0.25">
      <c r="A221" s="4" t="s">
        <v>27</v>
      </c>
      <c r="B221" s="4" t="s">
        <v>34</v>
      </c>
      <c r="C221" s="4" t="s">
        <v>35</v>
      </c>
      <c r="D221" s="4" t="s">
        <v>40</v>
      </c>
      <c r="E221" s="4" t="s">
        <v>25</v>
      </c>
      <c r="F221" s="4" t="s">
        <v>25</v>
      </c>
      <c r="G221" s="4" t="s">
        <v>25</v>
      </c>
      <c r="H221" s="4" t="s">
        <v>25</v>
      </c>
      <c r="I221" s="5">
        <v>44378</v>
      </c>
      <c r="J221" s="6">
        <v>100</v>
      </c>
      <c r="K221" s="6">
        <v>96</v>
      </c>
      <c r="L221" s="6">
        <v>0</v>
      </c>
      <c r="M221" s="6">
        <v>0</v>
      </c>
      <c r="N221" s="6">
        <v>0</v>
      </c>
      <c r="O221" s="6">
        <v>0</v>
      </c>
      <c r="P221" s="6">
        <v>1</v>
      </c>
      <c r="Q221" s="4" t="s">
        <v>26</v>
      </c>
      <c r="R221" s="4">
        <v>0</v>
      </c>
      <c r="S221" s="4" t="s">
        <v>138</v>
      </c>
      <c r="U221" s="4">
        <v>36</v>
      </c>
      <c r="V221" s="4">
        <v>0</v>
      </c>
      <c r="W221" s="4">
        <v>0</v>
      </c>
    </row>
    <row r="222" spans="1:23" ht="11.25" customHeight="1" x14ac:dyDescent="0.25">
      <c r="A222" s="4" t="s">
        <v>27</v>
      </c>
      <c r="B222" s="4" t="s">
        <v>34</v>
      </c>
      <c r="C222" s="4" t="s">
        <v>35</v>
      </c>
      <c r="D222" s="4" t="s">
        <v>40</v>
      </c>
      <c r="E222" s="4" t="s">
        <v>25</v>
      </c>
      <c r="F222" s="4" t="s">
        <v>25</v>
      </c>
      <c r="G222" s="4" t="s">
        <v>25</v>
      </c>
      <c r="H222" s="4" t="s">
        <v>25</v>
      </c>
      <c r="I222" s="5">
        <v>44409</v>
      </c>
      <c r="J222" s="6">
        <v>100</v>
      </c>
      <c r="K222" s="6">
        <v>96</v>
      </c>
      <c r="L222" s="6">
        <v>0</v>
      </c>
      <c r="M222" s="6">
        <v>0</v>
      </c>
      <c r="N222" s="6">
        <v>0</v>
      </c>
      <c r="O222" s="6">
        <v>0</v>
      </c>
      <c r="P222" s="6">
        <v>1</v>
      </c>
      <c r="Q222" s="4" t="s">
        <v>26</v>
      </c>
      <c r="R222" s="4">
        <v>0</v>
      </c>
      <c r="S222" s="4" t="s">
        <v>139</v>
      </c>
      <c r="U222" s="4">
        <v>36</v>
      </c>
      <c r="V222" s="4">
        <v>0</v>
      </c>
      <c r="W222" s="4">
        <v>0</v>
      </c>
    </row>
    <row r="223" spans="1:23" ht="11.25" customHeight="1" x14ac:dyDescent="0.25">
      <c r="A223" s="4" t="s">
        <v>27</v>
      </c>
      <c r="B223" s="4" t="s">
        <v>34</v>
      </c>
      <c r="C223" s="4" t="s">
        <v>35</v>
      </c>
      <c r="D223" s="4" t="s">
        <v>40</v>
      </c>
      <c r="E223" s="4" t="s">
        <v>25</v>
      </c>
      <c r="F223" s="4" t="s">
        <v>25</v>
      </c>
      <c r="G223" s="4" t="s">
        <v>25</v>
      </c>
      <c r="H223" s="4" t="s">
        <v>25</v>
      </c>
      <c r="I223" s="5">
        <v>44440</v>
      </c>
      <c r="J223" s="6">
        <v>100</v>
      </c>
      <c r="K223" s="6">
        <v>96</v>
      </c>
      <c r="L223" s="6">
        <v>0</v>
      </c>
      <c r="M223" s="6">
        <v>0</v>
      </c>
      <c r="N223" s="6">
        <v>0</v>
      </c>
      <c r="O223" s="6">
        <v>0</v>
      </c>
      <c r="P223" s="6">
        <v>1</v>
      </c>
      <c r="Q223" s="4" t="s">
        <v>26</v>
      </c>
      <c r="R223" s="4">
        <v>0</v>
      </c>
      <c r="S223" s="4" t="s">
        <v>140</v>
      </c>
      <c r="U223" s="4">
        <v>36</v>
      </c>
      <c r="V223" s="4">
        <v>0</v>
      </c>
      <c r="W223" s="4">
        <v>0</v>
      </c>
    </row>
    <row r="224" spans="1:23" ht="11.25" customHeight="1" x14ac:dyDescent="0.25">
      <c r="A224" s="4" t="s">
        <v>27</v>
      </c>
      <c r="B224" s="4" t="s">
        <v>34</v>
      </c>
      <c r="C224" s="4" t="s">
        <v>35</v>
      </c>
      <c r="D224" s="4" t="s">
        <v>40</v>
      </c>
      <c r="E224" s="4" t="s">
        <v>25</v>
      </c>
      <c r="F224" s="4" t="s">
        <v>25</v>
      </c>
      <c r="G224" s="4" t="s">
        <v>25</v>
      </c>
      <c r="H224" s="4" t="s">
        <v>25</v>
      </c>
      <c r="I224" s="5">
        <v>44470</v>
      </c>
      <c r="J224" s="6">
        <v>100</v>
      </c>
      <c r="K224" s="6">
        <v>96</v>
      </c>
      <c r="L224" s="6">
        <v>0</v>
      </c>
      <c r="M224" s="6">
        <v>0</v>
      </c>
      <c r="N224" s="6">
        <v>0</v>
      </c>
      <c r="O224" s="6">
        <v>0</v>
      </c>
      <c r="P224" s="6">
        <v>1</v>
      </c>
      <c r="Q224" s="4" t="s">
        <v>26</v>
      </c>
      <c r="R224" s="4">
        <v>0</v>
      </c>
      <c r="S224" s="4" t="s">
        <v>141</v>
      </c>
      <c r="U224" s="4">
        <v>36</v>
      </c>
      <c r="V224" s="4">
        <v>0</v>
      </c>
      <c r="W224" s="4">
        <v>0</v>
      </c>
    </row>
    <row r="225" spans="1:23" ht="11.25" customHeight="1" x14ac:dyDescent="0.25">
      <c r="A225" s="4" t="s">
        <v>27</v>
      </c>
      <c r="B225" s="4" t="s">
        <v>34</v>
      </c>
      <c r="C225" s="4" t="s">
        <v>35</v>
      </c>
      <c r="D225" s="4" t="s">
        <v>40</v>
      </c>
      <c r="E225" s="4" t="s">
        <v>25</v>
      </c>
      <c r="F225" s="4" t="s">
        <v>25</v>
      </c>
      <c r="G225" s="4" t="s">
        <v>25</v>
      </c>
      <c r="H225" s="4" t="s">
        <v>25</v>
      </c>
      <c r="I225" s="5">
        <v>44501</v>
      </c>
      <c r="J225" s="6">
        <v>100</v>
      </c>
      <c r="K225" s="6">
        <v>96</v>
      </c>
      <c r="L225" s="6">
        <v>0</v>
      </c>
      <c r="M225" s="6">
        <v>0</v>
      </c>
      <c r="N225" s="6">
        <v>0</v>
      </c>
      <c r="O225" s="6">
        <v>0</v>
      </c>
      <c r="P225" s="6">
        <v>1</v>
      </c>
      <c r="Q225" s="4" t="s">
        <v>26</v>
      </c>
      <c r="R225" s="4">
        <v>0</v>
      </c>
      <c r="S225" s="4" t="s">
        <v>142</v>
      </c>
      <c r="U225" s="4">
        <v>36</v>
      </c>
      <c r="V225" s="4">
        <v>0</v>
      </c>
      <c r="W225" s="4">
        <v>0</v>
      </c>
    </row>
    <row r="226" spans="1:23" ht="11.25" customHeight="1" x14ac:dyDescent="0.25">
      <c r="A226" s="4" t="s">
        <v>27</v>
      </c>
      <c r="B226" s="4" t="s">
        <v>34</v>
      </c>
      <c r="C226" s="4" t="s">
        <v>35</v>
      </c>
      <c r="D226" s="4" t="s">
        <v>40</v>
      </c>
      <c r="E226" s="4" t="s">
        <v>25</v>
      </c>
      <c r="F226" s="4" t="s">
        <v>25</v>
      </c>
      <c r="G226" s="4" t="s">
        <v>25</v>
      </c>
      <c r="H226" s="4" t="s">
        <v>25</v>
      </c>
      <c r="I226" s="5">
        <v>44531</v>
      </c>
      <c r="J226" s="6">
        <v>126</v>
      </c>
      <c r="K226" s="6">
        <v>120.96</v>
      </c>
      <c r="L226" s="6">
        <v>0</v>
      </c>
      <c r="M226" s="6">
        <v>0</v>
      </c>
      <c r="N226" s="6">
        <v>0</v>
      </c>
      <c r="O226" s="6">
        <v>0</v>
      </c>
      <c r="P226" s="6">
        <v>1</v>
      </c>
      <c r="Q226" s="4" t="s">
        <v>26</v>
      </c>
      <c r="R226" s="4">
        <v>0</v>
      </c>
      <c r="S226" s="4" t="s">
        <v>143</v>
      </c>
      <c r="U226" s="4">
        <v>36</v>
      </c>
      <c r="V226" s="4">
        <v>0</v>
      </c>
      <c r="W226" s="4">
        <v>0</v>
      </c>
    </row>
    <row r="227" spans="1:23" ht="11.25" customHeight="1" x14ac:dyDescent="0.25">
      <c r="A227" s="4" t="s">
        <v>27</v>
      </c>
      <c r="B227" s="4" t="s">
        <v>34</v>
      </c>
      <c r="C227" s="4" t="s">
        <v>35</v>
      </c>
      <c r="D227" s="4" t="s">
        <v>40</v>
      </c>
      <c r="E227" s="4" t="s">
        <v>25</v>
      </c>
      <c r="F227" s="4" t="s">
        <v>25</v>
      </c>
      <c r="G227" s="4" t="s">
        <v>25</v>
      </c>
      <c r="H227" s="4" t="s">
        <v>25</v>
      </c>
      <c r="I227" s="5">
        <v>44562</v>
      </c>
      <c r="J227" s="6">
        <v>100</v>
      </c>
      <c r="K227" s="6">
        <v>96</v>
      </c>
      <c r="L227" s="6">
        <v>0</v>
      </c>
      <c r="M227" s="6">
        <v>0</v>
      </c>
      <c r="N227" s="6">
        <v>0</v>
      </c>
      <c r="O227" s="6">
        <v>0</v>
      </c>
      <c r="P227" s="6">
        <v>1</v>
      </c>
      <c r="Q227" s="4" t="s">
        <v>26</v>
      </c>
      <c r="R227" s="4">
        <v>0</v>
      </c>
      <c r="S227" s="4" t="s">
        <v>144</v>
      </c>
      <c r="U227" s="4">
        <v>36</v>
      </c>
      <c r="V227" s="4">
        <v>0</v>
      </c>
      <c r="W227" s="4">
        <v>0</v>
      </c>
    </row>
    <row r="228" spans="1:23" ht="11.25" customHeight="1" x14ac:dyDescent="0.25">
      <c r="A228" s="4" t="s">
        <v>27</v>
      </c>
      <c r="B228" s="4" t="s">
        <v>34</v>
      </c>
      <c r="C228" s="4" t="s">
        <v>35</v>
      </c>
      <c r="D228" s="4" t="s">
        <v>40</v>
      </c>
      <c r="E228" s="4" t="s">
        <v>25</v>
      </c>
      <c r="F228" s="4" t="s">
        <v>25</v>
      </c>
      <c r="G228" s="4" t="s">
        <v>25</v>
      </c>
      <c r="H228" s="4" t="s">
        <v>25</v>
      </c>
      <c r="I228" s="5">
        <v>44593</v>
      </c>
      <c r="J228" s="6">
        <v>139</v>
      </c>
      <c r="K228" s="6">
        <v>133.44</v>
      </c>
      <c r="L228" s="6">
        <v>0</v>
      </c>
      <c r="M228" s="6">
        <v>0</v>
      </c>
      <c r="N228" s="6">
        <v>0</v>
      </c>
      <c r="O228" s="6">
        <v>0</v>
      </c>
      <c r="P228" s="6">
        <v>1</v>
      </c>
      <c r="Q228" s="4" t="s">
        <v>26</v>
      </c>
      <c r="R228" s="4">
        <v>0</v>
      </c>
      <c r="S228" s="4" t="s">
        <v>145</v>
      </c>
      <c r="U228" s="4">
        <v>36</v>
      </c>
      <c r="V228" s="4">
        <v>0</v>
      </c>
      <c r="W228" s="4">
        <v>0</v>
      </c>
    </row>
    <row r="229" spans="1:23" ht="11.25" customHeight="1" x14ac:dyDescent="0.25">
      <c r="A229" s="4" t="s">
        <v>27</v>
      </c>
      <c r="B229" s="4" t="s">
        <v>34</v>
      </c>
      <c r="C229" s="4" t="s">
        <v>35</v>
      </c>
      <c r="D229" s="4" t="s">
        <v>40</v>
      </c>
      <c r="E229" s="4" t="s">
        <v>25</v>
      </c>
      <c r="F229" s="4" t="s">
        <v>25</v>
      </c>
      <c r="G229" s="4" t="s">
        <v>25</v>
      </c>
      <c r="H229" s="4" t="s">
        <v>25</v>
      </c>
      <c r="I229" s="5">
        <v>44621</v>
      </c>
      <c r="J229" s="6">
        <v>189</v>
      </c>
      <c r="K229" s="6">
        <v>181.44</v>
      </c>
      <c r="L229" s="6">
        <v>0</v>
      </c>
      <c r="M229" s="6">
        <v>0</v>
      </c>
      <c r="N229" s="6">
        <v>0</v>
      </c>
      <c r="O229" s="6">
        <v>0</v>
      </c>
      <c r="P229" s="6">
        <v>1</v>
      </c>
      <c r="Q229" s="4" t="s">
        <v>26</v>
      </c>
      <c r="R229" s="4">
        <v>0</v>
      </c>
      <c r="S229" s="4" t="s">
        <v>146</v>
      </c>
      <c r="U229" s="4">
        <v>36</v>
      </c>
      <c r="V229" s="4">
        <v>0</v>
      </c>
      <c r="W229" s="4">
        <v>0</v>
      </c>
    </row>
    <row r="230" spans="1:23" ht="11.25" customHeight="1" x14ac:dyDescent="0.25">
      <c r="A230" s="4" t="s">
        <v>27</v>
      </c>
      <c r="B230" s="4" t="s">
        <v>34</v>
      </c>
      <c r="C230" s="4" t="s">
        <v>35</v>
      </c>
      <c r="D230" s="4" t="s">
        <v>40</v>
      </c>
      <c r="E230" s="4" t="s">
        <v>25</v>
      </c>
      <c r="F230" s="4" t="s">
        <v>25</v>
      </c>
      <c r="G230" s="4" t="s">
        <v>25</v>
      </c>
      <c r="H230" s="4" t="s">
        <v>25</v>
      </c>
      <c r="I230" s="5">
        <v>44652</v>
      </c>
      <c r="J230" s="6">
        <v>211</v>
      </c>
      <c r="K230" s="6">
        <v>202.56</v>
      </c>
      <c r="L230" s="6">
        <v>0</v>
      </c>
      <c r="M230" s="6">
        <v>0</v>
      </c>
      <c r="N230" s="6">
        <v>0</v>
      </c>
      <c r="O230" s="6">
        <v>0</v>
      </c>
      <c r="P230" s="6">
        <v>1</v>
      </c>
      <c r="Q230" s="4" t="s">
        <v>26</v>
      </c>
      <c r="R230" s="4">
        <v>0</v>
      </c>
      <c r="S230" s="4" t="s">
        <v>147</v>
      </c>
      <c r="U230" s="4">
        <v>36</v>
      </c>
      <c r="V230" s="4">
        <v>0</v>
      </c>
      <c r="W230" s="4">
        <v>0</v>
      </c>
    </row>
    <row r="231" spans="1:23" ht="11.25" customHeight="1" x14ac:dyDescent="0.25">
      <c r="A231" s="4" t="s">
        <v>27</v>
      </c>
      <c r="B231" s="4" t="s">
        <v>34</v>
      </c>
      <c r="C231" s="4" t="s">
        <v>35</v>
      </c>
      <c r="D231" s="4" t="s">
        <v>40</v>
      </c>
      <c r="E231" s="4" t="s">
        <v>25</v>
      </c>
      <c r="F231" s="4" t="s">
        <v>25</v>
      </c>
      <c r="G231" s="4" t="s">
        <v>25</v>
      </c>
      <c r="H231" s="4" t="s">
        <v>25</v>
      </c>
      <c r="I231" s="5">
        <v>44682</v>
      </c>
      <c r="J231" s="6">
        <v>186</v>
      </c>
      <c r="K231" s="6">
        <v>178.56</v>
      </c>
      <c r="L231" s="6">
        <v>0</v>
      </c>
      <c r="M231" s="6">
        <v>0</v>
      </c>
      <c r="N231" s="6">
        <v>0</v>
      </c>
      <c r="O231" s="6">
        <v>0</v>
      </c>
      <c r="P231" s="6">
        <v>1</v>
      </c>
      <c r="Q231" s="4" t="s">
        <v>26</v>
      </c>
      <c r="R231" s="4">
        <v>0</v>
      </c>
      <c r="S231" s="4" t="s">
        <v>148</v>
      </c>
      <c r="U231" s="4">
        <v>36</v>
      </c>
      <c r="V231" s="4">
        <v>0</v>
      </c>
      <c r="W231" s="4">
        <v>0</v>
      </c>
    </row>
    <row r="232" spans="1:23" ht="11.25" customHeight="1" x14ac:dyDescent="0.25">
      <c r="A232" s="4" t="s">
        <v>27</v>
      </c>
      <c r="B232" s="4" t="s">
        <v>34</v>
      </c>
      <c r="C232" s="4" t="s">
        <v>35</v>
      </c>
      <c r="D232" s="4" t="s">
        <v>40</v>
      </c>
      <c r="E232" s="4" t="s">
        <v>25</v>
      </c>
      <c r="F232" s="4" t="s">
        <v>25</v>
      </c>
      <c r="G232" s="4" t="s">
        <v>25</v>
      </c>
      <c r="H232" s="4" t="s">
        <v>25</v>
      </c>
      <c r="I232" s="5">
        <v>44713</v>
      </c>
      <c r="J232" s="6">
        <v>155</v>
      </c>
      <c r="K232" s="6">
        <v>148.79999999999998</v>
      </c>
      <c r="L232" s="6">
        <v>0</v>
      </c>
      <c r="M232" s="6">
        <v>0</v>
      </c>
      <c r="N232" s="6">
        <v>0</v>
      </c>
      <c r="O232" s="6">
        <v>0</v>
      </c>
      <c r="P232" s="6">
        <v>1</v>
      </c>
      <c r="Q232" s="4" t="s">
        <v>26</v>
      </c>
      <c r="R232" s="4">
        <v>0</v>
      </c>
      <c r="S232" s="4" t="s">
        <v>149</v>
      </c>
      <c r="U232" s="4">
        <v>36</v>
      </c>
      <c r="V232" s="4">
        <v>0</v>
      </c>
      <c r="W232" s="4">
        <v>0</v>
      </c>
    </row>
    <row r="233" spans="1:23" ht="11.25" customHeight="1" x14ac:dyDescent="0.25">
      <c r="A233" s="4" t="s">
        <v>27</v>
      </c>
      <c r="B233" s="4" t="s">
        <v>34</v>
      </c>
      <c r="C233" s="4" t="s">
        <v>35</v>
      </c>
      <c r="D233" s="4" t="s">
        <v>40</v>
      </c>
      <c r="E233" s="4" t="s">
        <v>25</v>
      </c>
      <c r="F233" s="4" t="s">
        <v>25</v>
      </c>
      <c r="G233" s="4" t="s">
        <v>25</v>
      </c>
      <c r="H233" s="4" t="s">
        <v>36</v>
      </c>
      <c r="I233" s="5">
        <v>44652</v>
      </c>
      <c r="J233" s="6">
        <v>0</v>
      </c>
      <c r="K233" s="6">
        <v>0</v>
      </c>
      <c r="L233" s="6">
        <v>1.532</v>
      </c>
      <c r="M233" s="6">
        <v>1.47072</v>
      </c>
      <c r="N233" s="6">
        <v>1.532</v>
      </c>
      <c r="O233" s="6">
        <v>1.47072</v>
      </c>
      <c r="P233" s="6">
        <v>0</v>
      </c>
      <c r="Q233" s="4" t="s">
        <v>26</v>
      </c>
      <c r="R233" s="4">
        <v>0</v>
      </c>
      <c r="S233" s="4" t="s">
        <v>159</v>
      </c>
      <c r="T233" s="4" t="s">
        <v>296</v>
      </c>
      <c r="U233" s="4">
        <v>0</v>
      </c>
      <c r="V233" s="4">
        <v>15</v>
      </c>
      <c r="W233" s="4">
        <v>9</v>
      </c>
    </row>
    <row r="234" spans="1:23" ht="11.25" customHeight="1" x14ac:dyDescent="0.25">
      <c r="A234" s="4" t="s">
        <v>27</v>
      </c>
      <c r="B234" s="4" t="s">
        <v>34</v>
      </c>
      <c r="C234" s="4" t="s">
        <v>35</v>
      </c>
      <c r="D234" s="4" t="s">
        <v>40</v>
      </c>
      <c r="E234" s="4" t="s">
        <v>25</v>
      </c>
      <c r="F234" s="4" t="s">
        <v>25</v>
      </c>
      <c r="G234" s="4" t="s">
        <v>25</v>
      </c>
      <c r="H234" s="4" t="s">
        <v>36</v>
      </c>
      <c r="I234" s="5">
        <v>44682</v>
      </c>
      <c r="J234" s="6">
        <v>0</v>
      </c>
      <c r="K234" s="6">
        <v>0</v>
      </c>
      <c r="L234" s="6">
        <v>0.49099999999999999</v>
      </c>
      <c r="M234" s="6">
        <v>0.47136</v>
      </c>
      <c r="N234" s="6">
        <v>0.49099999999999999</v>
      </c>
      <c r="O234" s="6">
        <v>0.47136</v>
      </c>
      <c r="P234" s="6">
        <v>0</v>
      </c>
      <c r="Q234" s="4" t="s">
        <v>26</v>
      </c>
      <c r="R234" s="4">
        <v>0</v>
      </c>
      <c r="S234" s="4" t="s">
        <v>160</v>
      </c>
      <c r="T234" s="4" t="s">
        <v>297</v>
      </c>
      <c r="U234" s="4">
        <v>0</v>
      </c>
      <c r="V234" s="4">
        <v>15</v>
      </c>
      <c r="W234" s="4">
        <v>9</v>
      </c>
    </row>
    <row r="235" spans="1:23" ht="11.25" customHeight="1" x14ac:dyDescent="0.25">
      <c r="A235" s="4" t="s">
        <v>27</v>
      </c>
      <c r="B235" s="4" t="s">
        <v>34</v>
      </c>
      <c r="C235" s="4" t="s">
        <v>35</v>
      </c>
      <c r="D235" s="4" t="s">
        <v>40</v>
      </c>
      <c r="E235" s="4" t="s">
        <v>25</v>
      </c>
      <c r="F235" s="4" t="s">
        <v>25</v>
      </c>
      <c r="G235" s="4" t="s">
        <v>25</v>
      </c>
      <c r="H235" s="4" t="s">
        <v>36</v>
      </c>
      <c r="I235" s="5">
        <v>44713</v>
      </c>
      <c r="J235" s="6">
        <v>0</v>
      </c>
      <c r="K235" s="6">
        <v>0</v>
      </c>
      <c r="L235" s="6">
        <v>0.42299999999999999</v>
      </c>
      <c r="M235" s="6">
        <v>0.40608</v>
      </c>
      <c r="N235" s="6">
        <v>0.42299999999999999</v>
      </c>
      <c r="O235" s="6">
        <v>0.40608</v>
      </c>
      <c r="P235" s="6">
        <v>0</v>
      </c>
      <c r="Q235" s="4" t="s">
        <v>26</v>
      </c>
      <c r="R235" s="4">
        <v>0</v>
      </c>
      <c r="S235" s="4" t="s">
        <v>161</v>
      </c>
      <c r="T235" s="4" t="s">
        <v>298</v>
      </c>
      <c r="U235" s="4">
        <v>0</v>
      </c>
      <c r="V235" s="4">
        <v>15</v>
      </c>
      <c r="W235" s="4">
        <v>9</v>
      </c>
    </row>
    <row r="236" spans="1:23" ht="11.25" customHeight="1" x14ac:dyDescent="0.25">
      <c r="A236" s="4" t="s">
        <v>21</v>
      </c>
      <c r="B236" s="4" t="s">
        <v>22</v>
      </c>
      <c r="C236" s="4" t="s">
        <v>23</v>
      </c>
      <c r="D236" s="4" t="s">
        <v>24</v>
      </c>
      <c r="E236" s="4" t="s">
        <v>24</v>
      </c>
      <c r="F236" s="4" t="s">
        <v>25</v>
      </c>
      <c r="G236" s="4" t="s">
        <v>25</v>
      </c>
      <c r="H236" s="4" t="s">
        <v>25</v>
      </c>
      <c r="I236" s="5">
        <v>44378</v>
      </c>
      <c r="J236" s="6">
        <v>0</v>
      </c>
      <c r="K236" s="6">
        <v>0</v>
      </c>
      <c r="L236" s="6">
        <v>1892.0740000000001</v>
      </c>
      <c r="M236" s="6">
        <v>1892.0740000000001</v>
      </c>
      <c r="N236" s="6">
        <v>1892.0740000000001</v>
      </c>
      <c r="O236" s="6">
        <v>1892.0740000000001</v>
      </c>
      <c r="P236" s="6">
        <v>9963</v>
      </c>
      <c r="Q236" s="4" t="s">
        <v>26</v>
      </c>
      <c r="R236" s="4">
        <v>0</v>
      </c>
      <c r="S236" s="4" t="s">
        <v>162</v>
      </c>
      <c r="T236" s="4" t="s">
        <v>299</v>
      </c>
      <c r="U236" s="4">
        <v>0</v>
      </c>
      <c r="V236" s="4">
        <v>21</v>
      </c>
      <c r="W236" s="4">
        <v>7</v>
      </c>
    </row>
    <row r="237" spans="1:23" ht="11.25" customHeight="1" x14ac:dyDescent="0.25">
      <c r="A237" s="4" t="s">
        <v>27</v>
      </c>
      <c r="B237" s="4" t="s">
        <v>22</v>
      </c>
      <c r="C237" s="4" t="s">
        <v>23</v>
      </c>
      <c r="D237" s="4" t="s">
        <v>24</v>
      </c>
      <c r="E237" s="4" t="s">
        <v>24</v>
      </c>
      <c r="F237" s="4" t="s">
        <v>25</v>
      </c>
      <c r="G237" s="4" t="s">
        <v>25</v>
      </c>
      <c r="H237" s="4" t="s">
        <v>25</v>
      </c>
      <c r="I237" s="5">
        <v>44378</v>
      </c>
      <c r="J237" s="6">
        <v>0</v>
      </c>
      <c r="K237" s="6">
        <v>0</v>
      </c>
      <c r="L237" s="6">
        <v>20.032</v>
      </c>
      <c r="M237" s="6">
        <v>20.032</v>
      </c>
      <c r="N237" s="6">
        <v>20.032</v>
      </c>
      <c r="O237" s="6">
        <v>20.032</v>
      </c>
      <c r="P237" s="6">
        <v>148</v>
      </c>
      <c r="Q237" s="4" t="s">
        <v>26</v>
      </c>
      <c r="R237" s="4">
        <v>0</v>
      </c>
      <c r="S237" s="4" t="s">
        <v>162</v>
      </c>
      <c r="T237" s="4" t="s">
        <v>299</v>
      </c>
      <c r="U237" s="4">
        <v>0</v>
      </c>
      <c r="V237" s="4">
        <v>21</v>
      </c>
      <c r="W237" s="4">
        <v>7</v>
      </c>
    </row>
    <row r="238" spans="1:23" ht="11.25" customHeight="1" x14ac:dyDescent="0.25">
      <c r="A238" s="4" t="s">
        <v>21</v>
      </c>
      <c r="B238" s="4" t="s">
        <v>22</v>
      </c>
      <c r="C238" s="4" t="s">
        <v>23</v>
      </c>
      <c r="D238" s="4" t="s">
        <v>24</v>
      </c>
      <c r="E238" s="4" t="s">
        <v>24</v>
      </c>
      <c r="F238" s="4" t="s">
        <v>25</v>
      </c>
      <c r="G238" s="4" t="s">
        <v>25</v>
      </c>
      <c r="H238" s="4" t="s">
        <v>25</v>
      </c>
      <c r="I238" s="5">
        <v>44409</v>
      </c>
      <c r="J238" s="6">
        <v>0</v>
      </c>
      <c r="K238" s="6">
        <v>0</v>
      </c>
      <c r="L238" s="6">
        <v>1795.481</v>
      </c>
      <c r="M238" s="6">
        <v>1795.481</v>
      </c>
      <c r="N238" s="6">
        <v>1795.481</v>
      </c>
      <c r="O238" s="6">
        <v>1795.481</v>
      </c>
      <c r="P238" s="6">
        <v>9953</v>
      </c>
      <c r="Q238" s="4" t="s">
        <v>26</v>
      </c>
      <c r="R238" s="4">
        <v>0</v>
      </c>
      <c r="S238" s="4" t="s">
        <v>163</v>
      </c>
      <c r="T238" s="4" t="s">
        <v>300</v>
      </c>
      <c r="U238" s="4">
        <v>0</v>
      </c>
      <c r="V238" s="4">
        <v>21</v>
      </c>
      <c r="W238" s="4">
        <v>7</v>
      </c>
    </row>
    <row r="239" spans="1:23" ht="11.25" customHeight="1" x14ac:dyDescent="0.25">
      <c r="A239" s="4" t="s">
        <v>27</v>
      </c>
      <c r="B239" s="4" t="s">
        <v>22</v>
      </c>
      <c r="C239" s="4" t="s">
        <v>23</v>
      </c>
      <c r="D239" s="4" t="s">
        <v>24</v>
      </c>
      <c r="E239" s="4" t="s">
        <v>24</v>
      </c>
      <c r="F239" s="4" t="s">
        <v>25</v>
      </c>
      <c r="G239" s="4" t="s">
        <v>25</v>
      </c>
      <c r="H239" s="4" t="s">
        <v>25</v>
      </c>
      <c r="I239" s="5">
        <v>44409</v>
      </c>
      <c r="J239" s="6">
        <v>0</v>
      </c>
      <c r="K239" s="6">
        <v>0</v>
      </c>
      <c r="L239" s="6">
        <v>17.588000000000001</v>
      </c>
      <c r="M239" s="6">
        <v>17.588000000000001</v>
      </c>
      <c r="N239" s="6">
        <v>17.588000000000001</v>
      </c>
      <c r="O239" s="6">
        <v>17.588000000000001</v>
      </c>
      <c r="P239" s="6">
        <v>156</v>
      </c>
      <c r="Q239" s="4" t="s">
        <v>26</v>
      </c>
      <c r="R239" s="4">
        <v>0</v>
      </c>
      <c r="S239" s="4" t="s">
        <v>163</v>
      </c>
      <c r="T239" s="4" t="s">
        <v>300</v>
      </c>
      <c r="U239" s="4">
        <v>0</v>
      </c>
      <c r="V239" s="4">
        <v>21</v>
      </c>
      <c r="W239" s="4">
        <v>7</v>
      </c>
    </row>
    <row r="240" spans="1:23" ht="11.25" customHeight="1" x14ac:dyDescent="0.25">
      <c r="A240" s="4" t="s">
        <v>21</v>
      </c>
      <c r="B240" s="4" t="s">
        <v>22</v>
      </c>
      <c r="C240" s="4" t="s">
        <v>23</v>
      </c>
      <c r="D240" s="4" t="s">
        <v>24</v>
      </c>
      <c r="E240" s="4" t="s">
        <v>24</v>
      </c>
      <c r="F240" s="4" t="s">
        <v>25</v>
      </c>
      <c r="G240" s="4" t="s">
        <v>25</v>
      </c>
      <c r="H240" s="4" t="s">
        <v>25</v>
      </c>
      <c r="I240" s="5">
        <v>44440</v>
      </c>
      <c r="J240" s="6">
        <v>0</v>
      </c>
      <c r="K240" s="6">
        <v>0</v>
      </c>
      <c r="L240" s="6">
        <v>1605.943</v>
      </c>
      <c r="M240" s="6">
        <v>1605.943</v>
      </c>
      <c r="N240" s="6">
        <v>1605.943</v>
      </c>
      <c r="O240" s="6">
        <v>1605.943</v>
      </c>
      <c r="P240" s="6">
        <v>9943</v>
      </c>
      <c r="Q240" s="4" t="s">
        <v>26</v>
      </c>
      <c r="R240" s="4">
        <v>0</v>
      </c>
      <c r="S240" s="4" t="s">
        <v>164</v>
      </c>
      <c r="T240" s="4" t="s">
        <v>301</v>
      </c>
      <c r="U240" s="4">
        <v>0</v>
      </c>
      <c r="V240" s="4">
        <v>21</v>
      </c>
      <c r="W240" s="4">
        <v>7</v>
      </c>
    </row>
    <row r="241" spans="1:23" ht="11.25" customHeight="1" x14ac:dyDescent="0.25">
      <c r="A241" s="4" t="s">
        <v>27</v>
      </c>
      <c r="B241" s="4" t="s">
        <v>22</v>
      </c>
      <c r="C241" s="4" t="s">
        <v>23</v>
      </c>
      <c r="D241" s="4" t="s">
        <v>24</v>
      </c>
      <c r="E241" s="4" t="s">
        <v>24</v>
      </c>
      <c r="F241" s="4" t="s">
        <v>25</v>
      </c>
      <c r="G241" s="4" t="s">
        <v>25</v>
      </c>
      <c r="H241" s="4" t="s">
        <v>25</v>
      </c>
      <c r="I241" s="5">
        <v>44440</v>
      </c>
      <c r="J241" s="6">
        <v>0</v>
      </c>
      <c r="K241" s="6">
        <v>0</v>
      </c>
      <c r="L241" s="6">
        <v>17.021999999999998</v>
      </c>
      <c r="M241" s="6">
        <v>17.021999999999998</v>
      </c>
      <c r="N241" s="6">
        <v>17.021999999999998</v>
      </c>
      <c r="O241" s="6">
        <v>17.021999999999998</v>
      </c>
      <c r="P241" s="6">
        <v>178</v>
      </c>
      <c r="Q241" s="4" t="s">
        <v>26</v>
      </c>
      <c r="R241" s="4">
        <v>0</v>
      </c>
      <c r="S241" s="4" t="s">
        <v>164</v>
      </c>
      <c r="T241" s="4" t="s">
        <v>301</v>
      </c>
      <c r="U241" s="4">
        <v>0</v>
      </c>
      <c r="V241" s="4">
        <v>21</v>
      </c>
      <c r="W241" s="4">
        <v>7</v>
      </c>
    </row>
    <row r="242" spans="1:23" ht="11.25" customHeight="1" x14ac:dyDescent="0.25">
      <c r="A242" s="4" t="s">
        <v>21</v>
      </c>
      <c r="B242" s="4" t="s">
        <v>22</v>
      </c>
      <c r="C242" s="4" t="s">
        <v>23</v>
      </c>
      <c r="D242" s="4" t="s">
        <v>24</v>
      </c>
      <c r="E242" s="4" t="s">
        <v>24</v>
      </c>
      <c r="F242" s="4" t="s">
        <v>25</v>
      </c>
      <c r="G242" s="4" t="s">
        <v>25</v>
      </c>
      <c r="H242" s="4" t="s">
        <v>25</v>
      </c>
      <c r="I242" s="5">
        <v>44470</v>
      </c>
      <c r="J242" s="6">
        <v>0</v>
      </c>
      <c r="K242" s="6">
        <v>0</v>
      </c>
      <c r="L242" s="6">
        <v>1543.865</v>
      </c>
      <c r="M242" s="6">
        <v>1543.865</v>
      </c>
      <c r="N242" s="6">
        <v>1543.865</v>
      </c>
      <c r="O242" s="6">
        <v>1543.865</v>
      </c>
      <c r="P242" s="6">
        <v>9932</v>
      </c>
      <c r="Q242" s="4" t="s">
        <v>26</v>
      </c>
      <c r="R242" s="4">
        <v>0</v>
      </c>
      <c r="S242" s="4" t="s">
        <v>165</v>
      </c>
      <c r="T242" s="4" t="s">
        <v>302</v>
      </c>
      <c r="U242" s="4">
        <v>0</v>
      </c>
      <c r="V242" s="4">
        <v>21</v>
      </c>
      <c r="W242" s="4">
        <v>7</v>
      </c>
    </row>
    <row r="243" spans="1:23" ht="11.25" customHeight="1" x14ac:dyDescent="0.25">
      <c r="A243" s="4" t="s">
        <v>27</v>
      </c>
      <c r="B243" s="4" t="s">
        <v>22</v>
      </c>
      <c r="C243" s="4" t="s">
        <v>23</v>
      </c>
      <c r="D243" s="4" t="s">
        <v>24</v>
      </c>
      <c r="E243" s="4" t="s">
        <v>24</v>
      </c>
      <c r="F243" s="4" t="s">
        <v>25</v>
      </c>
      <c r="G243" s="4" t="s">
        <v>25</v>
      </c>
      <c r="H243" s="4" t="s">
        <v>25</v>
      </c>
      <c r="I243" s="5">
        <v>44470</v>
      </c>
      <c r="J243" s="6">
        <v>0</v>
      </c>
      <c r="K243" s="6">
        <v>0</v>
      </c>
      <c r="L243" s="6">
        <v>16.579999999999998</v>
      </c>
      <c r="M243" s="6">
        <v>16.579999999999998</v>
      </c>
      <c r="N243" s="6">
        <v>16.579999999999998</v>
      </c>
      <c r="O243" s="6">
        <v>16.579999999999998</v>
      </c>
      <c r="P243" s="6">
        <v>198</v>
      </c>
      <c r="Q243" s="4" t="s">
        <v>26</v>
      </c>
      <c r="R243" s="4">
        <v>0</v>
      </c>
      <c r="S243" s="4" t="s">
        <v>165</v>
      </c>
      <c r="T243" s="4" t="s">
        <v>302</v>
      </c>
      <c r="U243" s="4">
        <v>0</v>
      </c>
      <c r="V243" s="4">
        <v>21</v>
      </c>
      <c r="W243" s="4">
        <v>7</v>
      </c>
    </row>
    <row r="244" spans="1:23" ht="11.25" customHeight="1" x14ac:dyDescent="0.25">
      <c r="A244" s="4" t="s">
        <v>21</v>
      </c>
      <c r="B244" s="4" t="s">
        <v>22</v>
      </c>
      <c r="C244" s="4" t="s">
        <v>23</v>
      </c>
      <c r="D244" s="4" t="s">
        <v>24</v>
      </c>
      <c r="E244" s="4" t="s">
        <v>24</v>
      </c>
      <c r="F244" s="4" t="s">
        <v>25</v>
      </c>
      <c r="G244" s="4" t="s">
        <v>25</v>
      </c>
      <c r="H244" s="4" t="s">
        <v>25</v>
      </c>
      <c r="I244" s="5">
        <v>44501</v>
      </c>
      <c r="J244" s="6">
        <v>0</v>
      </c>
      <c r="K244" s="6">
        <v>0</v>
      </c>
      <c r="L244" s="6">
        <v>1639.9559999999999</v>
      </c>
      <c r="M244" s="6">
        <v>1639.9559999999999</v>
      </c>
      <c r="N244" s="6">
        <v>1639.9559999999999</v>
      </c>
      <c r="O244" s="6">
        <v>1639.9559999999999</v>
      </c>
      <c r="P244" s="6">
        <v>9935</v>
      </c>
      <c r="Q244" s="4" t="s">
        <v>26</v>
      </c>
      <c r="R244" s="4">
        <v>0</v>
      </c>
      <c r="S244" s="4" t="s">
        <v>166</v>
      </c>
      <c r="T244" s="4" t="s">
        <v>303</v>
      </c>
      <c r="U244" s="4">
        <v>0</v>
      </c>
      <c r="V244" s="4">
        <v>21</v>
      </c>
      <c r="W244" s="4">
        <v>7</v>
      </c>
    </row>
    <row r="245" spans="1:23" ht="11.25" customHeight="1" x14ac:dyDescent="0.25">
      <c r="A245" s="4" t="s">
        <v>48</v>
      </c>
      <c r="B245" s="4" t="s">
        <v>22</v>
      </c>
      <c r="C245" s="4" t="s">
        <v>23</v>
      </c>
      <c r="D245" s="4" t="s">
        <v>24</v>
      </c>
      <c r="E245" s="4" t="s">
        <v>24</v>
      </c>
      <c r="F245" s="4" t="s">
        <v>25</v>
      </c>
      <c r="G245" s="4" t="s">
        <v>25</v>
      </c>
      <c r="H245" s="4" t="s">
        <v>25</v>
      </c>
      <c r="I245" s="5">
        <v>44501</v>
      </c>
      <c r="J245" s="6">
        <v>0</v>
      </c>
      <c r="K245" s="6">
        <v>0</v>
      </c>
      <c r="L245" s="6">
        <v>-0.16700000000000001</v>
      </c>
      <c r="M245" s="6">
        <v>-0.16700000000000001</v>
      </c>
      <c r="N245" s="6">
        <v>-0.16700000000000001</v>
      </c>
      <c r="O245" s="6">
        <v>-0.16700000000000001</v>
      </c>
      <c r="P245" s="6">
        <v>0</v>
      </c>
      <c r="Q245" s="4" t="s">
        <v>26</v>
      </c>
      <c r="R245" s="4">
        <v>0</v>
      </c>
      <c r="S245" s="4" t="s">
        <v>166</v>
      </c>
      <c r="T245" s="4" t="s">
        <v>303</v>
      </c>
      <c r="U245" s="4">
        <v>0</v>
      </c>
      <c r="V245" s="4">
        <v>21</v>
      </c>
      <c r="W245" s="4">
        <v>7</v>
      </c>
    </row>
    <row r="246" spans="1:23" ht="11.25" customHeight="1" x14ac:dyDescent="0.25">
      <c r="A246" s="4" t="s">
        <v>27</v>
      </c>
      <c r="B246" s="4" t="s">
        <v>22</v>
      </c>
      <c r="C246" s="4" t="s">
        <v>23</v>
      </c>
      <c r="D246" s="4" t="s">
        <v>24</v>
      </c>
      <c r="E246" s="4" t="s">
        <v>24</v>
      </c>
      <c r="F246" s="4" t="s">
        <v>25</v>
      </c>
      <c r="G246" s="4" t="s">
        <v>25</v>
      </c>
      <c r="H246" s="4" t="s">
        <v>25</v>
      </c>
      <c r="I246" s="5">
        <v>44501</v>
      </c>
      <c r="J246" s="6">
        <v>0</v>
      </c>
      <c r="K246" s="6">
        <v>0</v>
      </c>
      <c r="L246" s="6">
        <v>13.473000000000001</v>
      </c>
      <c r="M246" s="6">
        <v>13.473000000000001</v>
      </c>
      <c r="N246" s="6">
        <v>13.473000000000001</v>
      </c>
      <c r="O246" s="6">
        <v>13.473000000000001</v>
      </c>
      <c r="P246" s="6">
        <v>218</v>
      </c>
      <c r="Q246" s="4" t="s">
        <v>26</v>
      </c>
      <c r="R246" s="4">
        <v>0</v>
      </c>
      <c r="S246" s="4" t="s">
        <v>166</v>
      </c>
      <c r="T246" s="4" t="s">
        <v>303</v>
      </c>
      <c r="U246" s="4">
        <v>0</v>
      </c>
      <c r="V246" s="4">
        <v>21</v>
      </c>
      <c r="W246" s="4">
        <v>7</v>
      </c>
    </row>
    <row r="247" spans="1:23" ht="11.25" customHeight="1" x14ac:dyDescent="0.25">
      <c r="A247" s="4" t="s">
        <v>27</v>
      </c>
      <c r="B247" s="4" t="s">
        <v>22</v>
      </c>
      <c r="C247" s="4" t="s">
        <v>23</v>
      </c>
      <c r="D247" s="4" t="s">
        <v>24</v>
      </c>
      <c r="E247" s="4" t="s">
        <v>24</v>
      </c>
      <c r="F247" s="4" t="s">
        <v>25</v>
      </c>
      <c r="G247" s="4" t="s">
        <v>25</v>
      </c>
      <c r="H247" s="4" t="s">
        <v>25</v>
      </c>
      <c r="I247" s="5">
        <v>44501</v>
      </c>
      <c r="J247" s="6">
        <v>0</v>
      </c>
      <c r="K247" s="6">
        <v>0</v>
      </c>
      <c r="L247" s="6">
        <v>0.11700000000000001</v>
      </c>
      <c r="M247" s="6">
        <v>0.11700000000000001</v>
      </c>
      <c r="N247" s="6">
        <v>0.11700000000000001</v>
      </c>
      <c r="O247" s="6">
        <v>0.11700000000000001</v>
      </c>
      <c r="P247" s="6">
        <v>1</v>
      </c>
      <c r="Q247" s="4" t="s">
        <v>26</v>
      </c>
      <c r="R247" s="4">
        <v>0</v>
      </c>
      <c r="S247" s="4" t="s">
        <v>166</v>
      </c>
      <c r="T247" s="4" t="s">
        <v>303</v>
      </c>
      <c r="U247" s="4">
        <v>0</v>
      </c>
      <c r="V247" s="4">
        <v>21</v>
      </c>
      <c r="W247" s="4">
        <v>7</v>
      </c>
    </row>
    <row r="248" spans="1:23" ht="11.25" customHeight="1" x14ac:dyDescent="0.25">
      <c r="A248" s="4" t="s">
        <v>21</v>
      </c>
      <c r="B248" s="4" t="s">
        <v>22</v>
      </c>
      <c r="C248" s="4" t="s">
        <v>23</v>
      </c>
      <c r="D248" s="4" t="s">
        <v>24</v>
      </c>
      <c r="E248" s="4" t="s">
        <v>24</v>
      </c>
      <c r="F248" s="4" t="s">
        <v>25</v>
      </c>
      <c r="G248" s="4" t="s">
        <v>25</v>
      </c>
      <c r="H248" s="4" t="s">
        <v>25</v>
      </c>
      <c r="I248" s="5">
        <v>44531</v>
      </c>
      <c r="J248" s="6">
        <v>0</v>
      </c>
      <c r="K248" s="6">
        <v>0</v>
      </c>
      <c r="L248" s="6">
        <v>1644.258</v>
      </c>
      <c r="M248" s="6">
        <v>1644.258</v>
      </c>
      <c r="N248" s="6">
        <v>1644.258</v>
      </c>
      <c r="O248" s="6">
        <v>1644.258</v>
      </c>
      <c r="P248" s="6">
        <v>9827</v>
      </c>
      <c r="Q248" s="4" t="s">
        <v>26</v>
      </c>
      <c r="R248" s="4">
        <v>0</v>
      </c>
      <c r="S248" s="4" t="s">
        <v>167</v>
      </c>
      <c r="T248" s="4" t="s">
        <v>304</v>
      </c>
      <c r="U248" s="4">
        <v>0</v>
      </c>
      <c r="V248" s="4">
        <v>21</v>
      </c>
      <c r="W248" s="4">
        <v>7</v>
      </c>
    </row>
    <row r="249" spans="1:23" ht="11.25" customHeight="1" x14ac:dyDescent="0.25">
      <c r="A249" s="4" t="s">
        <v>27</v>
      </c>
      <c r="B249" s="4" t="s">
        <v>22</v>
      </c>
      <c r="C249" s="4" t="s">
        <v>23</v>
      </c>
      <c r="D249" s="4" t="s">
        <v>24</v>
      </c>
      <c r="E249" s="4" t="s">
        <v>24</v>
      </c>
      <c r="F249" s="4" t="s">
        <v>25</v>
      </c>
      <c r="G249" s="4" t="s">
        <v>25</v>
      </c>
      <c r="H249" s="4" t="s">
        <v>25</v>
      </c>
      <c r="I249" s="5">
        <v>44531</v>
      </c>
      <c r="J249" s="6">
        <v>0</v>
      </c>
      <c r="K249" s="6">
        <v>0</v>
      </c>
      <c r="L249" s="6">
        <v>16.202999999999999</v>
      </c>
      <c r="M249" s="6">
        <v>16.202999999999999</v>
      </c>
      <c r="N249" s="6">
        <v>16.202999999999999</v>
      </c>
      <c r="O249" s="6">
        <v>16.202999999999999</v>
      </c>
      <c r="P249" s="6">
        <v>236</v>
      </c>
      <c r="Q249" s="4" t="s">
        <v>26</v>
      </c>
      <c r="R249" s="4">
        <v>0</v>
      </c>
      <c r="S249" s="4" t="s">
        <v>167</v>
      </c>
      <c r="T249" s="4" t="s">
        <v>304</v>
      </c>
      <c r="U249" s="4">
        <v>0</v>
      </c>
      <c r="V249" s="4">
        <v>21</v>
      </c>
      <c r="W249" s="4">
        <v>7</v>
      </c>
    </row>
    <row r="250" spans="1:23" ht="11.25" customHeight="1" x14ac:dyDescent="0.25">
      <c r="A250" s="4" t="s">
        <v>21</v>
      </c>
      <c r="B250" s="4" t="s">
        <v>22</v>
      </c>
      <c r="C250" s="4" t="s">
        <v>23</v>
      </c>
      <c r="D250" s="4" t="s">
        <v>24</v>
      </c>
      <c r="E250" s="4" t="s">
        <v>24</v>
      </c>
      <c r="F250" s="4" t="s">
        <v>25</v>
      </c>
      <c r="G250" s="4" t="s">
        <v>25</v>
      </c>
      <c r="H250" s="4" t="s">
        <v>25</v>
      </c>
      <c r="I250" s="5">
        <v>44562</v>
      </c>
      <c r="J250" s="6">
        <v>0</v>
      </c>
      <c r="K250" s="6">
        <v>0</v>
      </c>
      <c r="L250" s="6">
        <v>1832.442</v>
      </c>
      <c r="M250" s="6">
        <v>1832.442</v>
      </c>
      <c r="N250" s="6">
        <v>1832.442</v>
      </c>
      <c r="O250" s="6">
        <v>1832.442</v>
      </c>
      <c r="P250" s="6">
        <v>9725</v>
      </c>
      <c r="Q250" s="4" t="s">
        <v>26</v>
      </c>
      <c r="R250" s="4">
        <v>0</v>
      </c>
      <c r="S250" s="4" t="s">
        <v>168</v>
      </c>
      <c r="T250" s="4" t="s">
        <v>305</v>
      </c>
      <c r="U250" s="4">
        <v>0</v>
      </c>
      <c r="V250" s="4">
        <v>21</v>
      </c>
      <c r="W250" s="4">
        <v>7</v>
      </c>
    </row>
    <row r="251" spans="1:23" ht="11.25" customHeight="1" x14ac:dyDescent="0.25">
      <c r="A251" s="4" t="s">
        <v>27</v>
      </c>
      <c r="B251" s="4" t="s">
        <v>22</v>
      </c>
      <c r="C251" s="4" t="s">
        <v>23</v>
      </c>
      <c r="D251" s="4" t="s">
        <v>24</v>
      </c>
      <c r="E251" s="4" t="s">
        <v>24</v>
      </c>
      <c r="F251" s="4" t="s">
        <v>25</v>
      </c>
      <c r="G251" s="4" t="s">
        <v>25</v>
      </c>
      <c r="H251" s="4" t="s">
        <v>25</v>
      </c>
      <c r="I251" s="5">
        <v>44562</v>
      </c>
      <c r="J251" s="6">
        <v>0</v>
      </c>
      <c r="K251" s="6">
        <v>0</v>
      </c>
      <c r="L251" s="6">
        <v>21.170999999999999</v>
      </c>
      <c r="M251" s="6">
        <v>21.170999999999999</v>
      </c>
      <c r="N251" s="6">
        <v>21.170999999999999</v>
      </c>
      <c r="O251" s="6">
        <v>21.170999999999999</v>
      </c>
      <c r="P251" s="6">
        <v>265</v>
      </c>
      <c r="Q251" s="4" t="s">
        <v>26</v>
      </c>
      <c r="R251" s="4">
        <v>0</v>
      </c>
      <c r="S251" s="4" t="s">
        <v>168</v>
      </c>
      <c r="T251" s="4" t="s">
        <v>305</v>
      </c>
      <c r="U251" s="4">
        <v>0</v>
      </c>
      <c r="V251" s="4">
        <v>21</v>
      </c>
      <c r="W251" s="4">
        <v>7</v>
      </c>
    </row>
    <row r="252" spans="1:23" ht="11.25" customHeight="1" x14ac:dyDescent="0.25">
      <c r="A252" s="4" t="s">
        <v>27</v>
      </c>
      <c r="B252" s="4" t="s">
        <v>22</v>
      </c>
      <c r="C252" s="4" t="s">
        <v>23</v>
      </c>
      <c r="D252" s="4" t="s">
        <v>24</v>
      </c>
      <c r="E252" s="4" t="s">
        <v>24</v>
      </c>
      <c r="F252" s="4" t="s">
        <v>25</v>
      </c>
      <c r="G252" s="4" t="s">
        <v>25</v>
      </c>
      <c r="H252" s="4" t="s">
        <v>25</v>
      </c>
      <c r="I252" s="5">
        <v>44562</v>
      </c>
      <c r="J252" s="6">
        <v>0</v>
      </c>
      <c r="K252" s="6">
        <v>0</v>
      </c>
      <c r="L252" s="6">
        <v>-0.2</v>
      </c>
      <c r="M252" s="6">
        <v>-0.2</v>
      </c>
      <c r="N252" s="6">
        <v>-0.2</v>
      </c>
      <c r="O252" s="6">
        <v>-0.2</v>
      </c>
      <c r="P252" s="6">
        <v>2</v>
      </c>
      <c r="Q252" s="4" t="s">
        <v>26</v>
      </c>
      <c r="R252" s="4">
        <v>0</v>
      </c>
      <c r="S252" s="4" t="s">
        <v>168</v>
      </c>
      <c r="T252" s="4" t="s">
        <v>305</v>
      </c>
      <c r="U252" s="4">
        <v>0</v>
      </c>
      <c r="V252" s="4">
        <v>21</v>
      </c>
      <c r="W252" s="4">
        <v>7</v>
      </c>
    </row>
    <row r="253" spans="1:23" ht="11.25" customHeight="1" x14ac:dyDescent="0.25">
      <c r="A253" s="4" t="s">
        <v>21</v>
      </c>
      <c r="B253" s="4" t="s">
        <v>22</v>
      </c>
      <c r="C253" s="4" t="s">
        <v>23</v>
      </c>
      <c r="D253" s="4" t="s">
        <v>24</v>
      </c>
      <c r="E253" s="4" t="s">
        <v>24</v>
      </c>
      <c r="F253" s="4" t="s">
        <v>25</v>
      </c>
      <c r="G253" s="4" t="s">
        <v>25</v>
      </c>
      <c r="H253" s="4" t="s">
        <v>25</v>
      </c>
      <c r="I253" s="5">
        <v>44593</v>
      </c>
      <c r="J253" s="6">
        <v>0</v>
      </c>
      <c r="K253" s="6">
        <v>0</v>
      </c>
      <c r="L253" s="6">
        <v>1819.846</v>
      </c>
      <c r="M253" s="6">
        <v>1819.846</v>
      </c>
      <c r="N253" s="6">
        <v>1819.846</v>
      </c>
      <c r="O253" s="6">
        <v>1819.846</v>
      </c>
      <c r="P253" s="6">
        <v>9665</v>
      </c>
      <c r="Q253" s="4" t="s">
        <v>26</v>
      </c>
      <c r="R253" s="4">
        <v>0</v>
      </c>
      <c r="S253" s="4" t="s">
        <v>169</v>
      </c>
      <c r="T253" s="4" t="s">
        <v>306</v>
      </c>
      <c r="U253" s="4">
        <v>0</v>
      </c>
      <c r="V253" s="4">
        <v>21</v>
      </c>
      <c r="W253" s="4">
        <v>7</v>
      </c>
    </row>
    <row r="254" spans="1:23" ht="11.25" customHeight="1" x14ac:dyDescent="0.25">
      <c r="A254" s="4" t="s">
        <v>27</v>
      </c>
      <c r="B254" s="4" t="s">
        <v>22</v>
      </c>
      <c r="C254" s="4" t="s">
        <v>23</v>
      </c>
      <c r="D254" s="4" t="s">
        <v>24</v>
      </c>
      <c r="E254" s="4" t="s">
        <v>24</v>
      </c>
      <c r="F254" s="4" t="s">
        <v>25</v>
      </c>
      <c r="G254" s="4" t="s">
        <v>25</v>
      </c>
      <c r="H254" s="4" t="s">
        <v>25</v>
      </c>
      <c r="I254" s="5">
        <v>44593</v>
      </c>
      <c r="J254" s="6">
        <v>0</v>
      </c>
      <c r="K254" s="6">
        <v>0</v>
      </c>
      <c r="L254" s="6">
        <v>19.988</v>
      </c>
      <c r="M254" s="6">
        <v>19.988</v>
      </c>
      <c r="N254" s="6">
        <v>19.988</v>
      </c>
      <c r="O254" s="6">
        <v>19.988</v>
      </c>
      <c r="P254" s="6">
        <v>288</v>
      </c>
      <c r="Q254" s="4" t="s">
        <v>26</v>
      </c>
      <c r="R254" s="4">
        <v>0</v>
      </c>
      <c r="S254" s="4" t="s">
        <v>169</v>
      </c>
      <c r="T254" s="4" t="s">
        <v>306</v>
      </c>
      <c r="U254" s="4">
        <v>0</v>
      </c>
      <c r="V254" s="4">
        <v>21</v>
      </c>
      <c r="W254" s="4">
        <v>7</v>
      </c>
    </row>
    <row r="255" spans="1:23" ht="11.25" customHeight="1" x14ac:dyDescent="0.25">
      <c r="A255" s="4" t="s">
        <v>21</v>
      </c>
      <c r="B255" s="4" t="s">
        <v>22</v>
      </c>
      <c r="C255" s="4" t="s">
        <v>23</v>
      </c>
      <c r="D255" s="4" t="s">
        <v>24</v>
      </c>
      <c r="E255" s="4" t="s">
        <v>24</v>
      </c>
      <c r="F255" s="4" t="s">
        <v>25</v>
      </c>
      <c r="G255" s="4" t="s">
        <v>25</v>
      </c>
      <c r="H255" s="4" t="s">
        <v>25</v>
      </c>
      <c r="I255" s="5">
        <v>44621</v>
      </c>
      <c r="J255" s="6">
        <v>0</v>
      </c>
      <c r="K255" s="6">
        <v>0</v>
      </c>
      <c r="L255" s="6">
        <v>1630.7280000000001</v>
      </c>
      <c r="M255" s="6">
        <v>1630.7280000000001</v>
      </c>
      <c r="N255" s="6">
        <v>1630.7280000000001</v>
      </c>
      <c r="O255" s="6">
        <v>1630.7280000000001</v>
      </c>
      <c r="P255" s="6">
        <v>9614</v>
      </c>
      <c r="Q255" s="4" t="s">
        <v>26</v>
      </c>
      <c r="R255" s="4">
        <v>0</v>
      </c>
      <c r="S255" s="4" t="s">
        <v>170</v>
      </c>
      <c r="T255" s="4" t="s">
        <v>307</v>
      </c>
      <c r="U255" s="4">
        <v>0</v>
      </c>
      <c r="V255" s="4">
        <v>21</v>
      </c>
      <c r="W255" s="4">
        <v>7</v>
      </c>
    </row>
    <row r="256" spans="1:23" ht="11.25" customHeight="1" x14ac:dyDescent="0.25">
      <c r="A256" s="4" t="s">
        <v>48</v>
      </c>
      <c r="B256" s="4" t="s">
        <v>22</v>
      </c>
      <c r="C256" s="4" t="s">
        <v>23</v>
      </c>
      <c r="D256" s="4" t="s">
        <v>24</v>
      </c>
      <c r="E256" s="4" t="s">
        <v>24</v>
      </c>
      <c r="F256" s="4" t="s">
        <v>25</v>
      </c>
      <c r="G256" s="4" t="s">
        <v>25</v>
      </c>
      <c r="H256" s="4" t="s">
        <v>25</v>
      </c>
      <c r="I256" s="5">
        <v>44621</v>
      </c>
      <c r="J256" s="6">
        <v>0</v>
      </c>
      <c r="K256" s="6">
        <v>0</v>
      </c>
      <c r="L256" s="6">
        <v>-1.526</v>
      </c>
      <c r="M256" s="6">
        <v>-1.526</v>
      </c>
      <c r="N256" s="6">
        <v>-1.526</v>
      </c>
      <c r="O256" s="6">
        <v>-1.526</v>
      </c>
      <c r="P256" s="6">
        <v>0</v>
      </c>
      <c r="Q256" s="4" t="s">
        <v>26</v>
      </c>
      <c r="R256" s="4">
        <v>0</v>
      </c>
      <c r="S256" s="4" t="s">
        <v>170</v>
      </c>
      <c r="T256" s="4" t="s">
        <v>307</v>
      </c>
      <c r="U256" s="4">
        <v>0</v>
      </c>
      <c r="V256" s="4">
        <v>21</v>
      </c>
      <c r="W256" s="4">
        <v>7</v>
      </c>
    </row>
    <row r="257" spans="1:23" ht="11.25" customHeight="1" x14ac:dyDescent="0.25">
      <c r="A257" s="4" t="s">
        <v>27</v>
      </c>
      <c r="B257" s="4" t="s">
        <v>22</v>
      </c>
      <c r="C257" s="4" t="s">
        <v>23</v>
      </c>
      <c r="D257" s="4" t="s">
        <v>24</v>
      </c>
      <c r="E257" s="4" t="s">
        <v>24</v>
      </c>
      <c r="F257" s="4" t="s">
        <v>25</v>
      </c>
      <c r="G257" s="4" t="s">
        <v>25</v>
      </c>
      <c r="H257" s="4" t="s">
        <v>25</v>
      </c>
      <c r="I257" s="5">
        <v>44621</v>
      </c>
      <c r="J257" s="6">
        <v>0</v>
      </c>
      <c r="K257" s="6">
        <v>0</v>
      </c>
      <c r="L257" s="6">
        <v>23.715</v>
      </c>
      <c r="M257" s="6">
        <v>23.715</v>
      </c>
      <c r="N257" s="6">
        <v>23.715</v>
      </c>
      <c r="O257" s="6">
        <v>23.715</v>
      </c>
      <c r="P257" s="6">
        <v>323</v>
      </c>
      <c r="Q257" s="4" t="s">
        <v>26</v>
      </c>
      <c r="R257" s="4">
        <v>0</v>
      </c>
      <c r="S257" s="4" t="s">
        <v>170</v>
      </c>
      <c r="T257" s="4" t="s">
        <v>307</v>
      </c>
      <c r="U257" s="4">
        <v>0</v>
      </c>
      <c r="V257" s="4">
        <v>21</v>
      </c>
      <c r="W257" s="4">
        <v>7</v>
      </c>
    </row>
    <row r="258" spans="1:23" ht="11.25" customHeight="1" x14ac:dyDescent="0.25">
      <c r="A258" s="4" t="s">
        <v>21</v>
      </c>
      <c r="B258" s="4" t="s">
        <v>22</v>
      </c>
      <c r="C258" s="4" t="s">
        <v>23</v>
      </c>
      <c r="D258" s="4" t="s">
        <v>24</v>
      </c>
      <c r="E258" s="4" t="s">
        <v>24</v>
      </c>
      <c r="F258" s="4" t="s">
        <v>25</v>
      </c>
      <c r="G258" s="4" t="s">
        <v>25</v>
      </c>
      <c r="H258" s="4" t="s">
        <v>25</v>
      </c>
      <c r="I258" s="5">
        <v>44652</v>
      </c>
      <c r="J258" s="6">
        <v>0</v>
      </c>
      <c r="K258" s="6">
        <v>0</v>
      </c>
      <c r="L258" s="6">
        <v>1510.454</v>
      </c>
      <c r="M258" s="6">
        <v>1510.454</v>
      </c>
      <c r="N258" s="6">
        <v>1510.454</v>
      </c>
      <c r="O258" s="6">
        <v>1510.454</v>
      </c>
      <c r="P258" s="6">
        <v>9551</v>
      </c>
      <c r="Q258" s="4" t="s">
        <v>26</v>
      </c>
      <c r="R258" s="4">
        <v>0</v>
      </c>
      <c r="S258" s="4" t="s">
        <v>171</v>
      </c>
      <c r="T258" s="4" t="s">
        <v>308</v>
      </c>
      <c r="U258" s="4">
        <v>0</v>
      </c>
      <c r="V258" s="4">
        <v>21</v>
      </c>
      <c r="W258" s="4">
        <v>7</v>
      </c>
    </row>
    <row r="259" spans="1:23" ht="11.25" customHeight="1" x14ac:dyDescent="0.25">
      <c r="A259" s="4" t="s">
        <v>27</v>
      </c>
      <c r="B259" s="4" t="s">
        <v>22</v>
      </c>
      <c r="C259" s="4" t="s">
        <v>23</v>
      </c>
      <c r="D259" s="4" t="s">
        <v>24</v>
      </c>
      <c r="E259" s="4" t="s">
        <v>24</v>
      </c>
      <c r="F259" s="4" t="s">
        <v>25</v>
      </c>
      <c r="G259" s="4" t="s">
        <v>25</v>
      </c>
      <c r="H259" s="4" t="s">
        <v>25</v>
      </c>
      <c r="I259" s="5">
        <v>44652</v>
      </c>
      <c r="J259" s="6">
        <v>0</v>
      </c>
      <c r="K259" s="6">
        <v>0</v>
      </c>
      <c r="L259" s="6">
        <v>25.372</v>
      </c>
      <c r="M259" s="6">
        <v>25.372</v>
      </c>
      <c r="N259" s="6">
        <v>25.372</v>
      </c>
      <c r="O259" s="6">
        <v>25.372</v>
      </c>
      <c r="P259" s="6">
        <v>352</v>
      </c>
      <c r="Q259" s="4" t="s">
        <v>26</v>
      </c>
      <c r="R259" s="4">
        <v>0</v>
      </c>
      <c r="S259" s="4" t="s">
        <v>171</v>
      </c>
      <c r="T259" s="4" t="s">
        <v>308</v>
      </c>
      <c r="U259" s="4">
        <v>0</v>
      </c>
      <c r="V259" s="4">
        <v>21</v>
      </c>
      <c r="W259" s="4">
        <v>7</v>
      </c>
    </row>
    <row r="260" spans="1:23" ht="11.25" customHeight="1" x14ac:dyDescent="0.25">
      <c r="A260" s="4" t="s">
        <v>21</v>
      </c>
      <c r="B260" s="4" t="s">
        <v>22</v>
      </c>
      <c r="C260" s="4" t="s">
        <v>23</v>
      </c>
      <c r="D260" s="4" t="s">
        <v>24</v>
      </c>
      <c r="E260" s="4" t="s">
        <v>24</v>
      </c>
      <c r="F260" s="4" t="s">
        <v>25</v>
      </c>
      <c r="G260" s="4" t="s">
        <v>25</v>
      </c>
      <c r="H260" s="4" t="s">
        <v>25</v>
      </c>
      <c r="I260" s="5">
        <v>44682</v>
      </c>
      <c r="J260" s="6">
        <v>0</v>
      </c>
      <c r="K260" s="6">
        <v>0</v>
      </c>
      <c r="L260" s="6">
        <v>1552.1790000000001</v>
      </c>
      <c r="M260" s="6">
        <v>1552.1790000000001</v>
      </c>
      <c r="N260" s="6">
        <v>1552.1790000000001</v>
      </c>
      <c r="O260" s="6">
        <v>1552.1790000000001</v>
      </c>
      <c r="P260" s="6">
        <v>9508</v>
      </c>
      <c r="Q260" s="4" t="s">
        <v>26</v>
      </c>
      <c r="R260" s="4">
        <v>0</v>
      </c>
      <c r="S260" s="4" t="s">
        <v>172</v>
      </c>
      <c r="T260" s="4" t="s">
        <v>309</v>
      </c>
      <c r="U260" s="4">
        <v>0</v>
      </c>
      <c r="V260" s="4">
        <v>21</v>
      </c>
      <c r="W260" s="4">
        <v>7</v>
      </c>
    </row>
    <row r="261" spans="1:23" ht="11.25" customHeight="1" x14ac:dyDescent="0.25">
      <c r="A261" s="4" t="s">
        <v>27</v>
      </c>
      <c r="B261" s="4" t="s">
        <v>22</v>
      </c>
      <c r="C261" s="4" t="s">
        <v>23</v>
      </c>
      <c r="D261" s="4" t="s">
        <v>24</v>
      </c>
      <c r="E261" s="4" t="s">
        <v>24</v>
      </c>
      <c r="F261" s="4" t="s">
        <v>25</v>
      </c>
      <c r="G261" s="4" t="s">
        <v>25</v>
      </c>
      <c r="H261" s="4" t="s">
        <v>25</v>
      </c>
      <c r="I261" s="5">
        <v>44682</v>
      </c>
      <c r="J261" s="6">
        <v>0</v>
      </c>
      <c r="K261" s="6">
        <v>0</v>
      </c>
      <c r="L261" s="6">
        <v>29.794</v>
      </c>
      <c r="M261" s="6">
        <v>29.794</v>
      </c>
      <c r="N261" s="6">
        <v>29.794</v>
      </c>
      <c r="O261" s="6">
        <v>29.794</v>
      </c>
      <c r="P261" s="6">
        <v>379</v>
      </c>
      <c r="Q261" s="4" t="s">
        <v>26</v>
      </c>
      <c r="R261" s="4">
        <v>0</v>
      </c>
      <c r="S261" s="4" t="s">
        <v>172</v>
      </c>
      <c r="T261" s="4" t="s">
        <v>309</v>
      </c>
      <c r="U261" s="4">
        <v>0</v>
      </c>
      <c r="V261" s="4">
        <v>21</v>
      </c>
      <c r="W261" s="4">
        <v>7</v>
      </c>
    </row>
    <row r="262" spans="1:23" ht="11.25" customHeight="1" x14ac:dyDescent="0.25">
      <c r="A262" s="4" t="s">
        <v>21</v>
      </c>
      <c r="B262" s="4" t="s">
        <v>22</v>
      </c>
      <c r="C262" s="4" t="s">
        <v>23</v>
      </c>
      <c r="D262" s="4" t="s">
        <v>24</v>
      </c>
      <c r="E262" s="4" t="s">
        <v>24</v>
      </c>
      <c r="F262" s="4" t="s">
        <v>25</v>
      </c>
      <c r="G262" s="4" t="s">
        <v>25</v>
      </c>
      <c r="H262" s="4" t="s">
        <v>25</v>
      </c>
      <c r="I262" s="5">
        <v>44713</v>
      </c>
      <c r="J262" s="6">
        <v>0</v>
      </c>
      <c r="K262" s="6">
        <v>0</v>
      </c>
      <c r="L262" s="6">
        <v>1791.288</v>
      </c>
      <c r="M262" s="6">
        <v>1791.288</v>
      </c>
      <c r="N262" s="6">
        <v>1791.288</v>
      </c>
      <c r="O262" s="6">
        <v>1791.288</v>
      </c>
      <c r="P262" s="6">
        <v>9428</v>
      </c>
      <c r="Q262" s="4" t="s">
        <v>26</v>
      </c>
      <c r="R262" s="4">
        <v>0</v>
      </c>
      <c r="S262" s="4" t="s">
        <v>173</v>
      </c>
      <c r="T262" s="4" t="s">
        <v>310</v>
      </c>
      <c r="U262" s="4">
        <v>0</v>
      </c>
      <c r="V262" s="4">
        <v>21</v>
      </c>
      <c r="W262" s="4">
        <v>7</v>
      </c>
    </row>
    <row r="263" spans="1:23" ht="11.25" customHeight="1" x14ac:dyDescent="0.25">
      <c r="A263" s="4" t="s">
        <v>27</v>
      </c>
      <c r="B263" s="4" t="s">
        <v>22</v>
      </c>
      <c r="C263" s="4" t="s">
        <v>23</v>
      </c>
      <c r="D263" s="4" t="s">
        <v>24</v>
      </c>
      <c r="E263" s="4" t="s">
        <v>24</v>
      </c>
      <c r="F263" s="4" t="s">
        <v>25</v>
      </c>
      <c r="G263" s="4" t="s">
        <v>25</v>
      </c>
      <c r="H263" s="4" t="s">
        <v>25</v>
      </c>
      <c r="I263" s="5">
        <v>44713</v>
      </c>
      <c r="J263" s="6">
        <v>0</v>
      </c>
      <c r="K263" s="6">
        <v>0</v>
      </c>
      <c r="L263" s="6">
        <v>53.2</v>
      </c>
      <c r="M263" s="6">
        <v>53.2</v>
      </c>
      <c r="N263" s="6">
        <v>53.2</v>
      </c>
      <c r="O263" s="6">
        <v>53.2</v>
      </c>
      <c r="P263" s="6">
        <v>402</v>
      </c>
      <c r="Q263" s="4" t="s">
        <v>26</v>
      </c>
      <c r="R263" s="4">
        <v>0</v>
      </c>
      <c r="S263" s="4" t="s">
        <v>173</v>
      </c>
      <c r="T263" s="4" t="s">
        <v>310</v>
      </c>
      <c r="U263" s="4">
        <v>0</v>
      </c>
      <c r="V263" s="4">
        <v>21</v>
      </c>
      <c r="W263" s="4">
        <v>7</v>
      </c>
    </row>
    <row r="264" spans="1:23" ht="11.25" customHeight="1" x14ac:dyDescent="0.25">
      <c r="A264" s="4" t="s">
        <v>21</v>
      </c>
      <c r="B264" s="4" t="s">
        <v>22</v>
      </c>
      <c r="C264" s="4" t="s">
        <v>23</v>
      </c>
      <c r="D264" s="4" t="s">
        <v>24</v>
      </c>
      <c r="E264" s="4" t="s">
        <v>28</v>
      </c>
      <c r="F264" s="4" t="s">
        <v>25</v>
      </c>
      <c r="G264" s="4" t="s">
        <v>25</v>
      </c>
      <c r="H264" s="4" t="s">
        <v>25</v>
      </c>
      <c r="I264" s="5">
        <v>44378</v>
      </c>
      <c r="J264" s="6">
        <v>0</v>
      </c>
      <c r="K264" s="6">
        <v>0</v>
      </c>
      <c r="L264" s="6">
        <v>8.43</v>
      </c>
      <c r="M264" s="6">
        <v>8.43</v>
      </c>
      <c r="N264" s="6">
        <v>8.43</v>
      </c>
      <c r="O264" s="6">
        <v>8.43</v>
      </c>
      <c r="P264" s="6">
        <v>4</v>
      </c>
      <c r="Q264" s="4" t="s">
        <v>26</v>
      </c>
      <c r="R264" s="4">
        <v>0</v>
      </c>
      <c r="S264" s="4" t="s">
        <v>174</v>
      </c>
      <c r="T264" s="4" t="s">
        <v>311</v>
      </c>
      <c r="U264" s="4">
        <v>0</v>
      </c>
      <c r="V264" s="4">
        <v>33</v>
      </c>
      <c r="W264" s="4">
        <v>1</v>
      </c>
    </row>
    <row r="265" spans="1:23" ht="11.25" customHeight="1" x14ac:dyDescent="0.25">
      <c r="A265" s="4" t="s">
        <v>21</v>
      </c>
      <c r="B265" s="4" t="s">
        <v>22</v>
      </c>
      <c r="C265" s="4" t="s">
        <v>23</v>
      </c>
      <c r="D265" s="4" t="s">
        <v>24</v>
      </c>
      <c r="E265" s="4" t="s">
        <v>28</v>
      </c>
      <c r="F265" s="4" t="s">
        <v>25</v>
      </c>
      <c r="G265" s="4" t="s">
        <v>25</v>
      </c>
      <c r="H265" s="4" t="s">
        <v>25</v>
      </c>
      <c r="I265" s="5">
        <v>44409</v>
      </c>
      <c r="J265" s="6">
        <v>0</v>
      </c>
      <c r="K265" s="6">
        <v>0</v>
      </c>
      <c r="L265" s="6">
        <v>8.6999999999999993</v>
      </c>
      <c r="M265" s="6">
        <v>8.6999999999999993</v>
      </c>
      <c r="N265" s="6">
        <v>8.6999999999999993</v>
      </c>
      <c r="O265" s="6">
        <v>8.6999999999999993</v>
      </c>
      <c r="P265" s="6">
        <v>4</v>
      </c>
      <c r="Q265" s="4" t="s">
        <v>26</v>
      </c>
      <c r="R265" s="4">
        <v>0</v>
      </c>
      <c r="S265" s="4" t="s">
        <v>175</v>
      </c>
      <c r="T265" s="4" t="s">
        <v>312</v>
      </c>
      <c r="U265" s="4">
        <v>0</v>
      </c>
      <c r="V265" s="4">
        <v>33</v>
      </c>
      <c r="W265" s="4">
        <v>1</v>
      </c>
    </row>
    <row r="266" spans="1:23" ht="11.25" customHeight="1" x14ac:dyDescent="0.25">
      <c r="A266" s="4" t="s">
        <v>21</v>
      </c>
      <c r="B266" s="4" t="s">
        <v>22</v>
      </c>
      <c r="C266" s="4" t="s">
        <v>23</v>
      </c>
      <c r="D266" s="4" t="s">
        <v>24</v>
      </c>
      <c r="E266" s="4" t="s">
        <v>28</v>
      </c>
      <c r="F266" s="4" t="s">
        <v>25</v>
      </c>
      <c r="G266" s="4" t="s">
        <v>25</v>
      </c>
      <c r="H266" s="4" t="s">
        <v>25</v>
      </c>
      <c r="I266" s="5">
        <v>44440</v>
      </c>
      <c r="J266" s="6">
        <v>0</v>
      </c>
      <c r="K266" s="6">
        <v>0</v>
      </c>
      <c r="L266" s="6">
        <v>8.76</v>
      </c>
      <c r="M266" s="6">
        <v>8.76</v>
      </c>
      <c r="N266" s="6">
        <v>8.76</v>
      </c>
      <c r="O266" s="6">
        <v>8.76</v>
      </c>
      <c r="P266" s="6">
        <v>4</v>
      </c>
      <c r="Q266" s="4" t="s">
        <v>26</v>
      </c>
      <c r="R266" s="4">
        <v>0</v>
      </c>
      <c r="S266" s="4" t="s">
        <v>176</v>
      </c>
      <c r="T266" s="4" t="s">
        <v>313</v>
      </c>
      <c r="U266" s="4">
        <v>0</v>
      </c>
      <c r="V266" s="4">
        <v>33</v>
      </c>
      <c r="W266" s="4">
        <v>1</v>
      </c>
    </row>
    <row r="267" spans="1:23" ht="11.25" customHeight="1" x14ac:dyDescent="0.25">
      <c r="A267" s="4" t="s">
        <v>21</v>
      </c>
      <c r="B267" s="4" t="s">
        <v>22</v>
      </c>
      <c r="C267" s="4" t="s">
        <v>23</v>
      </c>
      <c r="D267" s="4" t="s">
        <v>24</v>
      </c>
      <c r="E267" s="4" t="s">
        <v>28</v>
      </c>
      <c r="F267" s="4" t="s">
        <v>25</v>
      </c>
      <c r="G267" s="4" t="s">
        <v>25</v>
      </c>
      <c r="H267" s="4" t="s">
        <v>25</v>
      </c>
      <c r="I267" s="5">
        <v>44470</v>
      </c>
      <c r="J267" s="6">
        <v>0</v>
      </c>
      <c r="K267" s="6">
        <v>0</v>
      </c>
      <c r="L267" s="6">
        <v>8.82</v>
      </c>
      <c r="M267" s="6">
        <v>8.82</v>
      </c>
      <c r="N267" s="6">
        <v>8.82</v>
      </c>
      <c r="O267" s="6">
        <v>8.82</v>
      </c>
      <c r="P267" s="6">
        <v>3</v>
      </c>
      <c r="Q267" s="4" t="s">
        <v>26</v>
      </c>
      <c r="R267" s="4">
        <v>0</v>
      </c>
      <c r="S267" s="4" t="s">
        <v>177</v>
      </c>
      <c r="T267" s="4" t="s">
        <v>314</v>
      </c>
      <c r="U267" s="4">
        <v>0</v>
      </c>
      <c r="V267" s="4">
        <v>33</v>
      </c>
      <c r="W267" s="4">
        <v>1</v>
      </c>
    </row>
    <row r="268" spans="1:23" ht="11.25" customHeight="1" x14ac:dyDescent="0.25">
      <c r="A268" s="4" t="s">
        <v>21</v>
      </c>
      <c r="B268" s="4" t="s">
        <v>22</v>
      </c>
      <c r="C268" s="4" t="s">
        <v>23</v>
      </c>
      <c r="D268" s="4" t="s">
        <v>24</v>
      </c>
      <c r="E268" s="4" t="s">
        <v>28</v>
      </c>
      <c r="F268" s="4" t="s">
        <v>25</v>
      </c>
      <c r="G268" s="4" t="s">
        <v>25</v>
      </c>
      <c r="H268" s="4" t="s">
        <v>25</v>
      </c>
      <c r="I268" s="5">
        <v>44501</v>
      </c>
      <c r="J268" s="6">
        <v>0</v>
      </c>
      <c r="K268" s="6">
        <v>0</v>
      </c>
      <c r="L268" s="6">
        <v>8.85</v>
      </c>
      <c r="M268" s="6">
        <v>8.85</v>
      </c>
      <c r="N268" s="6">
        <v>8.85</v>
      </c>
      <c r="O268" s="6">
        <v>8.85</v>
      </c>
      <c r="P268" s="6">
        <v>4</v>
      </c>
      <c r="Q268" s="4" t="s">
        <v>26</v>
      </c>
      <c r="R268" s="4">
        <v>0</v>
      </c>
      <c r="S268" s="4" t="s">
        <v>178</v>
      </c>
      <c r="T268" s="4" t="s">
        <v>315</v>
      </c>
      <c r="U268" s="4">
        <v>0</v>
      </c>
      <c r="V268" s="4">
        <v>33</v>
      </c>
      <c r="W268" s="4">
        <v>1</v>
      </c>
    </row>
    <row r="269" spans="1:23" ht="11.25" customHeight="1" x14ac:dyDescent="0.25">
      <c r="A269" s="4" t="s">
        <v>21</v>
      </c>
      <c r="B269" s="4" t="s">
        <v>22</v>
      </c>
      <c r="C269" s="4" t="s">
        <v>23</v>
      </c>
      <c r="D269" s="4" t="s">
        <v>24</v>
      </c>
      <c r="E269" s="4" t="s">
        <v>28</v>
      </c>
      <c r="F269" s="4" t="s">
        <v>25</v>
      </c>
      <c r="G269" s="4" t="s">
        <v>25</v>
      </c>
      <c r="H269" s="4" t="s">
        <v>25</v>
      </c>
      <c r="I269" s="5">
        <v>44531</v>
      </c>
      <c r="J269" s="6">
        <v>0</v>
      </c>
      <c r="K269" s="6">
        <v>0</v>
      </c>
      <c r="L269" s="6">
        <v>12.42</v>
      </c>
      <c r="M269" s="6">
        <v>12.42</v>
      </c>
      <c r="N269" s="6">
        <v>12.42</v>
      </c>
      <c r="O269" s="6">
        <v>12.42</v>
      </c>
      <c r="P269" s="6">
        <v>9</v>
      </c>
      <c r="Q269" s="4" t="s">
        <v>26</v>
      </c>
      <c r="R269" s="4">
        <v>0</v>
      </c>
      <c r="S269" s="4" t="s">
        <v>179</v>
      </c>
      <c r="T269" s="4" t="s">
        <v>316</v>
      </c>
      <c r="U269" s="4">
        <v>0</v>
      </c>
      <c r="V269" s="4">
        <v>33</v>
      </c>
      <c r="W269" s="4">
        <v>1</v>
      </c>
    </row>
    <row r="270" spans="1:23" ht="11.25" customHeight="1" x14ac:dyDescent="0.25">
      <c r="A270" s="4" t="s">
        <v>21</v>
      </c>
      <c r="B270" s="4" t="s">
        <v>22</v>
      </c>
      <c r="C270" s="4" t="s">
        <v>23</v>
      </c>
      <c r="D270" s="4" t="s">
        <v>24</v>
      </c>
      <c r="E270" s="4" t="s">
        <v>28</v>
      </c>
      <c r="F270" s="4" t="s">
        <v>25</v>
      </c>
      <c r="G270" s="4" t="s">
        <v>25</v>
      </c>
      <c r="H270" s="4" t="s">
        <v>25</v>
      </c>
      <c r="I270" s="5">
        <v>44562</v>
      </c>
      <c r="J270" s="6">
        <v>0</v>
      </c>
      <c r="K270" s="6">
        <v>0</v>
      </c>
      <c r="L270" s="6">
        <v>14.82</v>
      </c>
      <c r="M270" s="6">
        <v>14.82</v>
      </c>
      <c r="N270" s="6">
        <v>14.82</v>
      </c>
      <c r="O270" s="6">
        <v>14.82</v>
      </c>
      <c r="P270" s="6">
        <v>9</v>
      </c>
      <c r="Q270" s="4" t="s">
        <v>26</v>
      </c>
      <c r="R270" s="4">
        <v>0</v>
      </c>
      <c r="S270" s="4" t="s">
        <v>180</v>
      </c>
      <c r="T270" s="4" t="s">
        <v>317</v>
      </c>
      <c r="U270" s="4">
        <v>0</v>
      </c>
      <c r="V270" s="4">
        <v>33</v>
      </c>
      <c r="W270" s="4">
        <v>1</v>
      </c>
    </row>
    <row r="271" spans="1:23" ht="11.25" customHeight="1" x14ac:dyDescent="0.25">
      <c r="A271" s="4" t="s">
        <v>21</v>
      </c>
      <c r="B271" s="4" t="s">
        <v>22</v>
      </c>
      <c r="C271" s="4" t="s">
        <v>23</v>
      </c>
      <c r="D271" s="4" t="s">
        <v>24</v>
      </c>
      <c r="E271" s="4" t="s">
        <v>28</v>
      </c>
      <c r="F271" s="4" t="s">
        <v>25</v>
      </c>
      <c r="G271" s="4" t="s">
        <v>25</v>
      </c>
      <c r="H271" s="4" t="s">
        <v>25</v>
      </c>
      <c r="I271" s="5">
        <v>44593</v>
      </c>
      <c r="J271" s="6">
        <v>0</v>
      </c>
      <c r="K271" s="6">
        <v>0</v>
      </c>
      <c r="L271" s="6">
        <v>16.29</v>
      </c>
      <c r="M271" s="6">
        <v>16.29</v>
      </c>
      <c r="N271" s="6">
        <v>16.29</v>
      </c>
      <c r="O271" s="6">
        <v>16.29</v>
      </c>
      <c r="P271" s="6">
        <v>7</v>
      </c>
      <c r="Q271" s="4" t="s">
        <v>26</v>
      </c>
      <c r="R271" s="4">
        <v>0</v>
      </c>
      <c r="S271" s="4" t="s">
        <v>181</v>
      </c>
      <c r="T271" s="4" t="s">
        <v>318</v>
      </c>
      <c r="U271" s="4">
        <v>0</v>
      </c>
      <c r="V271" s="4">
        <v>33</v>
      </c>
      <c r="W271" s="4">
        <v>1</v>
      </c>
    </row>
    <row r="272" spans="1:23" ht="11.25" customHeight="1" x14ac:dyDescent="0.25">
      <c r="A272" s="4" t="s">
        <v>21</v>
      </c>
      <c r="B272" s="4" t="s">
        <v>22</v>
      </c>
      <c r="C272" s="4" t="s">
        <v>23</v>
      </c>
      <c r="D272" s="4" t="s">
        <v>24</v>
      </c>
      <c r="E272" s="4" t="s">
        <v>28</v>
      </c>
      <c r="F272" s="4" t="s">
        <v>25</v>
      </c>
      <c r="G272" s="4" t="s">
        <v>25</v>
      </c>
      <c r="H272" s="4" t="s">
        <v>25</v>
      </c>
      <c r="I272" s="5">
        <v>44621</v>
      </c>
      <c r="J272" s="6">
        <v>0</v>
      </c>
      <c r="K272" s="6">
        <v>0</v>
      </c>
      <c r="L272" s="6">
        <v>17.309999999999999</v>
      </c>
      <c r="M272" s="6">
        <v>17.309999999999999</v>
      </c>
      <c r="N272" s="6">
        <v>17.309999999999999</v>
      </c>
      <c r="O272" s="6">
        <v>17.309999999999999</v>
      </c>
      <c r="P272" s="6">
        <v>12</v>
      </c>
      <c r="Q272" s="4" t="s">
        <v>26</v>
      </c>
      <c r="R272" s="4">
        <v>0</v>
      </c>
      <c r="S272" s="4" t="s">
        <v>182</v>
      </c>
      <c r="T272" s="4" t="s">
        <v>319</v>
      </c>
      <c r="U272" s="4">
        <v>0</v>
      </c>
      <c r="V272" s="4">
        <v>33</v>
      </c>
      <c r="W272" s="4">
        <v>1</v>
      </c>
    </row>
    <row r="273" spans="1:23" ht="11.25" customHeight="1" x14ac:dyDescent="0.25">
      <c r="A273" s="4" t="s">
        <v>21</v>
      </c>
      <c r="B273" s="4" t="s">
        <v>22</v>
      </c>
      <c r="C273" s="4" t="s">
        <v>23</v>
      </c>
      <c r="D273" s="4" t="s">
        <v>24</v>
      </c>
      <c r="E273" s="4" t="s">
        <v>28</v>
      </c>
      <c r="F273" s="4" t="s">
        <v>25</v>
      </c>
      <c r="G273" s="4" t="s">
        <v>25</v>
      </c>
      <c r="H273" s="4" t="s">
        <v>25</v>
      </c>
      <c r="I273" s="5">
        <v>44652</v>
      </c>
      <c r="J273" s="6">
        <v>0</v>
      </c>
      <c r="K273" s="6">
        <v>0</v>
      </c>
      <c r="L273" s="6">
        <v>18.989999999999998</v>
      </c>
      <c r="M273" s="6">
        <v>18.989999999999998</v>
      </c>
      <c r="N273" s="6">
        <v>18.989999999999998</v>
      </c>
      <c r="O273" s="6">
        <v>18.989999999999998</v>
      </c>
      <c r="P273" s="6">
        <v>13</v>
      </c>
      <c r="Q273" s="4" t="s">
        <v>26</v>
      </c>
      <c r="R273" s="4">
        <v>0</v>
      </c>
      <c r="S273" s="4" t="s">
        <v>183</v>
      </c>
      <c r="T273" s="4" t="s">
        <v>320</v>
      </c>
      <c r="U273" s="4">
        <v>0</v>
      </c>
      <c r="V273" s="4">
        <v>33</v>
      </c>
      <c r="W273" s="4">
        <v>1</v>
      </c>
    </row>
    <row r="274" spans="1:23" ht="11.25" customHeight="1" x14ac:dyDescent="0.25">
      <c r="A274" s="4" t="s">
        <v>21</v>
      </c>
      <c r="B274" s="4" t="s">
        <v>22</v>
      </c>
      <c r="C274" s="4" t="s">
        <v>23</v>
      </c>
      <c r="D274" s="4" t="s">
        <v>24</v>
      </c>
      <c r="E274" s="4" t="s">
        <v>28</v>
      </c>
      <c r="F274" s="4" t="s">
        <v>25</v>
      </c>
      <c r="G274" s="4" t="s">
        <v>25</v>
      </c>
      <c r="H274" s="4" t="s">
        <v>25</v>
      </c>
      <c r="I274" s="5">
        <v>44682</v>
      </c>
      <c r="J274" s="6">
        <v>0</v>
      </c>
      <c r="K274" s="6">
        <v>0</v>
      </c>
      <c r="L274" s="6">
        <v>19.745999999999999</v>
      </c>
      <c r="M274" s="6">
        <v>19.745999999999999</v>
      </c>
      <c r="N274" s="6">
        <v>19.745999999999999</v>
      </c>
      <c r="O274" s="6">
        <v>19.745999999999999</v>
      </c>
      <c r="P274" s="6">
        <v>18</v>
      </c>
      <c r="Q274" s="4" t="s">
        <v>26</v>
      </c>
      <c r="R274" s="4">
        <v>0</v>
      </c>
      <c r="S274" s="4" t="s">
        <v>184</v>
      </c>
      <c r="T274" s="4" t="s">
        <v>321</v>
      </c>
      <c r="U274" s="4">
        <v>0</v>
      </c>
      <c r="V274" s="4">
        <v>33</v>
      </c>
      <c r="W274" s="4">
        <v>1</v>
      </c>
    </row>
    <row r="275" spans="1:23" ht="11.25" customHeight="1" x14ac:dyDescent="0.25">
      <c r="A275" s="4" t="s">
        <v>27</v>
      </c>
      <c r="B275" s="4" t="s">
        <v>22</v>
      </c>
      <c r="C275" s="4" t="s">
        <v>23</v>
      </c>
      <c r="D275" s="4" t="s">
        <v>24</v>
      </c>
      <c r="E275" s="4" t="s">
        <v>28</v>
      </c>
      <c r="F275" s="4" t="s">
        <v>25</v>
      </c>
      <c r="G275" s="4" t="s">
        <v>25</v>
      </c>
      <c r="H275" s="4" t="s">
        <v>25</v>
      </c>
      <c r="I275" s="5">
        <v>44682</v>
      </c>
      <c r="J275" s="6">
        <v>0</v>
      </c>
      <c r="K275" s="6">
        <v>0</v>
      </c>
      <c r="L275" s="6">
        <v>0.03</v>
      </c>
      <c r="M275" s="6">
        <v>-8.9999999999999993E-3</v>
      </c>
      <c r="N275" s="6">
        <v>0.03</v>
      </c>
      <c r="O275" s="6">
        <v>-8.9999999999999993E-3</v>
      </c>
      <c r="P275" s="6">
        <v>0</v>
      </c>
      <c r="Q275" s="4" t="s">
        <v>26</v>
      </c>
      <c r="R275" s="4">
        <v>0</v>
      </c>
      <c r="S275" s="4" t="s">
        <v>184</v>
      </c>
      <c r="T275" s="4" t="s">
        <v>321</v>
      </c>
      <c r="U275" s="4">
        <v>0</v>
      </c>
      <c r="V275" s="4">
        <v>33</v>
      </c>
      <c r="W275" s="4">
        <v>1</v>
      </c>
    </row>
    <row r="276" spans="1:23" ht="11.25" customHeight="1" x14ac:dyDescent="0.25">
      <c r="A276" s="4" t="s">
        <v>21</v>
      </c>
      <c r="B276" s="4" t="s">
        <v>22</v>
      </c>
      <c r="C276" s="4" t="s">
        <v>23</v>
      </c>
      <c r="D276" s="4" t="s">
        <v>24</v>
      </c>
      <c r="E276" s="4" t="s">
        <v>28</v>
      </c>
      <c r="F276" s="4" t="s">
        <v>25</v>
      </c>
      <c r="G276" s="4" t="s">
        <v>25</v>
      </c>
      <c r="H276" s="4" t="s">
        <v>25</v>
      </c>
      <c r="I276" s="5">
        <v>44713</v>
      </c>
      <c r="J276" s="6">
        <v>0</v>
      </c>
      <c r="K276" s="6">
        <v>0</v>
      </c>
      <c r="L276" s="6">
        <v>21.78</v>
      </c>
      <c r="M276" s="6">
        <v>21.78</v>
      </c>
      <c r="N276" s="6">
        <v>21.78</v>
      </c>
      <c r="O276" s="6">
        <v>21.78</v>
      </c>
      <c r="P276" s="6">
        <v>18</v>
      </c>
      <c r="Q276" s="4" t="s">
        <v>26</v>
      </c>
      <c r="R276" s="4">
        <v>0</v>
      </c>
      <c r="S276" s="4" t="s">
        <v>185</v>
      </c>
      <c r="T276" s="4" t="s">
        <v>322</v>
      </c>
      <c r="U276" s="4">
        <v>0</v>
      </c>
      <c r="V276" s="4">
        <v>33</v>
      </c>
      <c r="W276" s="4">
        <v>1</v>
      </c>
    </row>
    <row r="277" spans="1:23" ht="11.25" customHeight="1" x14ac:dyDescent="0.25">
      <c r="A277" s="4" t="s">
        <v>27</v>
      </c>
      <c r="B277" s="4" t="s">
        <v>22</v>
      </c>
      <c r="C277" s="4" t="s">
        <v>23</v>
      </c>
      <c r="D277" s="4" t="s">
        <v>24</v>
      </c>
      <c r="E277" s="4" t="s">
        <v>28</v>
      </c>
      <c r="F277" s="4" t="s">
        <v>25</v>
      </c>
      <c r="G277" s="4" t="s">
        <v>25</v>
      </c>
      <c r="H277" s="4" t="s">
        <v>25</v>
      </c>
      <c r="I277" s="5">
        <v>44713</v>
      </c>
      <c r="J277" s="6">
        <v>0</v>
      </c>
      <c r="K277" s="6">
        <v>0</v>
      </c>
      <c r="L277" s="6">
        <v>0.06</v>
      </c>
      <c r="M277" s="6">
        <v>-5.7000000000000002E-2</v>
      </c>
      <c r="N277" s="6">
        <v>0.06</v>
      </c>
      <c r="O277" s="6">
        <v>-5.7000000000000002E-2</v>
      </c>
      <c r="P277" s="6">
        <v>0</v>
      </c>
      <c r="Q277" s="4" t="s">
        <v>26</v>
      </c>
      <c r="R277" s="4">
        <v>0</v>
      </c>
      <c r="S277" s="4" t="s">
        <v>185</v>
      </c>
      <c r="T277" s="4" t="s">
        <v>322</v>
      </c>
      <c r="U277" s="4">
        <v>0</v>
      </c>
      <c r="V277" s="4">
        <v>33</v>
      </c>
      <c r="W277" s="4">
        <v>1</v>
      </c>
    </row>
    <row r="278" spans="1:23" ht="11.25" customHeight="1" x14ac:dyDescent="0.25">
      <c r="A278" s="4" t="s">
        <v>21</v>
      </c>
      <c r="B278" s="4" t="s">
        <v>22</v>
      </c>
      <c r="C278" s="4" t="s">
        <v>23</v>
      </c>
      <c r="D278" s="4" t="s">
        <v>24</v>
      </c>
      <c r="E278" s="4" t="s">
        <v>29</v>
      </c>
      <c r="F278" s="4" t="s">
        <v>25</v>
      </c>
      <c r="G278" s="4" t="s">
        <v>25</v>
      </c>
      <c r="H278" s="4" t="s">
        <v>25</v>
      </c>
      <c r="I278" s="5">
        <v>44378</v>
      </c>
      <c r="J278" s="6">
        <v>0</v>
      </c>
      <c r="K278" s="6">
        <v>0</v>
      </c>
      <c r="L278" s="6">
        <v>18.091000000000001</v>
      </c>
      <c r="M278" s="6">
        <v>18.091000000000001</v>
      </c>
      <c r="N278" s="6">
        <v>18.091000000000001</v>
      </c>
      <c r="O278" s="6">
        <v>18.091000000000001</v>
      </c>
      <c r="P278" s="6">
        <v>50</v>
      </c>
      <c r="Q278" s="4" t="s">
        <v>26</v>
      </c>
      <c r="R278" s="4">
        <v>0</v>
      </c>
      <c r="S278" s="4" t="s">
        <v>186</v>
      </c>
      <c r="T278" s="4" t="s">
        <v>323</v>
      </c>
      <c r="U278" s="4">
        <v>0</v>
      </c>
      <c r="V278" s="4">
        <v>26</v>
      </c>
      <c r="W278" s="4">
        <v>18</v>
      </c>
    </row>
    <row r="279" spans="1:23" ht="11.25" customHeight="1" x14ac:dyDescent="0.25">
      <c r="A279" s="4" t="s">
        <v>21</v>
      </c>
      <c r="B279" s="4" t="s">
        <v>22</v>
      </c>
      <c r="C279" s="4" t="s">
        <v>23</v>
      </c>
      <c r="D279" s="4" t="s">
        <v>24</v>
      </c>
      <c r="E279" s="4" t="s">
        <v>29</v>
      </c>
      <c r="F279" s="4" t="s">
        <v>25</v>
      </c>
      <c r="G279" s="4" t="s">
        <v>25</v>
      </c>
      <c r="H279" s="4" t="s">
        <v>25</v>
      </c>
      <c r="I279" s="5">
        <v>44409</v>
      </c>
      <c r="J279" s="6">
        <v>0</v>
      </c>
      <c r="K279" s="6">
        <v>0</v>
      </c>
      <c r="L279" s="6">
        <v>18.702000000000002</v>
      </c>
      <c r="M279" s="6">
        <v>18.702000000000002</v>
      </c>
      <c r="N279" s="6">
        <v>18.702000000000002</v>
      </c>
      <c r="O279" s="6">
        <v>18.702000000000002</v>
      </c>
      <c r="P279" s="6">
        <v>53</v>
      </c>
      <c r="Q279" s="4" t="s">
        <v>26</v>
      </c>
      <c r="R279" s="4">
        <v>0</v>
      </c>
      <c r="S279" s="4" t="s">
        <v>187</v>
      </c>
      <c r="T279" s="4" t="s">
        <v>324</v>
      </c>
      <c r="U279" s="4">
        <v>0</v>
      </c>
      <c r="V279" s="4">
        <v>26</v>
      </c>
      <c r="W279" s="4">
        <v>18</v>
      </c>
    </row>
    <row r="280" spans="1:23" ht="11.25" customHeight="1" x14ac:dyDescent="0.25">
      <c r="A280" s="4" t="s">
        <v>21</v>
      </c>
      <c r="B280" s="4" t="s">
        <v>22</v>
      </c>
      <c r="C280" s="4" t="s">
        <v>23</v>
      </c>
      <c r="D280" s="4" t="s">
        <v>24</v>
      </c>
      <c r="E280" s="4" t="s">
        <v>29</v>
      </c>
      <c r="F280" s="4" t="s">
        <v>25</v>
      </c>
      <c r="G280" s="4" t="s">
        <v>25</v>
      </c>
      <c r="H280" s="4" t="s">
        <v>25</v>
      </c>
      <c r="I280" s="5">
        <v>44440</v>
      </c>
      <c r="J280" s="6">
        <v>0</v>
      </c>
      <c r="K280" s="6">
        <v>0</v>
      </c>
      <c r="L280" s="6">
        <v>18.943999999999999</v>
      </c>
      <c r="M280" s="6">
        <v>18.943999999999999</v>
      </c>
      <c r="N280" s="6">
        <v>18.943999999999999</v>
      </c>
      <c r="O280" s="6">
        <v>18.943999999999999</v>
      </c>
      <c r="P280" s="6">
        <v>56</v>
      </c>
      <c r="Q280" s="4" t="s">
        <v>26</v>
      </c>
      <c r="R280" s="4">
        <v>0</v>
      </c>
      <c r="S280" s="4" t="s">
        <v>188</v>
      </c>
      <c r="T280" s="4" t="s">
        <v>325</v>
      </c>
      <c r="U280" s="4">
        <v>0</v>
      </c>
      <c r="V280" s="4">
        <v>26</v>
      </c>
      <c r="W280" s="4">
        <v>18</v>
      </c>
    </row>
    <row r="281" spans="1:23" ht="11.25" customHeight="1" x14ac:dyDescent="0.25">
      <c r="A281" s="4" t="s">
        <v>21</v>
      </c>
      <c r="B281" s="4" t="s">
        <v>22</v>
      </c>
      <c r="C281" s="4" t="s">
        <v>23</v>
      </c>
      <c r="D281" s="4" t="s">
        <v>24</v>
      </c>
      <c r="E281" s="4" t="s">
        <v>29</v>
      </c>
      <c r="F281" s="4" t="s">
        <v>25</v>
      </c>
      <c r="G281" s="4" t="s">
        <v>25</v>
      </c>
      <c r="H281" s="4" t="s">
        <v>25</v>
      </c>
      <c r="I281" s="5">
        <v>44470</v>
      </c>
      <c r="J281" s="6">
        <v>0</v>
      </c>
      <c r="K281" s="6">
        <v>0</v>
      </c>
      <c r="L281" s="6">
        <v>18.806000000000001</v>
      </c>
      <c r="M281" s="6">
        <v>18.806000000000001</v>
      </c>
      <c r="N281" s="6">
        <v>18.806000000000001</v>
      </c>
      <c r="O281" s="6">
        <v>18.806000000000001</v>
      </c>
      <c r="P281" s="6">
        <v>59</v>
      </c>
      <c r="Q281" s="4" t="s">
        <v>26</v>
      </c>
      <c r="R281" s="4">
        <v>0</v>
      </c>
      <c r="S281" s="4" t="s">
        <v>189</v>
      </c>
      <c r="T281" s="4" t="s">
        <v>326</v>
      </c>
      <c r="U281" s="4">
        <v>0</v>
      </c>
      <c r="V281" s="4">
        <v>26</v>
      </c>
      <c r="W281" s="4">
        <v>18</v>
      </c>
    </row>
    <row r="282" spans="1:23" ht="11.25" customHeight="1" x14ac:dyDescent="0.25">
      <c r="A282" s="4" t="s">
        <v>21</v>
      </c>
      <c r="B282" s="4" t="s">
        <v>22</v>
      </c>
      <c r="C282" s="4" t="s">
        <v>23</v>
      </c>
      <c r="D282" s="4" t="s">
        <v>24</v>
      </c>
      <c r="E282" s="4" t="s">
        <v>29</v>
      </c>
      <c r="F282" s="4" t="s">
        <v>25</v>
      </c>
      <c r="G282" s="4" t="s">
        <v>25</v>
      </c>
      <c r="H282" s="4" t="s">
        <v>25</v>
      </c>
      <c r="I282" s="5">
        <v>44501</v>
      </c>
      <c r="J282" s="6">
        <v>0</v>
      </c>
      <c r="K282" s="6">
        <v>0</v>
      </c>
      <c r="L282" s="6">
        <v>19.143999999999998</v>
      </c>
      <c r="M282" s="6">
        <v>19.143999999999998</v>
      </c>
      <c r="N282" s="6">
        <v>19.143999999999998</v>
      </c>
      <c r="O282" s="6">
        <v>19.143999999999998</v>
      </c>
      <c r="P282" s="6">
        <v>48</v>
      </c>
      <c r="Q282" s="4" t="s">
        <v>26</v>
      </c>
      <c r="R282" s="4">
        <v>0</v>
      </c>
      <c r="S282" s="4" t="s">
        <v>190</v>
      </c>
      <c r="T282" s="4" t="s">
        <v>327</v>
      </c>
      <c r="U282" s="4">
        <v>0</v>
      </c>
      <c r="V282" s="4">
        <v>26</v>
      </c>
      <c r="W282" s="4">
        <v>18</v>
      </c>
    </row>
    <row r="283" spans="1:23" ht="11.25" customHeight="1" x14ac:dyDescent="0.25">
      <c r="A283" s="4" t="s">
        <v>21</v>
      </c>
      <c r="B283" s="4" t="s">
        <v>22</v>
      </c>
      <c r="C283" s="4" t="s">
        <v>23</v>
      </c>
      <c r="D283" s="4" t="s">
        <v>24</v>
      </c>
      <c r="E283" s="4" t="s">
        <v>29</v>
      </c>
      <c r="F283" s="4" t="s">
        <v>25</v>
      </c>
      <c r="G283" s="4" t="s">
        <v>25</v>
      </c>
      <c r="H283" s="4" t="s">
        <v>25</v>
      </c>
      <c r="I283" s="5">
        <v>44531</v>
      </c>
      <c r="J283" s="6">
        <v>0</v>
      </c>
      <c r="K283" s="6">
        <v>0</v>
      </c>
      <c r="L283" s="6">
        <v>26.596</v>
      </c>
      <c r="M283" s="6">
        <v>26.596</v>
      </c>
      <c r="N283" s="6">
        <v>26.596</v>
      </c>
      <c r="O283" s="6">
        <v>26.596</v>
      </c>
      <c r="P283" s="6">
        <v>67</v>
      </c>
      <c r="Q283" s="4" t="s">
        <v>26</v>
      </c>
      <c r="R283" s="4">
        <v>0</v>
      </c>
      <c r="S283" s="4" t="s">
        <v>191</v>
      </c>
      <c r="T283" s="4" t="s">
        <v>328</v>
      </c>
      <c r="U283" s="4">
        <v>0</v>
      </c>
      <c r="V283" s="4">
        <v>26</v>
      </c>
      <c r="W283" s="4">
        <v>18</v>
      </c>
    </row>
    <row r="284" spans="1:23" ht="11.25" customHeight="1" x14ac:dyDescent="0.25">
      <c r="A284" s="4" t="s">
        <v>21</v>
      </c>
      <c r="B284" s="4" t="s">
        <v>22</v>
      </c>
      <c r="C284" s="4" t="s">
        <v>23</v>
      </c>
      <c r="D284" s="4" t="s">
        <v>24</v>
      </c>
      <c r="E284" s="4" t="s">
        <v>29</v>
      </c>
      <c r="F284" s="4" t="s">
        <v>25</v>
      </c>
      <c r="G284" s="4" t="s">
        <v>25</v>
      </c>
      <c r="H284" s="4" t="s">
        <v>25</v>
      </c>
      <c r="I284" s="5">
        <v>44562</v>
      </c>
      <c r="J284" s="6">
        <v>0</v>
      </c>
      <c r="K284" s="6">
        <v>0</v>
      </c>
      <c r="L284" s="6">
        <v>31.931000000000001</v>
      </c>
      <c r="M284" s="6">
        <v>31.931000000000001</v>
      </c>
      <c r="N284" s="6">
        <v>31.931000000000001</v>
      </c>
      <c r="O284" s="6">
        <v>31.931000000000001</v>
      </c>
      <c r="P284" s="6">
        <v>74</v>
      </c>
      <c r="Q284" s="4" t="s">
        <v>26</v>
      </c>
      <c r="R284" s="4">
        <v>0</v>
      </c>
      <c r="S284" s="4" t="s">
        <v>192</v>
      </c>
      <c r="T284" s="4" t="s">
        <v>329</v>
      </c>
      <c r="U284" s="4">
        <v>0</v>
      </c>
      <c r="V284" s="4">
        <v>26</v>
      </c>
      <c r="W284" s="4">
        <v>18</v>
      </c>
    </row>
    <row r="285" spans="1:23" ht="11.25" customHeight="1" x14ac:dyDescent="0.25">
      <c r="A285" s="4" t="s">
        <v>21</v>
      </c>
      <c r="B285" s="4" t="s">
        <v>22</v>
      </c>
      <c r="C285" s="4" t="s">
        <v>23</v>
      </c>
      <c r="D285" s="4" t="s">
        <v>24</v>
      </c>
      <c r="E285" s="4" t="s">
        <v>29</v>
      </c>
      <c r="F285" s="4" t="s">
        <v>25</v>
      </c>
      <c r="G285" s="4" t="s">
        <v>25</v>
      </c>
      <c r="H285" s="4" t="s">
        <v>25</v>
      </c>
      <c r="I285" s="5">
        <v>44593</v>
      </c>
      <c r="J285" s="6">
        <v>0</v>
      </c>
      <c r="K285" s="6">
        <v>0</v>
      </c>
      <c r="L285" s="6">
        <v>35.450000000000003</v>
      </c>
      <c r="M285" s="6">
        <v>35.450000000000003</v>
      </c>
      <c r="N285" s="6">
        <v>35.450000000000003</v>
      </c>
      <c r="O285" s="6">
        <v>35.450000000000003</v>
      </c>
      <c r="P285" s="6">
        <v>84</v>
      </c>
      <c r="Q285" s="4" t="s">
        <v>26</v>
      </c>
      <c r="R285" s="4">
        <v>0</v>
      </c>
      <c r="S285" s="4" t="s">
        <v>193</v>
      </c>
      <c r="T285" s="4" t="s">
        <v>330</v>
      </c>
      <c r="U285" s="4">
        <v>0</v>
      </c>
      <c r="V285" s="4">
        <v>26</v>
      </c>
      <c r="W285" s="4">
        <v>18</v>
      </c>
    </row>
    <row r="286" spans="1:23" ht="11.25" customHeight="1" x14ac:dyDescent="0.25">
      <c r="A286" s="4" t="s">
        <v>21</v>
      </c>
      <c r="B286" s="4" t="s">
        <v>22</v>
      </c>
      <c r="C286" s="4" t="s">
        <v>23</v>
      </c>
      <c r="D286" s="4" t="s">
        <v>24</v>
      </c>
      <c r="E286" s="4" t="s">
        <v>29</v>
      </c>
      <c r="F286" s="4" t="s">
        <v>25</v>
      </c>
      <c r="G286" s="4" t="s">
        <v>25</v>
      </c>
      <c r="H286" s="4" t="s">
        <v>25</v>
      </c>
      <c r="I286" s="5">
        <v>44621</v>
      </c>
      <c r="J286" s="6">
        <v>0</v>
      </c>
      <c r="K286" s="6">
        <v>0</v>
      </c>
      <c r="L286" s="6">
        <v>36.933999999999997</v>
      </c>
      <c r="M286" s="6">
        <v>36.933999999999997</v>
      </c>
      <c r="N286" s="6">
        <v>36.933999999999997</v>
      </c>
      <c r="O286" s="6">
        <v>36.933999999999997</v>
      </c>
      <c r="P286" s="6">
        <v>114</v>
      </c>
      <c r="Q286" s="4" t="s">
        <v>26</v>
      </c>
      <c r="R286" s="4">
        <v>0</v>
      </c>
      <c r="S286" s="4" t="s">
        <v>194</v>
      </c>
      <c r="T286" s="4" t="s">
        <v>331</v>
      </c>
      <c r="U286" s="4">
        <v>0</v>
      </c>
      <c r="V286" s="4">
        <v>26</v>
      </c>
      <c r="W286" s="4">
        <v>18</v>
      </c>
    </row>
    <row r="287" spans="1:23" ht="11.25" customHeight="1" x14ac:dyDescent="0.25">
      <c r="A287" s="4" t="s">
        <v>21</v>
      </c>
      <c r="B287" s="4" t="s">
        <v>22</v>
      </c>
      <c r="C287" s="4" t="s">
        <v>23</v>
      </c>
      <c r="D287" s="4" t="s">
        <v>24</v>
      </c>
      <c r="E287" s="4" t="s">
        <v>29</v>
      </c>
      <c r="F287" s="4" t="s">
        <v>25</v>
      </c>
      <c r="G287" s="4" t="s">
        <v>25</v>
      </c>
      <c r="H287" s="4" t="s">
        <v>25</v>
      </c>
      <c r="I287" s="5">
        <v>44652</v>
      </c>
      <c r="J287" s="6">
        <v>0</v>
      </c>
      <c r="K287" s="6">
        <v>0</v>
      </c>
      <c r="L287" s="6">
        <v>39.765000000000001</v>
      </c>
      <c r="M287" s="6">
        <v>39.765000000000001</v>
      </c>
      <c r="N287" s="6">
        <v>39.765000000000001</v>
      </c>
      <c r="O287" s="6">
        <v>39.765000000000001</v>
      </c>
      <c r="P287" s="6">
        <v>144</v>
      </c>
      <c r="Q287" s="4" t="s">
        <v>26</v>
      </c>
      <c r="R287" s="4">
        <v>0</v>
      </c>
      <c r="S287" s="4" t="s">
        <v>195</v>
      </c>
      <c r="T287" s="4" t="s">
        <v>332</v>
      </c>
      <c r="U287" s="4">
        <v>0</v>
      </c>
      <c r="V287" s="4">
        <v>26</v>
      </c>
      <c r="W287" s="4">
        <v>18</v>
      </c>
    </row>
    <row r="288" spans="1:23" ht="11.25" customHeight="1" x14ac:dyDescent="0.25">
      <c r="A288" s="4" t="s">
        <v>21</v>
      </c>
      <c r="B288" s="4" t="s">
        <v>22</v>
      </c>
      <c r="C288" s="4" t="s">
        <v>23</v>
      </c>
      <c r="D288" s="4" t="s">
        <v>24</v>
      </c>
      <c r="E288" s="4" t="s">
        <v>29</v>
      </c>
      <c r="F288" s="4" t="s">
        <v>25</v>
      </c>
      <c r="G288" s="4" t="s">
        <v>25</v>
      </c>
      <c r="H288" s="4" t="s">
        <v>25</v>
      </c>
      <c r="I288" s="5">
        <v>44682</v>
      </c>
      <c r="J288" s="6">
        <v>0</v>
      </c>
      <c r="K288" s="6">
        <v>0</v>
      </c>
      <c r="L288" s="6">
        <v>40.735999999999997</v>
      </c>
      <c r="M288" s="6">
        <v>40.735999999999997</v>
      </c>
      <c r="N288" s="6">
        <v>40.735999999999997</v>
      </c>
      <c r="O288" s="6">
        <v>40.735999999999997</v>
      </c>
      <c r="P288" s="6">
        <v>140</v>
      </c>
      <c r="Q288" s="4" t="s">
        <v>26</v>
      </c>
      <c r="R288" s="4">
        <v>0</v>
      </c>
      <c r="S288" s="4" t="s">
        <v>196</v>
      </c>
      <c r="T288" s="4" t="s">
        <v>333</v>
      </c>
      <c r="U288" s="4">
        <v>0</v>
      </c>
      <c r="V288" s="4">
        <v>26</v>
      </c>
      <c r="W288" s="4">
        <v>18</v>
      </c>
    </row>
    <row r="289" spans="1:23" ht="11.25" customHeight="1" x14ac:dyDescent="0.25">
      <c r="A289" s="4" t="s">
        <v>27</v>
      </c>
      <c r="B289" s="4" t="s">
        <v>22</v>
      </c>
      <c r="C289" s="4" t="s">
        <v>23</v>
      </c>
      <c r="D289" s="4" t="s">
        <v>24</v>
      </c>
      <c r="E289" s="4" t="s">
        <v>29</v>
      </c>
      <c r="F289" s="4" t="s">
        <v>25</v>
      </c>
      <c r="G289" s="4" t="s">
        <v>25</v>
      </c>
      <c r="H289" s="4" t="s">
        <v>25</v>
      </c>
      <c r="I289" s="5">
        <v>44682</v>
      </c>
      <c r="J289" s="6">
        <v>0</v>
      </c>
      <c r="K289" s="6">
        <v>0</v>
      </c>
      <c r="L289" s="6">
        <v>7.0000000000000007E-2</v>
      </c>
      <c r="M289" s="6">
        <v>1.4E-2</v>
      </c>
      <c r="N289" s="6">
        <v>7.0000000000000007E-2</v>
      </c>
      <c r="O289" s="6">
        <v>1.4E-2</v>
      </c>
      <c r="P289" s="6">
        <v>0</v>
      </c>
      <c r="Q289" s="4" t="s">
        <v>26</v>
      </c>
      <c r="R289" s="4">
        <v>0</v>
      </c>
      <c r="S289" s="4" t="s">
        <v>196</v>
      </c>
      <c r="T289" s="4" t="s">
        <v>333</v>
      </c>
      <c r="U289" s="4">
        <v>0</v>
      </c>
      <c r="V289" s="4">
        <v>26</v>
      </c>
      <c r="W289" s="4">
        <v>18</v>
      </c>
    </row>
    <row r="290" spans="1:23" ht="11.25" customHeight="1" x14ac:dyDescent="0.25">
      <c r="A290" s="4" t="s">
        <v>21</v>
      </c>
      <c r="B290" s="4" t="s">
        <v>22</v>
      </c>
      <c r="C290" s="4" t="s">
        <v>23</v>
      </c>
      <c r="D290" s="4" t="s">
        <v>24</v>
      </c>
      <c r="E290" s="4" t="s">
        <v>29</v>
      </c>
      <c r="F290" s="4" t="s">
        <v>25</v>
      </c>
      <c r="G290" s="4" t="s">
        <v>25</v>
      </c>
      <c r="H290" s="4" t="s">
        <v>25</v>
      </c>
      <c r="I290" s="5">
        <v>44713</v>
      </c>
      <c r="J290" s="6">
        <v>0</v>
      </c>
      <c r="K290" s="6">
        <v>0</v>
      </c>
      <c r="L290" s="6">
        <v>45.326999999999998</v>
      </c>
      <c r="M290" s="6">
        <v>45.326999999999998</v>
      </c>
      <c r="N290" s="6">
        <v>45.326999999999998</v>
      </c>
      <c r="O290" s="6">
        <v>45.326999999999998</v>
      </c>
      <c r="P290" s="6">
        <v>154</v>
      </c>
      <c r="Q290" s="4" t="s">
        <v>26</v>
      </c>
      <c r="R290" s="4">
        <v>0</v>
      </c>
      <c r="S290" s="4" t="s">
        <v>197</v>
      </c>
      <c r="T290" s="4" t="s">
        <v>334</v>
      </c>
      <c r="U290" s="4">
        <v>0</v>
      </c>
      <c r="V290" s="4">
        <v>26</v>
      </c>
      <c r="W290" s="4">
        <v>18</v>
      </c>
    </row>
    <row r="291" spans="1:23" ht="11.25" customHeight="1" x14ac:dyDescent="0.25">
      <c r="A291" s="4" t="s">
        <v>27</v>
      </c>
      <c r="B291" s="4" t="s">
        <v>22</v>
      </c>
      <c r="C291" s="4" t="s">
        <v>23</v>
      </c>
      <c r="D291" s="4" t="s">
        <v>24</v>
      </c>
      <c r="E291" s="4" t="s">
        <v>29</v>
      </c>
      <c r="F291" s="4" t="s">
        <v>25</v>
      </c>
      <c r="G291" s="4" t="s">
        <v>25</v>
      </c>
      <c r="H291" s="4" t="s">
        <v>25</v>
      </c>
      <c r="I291" s="5">
        <v>44713</v>
      </c>
      <c r="J291" s="6">
        <v>0</v>
      </c>
      <c r="K291" s="6">
        <v>0</v>
      </c>
      <c r="L291" s="6">
        <v>7.0000000000000007E-2</v>
      </c>
      <c r="M291" s="6">
        <v>-1.4E-2</v>
      </c>
      <c r="N291" s="6">
        <v>7.0000000000000007E-2</v>
      </c>
      <c r="O291" s="6">
        <v>-1.4E-2</v>
      </c>
      <c r="P291" s="6">
        <v>0</v>
      </c>
      <c r="Q291" s="4" t="s">
        <v>26</v>
      </c>
      <c r="R291" s="4">
        <v>0</v>
      </c>
      <c r="S291" s="4" t="s">
        <v>197</v>
      </c>
      <c r="T291" s="4" t="s">
        <v>334</v>
      </c>
      <c r="U291" s="4">
        <v>0</v>
      </c>
      <c r="V291" s="4">
        <v>26</v>
      </c>
      <c r="W291" s="4">
        <v>18</v>
      </c>
    </row>
    <row r="292" spans="1:23" ht="11.25" customHeight="1" x14ac:dyDescent="0.25">
      <c r="A292" s="4" t="s">
        <v>21</v>
      </c>
      <c r="B292" s="4" t="s">
        <v>22</v>
      </c>
      <c r="C292" s="4" t="s">
        <v>23</v>
      </c>
      <c r="D292" s="4" t="s">
        <v>24</v>
      </c>
      <c r="E292" s="4" t="s">
        <v>30</v>
      </c>
      <c r="F292" s="4" t="s">
        <v>25</v>
      </c>
      <c r="G292" s="4" t="s">
        <v>25</v>
      </c>
      <c r="H292" s="4" t="s">
        <v>25</v>
      </c>
      <c r="I292" s="5">
        <v>44378</v>
      </c>
      <c r="J292" s="6">
        <v>0</v>
      </c>
      <c r="K292" s="6">
        <v>0</v>
      </c>
      <c r="L292" s="6">
        <v>18.306999999999999</v>
      </c>
      <c r="M292" s="6">
        <v>18.306999999999999</v>
      </c>
      <c r="N292" s="6">
        <v>18.306999999999999</v>
      </c>
      <c r="O292" s="6">
        <v>18.306999999999999</v>
      </c>
      <c r="P292" s="6">
        <v>145</v>
      </c>
      <c r="Q292" s="4" t="s">
        <v>26</v>
      </c>
      <c r="R292" s="4">
        <v>0</v>
      </c>
      <c r="S292" s="4" t="s">
        <v>198</v>
      </c>
      <c r="T292" s="4" t="s">
        <v>335</v>
      </c>
      <c r="U292" s="4">
        <v>0</v>
      </c>
      <c r="V292" s="4">
        <v>45</v>
      </c>
      <c r="W292" s="4">
        <v>53</v>
      </c>
    </row>
    <row r="293" spans="1:23" ht="11.25" customHeight="1" x14ac:dyDescent="0.25">
      <c r="A293" s="4" t="s">
        <v>21</v>
      </c>
      <c r="B293" s="4" t="s">
        <v>22</v>
      </c>
      <c r="C293" s="4" t="s">
        <v>23</v>
      </c>
      <c r="D293" s="4" t="s">
        <v>24</v>
      </c>
      <c r="E293" s="4" t="s">
        <v>30</v>
      </c>
      <c r="F293" s="4" t="s">
        <v>25</v>
      </c>
      <c r="G293" s="4" t="s">
        <v>25</v>
      </c>
      <c r="H293" s="4" t="s">
        <v>25</v>
      </c>
      <c r="I293" s="5">
        <v>44409</v>
      </c>
      <c r="J293" s="6">
        <v>0</v>
      </c>
      <c r="K293" s="6">
        <v>0</v>
      </c>
      <c r="L293" s="6">
        <v>19.001999999999999</v>
      </c>
      <c r="M293" s="6">
        <v>19.001999999999999</v>
      </c>
      <c r="N293" s="6">
        <v>19.001999999999999</v>
      </c>
      <c r="O293" s="6">
        <v>19.001999999999999</v>
      </c>
      <c r="P293" s="6">
        <v>148</v>
      </c>
      <c r="Q293" s="4" t="s">
        <v>26</v>
      </c>
      <c r="R293" s="4">
        <v>0</v>
      </c>
      <c r="S293" s="4" t="s">
        <v>199</v>
      </c>
      <c r="T293" s="4" t="s">
        <v>336</v>
      </c>
      <c r="U293" s="4">
        <v>0</v>
      </c>
      <c r="V293" s="4">
        <v>45</v>
      </c>
      <c r="W293" s="4">
        <v>53</v>
      </c>
    </row>
    <row r="294" spans="1:23" ht="11.25" customHeight="1" x14ac:dyDescent="0.25">
      <c r="A294" s="4" t="s">
        <v>21</v>
      </c>
      <c r="B294" s="4" t="s">
        <v>22</v>
      </c>
      <c r="C294" s="4" t="s">
        <v>23</v>
      </c>
      <c r="D294" s="4" t="s">
        <v>24</v>
      </c>
      <c r="E294" s="4" t="s">
        <v>30</v>
      </c>
      <c r="F294" s="4" t="s">
        <v>25</v>
      </c>
      <c r="G294" s="4" t="s">
        <v>25</v>
      </c>
      <c r="H294" s="4" t="s">
        <v>25</v>
      </c>
      <c r="I294" s="5">
        <v>44440</v>
      </c>
      <c r="J294" s="6">
        <v>0</v>
      </c>
      <c r="K294" s="6">
        <v>0</v>
      </c>
      <c r="L294" s="6">
        <v>18.817</v>
      </c>
      <c r="M294" s="6">
        <v>18.817</v>
      </c>
      <c r="N294" s="6">
        <v>18.817</v>
      </c>
      <c r="O294" s="6">
        <v>18.817</v>
      </c>
      <c r="P294" s="6">
        <v>153</v>
      </c>
      <c r="Q294" s="4" t="s">
        <v>26</v>
      </c>
      <c r="R294" s="4">
        <v>0</v>
      </c>
      <c r="S294" s="4" t="s">
        <v>200</v>
      </c>
      <c r="T294" s="4" t="s">
        <v>337</v>
      </c>
      <c r="U294" s="4">
        <v>0</v>
      </c>
      <c r="V294" s="4">
        <v>45</v>
      </c>
      <c r="W294" s="4">
        <v>53</v>
      </c>
    </row>
    <row r="295" spans="1:23" ht="11.25" customHeight="1" x14ac:dyDescent="0.25">
      <c r="A295" s="4" t="s">
        <v>21</v>
      </c>
      <c r="B295" s="4" t="s">
        <v>22</v>
      </c>
      <c r="C295" s="4" t="s">
        <v>23</v>
      </c>
      <c r="D295" s="4" t="s">
        <v>24</v>
      </c>
      <c r="E295" s="4" t="s">
        <v>30</v>
      </c>
      <c r="F295" s="4" t="s">
        <v>25</v>
      </c>
      <c r="G295" s="4" t="s">
        <v>25</v>
      </c>
      <c r="H295" s="4" t="s">
        <v>25</v>
      </c>
      <c r="I295" s="5">
        <v>44470</v>
      </c>
      <c r="J295" s="6">
        <v>0</v>
      </c>
      <c r="K295" s="6">
        <v>0</v>
      </c>
      <c r="L295" s="6">
        <v>17.649000000000001</v>
      </c>
      <c r="M295" s="6">
        <v>17.649000000000001</v>
      </c>
      <c r="N295" s="6">
        <v>17.649000000000001</v>
      </c>
      <c r="O295" s="6">
        <v>17.649000000000001</v>
      </c>
      <c r="P295" s="6">
        <v>170</v>
      </c>
      <c r="Q295" s="4" t="s">
        <v>26</v>
      </c>
      <c r="R295" s="4">
        <v>0</v>
      </c>
      <c r="S295" s="4" t="s">
        <v>201</v>
      </c>
      <c r="T295" s="4" t="s">
        <v>338</v>
      </c>
      <c r="U295" s="4">
        <v>0</v>
      </c>
      <c r="V295" s="4">
        <v>45</v>
      </c>
      <c r="W295" s="4">
        <v>53</v>
      </c>
    </row>
    <row r="296" spans="1:23" ht="11.25" customHeight="1" x14ac:dyDescent="0.25">
      <c r="A296" s="4" t="s">
        <v>21</v>
      </c>
      <c r="B296" s="4" t="s">
        <v>22</v>
      </c>
      <c r="C296" s="4" t="s">
        <v>23</v>
      </c>
      <c r="D296" s="4" t="s">
        <v>24</v>
      </c>
      <c r="E296" s="4" t="s">
        <v>30</v>
      </c>
      <c r="F296" s="4" t="s">
        <v>25</v>
      </c>
      <c r="G296" s="4" t="s">
        <v>25</v>
      </c>
      <c r="H296" s="4" t="s">
        <v>25</v>
      </c>
      <c r="I296" s="5">
        <v>44501</v>
      </c>
      <c r="J296" s="6">
        <v>0</v>
      </c>
      <c r="K296" s="6">
        <v>0</v>
      </c>
      <c r="L296" s="6">
        <v>19.239000000000001</v>
      </c>
      <c r="M296" s="6">
        <v>19.239000000000001</v>
      </c>
      <c r="N296" s="6">
        <v>19.239000000000001</v>
      </c>
      <c r="O296" s="6">
        <v>19.239000000000001</v>
      </c>
      <c r="P296" s="6">
        <v>160</v>
      </c>
      <c r="Q296" s="4" t="s">
        <v>26</v>
      </c>
      <c r="R296" s="4">
        <v>0</v>
      </c>
      <c r="S296" s="4" t="s">
        <v>202</v>
      </c>
      <c r="T296" s="4" t="s">
        <v>339</v>
      </c>
      <c r="U296" s="4">
        <v>0</v>
      </c>
      <c r="V296" s="4">
        <v>45</v>
      </c>
      <c r="W296" s="4">
        <v>53</v>
      </c>
    </row>
    <row r="297" spans="1:23" ht="11.25" customHeight="1" x14ac:dyDescent="0.25">
      <c r="A297" s="4" t="s">
        <v>21</v>
      </c>
      <c r="B297" s="4" t="s">
        <v>22</v>
      </c>
      <c r="C297" s="4" t="s">
        <v>23</v>
      </c>
      <c r="D297" s="4" t="s">
        <v>24</v>
      </c>
      <c r="E297" s="4" t="s">
        <v>30</v>
      </c>
      <c r="F297" s="4" t="s">
        <v>25</v>
      </c>
      <c r="G297" s="4" t="s">
        <v>25</v>
      </c>
      <c r="H297" s="4" t="s">
        <v>25</v>
      </c>
      <c r="I297" s="5">
        <v>44531</v>
      </c>
      <c r="J297" s="6">
        <v>0</v>
      </c>
      <c r="K297" s="6">
        <v>0</v>
      </c>
      <c r="L297" s="6">
        <v>26.501000000000001</v>
      </c>
      <c r="M297" s="6">
        <v>26.501000000000001</v>
      </c>
      <c r="N297" s="6">
        <v>26.501000000000001</v>
      </c>
      <c r="O297" s="6">
        <v>26.501000000000001</v>
      </c>
      <c r="P297" s="6">
        <v>226</v>
      </c>
      <c r="Q297" s="4" t="s">
        <v>26</v>
      </c>
      <c r="R297" s="4">
        <v>0</v>
      </c>
      <c r="S297" s="4" t="s">
        <v>203</v>
      </c>
      <c r="T297" s="4" t="s">
        <v>340</v>
      </c>
      <c r="U297" s="4">
        <v>0</v>
      </c>
      <c r="V297" s="4">
        <v>45</v>
      </c>
      <c r="W297" s="4">
        <v>53</v>
      </c>
    </row>
    <row r="298" spans="1:23" ht="11.25" customHeight="1" x14ac:dyDescent="0.25">
      <c r="A298" s="4" t="s">
        <v>21</v>
      </c>
      <c r="B298" s="4" t="s">
        <v>22</v>
      </c>
      <c r="C298" s="4" t="s">
        <v>23</v>
      </c>
      <c r="D298" s="4" t="s">
        <v>24</v>
      </c>
      <c r="E298" s="4" t="s">
        <v>30</v>
      </c>
      <c r="F298" s="4" t="s">
        <v>25</v>
      </c>
      <c r="G298" s="4" t="s">
        <v>25</v>
      </c>
      <c r="H298" s="4" t="s">
        <v>25</v>
      </c>
      <c r="I298" s="5">
        <v>44562</v>
      </c>
      <c r="J298" s="6">
        <v>0</v>
      </c>
      <c r="K298" s="6">
        <v>0</v>
      </c>
      <c r="L298" s="6">
        <v>32.462000000000003</v>
      </c>
      <c r="M298" s="6">
        <v>32.462000000000003</v>
      </c>
      <c r="N298" s="6">
        <v>32.462000000000003</v>
      </c>
      <c r="O298" s="6">
        <v>32.462000000000003</v>
      </c>
      <c r="P298" s="6">
        <v>270</v>
      </c>
      <c r="Q298" s="4" t="s">
        <v>26</v>
      </c>
      <c r="R298" s="4">
        <v>0</v>
      </c>
      <c r="S298" s="4" t="s">
        <v>204</v>
      </c>
      <c r="T298" s="4" t="s">
        <v>341</v>
      </c>
      <c r="U298" s="4">
        <v>0</v>
      </c>
      <c r="V298" s="4">
        <v>45</v>
      </c>
      <c r="W298" s="4">
        <v>53</v>
      </c>
    </row>
    <row r="299" spans="1:23" ht="11.25" customHeight="1" x14ac:dyDescent="0.25">
      <c r="A299" s="4" t="s">
        <v>21</v>
      </c>
      <c r="B299" s="4" t="s">
        <v>22</v>
      </c>
      <c r="C299" s="4" t="s">
        <v>23</v>
      </c>
      <c r="D299" s="4" t="s">
        <v>24</v>
      </c>
      <c r="E299" s="4" t="s">
        <v>30</v>
      </c>
      <c r="F299" s="4" t="s">
        <v>25</v>
      </c>
      <c r="G299" s="4" t="s">
        <v>25</v>
      </c>
      <c r="H299" s="4" t="s">
        <v>25</v>
      </c>
      <c r="I299" s="5">
        <v>44593</v>
      </c>
      <c r="J299" s="6">
        <v>0</v>
      </c>
      <c r="K299" s="6">
        <v>0</v>
      </c>
      <c r="L299" s="6">
        <v>35.831000000000003</v>
      </c>
      <c r="M299" s="6">
        <v>35.831000000000003</v>
      </c>
      <c r="N299" s="6">
        <v>35.831000000000003</v>
      </c>
      <c r="O299" s="6">
        <v>35.831000000000003</v>
      </c>
      <c r="P299" s="6">
        <v>301</v>
      </c>
      <c r="Q299" s="4" t="s">
        <v>26</v>
      </c>
      <c r="R299" s="4">
        <v>0</v>
      </c>
      <c r="S299" s="4" t="s">
        <v>205</v>
      </c>
      <c r="T299" s="4" t="s">
        <v>342</v>
      </c>
      <c r="U299" s="4">
        <v>0</v>
      </c>
      <c r="V299" s="4">
        <v>45</v>
      </c>
      <c r="W299" s="4">
        <v>53</v>
      </c>
    </row>
    <row r="300" spans="1:23" ht="11.25" customHeight="1" x14ac:dyDescent="0.25">
      <c r="A300" s="4" t="s">
        <v>21</v>
      </c>
      <c r="B300" s="4" t="s">
        <v>22</v>
      </c>
      <c r="C300" s="4" t="s">
        <v>23</v>
      </c>
      <c r="D300" s="4" t="s">
        <v>24</v>
      </c>
      <c r="E300" s="4" t="s">
        <v>30</v>
      </c>
      <c r="F300" s="4" t="s">
        <v>25</v>
      </c>
      <c r="G300" s="4" t="s">
        <v>25</v>
      </c>
      <c r="H300" s="4" t="s">
        <v>25</v>
      </c>
      <c r="I300" s="5">
        <v>44621</v>
      </c>
      <c r="J300" s="6">
        <v>0</v>
      </c>
      <c r="K300" s="6">
        <v>0</v>
      </c>
      <c r="L300" s="6">
        <v>34.677999999999997</v>
      </c>
      <c r="M300" s="6">
        <v>34.677999999999997</v>
      </c>
      <c r="N300" s="6">
        <v>34.677999999999997</v>
      </c>
      <c r="O300" s="6">
        <v>34.677999999999997</v>
      </c>
      <c r="P300" s="6">
        <v>307</v>
      </c>
      <c r="Q300" s="4" t="s">
        <v>26</v>
      </c>
      <c r="R300" s="4">
        <v>0</v>
      </c>
      <c r="S300" s="4" t="s">
        <v>206</v>
      </c>
      <c r="T300" s="4" t="s">
        <v>343</v>
      </c>
      <c r="U300" s="4">
        <v>0</v>
      </c>
      <c r="V300" s="4">
        <v>45</v>
      </c>
      <c r="W300" s="4">
        <v>53</v>
      </c>
    </row>
    <row r="301" spans="1:23" ht="11.25" customHeight="1" x14ac:dyDescent="0.25">
      <c r="A301" s="4" t="s">
        <v>21</v>
      </c>
      <c r="B301" s="4" t="s">
        <v>22</v>
      </c>
      <c r="C301" s="4" t="s">
        <v>23</v>
      </c>
      <c r="D301" s="4" t="s">
        <v>24</v>
      </c>
      <c r="E301" s="4" t="s">
        <v>30</v>
      </c>
      <c r="F301" s="4" t="s">
        <v>25</v>
      </c>
      <c r="G301" s="4" t="s">
        <v>25</v>
      </c>
      <c r="H301" s="4" t="s">
        <v>25</v>
      </c>
      <c r="I301" s="5">
        <v>44652</v>
      </c>
      <c r="J301" s="6">
        <v>0</v>
      </c>
      <c r="K301" s="6">
        <v>0</v>
      </c>
      <c r="L301" s="6">
        <v>34.430999999999997</v>
      </c>
      <c r="M301" s="6">
        <v>34.430999999999997</v>
      </c>
      <c r="N301" s="6">
        <v>34.430999999999997</v>
      </c>
      <c r="O301" s="6">
        <v>34.430999999999997</v>
      </c>
      <c r="P301" s="6">
        <v>351</v>
      </c>
      <c r="Q301" s="4" t="s">
        <v>26</v>
      </c>
      <c r="R301" s="4">
        <v>0</v>
      </c>
      <c r="S301" s="4" t="s">
        <v>207</v>
      </c>
      <c r="T301" s="4" t="s">
        <v>344</v>
      </c>
      <c r="U301" s="4">
        <v>0</v>
      </c>
      <c r="V301" s="4">
        <v>45</v>
      </c>
      <c r="W301" s="4">
        <v>53</v>
      </c>
    </row>
    <row r="302" spans="1:23" ht="11.25" customHeight="1" x14ac:dyDescent="0.25">
      <c r="A302" s="4" t="s">
        <v>21</v>
      </c>
      <c r="B302" s="4" t="s">
        <v>22</v>
      </c>
      <c r="C302" s="4" t="s">
        <v>23</v>
      </c>
      <c r="D302" s="4" t="s">
        <v>24</v>
      </c>
      <c r="E302" s="4" t="s">
        <v>30</v>
      </c>
      <c r="F302" s="4" t="s">
        <v>25</v>
      </c>
      <c r="G302" s="4" t="s">
        <v>25</v>
      </c>
      <c r="H302" s="4" t="s">
        <v>25</v>
      </c>
      <c r="I302" s="5">
        <v>44682</v>
      </c>
      <c r="J302" s="6">
        <v>0</v>
      </c>
      <c r="K302" s="6">
        <v>0</v>
      </c>
      <c r="L302" s="6">
        <v>37.392000000000003</v>
      </c>
      <c r="M302" s="6">
        <v>37.392000000000003</v>
      </c>
      <c r="N302" s="6">
        <v>37.392000000000003</v>
      </c>
      <c r="O302" s="6">
        <v>37.392000000000003</v>
      </c>
      <c r="P302" s="6">
        <v>353</v>
      </c>
      <c r="Q302" s="4" t="s">
        <v>26</v>
      </c>
      <c r="R302" s="4">
        <v>0</v>
      </c>
      <c r="S302" s="4" t="s">
        <v>208</v>
      </c>
      <c r="T302" s="4" t="s">
        <v>345</v>
      </c>
      <c r="U302" s="4">
        <v>0</v>
      </c>
      <c r="V302" s="4">
        <v>45</v>
      </c>
      <c r="W302" s="4">
        <v>53</v>
      </c>
    </row>
    <row r="303" spans="1:23" ht="11.25" customHeight="1" x14ac:dyDescent="0.25">
      <c r="A303" s="4" t="s">
        <v>27</v>
      </c>
      <c r="B303" s="4" t="s">
        <v>22</v>
      </c>
      <c r="C303" s="4" t="s">
        <v>23</v>
      </c>
      <c r="D303" s="4" t="s">
        <v>24</v>
      </c>
      <c r="E303" s="4" t="s">
        <v>30</v>
      </c>
      <c r="F303" s="4" t="s">
        <v>25</v>
      </c>
      <c r="G303" s="4" t="s">
        <v>25</v>
      </c>
      <c r="H303" s="4" t="s">
        <v>25</v>
      </c>
      <c r="I303" s="5">
        <v>44682</v>
      </c>
      <c r="J303" s="6">
        <v>0</v>
      </c>
      <c r="K303" s="6">
        <v>0</v>
      </c>
      <c r="L303" s="6">
        <v>0.12</v>
      </c>
      <c r="M303" s="6">
        <v>9.6000000000000002E-2</v>
      </c>
      <c r="N303" s="6">
        <v>0.12</v>
      </c>
      <c r="O303" s="6">
        <v>9.6000000000000002E-2</v>
      </c>
      <c r="P303" s="6">
        <v>1</v>
      </c>
      <c r="Q303" s="4" t="s">
        <v>26</v>
      </c>
      <c r="R303" s="4">
        <v>0</v>
      </c>
      <c r="S303" s="4" t="s">
        <v>208</v>
      </c>
      <c r="T303" s="4" t="s">
        <v>345</v>
      </c>
      <c r="U303" s="4">
        <v>0</v>
      </c>
      <c r="V303" s="4">
        <v>45</v>
      </c>
      <c r="W303" s="4">
        <v>53</v>
      </c>
    </row>
    <row r="304" spans="1:23" ht="11.25" customHeight="1" x14ac:dyDescent="0.25">
      <c r="A304" s="4" t="s">
        <v>21</v>
      </c>
      <c r="B304" s="4" t="s">
        <v>22</v>
      </c>
      <c r="C304" s="4" t="s">
        <v>23</v>
      </c>
      <c r="D304" s="4" t="s">
        <v>24</v>
      </c>
      <c r="E304" s="4" t="s">
        <v>30</v>
      </c>
      <c r="F304" s="4" t="s">
        <v>25</v>
      </c>
      <c r="G304" s="4" t="s">
        <v>25</v>
      </c>
      <c r="H304" s="4" t="s">
        <v>25</v>
      </c>
      <c r="I304" s="5">
        <v>44713</v>
      </c>
      <c r="J304" s="6">
        <v>0</v>
      </c>
      <c r="K304" s="6">
        <v>0</v>
      </c>
      <c r="L304" s="6">
        <v>44.087000000000003</v>
      </c>
      <c r="M304" s="6">
        <v>44.087000000000003</v>
      </c>
      <c r="N304" s="6">
        <v>44.087000000000003</v>
      </c>
      <c r="O304" s="6">
        <v>44.087000000000003</v>
      </c>
      <c r="P304" s="6">
        <v>350</v>
      </c>
      <c r="Q304" s="4" t="s">
        <v>26</v>
      </c>
      <c r="R304" s="4">
        <v>0</v>
      </c>
      <c r="S304" s="4" t="s">
        <v>209</v>
      </c>
      <c r="T304" s="4" t="s">
        <v>346</v>
      </c>
      <c r="U304" s="4">
        <v>0</v>
      </c>
      <c r="V304" s="4">
        <v>45</v>
      </c>
      <c r="W304" s="4">
        <v>53</v>
      </c>
    </row>
    <row r="305" spans="1:23" ht="11.25" customHeight="1" x14ac:dyDescent="0.25">
      <c r="A305" s="4" t="s">
        <v>27</v>
      </c>
      <c r="B305" s="4" t="s">
        <v>22</v>
      </c>
      <c r="C305" s="4" t="s">
        <v>23</v>
      </c>
      <c r="D305" s="4" t="s">
        <v>24</v>
      </c>
      <c r="E305" s="4" t="s">
        <v>30</v>
      </c>
      <c r="F305" s="4" t="s">
        <v>25</v>
      </c>
      <c r="G305" s="4" t="s">
        <v>25</v>
      </c>
      <c r="H305" s="4" t="s">
        <v>25</v>
      </c>
      <c r="I305" s="5">
        <v>44713</v>
      </c>
      <c r="J305" s="6">
        <v>0</v>
      </c>
      <c r="K305" s="6">
        <v>0</v>
      </c>
      <c r="L305" s="6">
        <v>0.12</v>
      </c>
      <c r="M305" s="6">
        <v>8.4000000000000005E-2</v>
      </c>
      <c r="N305" s="6">
        <v>0.12</v>
      </c>
      <c r="O305" s="6">
        <v>8.4000000000000005E-2</v>
      </c>
      <c r="P305" s="6">
        <v>1</v>
      </c>
      <c r="Q305" s="4" t="s">
        <v>26</v>
      </c>
      <c r="R305" s="4">
        <v>0</v>
      </c>
      <c r="S305" s="4" t="s">
        <v>209</v>
      </c>
      <c r="T305" s="4" t="s">
        <v>346</v>
      </c>
      <c r="U305" s="4">
        <v>0</v>
      </c>
      <c r="V305" s="4">
        <v>45</v>
      </c>
      <c r="W305" s="4">
        <v>53</v>
      </c>
    </row>
    <row r="306" spans="1:23" ht="11.25" customHeight="1" x14ac:dyDescent="0.25">
      <c r="A306" s="4" t="s">
        <v>21</v>
      </c>
      <c r="B306" s="4" t="s">
        <v>22</v>
      </c>
      <c r="C306" s="4" t="s">
        <v>23</v>
      </c>
      <c r="D306" s="4" t="s">
        <v>24</v>
      </c>
      <c r="E306" s="4" t="s">
        <v>31</v>
      </c>
      <c r="F306" s="4" t="s">
        <v>25</v>
      </c>
      <c r="G306" s="4" t="s">
        <v>25</v>
      </c>
      <c r="H306" s="4" t="s">
        <v>25</v>
      </c>
      <c r="I306" s="5">
        <v>44378</v>
      </c>
      <c r="J306" s="6">
        <v>0</v>
      </c>
      <c r="K306" s="6">
        <v>0</v>
      </c>
      <c r="L306" s="6">
        <v>6.7889999999999997</v>
      </c>
      <c r="M306" s="6">
        <v>6.7889999999999997</v>
      </c>
      <c r="N306" s="6">
        <v>6.7889999999999997</v>
      </c>
      <c r="O306" s="6">
        <v>6.7889999999999997</v>
      </c>
      <c r="P306" s="6">
        <v>82</v>
      </c>
      <c r="Q306" s="4" t="s">
        <v>26</v>
      </c>
      <c r="R306" s="4">
        <v>0</v>
      </c>
      <c r="S306" s="4" t="s">
        <v>210</v>
      </c>
      <c r="T306" s="4" t="s">
        <v>347</v>
      </c>
      <c r="U306" s="4">
        <v>0</v>
      </c>
      <c r="V306" s="4">
        <v>37</v>
      </c>
      <c r="W306" s="4">
        <v>59</v>
      </c>
    </row>
    <row r="307" spans="1:23" ht="11.25" customHeight="1" x14ac:dyDescent="0.25">
      <c r="A307" s="4" t="s">
        <v>21</v>
      </c>
      <c r="B307" s="4" t="s">
        <v>22</v>
      </c>
      <c r="C307" s="4" t="s">
        <v>23</v>
      </c>
      <c r="D307" s="4" t="s">
        <v>24</v>
      </c>
      <c r="E307" s="4" t="s">
        <v>31</v>
      </c>
      <c r="F307" s="4" t="s">
        <v>25</v>
      </c>
      <c r="G307" s="4" t="s">
        <v>25</v>
      </c>
      <c r="H307" s="4" t="s">
        <v>25</v>
      </c>
      <c r="I307" s="5">
        <v>44409</v>
      </c>
      <c r="J307" s="6">
        <v>0</v>
      </c>
      <c r="K307" s="6">
        <v>0</v>
      </c>
      <c r="L307" s="6">
        <v>5.9269999999999996</v>
      </c>
      <c r="M307" s="6">
        <v>5.9269999999999996</v>
      </c>
      <c r="N307" s="6">
        <v>5.9269999999999996</v>
      </c>
      <c r="O307" s="6">
        <v>5.9269999999999996</v>
      </c>
      <c r="P307" s="6">
        <v>85</v>
      </c>
      <c r="Q307" s="4" t="s">
        <v>26</v>
      </c>
      <c r="R307" s="4">
        <v>0</v>
      </c>
      <c r="S307" s="4" t="s">
        <v>211</v>
      </c>
      <c r="T307" s="4" t="s">
        <v>348</v>
      </c>
      <c r="U307" s="4">
        <v>0</v>
      </c>
      <c r="V307" s="4">
        <v>37</v>
      </c>
      <c r="W307" s="4">
        <v>59</v>
      </c>
    </row>
    <row r="308" spans="1:23" ht="11.25" customHeight="1" x14ac:dyDescent="0.25">
      <c r="A308" s="4" t="s">
        <v>21</v>
      </c>
      <c r="B308" s="4" t="s">
        <v>22</v>
      </c>
      <c r="C308" s="4" t="s">
        <v>23</v>
      </c>
      <c r="D308" s="4" t="s">
        <v>24</v>
      </c>
      <c r="E308" s="4" t="s">
        <v>31</v>
      </c>
      <c r="F308" s="4" t="s">
        <v>25</v>
      </c>
      <c r="G308" s="4" t="s">
        <v>25</v>
      </c>
      <c r="H308" s="4" t="s">
        <v>25</v>
      </c>
      <c r="I308" s="5">
        <v>44440</v>
      </c>
      <c r="J308" s="6">
        <v>0</v>
      </c>
      <c r="K308" s="6">
        <v>0</v>
      </c>
      <c r="L308" s="6">
        <v>4.8440000000000003</v>
      </c>
      <c r="M308" s="6">
        <v>4.8440000000000003</v>
      </c>
      <c r="N308" s="6">
        <v>4.8440000000000003</v>
      </c>
      <c r="O308" s="6">
        <v>4.8440000000000003</v>
      </c>
      <c r="P308" s="6">
        <v>79</v>
      </c>
      <c r="Q308" s="4" t="s">
        <v>26</v>
      </c>
      <c r="R308" s="4">
        <v>0</v>
      </c>
      <c r="S308" s="4" t="s">
        <v>212</v>
      </c>
      <c r="T308" s="4" t="s">
        <v>349</v>
      </c>
      <c r="U308" s="4">
        <v>0</v>
      </c>
      <c r="V308" s="4">
        <v>37</v>
      </c>
      <c r="W308" s="4">
        <v>59</v>
      </c>
    </row>
    <row r="309" spans="1:23" ht="11.25" customHeight="1" x14ac:dyDescent="0.25">
      <c r="A309" s="4" t="s">
        <v>21</v>
      </c>
      <c r="B309" s="4" t="s">
        <v>22</v>
      </c>
      <c r="C309" s="4" t="s">
        <v>23</v>
      </c>
      <c r="D309" s="4" t="s">
        <v>24</v>
      </c>
      <c r="E309" s="4" t="s">
        <v>31</v>
      </c>
      <c r="F309" s="4" t="s">
        <v>25</v>
      </c>
      <c r="G309" s="4" t="s">
        <v>25</v>
      </c>
      <c r="H309" s="4" t="s">
        <v>25</v>
      </c>
      <c r="I309" s="5">
        <v>44470</v>
      </c>
      <c r="J309" s="6">
        <v>0</v>
      </c>
      <c r="K309" s="6">
        <v>0</v>
      </c>
      <c r="L309" s="6">
        <v>4.0940000000000003</v>
      </c>
      <c r="M309" s="6">
        <v>4.0940000000000003</v>
      </c>
      <c r="N309" s="6">
        <v>4.0940000000000003</v>
      </c>
      <c r="O309" s="6">
        <v>4.0940000000000003</v>
      </c>
      <c r="P309" s="6">
        <v>62</v>
      </c>
      <c r="Q309" s="4" t="s">
        <v>26</v>
      </c>
      <c r="R309" s="4">
        <v>0</v>
      </c>
      <c r="S309" s="4" t="s">
        <v>213</v>
      </c>
      <c r="T309" s="4" t="s">
        <v>350</v>
      </c>
      <c r="U309" s="4">
        <v>0</v>
      </c>
      <c r="V309" s="4">
        <v>37</v>
      </c>
      <c r="W309" s="4">
        <v>59</v>
      </c>
    </row>
    <row r="310" spans="1:23" ht="11.25" customHeight="1" x14ac:dyDescent="0.25">
      <c r="A310" s="4" t="s">
        <v>21</v>
      </c>
      <c r="B310" s="4" t="s">
        <v>22</v>
      </c>
      <c r="C310" s="4" t="s">
        <v>23</v>
      </c>
      <c r="D310" s="4" t="s">
        <v>24</v>
      </c>
      <c r="E310" s="4" t="s">
        <v>31</v>
      </c>
      <c r="F310" s="4" t="s">
        <v>25</v>
      </c>
      <c r="G310" s="4" t="s">
        <v>25</v>
      </c>
      <c r="H310" s="4" t="s">
        <v>25</v>
      </c>
      <c r="I310" s="5">
        <v>44501</v>
      </c>
      <c r="J310" s="6">
        <v>0</v>
      </c>
      <c r="K310" s="6">
        <v>0</v>
      </c>
      <c r="L310" s="6">
        <v>5.2089999999999996</v>
      </c>
      <c r="M310" s="6">
        <v>5.2089999999999996</v>
      </c>
      <c r="N310" s="6">
        <v>5.2089999999999996</v>
      </c>
      <c r="O310" s="6">
        <v>5.2089999999999996</v>
      </c>
      <c r="P310" s="6">
        <v>83</v>
      </c>
      <c r="Q310" s="4" t="s">
        <v>26</v>
      </c>
      <c r="R310" s="4">
        <v>0</v>
      </c>
      <c r="S310" s="4" t="s">
        <v>214</v>
      </c>
      <c r="T310" s="4" t="s">
        <v>351</v>
      </c>
      <c r="U310" s="4">
        <v>0</v>
      </c>
      <c r="V310" s="4">
        <v>37</v>
      </c>
      <c r="W310" s="4">
        <v>59</v>
      </c>
    </row>
    <row r="311" spans="1:23" ht="11.25" customHeight="1" x14ac:dyDescent="0.25">
      <c r="A311" s="4" t="s">
        <v>21</v>
      </c>
      <c r="B311" s="4" t="s">
        <v>22</v>
      </c>
      <c r="C311" s="4" t="s">
        <v>23</v>
      </c>
      <c r="D311" s="4" t="s">
        <v>24</v>
      </c>
      <c r="E311" s="4" t="s">
        <v>31</v>
      </c>
      <c r="F311" s="4" t="s">
        <v>25</v>
      </c>
      <c r="G311" s="4" t="s">
        <v>25</v>
      </c>
      <c r="H311" s="4" t="s">
        <v>25</v>
      </c>
      <c r="I311" s="5">
        <v>44531</v>
      </c>
      <c r="J311" s="6">
        <v>0</v>
      </c>
      <c r="K311" s="6">
        <v>0</v>
      </c>
      <c r="L311" s="6">
        <v>8.6460000000000008</v>
      </c>
      <c r="M311" s="6">
        <v>8.6460000000000008</v>
      </c>
      <c r="N311" s="6">
        <v>8.6460000000000008</v>
      </c>
      <c r="O311" s="6">
        <v>8.6460000000000008</v>
      </c>
      <c r="P311" s="6">
        <v>112</v>
      </c>
      <c r="Q311" s="4" t="s">
        <v>26</v>
      </c>
      <c r="R311" s="4">
        <v>0</v>
      </c>
      <c r="S311" s="4" t="s">
        <v>215</v>
      </c>
      <c r="T311" s="4" t="s">
        <v>352</v>
      </c>
      <c r="U311" s="4">
        <v>0</v>
      </c>
      <c r="V311" s="4">
        <v>37</v>
      </c>
      <c r="W311" s="4">
        <v>59</v>
      </c>
    </row>
    <row r="312" spans="1:23" ht="11.25" customHeight="1" x14ac:dyDescent="0.25">
      <c r="A312" s="4" t="s">
        <v>21</v>
      </c>
      <c r="B312" s="4" t="s">
        <v>22</v>
      </c>
      <c r="C312" s="4" t="s">
        <v>23</v>
      </c>
      <c r="D312" s="4" t="s">
        <v>24</v>
      </c>
      <c r="E312" s="4" t="s">
        <v>31</v>
      </c>
      <c r="F312" s="4" t="s">
        <v>25</v>
      </c>
      <c r="G312" s="4" t="s">
        <v>25</v>
      </c>
      <c r="H312" s="4" t="s">
        <v>25</v>
      </c>
      <c r="I312" s="5">
        <v>44562</v>
      </c>
      <c r="J312" s="6">
        <v>0</v>
      </c>
      <c r="K312" s="6">
        <v>0</v>
      </c>
      <c r="L312" s="6">
        <v>12.211</v>
      </c>
      <c r="M312" s="6">
        <v>12.211</v>
      </c>
      <c r="N312" s="6">
        <v>12.211</v>
      </c>
      <c r="O312" s="6">
        <v>12.211</v>
      </c>
      <c r="P312" s="6">
        <v>141</v>
      </c>
      <c r="Q312" s="4" t="s">
        <v>26</v>
      </c>
      <c r="R312" s="4">
        <v>0</v>
      </c>
      <c r="S312" s="4" t="s">
        <v>216</v>
      </c>
      <c r="T312" s="4" t="s">
        <v>353</v>
      </c>
      <c r="U312" s="4">
        <v>0</v>
      </c>
      <c r="V312" s="4">
        <v>37</v>
      </c>
      <c r="W312" s="4">
        <v>59</v>
      </c>
    </row>
    <row r="313" spans="1:23" ht="11.25" customHeight="1" x14ac:dyDescent="0.25">
      <c r="A313" s="4" t="s">
        <v>21</v>
      </c>
      <c r="B313" s="4" t="s">
        <v>22</v>
      </c>
      <c r="C313" s="4" t="s">
        <v>23</v>
      </c>
      <c r="D313" s="4" t="s">
        <v>24</v>
      </c>
      <c r="E313" s="4" t="s">
        <v>31</v>
      </c>
      <c r="F313" s="4" t="s">
        <v>25</v>
      </c>
      <c r="G313" s="4" t="s">
        <v>25</v>
      </c>
      <c r="H313" s="4" t="s">
        <v>25</v>
      </c>
      <c r="I313" s="5">
        <v>44593</v>
      </c>
      <c r="J313" s="6">
        <v>0</v>
      </c>
      <c r="K313" s="6">
        <v>0</v>
      </c>
      <c r="L313" s="6">
        <v>13.118</v>
      </c>
      <c r="M313" s="6">
        <v>13.118</v>
      </c>
      <c r="N313" s="6">
        <v>13.118</v>
      </c>
      <c r="O313" s="6">
        <v>13.118</v>
      </c>
      <c r="P313" s="6">
        <v>151</v>
      </c>
      <c r="Q313" s="4" t="s">
        <v>26</v>
      </c>
      <c r="R313" s="4">
        <v>0</v>
      </c>
      <c r="S313" s="4" t="s">
        <v>217</v>
      </c>
      <c r="T313" s="4" t="s">
        <v>354</v>
      </c>
      <c r="U313" s="4">
        <v>0</v>
      </c>
      <c r="V313" s="4">
        <v>37</v>
      </c>
      <c r="W313" s="4">
        <v>59</v>
      </c>
    </row>
    <row r="314" spans="1:23" ht="11.25" customHeight="1" x14ac:dyDescent="0.25">
      <c r="A314" s="4" t="s">
        <v>21</v>
      </c>
      <c r="B314" s="4" t="s">
        <v>22</v>
      </c>
      <c r="C314" s="4" t="s">
        <v>23</v>
      </c>
      <c r="D314" s="4" t="s">
        <v>24</v>
      </c>
      <c r="E314" s="4" t="s">
        <v>31</v>
      </c>
      <c r="F314" s="4" t="s">
        <v>25</v>
      </c>
      <c r="G314" s="4" t="s">
        <v>25</v>
      </c>
      <c r="H314" s="4" t="s">
        <v>25</v>
      </c>
      <c r="I314" s="5">
        <v>44621</v>
      </c>
      <c r="J314" s="6">
        <v>0</v>
      </c>
      <c r="K314" s="6">
        <v>0</v>
      </c>
      <c r="L314" s="6">
        <v>11.275</v>
      </c>
      <c r="M314" s="6">
        <v>11.275</v>
      </c>
      <c r="N314" s="6">
        <v>11.275</v>
      </c>
      <c r="O314" s="6">
        <v>11.275</v>
      </c>
      <c r="P314" s="6">
        <v>144</v>
      </c>
      <c r="Q314" s="4" t="s">
        <v>26</v>
      </c>
      <c r="R314" s="4">
        <v>0</v>
      </c>
      <c r="S314" s="4" t="s">
        <v>218</v>
      </c>
      <c r="T314" s="4" t="s">
        <v>355</v>
      </c>
      <c r="U314" s="4">
        <v>0</v>
      </c>
      <c r="V314" s="4">
        <v>37</v>
      </c>
      <c r="W314" s="4">
        <v>59</v>
      </c>
    </row>
    <row r="315" spans="1:23" ht="11.25" customHeight="1" x14ac:dyDescent="0.25">
      <c r="A315" s="4" t="s">
        <v>21</v>
      </c>
      <c r="B315" s="4" t="s">
        <v>22</v>
      </c>
      <c r="C315" s="4" t="s">
        <v>23</v>
      </c>
      <c r="D315" s="4" t="s">
        <v>24</v>
      </c>
      <c r="E315" s="4" t="s">
        <v>31</v>
      </c>
      <c r="F315" s="4" t="s">
        <v>25</v>
      </c>
      <c r="G315" s="4" t="s">
        <v>25</v>
      </c>
      <c r="H315" s="4" t="s">
        <v>25</v>
      </c>
      <c r="I315" s="5">
        <v>44652</v>
      </c>
      <c r="J315" s="6">
        <v>0</v>
      </c>
      <c r="K315" s="6">
        <v>0</v>
      </c>
      <c r="L315" s="6">
        <v>8.8469999999999995</v>
      </c>
      <c r="M315" s="6">
        <v>8.8469999999999995</v>
      </c>
      <c r="N315" s="6">
        <v>8.8469999999999995</v>
      </c>
      <c r="O315" s="6">
        <v>8.8469999999999995</v>
      </c>
      <c r="P315" s="6">
        <v>125</v>
      </c>
      <c r="Q315" s="4" t="s">
        <v>26</v>
      </c>
      <c r="R315" s="4">
        <v>0</v>
      </c>
      <c r="S315" s="4" t="s">
        <v>219</v>
      </c>
      <c r="T315" s="4" t="s">
        <v>356</v>
      </c>
      <c r="U315" s="4">
        <v>0</v>
      </c>
      <c r="V315" s="4">
        <v>37</v>
      </c>
      <c r="W315" s="4">
        <v>59</v>
      </c>
    </row>
    <row r="316" spans="1:23" ht="11.25" customHeight="1" x14ac:dyDescent="0.25">
      <c r="A316" s="4" t="s">
        <v>21</v>
      </c>
      <c r="B316" s="4" t="s">
        <v>22</v>
      </c>
      <c r="C316" s="4" t="s">
        <v>23</v>
      </c>
      <c r="D316" s="4" t="s">
        <v>24</v>
      </c>
      <c r="E316" s="4" t="s">
        <v>31</v>
      </c>
      <c r="F316" s="4" t="s">
        <v>25</v>
      </c>
      <c r="G316" s="4" t="s">
        <v>25</v>
      </c>
      <c r="H316" s="4" t="s">
        <v>25</v>
      </c>
      <c r="I316" s="5">
        <v>44682</v>
      </c>
      <c r="J316" s="6">
        <v>0</v>
      </c>
      <c r="K316" s="6">
        <v>0</v>
      </c>
      <c r="L316" s="6">
        <v>12.144</v>
      </c>
      <c r="M316" s="6">
        <v>12.144</v>
      </c>
      <c r="N316" s="6">
        <v>12.144</v>
      </c>
      <c r="O316" s="6">
        <v>12.144</v>
      </c>
      <c r="P316" s="6">
        <v>148</v>
      </c>
      <c r="Q316" s="4" t="s">
        <v>26</v>
      </c>
      <c r="R316" s="4">
        <v>0</v>
      </c>
      <c r="S316" s="4" t="s">
        <v>220</v>
      </c>
      <c r="T316" s="4" t="s">
        <v>357</v>
      </c>
      <c r="U316" s="4">
        <v>0</v>
      </c>
      <c r="V316" s="4">
        <v>37</v>
      </c>
      <c r="W316" s="4">
        <v>59</v>
      </c>
    </row>
    <row r="317" spans="1:23" ht="11.25" customHeight="1" x14ac:dyDescent="0.25">
      <c r="A317" s="4" t="s">
        <v>27</v>
      </c>
      <c r="B317" s="4" t="s">
        <v>22</v>
      </c>
      <c r="C317" s="4" t="s">
        <v>23</v>
      </c>
      <c r="D317" s="4" t="s">
        <v>24</v>
      </c>
      <c r="E317" s="4" t="s">
        <v>31</v>
      </c>
      <c r="F317" s="4" t="s">
        <v>25</v>
      </c>
      <c r="G317" s="4" t="s">
        <v>25</v>
      </c>
      <c r="H317" s="4" t="s">
        <v>25</v>
      </c>
      <c r="I317" s="5">
        <v>44682</v>
      </c>
      <c r="J317" s="6">
        <v>0</v>
      </c>
      <c r="K317" s="6">
        <v>0</v>
      </c>
      <c r="L317" s="6">
        <v>6.0999999999999999E-2</v>
      </c>
      <c r="M317" s="6">
        <v>6.0999999999999999E-2</v>
      </c>
      <c r="N317" s="6">
        <v>6.0999999999999999E-2</v>
      </c>
      <c r="O317" s="6">
        <v>6.0999999999999999E-2</v>
      </c>
      <c r="P317" s="6">
        <v>1</v>
      </c>
      <c r="Q317" s="4" t="s">
        <v>26</v>
      </c>
      <c r="R317" s="4">
        <v>0</v>
      </c>
      <c r="S317" s="4" t="s">
        <v>220</v>
      </c>
      <c r="T317" s="4" t="s">
        <v>357</v>
      </c>
      <c r="U317" s="4">
        <v>0</v>
      </c>
      <c r="V317" s="4">
        <v>37</v>
      </c>
      <c r="W317" s="4">
        <v>59</v>
      </c>
    </row>
    <row r="318" spans="1:23" ht="11.25" customHeight="1" x14ac:dyDescent="0.25">
      <c r="A318" s="4" t="s">
        <v>21</v>
      </c>
      <c r="B318" s="4" t="s">
        <v>22</v>
      </c>
      <c r="C318" s="4" t="s">
        <v>23</v>
      </c>
      <c r="D318" s="4" t="s">
        <v>24</v>
      </c>
      <c r="E318" s="4" t="s">
        <v>31</v>
      </c>
      <c r="F318" s="4" t="s">
        <v>25</v>
      </c>
      <c r="G318" s="4" t="s">
        <v>25</v>
      </c>
      <c r="H318" s="4" t="s">
        <v>25</v>
      </c>
      <c r="I318" s="5">
        <v>44713</v>
      </c>
      <c r="J318" s="6">
        <v>0</v>
      </c>
      <c r="K318" s="6">
        <v>0</v>
      </c>
      <c r="L318" s="6">
        <v>20.437999999999999</v>
      </c>
      <c r="M318" s="6">
        <v>20.437999999999999</v>
      </c>
      <c r="N318" s="6">
        <v>20.437999999999999</v>
      </c>
      <c r="O318" s="6">
        <v>20.437999999999999</v>
      </c>
      <c r="P318" s="6">
        <v>204</v>
      </c>
      <c r="Q318" s="4" t="s">
        <v>26</v>
      </c>
      <c r="R318" s="4">
        <v>0</v>
      </c>
      <c r="S318" s="4" t="s">
        <v>221</v>
      </c>
      <c r="T318" s="4" t="s">
        <v>358</v>
      </c>
      <c r="U318" s="4">
        <v>0</v>
      </c>
      <c r="V318" s="4">
        <v>37</v>
      </c>
      <c r="W318" s="4">
        <v>59</v>
      </c>
    </row>
    <row r="319" spans="1:23" ht="11.25" customHeight="1" x14ac:dyDescent="0.25">
      <c r="A319" s="4" t="s">
        <v>27</v>
      </c>
      <c r="B319" s="4" t="s">
        <v>22</v>
      </c>
      <c r="C319" s="4" t="s">
        <v>23</v>
      </c>
      <c r="D319" s="4" t="s">
        <v>24</v>
      </c>
      <c r="E319" s="4" t="s">
        <v>31</v>
      </c>
      <c r="F319" s="4" t="s">
        <v>25</v>
      </c>
      <c r="G319" s="4" t="s">
        <v>25</v>
      </c>
      <c r="H319" s="4" t="s">
        <v>25</v>
      </c>
      <c r="I319" s="5">
        <v>44713</v>
      </c>
      <c r="J319" s="6">
        <v>0</v>
      </c>
      <c r="K319" s="6">
        <v>0</v>
      </c>
      <c r="L319" s="6">
        <v>6.4000000000000001E-2</v>
      </c>
      <c r="M319" s="6">
        <v>6.4000000000000001E-2</v>
      </c>
      <c r="N319" s="6">
        <v>6.4000000000000001E-2</v>
      </c>
      <c r="O319" s="6">
        <v>6.4000000000000001E-2</v>
      </c>
      <c r="P319" s="6">
        <v>2</v>
      </c>
      <c r="Q319" s="4" t="s">
        <v>26</v>
      </c>
      <c r="R319" s="4">
        <v>0</v>
      </c>
      <c r="S319" s="4" t="s">
        <v>221</v>
      </c>
      <c r="T319" s="4" t="s">
        <v>358</v>
      </c>
      <c r="U319" s="4">
        <v>0</v>
      </c>
      <c r="V319" s="4">
        <v>37</v>
      </c>
      <c r="W319" s="4">
        <v>59</v>
      </c>
    </row>
    <row r="320" spans="1:23" ht="11.25" customHeight="1" x14ac:dyDescent="0.25">
      <c r="A320" s="4" t="s">
        <v>21</v>
      </c>
      <c r="B320" s="4" t="s">
        <v>39</v>
      </c>
      <c r="C320" s="4" t="s">
        <v>23</v>
      </c>
      <c r="D320" s="4" t="s">
        <v>40</v>
      </c>
      <c r="E320" s="4" t="s">
        <v>25</v>
      </c>
      <c r="F320" s="4" t="s">
        <v>25</v>
      </c>
      <c r="G320" s="4" t="s">
        <v>25</v>
      </c>
      <c r="H320" s="4" t="s">
        <v>25</v>
      </c>
      <c r="I320" s="5">
        <v>44378</v>
      </c>
      <c r="J320" s="6">
        <v>0</v>
      </c>
      <c r="K320" s="6">
        <v>0</v>
      </c>
      <c r="L320" s="6">
        <v>3.9630000000000001</v>
      </c>
      <c r="M320" s="6">
        <v>3.9630000000000001</v>
      </c>
      <c r="N320" s="6">
        <v>3.9630000000000001</v>
      </c>
      <c r="O320" s="6">
        <v>3.9630000000000001</v>
      </c>
      <c r="P320" s="6">
        <v>13</v>
      </c>
      <c r="Q320" s="4" t="s">
        <v>26</v>
      </c>
      <c r="R320" s="4">
        <v>0</v>
      </c>
      <c r="S320" s="4" t="s">
        <v>222</v>
      </c>
      <c r="T320" s="4" t="s">
        <v>359</v>
      </c>
      <c r="U320" s="4">
        <v>0</v>
      </c>
      <c r="V320" s="4">
        <v>22</v>
      </c>
      <c r="W320" s="4">
        <v>57</v>
      </c>
    </row>
    <row r="321" spans="1:23" ht="11.25" customHeight="1" x14ac:dyDescent="0.25">
      <c r="A321" s="4" t="s">
        <v>21</v>
      </c>
      <c r="B321" s="4" t="s">
        <v>39</v>
      </c>
      <c r="C321" s="4" t="s">
        <v>23</v>
      </c>
      <c r="D321" s="4" t="s">
        <v>40</v>
      </c>
      <c r="E321" s="4" t="s">
        <v>25</v>
      </c>
      <c r="F321" s="4" t="s">
        <v>25</v>
      </c>
      <c r="G321" s="4" t="s">
        <v>25</v>
      </c>
      <c r="H321" s="4" t="s">
        <v>25</v>
      </c>
      <c r="I321" s="5">
        <v>44409</v>
      </c>
      <c r="J321" s="6">
        <v>0</v>
      </c>
      <c r="K321" s="6">
        <v>0</v>
      </c>
      <c r="L321" s="6">
        <v>4.1479999999999997</v>
      </c>
      <c r="M321" s="6">
        <v>4.1479999999999997</v>
      </c>
      <c r="N321" s="6">
        <v>4.1479999999999997</v>
      </c>
      <c r="O321" s="6">
        <v>4.1479999999999997</v>
      </c>
      <c r="P321" s="6">
        <v>13</v>
      </c>
      <c r="Q321" s="4" t="s">
        <v>26</v>
      </c>
      <c r="R321" s="4">
        <v>0</v>
      </c>
      <c r="S321" s="4" t="s">
        <v>223</v>
      </c>
      <c r="T321" s="4" t="s">
        <v>360</v>
      </c>
      <c r="U321" s="4">
        <v>0</v>
      </c>
      <c r="V321" s="4">
        <v>22</v>
      </c>
      <c r="W321" s="4">
        <v>57</v>
      </c>
    </row>
    <row r="322" spans="1:23" ht="11.25" customHeight="1" x14ac:dyDescent="0.25">
      <c r="A322" s="4" t="s">
        <v>21</v>
      </c>
      <c r="B322" s="4" t="s">
        <v>39</v>
      </c>
      <c r="C322" s="4" t="s">
        <v>23</v>
      </c>
      <c r="D322" s="4" t="s">
        <v>40</v>
      </c>
      <c r="E322" s="4" t="s">
        <v>25</v>
      </c>
      <c r="F322" s="4" t="s">
        <v>25</v>
      </c>
      <c r="G322" s="4" t="s">
        <v>25</v>
      </c>
      <c r="H322" s="4" t="s">
        <v>25</v>
      </c>
      <c r="I322" s="5">
        <v>44440</v>
      </c>
      <c r="J322" s="6">
        <v>0</v>
      </c>
      <c r="K322" s="6">
        <v>0</v>
      </c>
      <c r="L322" s="6">
        <v>4.1529999999999996</v>
      </c>
      <c r="M322" s="6">
        <v>4.1529999999999996</v>
      </c>
      <c r="N322" s="6">
        <v>4.1529999999999996</v>
      </c>
      <c r="O322" s="6">
        <v>4.1529999999999996</v>
      </c>
      <c r="P322" s="6">
        <v>13</v>
      </c>
      <c r="Q322" s="4" t="s">
        <v>26</v>
      </c>
      <c r="R322" s="4">
        <v>0</v>
      </c>
      <c r="S322" s="4" t="s">
        <v>224</v>
      </c>
      <c r="T322" s="4" t="s">
        <v>361</v>
      </c>
      <c r="U322" s="4">
        <v>0</v>
      </c>
      <c r="V322" s="4">
        <v>22</v>
      </c>
      <c r="W322" s="4">
        <v>57</v>
      </c>
    </row>
    <row r="323" spans="1:23" ht="11.25" customHeight="1" x14ac:dyDescent="0.25">
      <c r="A323" s="4" t="s">
        <v>21</v>
      </c>
      <c r="B323" s="4" t="s">
        <v>39</v>
      </c>
      <c r="C323" s="4" t="s">
        <v>23</v>
      </c>
      <c r="D323" s="4" t="s">
        <v>40</v>
      </c>
      <c r="E323" s="4" t="s">
        <v>25</v>
      </c>
      <c r="F323" s="4" t="s">
        <v>25</v>
      </c>
      <c r="G323" s="4" t="s">
        <v>25</v>
      </c>
      <c r="H323" s="4" t="s">
        <v>25</v>
      </c>
      <c r="I323" s="5">
        <v>44470</v>
      </c>
      <c r="J323" s="6">
        <v>0</v>
      </c>
      <c r="K323" s="6">
        <v>0</v>
      </c>
      <c r="L323" s="6">
        <v>4.0789999999999997</v>
      </c>
      <c r="M323" s="6">
        <v>4.0789999999999997</v>
      </c>
      <c r="N323" s="6">
        <v>4.0789999999999997</v>
      </c>
      <c r="O323" s="6">
        <v>4.0789999999999997</v>
      </c>
      <c r="P323" s="6">
        <v>13</v>
      </c>
      <c r="Q323" s="4" t="s">
        <v>26</v>
      </c>
      <c r="R323" s="4">
        <v>0</v>
      </c>
      <c r="S323" s="4" t="s">
        <v>225</v>
      </c>
      <c r="T323" s="4" t="s">
        <v>362</v>
      </c>
      <c r="U323" s="4">
        <v>0</v>
      </c>
      <c r="V323" s="4">
        <v>22</v>
      </c>
      <c r="W323" s="4">
        <v>57</v>
      </c>
    </row>
    <row r="324" spans="1:23" ht="11.25" customHeight="1" x14ac:dyDescent="0.25">
      <c r="A324" s="4" t="s">
        <v>21</v>
      </c>
      <c r="B324" s="4" t="s">
        <v>39</v>
      </c>
      <c r="C324" s="4" t="s">
        <v>23</v>
      </c>
      <c r="D324" s="4" t="s">
        <v>40</v>
      </c>
      <c r="E324" s="4" t="s">
        <v>25</v>
      </c>
      <c r="F324" s="4" t="s">
        <v>25</v>
      </c>
      <c r="G324" s="4" t="s">
        <v>25</v>
      </c>
      <c r="H324" s="4" t="s">
        <v>25</v>
      </c>
      <c r="I324" s="5">
        <v>44501</v>
      </c>
      <c r="J324" s="6">
        <v>0</v>
      </c>
      <c r="K324" s="6">
        <v>0</v>
      </c>
      <c r="L324" s="6">
        <v>4.3499999999999996</v>
      </c>
      <c r="M324" s="6">
        <v>4.3499999999999996</v>
      </c>
      <c r="N324" s="6">
        <v>4.3499999999999996</v>
      </c>
      <c r="O324" s="6">
        <v>4.3499999999999996</v>
      </c>
      <c r="P324" s="6">
        <v>13</v>
      </c>
      <c r="Q324" s="4" t="s">
        <v>26</v>
      </c>
      <c r="R324" s="4">
        <v>0</v>
      </c>
      <c r="S324" s="4" t="s">
        <v>226</v>
      </c>
      <c r="T324" s="4" t="s">
        <v>363</v>
      </c>
      <c r="U324" s="4">
        <v>0</v>
      </c>
      <c r="V324" s="4">
        <v>22</v>
      </c>
      <c r="W324" s="4">
        <v>57</v>
      </c>
    </row>
    <row r="325" spans="1:23" ht="11.25" customHeight="1" x14ac:dyDescent="0.25">
      <c r="A325" s="4" t="s">
        <v>21</v>
      </c>
      <c r="B325" s="4" t="s">
        <v>39</v>
      </c>
      <c r="C325" s="4" t="s">
        <v>23</v>
      </c>
      <c r="D325" s="4" t="s">
        <v>40</v>
      </c>
      <c r="E325" s="4" t="s">
        <v>25</v>
      </c>
      <c r="F325" s="4" t="s">
        <v>25</v>
      </c>
      <c r="G325" s="4" t="s">
        <v>25</v>
      </c>
      <c r="H325" s="4" t="s">
        <v>25</v>
      </c>
      <c r="I325" s="5">
        <v>44531</v>
      </c>
      <c r="J325" s="6">
        <v>0</v>
      </c>
      <c r="K325" s="6">
        <v>0</v>
      </c>
      <c r="L325" s="6">
        <v>4.3620000000000001</v>
      </c>
      <c r="M325" s="6">
        <v>4.3620000000000001</v>
      </c>
      <c r="N325" s="6">
        <v>4.3620000000000001</v>
      </c>
      <c r="O325" s="6">
        <v>4.3620000000000001</v>
      </c>
      <c r="P325" s="6">
        <v>13</v>
      </c>
      <c r="Q325" s="4" t="s">
        <v>26</v>
      </c>
      <c r="R325" s="4">
        <v>0</v>
      </c>
      <c r="S325" s="4" t="s">
        <v>227</v>
      </c>
      <c r="T325" s="4" t="s">
        <v>364</v>
      </c>
      <c r="U325" s="4">
        <v>0</v>
      </c>
      <c r="V325" s="4">
        <v>22</v>
      </c>
      <c r="W325" s="4">
        <v>57</v>
      </c>
    </row>
    <row r="326" spans="1:23" ht="11.25" customHeight="1" x14ac:dyDescent="0.25">
      <c r="A326" s="4" t="s">
        <v>21</v>
      </c>
      <c r="B326" s="4" t="s">
        <v>39</v>
      </c>
      <c r="C326" s="4" t="s">
        <v>23</v>
      </c>
      <c r="D326" s="4" t="s">
        <v>40</v>
      </c>
      <c r="E326" s="4" t="s">
        <v>25</v>
      </c>
      <c r="F326" s="4" t="s">
        <v>25</v>
      </c>
      <c r="G326" s="4" t="s">
        <v>25</v>
      </c>
      <c r="H326" s="4" t="s">
        <v>25</v>
      </c>
      <c r="I326" s="5">
        <v>44562</v>
      </c>
      <c r="J326" s="6">
        <v>0</v>
      </c>
      <c r="K326" s="6">
        <v>0</v>
      </c>
      <c r="L326" s="6">
        <v>2.8919999999999999</v>
      </c>
      <c r="M326" s="6">
        <v>2.8919999999999999</v>
      </c>
      <c r="N326" s="6">
        <v>2.8919999999999999</v>
      </c>
      <c r="O326" s="6">
        <v>2.8919999999999999</v>
      </c>
      <c r="P326" s="6">
        <v>11</v>
      </c>
      <c r="Q326" s="4" t="s">
        <v>26</v>
      </c>
      <c r="R326" s="4">
        <v>0</v>
      </c>
      <c r="S326" s="4" t="s">
        <v>228</v>
      </c>
      <c r="T326" s="4" t="s">
        <v>365</v>
      </c>
      <c r="U326" s="4">
        <v>0</v>
      </c>
      <c r="V326" s="4">
        <v>22</v>
      </c>
      <c r="W326" s="4">
        <v>57</v>
      </c>
    </row>
    <row r="327" spans="1:23" ht="11.25" customHeight="1" x14ac:dyDescent="0.25">
      <c r="A327" s="4" t="s">
        <v>27</v>
      </c>
      <c r="B327" s="4" t="s">
        <v>39</v>
      </c>
      <c r="C327" s="4" t="s">
        <v>23</v>
      </c>
      <c r="D327" s="4" t="s">
        <v>40</v>
      </c>
      <c r="E327" s="4" t="s">
        <v>25</v>
      </c>
      <c r="F327" s="4" t="s">
        <v>25</v>
      </c>
      <c r="G327" s="4" t="s">
        <v>25</v>
      </c>
      <c r="H327" s="4" t="s">
        <v>25</v>
      </c>
      <c r="I327" s="5">
        <v>44562</v>
      </c>
      <c r="J327" s="6">
        <v>0</v>
      </c>
      <c r="K327" s="6">
        <v>0</v>
      </c>
      <c r="L327" s="6">
        <v>0.36299999999999999</v>
      </c>
      <c r="M327" s="6">
        <v>0.36299999999999999</v>
      </c>
      <c r="N327" s="6">
        <v>0.36299999999999999</v>
      </c>
      <c r="O327" s="6">
        <v>0.36299999999999999</v>
      </c>
      <c r="P327" s="6">
        <v>1</v>
      </c>
      <c r="Q327" s="4" t="s">
        <v>26</v>
      </c>
      <c r="R327" s="4">
        <v>0</v>
      </c>
      <c r="S327" s="4" t="s">
        <v>228</v>
      </c>
      <c r="T327" s="4" t="s">
        <v>365</v>
      </c>
      <c r="U327" s="4">
        <v>0</v>
      </c>
      <c r="V327" s="4">
        <v>22</v>
      </c>
      <c r="W327" s="4">
        <v>57</v>
      </c>
    </row>
    <row r="328" spans="1:23" ht="11.25" customHeight="1" x14ac:dyDescent="0.25">
      <c r="A328" s="4" t="s">
        <v>21</v>
      </c>
      <c r="B328" s="4" t="s">
        <v>39</v>
      </c>
      <c r="C328" s="4" t="s">
        <v>23</v>
      </c>
      <c r="D328" s="4" t="s">
        <v>40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44593</v>
      </c>
      <c r="J328" s="6">
        <v>0</v>
      </c>
      <c r="K328" s="6">
        <v>0</v>
      </c>
      <c r="L328" s="6">
        <v>3.7050000000000001</v>
      </c>
      <c r="M328" s="6">
        <v>3.7050000000000001</v>
      </c>
      <c r="N328" s="6">
        <v>3.7050000000000001</v>
      </c>
      <c r="O328" s="6">
        <v>3.7050000000000001</v>
      </c>
      <c r="P328" s="6">
        <v>12</v>
      </c>
      <c r="Q328" s="4" t="s">
        <v>26</v>
      </c>
      <c r="R328" s="4">
        <v>0</v>
      </c>
      <c r="S328" s="4" t="s">
        <v>229</v>
      </c>
      <c r="T328" s="4" t="s">
        <v>366</v>
      </c>
      <c r="U328" s="4">
        <v>0</v>
      </c>
      <c r="V328" s="4">
        <v>22</v>
      </c>
      <c r="W328" s="4">
        <v>57</v>
      </c>
    </row>
    <row r="329" spans="1:23" ht="11.25" customHeight="1" x14ac:dyDescent="0.25">
      <c r="A329" s="4" t="s">
        <v>27</v>
      </c>
      <c r="B329" s="4" t="s">
        <v>39</v>
      </c>
      <c r="C329" s="4" t="s">
        <v>23</v>
      </c>
      <c r="D329" s="4" t="s">
        <v>40</v>
      </c>
      <c r="E329" s="4" t="s">
        <v>25</v>
      </c>
      <c r="F329" s="4" t="s">
        <v>25</v>
      </c>
      <c r="G329" s="4" t="s">
        <v>25</v>
      </c>
      <c r="H329" s="4" t="s">
        <v>25</v>
      </c>
      <c r="I329" s="5">
        <v>44593</v>
      </c>
      <c r="J329" s="6">
        <v>0</v>
      </c>
      <c r="K329" s="6">
        <v>0</v>
      </c>
      <c r="L329" s="6">
        <v>0.1</v>
      </c>
      <c r="M329" s="6">
        <v>0.1</v>
      </c>
      <c r="N329" s="6">
        <v>0.1</v>
      </c>
      <c r="O329" s="6">
        <v>0.1</v>
      </c>
      <c r="P329" s="6">
        <v>1</v>
      </c>
      <c r="Q329" s="4" t="s">
        <v>26</v>
      </c>
      <c r="R329" s="4">
        <v>0</v>
      </c>
      <c r="S329" s="4" t="s">
        <v>229</v>
      </c>
      <c r="T329" s="4" t="s">
        <v>366</v>
      </c>
      <c r="U329" s="4">
        <v>0</v>
      </c>
      <c r="V329" s="4">
        <v>22</v>
      </c>
      <c r="W329" s="4">
        <v>57</v>
      </c>
    </row>
    <row r="330" spans="1:23" ht="11.25" customHeight="1" x14ac:dyDescent="0.25">
      <c r="A330" s="4" t="s">
        <v>21</v>
      </c>
      <c r="B330" s="4" t="s">
        <v>39</v>
      </c>
      <c r="C330" s="4" t="s">
        <v>23</v>
      </c>
      <c r="D330" s="4" t="s">
        <v>40</v>
      </c>
      <c r="E330" s="4" t="s">
        <v>25</v>
      </c>
      <c r="F330" s="4" t="s">
        <v>25</v>
      </c>
      <c r="G330" s="4" t="s">
        <v>25</v>
      </c>
      <c r="H330" s="4" t="s">
        <v>25</v>
      </c>
      <c r="I330" s="5">
        <v>44621</v>
      </c>
      <c r="J330" s="6">
        <v>0</v>
      </c>
      <c r="K330" s="6">
        <v>0</v>
      </c>
      <c r="L330" s="6">
        <v>3.218</v>
      </c>
      <c r="M330" s="6">
        <v>3.218</v>
      </c>
      <c r="N330" s="6">
        <v>3.218</v>
      </c>
      <c r="O330" s="6">
        <v>3.218</v>
      </c>
      <c r="P330" s="6">
        <v>12</v>
      </c>
      <c r="Q330" s="4" t="s">
        <v>26</v>
      </c>
      <c r="R330" s="4">
        <v>0</v>
      </c>
      <c r="S330" s="4" t="s">
        <v>230</v>
      </c>
      <c r="T330" s="4" t="s">
        <v>367</v>
      </c>
      <c r="U330" s="4">
        <v>0</v>
      </c>
      <c r="V330" s="4">
        <v>22</v>
      </c>
      <c r="W330" s="4">
        <v>57</v>
      </c>
    </row>
    <row r="331" spans="1:23" ht="11.25" customHeight="1" x14ac:dyDescent="0.25">
      <c r="A331" s="4" t="s">
        <v>27</v>
      </c>
      <c r="B331" s="4" t="s">
        <v>39</v>
      </c>
      <c r="C331" s="4" t="s">
        <v>23</v>
      </c>
      <c r="D331" s="4" t="s">
        <v>40</v>
      </c>
      <c r="E331" s="4" t="s">
        <v>25</v>
      </c>
      <c r="F331" s="4" t="s">
        <v>25</v>
      </c>
      <c r="G331" s="4" t="s">
        <v>25</v>
      </c>
      <c r="H331" s="4" t="s">
        <v>25</v>
      </c>
      <c r="I331" s="5">
        <v>44621</v>
      </c>
      <c r="J331" s="6">
        <v>0</v>
      </c>
      <c r="K331" s="6">
        <v>0</v>
      </c>
      <c r="L331" s="6">
        <v>0.1</v>
      </c>
      <c r="M331" s="6">
        <v>0.1</v>
      </c>
      <c r="N331" s="6">
        <v>0.1</v>
      </c>
      <c r="O331" s="6">
        <v>0.1</v>
      </c>
      <c r="P331" s="6">
        <v>1</v>
      </c>
      <c r="Q331" s="4" t="s">
        <v>26</v>
      </c>
      <c r="R331" s="4">
        <v>0</v>
      </c>
      <c r="S331" s="4" t="s">
        <v>230</v>
      </c>
      <c r="T331" s="4" t="s">
        <v>367</v>
      </c>
      <c r="U331" s="4">
        <v>0</v>
      </c>
      <c r="V331" s="4">
        <v>22</v>
      </c>
      <c r="W331" s="4">
        <v>57</v>
      </c>
    </row>
    <row r="332" spans="1:23" ht="11.25" customHeight="1" x14ac:dyDescent="0.25">
      <c r="A332" s="4" t="s">
        <v>21</v>
      </c>
      <c r="B332" s="4" t="s">
        <v>39</v>
      </c>
      <c r="C332" s="4" t="s">
        <v>23</v>
      </c>
      <c r="D332" s="4" t="s">
        <v>40</v>
      </c>
      <c r="E332" s="4" t="s">
        <v>25</v>
      </c>
      <c r="F332" s="4" t="s">
        <v>25</v>
      </c>
      <c r="G332" s="4" t="s">
        <v>25</v>
      </c>
      <c r="H332" s="4" t="s">
        <v>25</v>
      </c>
      <c r="I332" s="5">
        <v>44652</v>
      </c>
      <c r="J332" s="6">
        <v>0</v>
      </c>
      <c r="K332" s="6">
        <v>0</v>
      </c>
      <c r="L332" s="6">
        <v>3.097</v>
      </c>
      <c r="M332" s="6">
        <v>3.097</v>
      </c>
      <c r="N332" s="6">
        <v>3.097</v>
      </c>
      <c r="O332" s="6">
        <v>3.097</v>
      </c>
      <c r="P332" s="6">
        <v>12</v>
      </c>
      <c r="Q332" s="4" t="s">
        <v>26</v>
      </c>
      <c r="R332" s="4">
        <v>0</v>
      </c>
      <c r="S332" s="4" t="s">
        <v>231</v>
      </c>
      <c r="T332" s="4" t="s">
        <v>368</v>
      </c>
      <c r="U332" s="4">
        <v>0</v>
      </c>
      <c r="V332" s="4">
        <v>22</v>
      </c>
      <c r="W332" s="4">
        <v>57</v>
      </c>
    </row>
    <row r="333" spans="1:23" ht="11.25" customHeight="1" x14ac:dyDescent="0.25">
      <c r="A333" s="4" t="s">
        <v>27</v>
      </c>
      <c r="B333" s="4" t="s">
        <v>39</v>
      </c>
      <c r="C333" s="4" t="s">
        <v>23</v>
      </c>
      <c r="D333" s="4" t="s">
        <v>40</v>
      </c>
      <c r="E333" s="4" t="s">
        <v>25</v>
      </c>
      <c r="F333" s="4" t="s">
        <v>25</v>
      </c>
      <c r="G333" s="4" t="s">
        <v>25</v>
      </c>
      <c r="H333" s="4" t="s">
        <v>25</v>
      </c>
      <c r="I333" s="5">
        <v>44652</v>
      </c>
      <c r="J333" s="6">
        <v>0</v>
      </c>
      <c r="K333" s="6">
        <v>0</v>
      </c>
      <c r="L333" s="6">
        <v>0.1</v>
      </c>
      <c r="M333" s="6">
        <v>0.1</v>
      </c>
      <c r="N333" s="6">
        <v>0.1</v>
      </c>
      <c r="O333" s="6">
        <v>0.1</v>
      </c>
      <c r="P333" s="6">
        <v>1</v>
      </c>
      <c r="Q333" s="4" t="s">
        <v>26</v>
      </c>
      <c r="R333" s="4">
        <v>0</v>
      </c>
      <c r="S333" s="4" t="s">
        <v>231</v>
      </c>
      <c r="T333" s="4" t="s">
        <v>368</v>
      </c>
      <c r="U333" s="4">
        <v>0</v>
      </c>
      <c r="V333" s="4">
        <v>22</v>
      </c>
      <c r="W333" s="4">
        <v>57</v>
      </c>
    </row>
    <row r="334" spans="1:23" ht="11.25" customHeight="1" x14ac:dyDescent="0.25">
      <c r="A334" s="4" t="s">
        <v>21</v>
      </c>
      <c r="B334" s="4" t="s">
        <v>39</v>
      </c>
      <c r="C334" s="4" t="s">
        <v>23</v>
      </c>
      <c r="D334" s="4" t="s">
        <v>40</v>
      </c>
      <c r="E334" s="4" t="s">
        <v>25</v>
      </c>
      <c r="F334" s="4" t="s">
        <v>25</v>
      </c>
      <c r="G334" s="4" t="s">
        <v>25</v>
      </c>
      <c r="H334" s="4" t="s">
        <v>25</v>
      </c>
      <c r="I334" s="5">
        <v>44682</v>
      </c>
      <c r="J334" s="6">
        <v>0</v>
      </c>
      <c r="K334" s="6">
        <v>0</v>
      </c>
      <c r="L334" s="6">
        <v>3.1269999999999998</v>
      </c>
      <c r="M334" s="6">
        <v>3.1269999999999998</v>
      </c>
      <c r="N334" s="6">
        <v>3.1269999999999998</v>
      </c>
      <c r="O334" s="6">
        <v>3.1269999999999998</v>
      </c>
      <c r="P334" s="6">
        <v>12</v>
      </c>
      <c r="Q334" s="4" t="s">
        <v>26</v>
      </c>
      <c r="R334" s="4">
        <v>0</v>
      </c>
      <c r="S334" s="4" t="s">
        <v>232</v>
      </c>
      <c r="T334" s="4" t="s">
        <v>369</v>
      </c>
      <c r="U334" s="4">
        <v>0</v>
      </c>
      <c r="V334" s="4">
        <v>22</v>
      </c>
      <c r="W334" s="4">
        <v>57</v>
      </c>
    </row>
    <row r="335" spans="1:23" ht="11.25" customHeight="1" x14ac:dyDescent="0.25">
      <c r="A335" s="4" t="s">
        <v>27</v>
      </c>
      <c r="B335" s="4" t="s">
        <v>39</v>
      </c>
      <c r="C335" s="4" t="s">
        <v>23</v>
      </c>
      <c r="D335" s="4" t="s">
        <v>40</v>
      </c>
      <c r="E335" s="4" t="s">
        <v>25</v>
      </c>
      <c r="F335" s="4" t="s">
        <v>25</v>
      </c>
      <c r="G335" s="4" t="s">
        <v>25</v>
      </c>
      <c r="H335" s="4" t="s">
        <v>25</v>
      </c>
      <c r="I335" s="5">
        <v>44682</v>
      </c>
      <c r="J335" s="6">
        <v>0</v>
      </c>
      <c r="K335" s="6">
        <v>0</v>
      </c>
      <c r="L335" s="6">
        <v>0.1</v>
      </c>
      <c r="M335" s="6">
        <v>0.1</v>
      </c>
      <c r="N335" s="6">
        <v>0.1</v>
      </c>
      <c r="O335" s="6">
        <v>0.1</v>
      </c>
      <c r="P335" s="6">
        <v>1</v>
      </c>
      <c r="Q335" s="4" t="s">
        <v>26</v>
      </c>
      <c r="R335" s="4">
        <v>0</v>
      </c>
      <c r="S335" s="4" t="s">
        <v>232</v>
      </c>
      <c r="T335" s="4" t="s">
        <v>369</v>
      </c>
      <c r="U335" s="4">
        <v>0</v>
      </c>
      <c r="V335" s="4">
        <v>22</v>
      </c>
      <c r="W335" s="4">
        <v>57</v>
      </c>
    </row>
    <row r="336" spans="1:23" ht="11.25" customHeight="1" x14ac:dyDescent="0.25">
      <c r="A336" s="4" t="s">
        <v>21</v>
      </c>
      <c r="B336" s="4" t="s">
        <v>39</v>
      </c>
      <c r="C336" s="4" t="s">
        <v>23</v>
      </c>
      <c r="D336" s="4" t="s">
        <v>40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44713</v>
      </c>
      <c r="J336" s="6">
        <v>0</v>
      </c>
      <c r="K336" s="6">
        <v>0</v>
      </c>
      <c r="L336" s="6">
        <v>3.5150000000000001</v>
      </c>
      <c r="M336" s="6">
        <v>3.5150000000000001</v>
      </c>
      <c r="N336" s="6">
        <v>3.5150000000000001</v>
      </c>
      <c r="O336" s="6">
        <v>3.5150000000000001</v>
      </c>
      <c r="P336" s="6">
        <v>12</v>
      </c>
      <c r="Q336" s="4" t="s">
        <v>26</v>
      </c>
      <c r="R336" s="4">
        <v>0</v>
      </c>
      <c r="S336" s="4" t="s">
        <v>233</v>
      </c>
      <c r="T336" s="4" t="s">
        <v>370</v>
      </c>
      <c r="U336" s="4">
        <v>0</v>
      </c>
      <c r="V336" s="4">
        <v>22</v>
      </c>
      <c r="W336" s="4">
        <v>57</v>
      </c>
    </row>
    <row r="337" spans="1:23" ht="11.25" customHeight="1" x14ac:dyDescent="0.25">
      <c r="A337" s="4" t="s">
        <v>27</v>
      </c>
      <c r="B337" s="4" t="s">
        <v>39</v>
      </c>
      <c r="C337" s="4" t="s">
        <v>23</v>
      </c>
      <c r="D337" s="4" t="s">
        <v>40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44713</v>
      </c>
      <c r="J337" s="6">
        <v>0</v>
      </c>
      <c r="K337" s="6">
        <v>0</v>
      </c>
      <c r="L337" s="6">
        <v>0.1</v>
      </c>
      <c r="M337" s="6">
        <v>0.1</v>
      </c>
      <c r="N337" s="6">
        <v>0.1</v>
      </c>
      <c r="O337" s="6">
        <v>0.1</v>
      </c>
      <c r="P337" s="6">
        <v>1</v>
      </c>
      <c r="Q337" s="4" t="s">
        <v>26</v>
      </c>
      <c r="R337" s="4">
        <v>0</v>
      </c>
      <c r="S337" s="4" t="s">
        <v>233</v>
      </c>
      <c r="T337" s="4" t="s">
        <v>370</v>
      </c>
      <c r="U337" s="4">
        <v>0</v>
      </c>
      <c r="V337" s="4">
        <v>22</v>
      </c>
      <c r="W337" s="4">
        <v>57</v>
      </c>
    </row>
    <row r="338" spans="1:23" ht="11.25" customHeight="1" x14ac:dyDescent="0.25">
      <c r="A338" s="4" t="s">
        <v>21</v>
      </c>
      <c r="B338" s="4" t="s">
        <v>32</v>
      </c>
      <c r="C338" s="4" t="s">
        <v>49</v>
      </c>
      <c r="D338" s="4" t="s">
        <v>41</v>
      </c>
      <c r="E338" s="4" t="s">
        <v>25</v>
      </c>
      <c r="F338" s="4" t="s">
        <v>25</v>
      </c>
      <c r="G338" s="4" t="s">
        <v>25</v>
      </c>
      <c r="H338" s="4" t="s">
        <v>37</v>
      </c>
      <c r="I338" s="5">
        <v>44621</v>
      </c>
      <c r="J338" s="6">
        <v>0</v>
      </c>
      <c r="K338" s="6">
        <v>0</v>
      </c>
      <c r="L338" s="6">
        <v>0.64600000000000002</v>
      </c>
      <c r="M338" s="6">
        <v>0.64600000000000002</v>
      </c>
      <c r="N338" s="6">
        <v>0.64600000000000002</v>
      </c>
      <c r="O338" s="6">
        <v>0.64600000000000002</v>
      </c>
      <c r="P338" s="6">
        <v>0</v>
      </c>
      <c r="Q338" s="4" t="s">
        <v>26</v>
      </c>
      <c r="R338" s="4">
        <v>0</v>
      </c>
      <c r="S338" s="4" t="s">
        <v>234</v>
      </c>
      <c r="T338" s="4" t="s">
        <v>371</v>
      </c>
      <c r="U338" s="4">
        <v>0</v>
      </c>
      <c r="V338" s="4">
        <v>44</v>
      </c>
      <c r="W338" s="4">
        <v>84</v>
      </c>
    </row>
    <row r="339" spans="1:23" ht="11.25" customHeight="1" x14ac:dyDescent="0.25">
      <c r="A339" s="4" t="s">
        <v>21</v>
      </c>
      <c r="B339" s="4" t="s">
        <v>32</v>
      </c>
      <c r="C339" s="4" t="s">
        <v>49</v>
      </c>
      <c r="D339" s="4" t="s">
        <v>41</v>
      </c>
      <c r="E339" s="4" t="s">
        <v>25</v>
      </c>
      <c r="F339" s="4" t="s">
        <v>25</v>
      </c>
      <c r="G339" s="4" t="s">
        <v>25</v>
      </c>
      <c r="H339" s="4" t="s">
        <v>37</v>
      </c>
      <c r="I339" s="5">
        <v>44652</v>
      </c>
      <c r="J339" s="6">
        <v>0</v>
      </c>
      <c r="K339" s="6">
        <v>0</v>
      </c>
      <c r="L339" s="6">
        <v>1.329</v>
      </c>
      <c r="M339" s="6">
        <v>1.329</v>
      </c>
      <c r="N339" s="6">
        <v>1.329</v>
      </c>
      <c r="O339" s="6">
        <v>1.329</v>
      </c>
      <c r="P339" s="6">
        <v>0</v>
      </c>
      <c r="Q339" s="4" t="s">
        <v>26</v>
      </c>
      <c r="R339" s="4">
        <v>0</v>
      </c>
      <c r="S339" s="4" t="s">
        <v>235</v>
      </c>
      <c r="T339" s="4" t="s">
        <v>372</v>
      </c>
      <c r="U339" s="4">
        <v>0</v>
      </c>
      <c r="V339" s="4">
        <v>44</v>
      </c>
      <c r="W339" s="4">
        <v>84</v>
      </c>
    </row>
    <row r="340" spans="1:23" ht="11.25" customHeight="1" x14ac:dyDescent="0.25">
      <c r="A340" s="4" t="s">
        <v>21</v>
      </c>
      <c r="B340" s="4" t="s">
        <v>32</v>
      </c>
      <c r="C340" s="4" t="s">
        <v>49</v>
      </c>
      <c r="D340" s="4" t="s">
        <v>41</v>
      </c>
      <c r="E340" s="4" t="s">
        <v>25</v>
      </c>
      <c r="F340" s="4" t="s">
        <v>25</v>
      </c>
      <c r="G340" s="4" t="s">
        <v>25</v>
      </c>
      <c r="H340" s="4" t="s">
        <v>37</v>
      </c>
      <c r="I340" s="5">
        <v>44682</v>
      </c>
      <c r="J340" s="6">
        <v>0</v>
      </c>
      <c r="K340" s="6">
        <v>0</v>
      </c>
      <c r="L340" s="6">
        <v>0.85499999999999998</v>
      </c>
      <c r="M340" s="6">
        <v>0.85499999999999998</v>
      </c>
      <c r="N340" s="6">
        <v>0.85499999999999998</v>
      </c>
      <c r="O340" s="6">
        <v>0.85499999999999998</v>
      </c>
      <c r="P340" s="6">
        <v>0</v>
      </c>
      <c r="Q340" s="4" t="s">
        <v>26</v>
      </c>
      <c r="R340" s="4">
        <v>0</v>
      </c>
      <c r="S340" s="4" t="s">
        <v>236</v>
      </c>
      <c r="T340" s="4" t="s">
        <v>373</v>
      </c>
      <c r="U340" s="4">
        <v>0</v>
      </c>
      <c r="V340" s="4">
        <v>44</v>
      </c>
      <c r="W340" s="4">
        <v>84</v>
      </c>
    </row>
    <row r="341" spans="1:23" ht="11.25" customHeight="1" x14ac:dyDescent="0.25">
      <c r="A341" s="4" t="s">
        <v>21</v>
      </c>
      <c r="B341" s="4" t="s">
        <v>32</v>
      </c>
      <c r="C341" s="4" t="s">
        <v>49</v>
      </c>
      <c r="D341" s="4" t="s">
        <v>41</v>
      </c>
      <c r="E341" s="4" t="s">
        <v>25</v>
      </c>
      <c r="F341" s="4" t="s">
        <v>25</v>
      </c>
      <c r="G341" s="4" t="s">
        <v>25</v>
      </c>
      <c r="H341" s="4" t="s">
        <v>37</v>
      </c>
      <c r="I341" s="5">
        <v>44713</v>
      </c>
      <c r="J341" s="6">
        <v>0</v>
      </c>
      <c r="K341" s="6">
        <v>0</v>
      </c>
      <c r="L341" s="6">
        <v>0.91200000000000003</v>
      </c>
      <c r="M341" s="6">
        <v>0.91200000000000003</v>
      </c>
      <c r="N341" s="6">
        <v>0.91200000000000003</v>
      </c>
      <c r="O341" s="6">
        <v>0.91200000000000003</v>
      </c>
      <c r="P341" s="6">
        <v>0</v>
      </c>
      <c r="Q341" s="4" t="s">
        <v>26</v>
      </c>
      <c r="R341" s="4">
        <v>0</v>
      </c>
      <c r="S341" s="4" t="s">
        <v>237</v>
      </c>
      <c r="T341" s="4" t="s">
        <v>374</v>
      </c>
      <c r="U341" s="4">
        <v>0</v>
      </c>
      <c r="V341" s="4">
        <v>44</v>
      </c>
      <c r="W341" s="4">
        <v>84</v>
      </c>
    </row>
    <row r="342" spans="1:23" ht="11.25" customHeight="1" x14ac:dyDescent="0.25">
      <c r="A342" s="4" t="s">
        <v>21</v>
      </c>
      <c r="B342" s="4" t="s">
        <v>32</v>
      </c>
      <c r="C342" s="4" t="s">
        <v>49</v>
      </c>
      <c r="D342" s="4" t="s">
        <v>41</v>
      </c>
      <c r="E342" s="4" t="s">
        <v>25</v>
      </c>
      <c r="F342" s="4" t="s">
        <v>25</v>
      </c>
      <c r="G342" s="4" t="s">
        <v>25</v>
      </c>
      <c r="H342" s="4" t="s">
        <v>50</v>
      </c>
      <c r="I342" s="5">
        <v>44621</v>
      </c>
      <c r="J342" s="6">
        <v>0</v>
      </c>
      <c r="K342" s="6">
        <v>0</v>
      </c>
      <c r="L342" s="6">
        <v>3.7999999999999999E-2</v>
      </c>
      <c r="M342" s="6">
        <v>3.7999999999999999E-2</v>
      </c>
      <c r="N342" s="6">
        <v>3.7999999999999999E-2</v>
      </c>
      <c r="O342" s="6">
        <v>3.7999999999999999E-2</v>
      </c>
      <c r="P342" s="6">
        <v>0</v>
      </c>
      <c r="Q342" s="4" t="s">
        <v>26</v>
      </c>
      <c r="R342" s="4">
        <v>0</v>
      </c>
      <c r="S342" s="4" t="s">
        <v>238</v>
      </c>
      <c r="T342" s="4" t="s">
        <v>375</v>
      </c>
      <c r="U342" s="4">
        <v>0</v>
      </c>
      <c r="V342" s="4">
        <v>54</v>
      </c>
      <c r="W342" s="4">
        <v>80</v>
      </c>
    </row>
    <row r="343" spans="1:23" ht="11.25" customHeight="1" x14ac:dyDescent="0.25">
      <c r="A343" s="4" t="s">
        <v>21</v>
      </c>
      <c r="B343" s="4" t="s">
        <v>32</v>
      </c>
      <c r="C343" s="4" t="s">
        <v>49</v>
      </c>
      <c r="D343" s="4" t="s">
        <v>41</v>
      </c>
      <c r="E343" s="4" t="s">
        <v>25</v>
      </c>
      <c r="F343" s="4" t="s">
        <v>25</v>
      </c>
      <c r="G343" s="4" t="s">
        <v>25</v>
      </c>
      <c r="H343" s="4" t="s">
        <v>50</v>
      </c>
      <c r="I343" s="5">
        <v>44652</v>
      </c>
      <c r="J343" s="6">
        <v>0</v>
      </c>
      <c r="K343" s="6">
        <v>0</v>
      </c>
      <c r="L343" s="6">
        <v>7.3999999999999996E-2</v>
      </c>
      <c r="M343" s="6">
        <v>7.3999999999999996E-2</v>
      </c>
      <c r="N343" s="6">
        <v>7.3999999999999996E-2</v>
      </c>
      <c r="O343" s="6">
        <v>7.3999999999999996E-2</v>
      </c>
      <c r="P343" s="6">
        <v>0</v>
      </c>
      <c r="Q343" s="4" t="s">
        <v>26</v>
      </c>
      <c r="R343" s="4">
        <v>0</v>
      </c>
      <c r="S343" s="4" t="s">
        <v>239</v>
      </c>
      <c r="T343" s="4" t="s">
        <v>376</v>
      </c>
      <c r="U343" s="4">
        <v>0</v>
      </c>
      <c r="V343" s="4">
        <v>54</v>
      </c>
      <c r="W343" s="4">
        <v>80</v>
      </c>
    </row>
    <row r="344" spans="1:23" ht="11.25" customHeight="1" x14ac:dyDescent="0.25">
      <c r="A344" s="4" t="s">
        <v>21</v>
      </c>
      <c r="B344" s="4" t="s">
        <v>32</v>
      </c>
      <c r="C344" s="4" t="s">
        <v>49</v>
      </c>
      <c r="D344" s="4" t="s">
        <v>41</v>
      </c>
      <c r="E344" s="4" t="s">
        <v>25</v>
      </c>
      <c r="F344" s="4" t="s">
        <v>25</v>
      </c>
      <c r="G344" s="4" t="s">
        <v>25</v>
      </c>
      <c r="H344" s="4" t="s">
        <v>50</v>
      </c>
      <c r="I344" s="5">
        <v>44682</v>
      </c>
      <c r="J344" s="6">
        <v>0</v>
      </c>
      <c r="K344" s="6">
        <v>0</v>
      </c>
      <c r="L344" s="6">
        <v>6.2E-2</v>
      </c>
      <c r="M344" s="6">
        <v>6.2E-2</v>
      </c>
      <c r="N344" s="6">
        <v>6.2E-2</v>
      </c>
      <c r="O344" s="6">
        <v>6.2E-2</v>
      </c>
      <c r="P344" s="6">
        <v>0</v>
      </c>
      <c r="Q344" s="4" t="s">
        <v>26</v>
      </c>
      <c r="R344" s="4">
        <v>0</v>
      </c>
      <c r="S344" s="4" t="s">
        <v>240</v>
      </c>
      <c r="T344" s="4" t="s">
        <v>377</v>
      </c>
      <c r="U344" s="4">
        <v>0</v>
      </c>
      <c r="V344" s="4">
        <v>54</v>
      </c>
      <c r="W344" s="4">
        <v>80</v>
      </c>
    </row>
    <row r="345" spans="1:23" ht="11.25" customHeight="1" x14ac:dyDescent="0.25">
      <c r="A345" s="4" t="s">
        <v>21</v>
      </c>
      <c r="B345" s="4" t="s">
        <v>32</v>
      </c>
      <c r="C345" s="4" t="s">
        <v>49</v>
      </c>
      <c r="D345" s="4" t="s">
        <v>41</v>
      </c>
      <c r="E345" s="4" t="s">
        <v>25</v>
      </c>
      <c r="F345" s="4" t="s">
        <v>25</v>
      </c>
      <c r="G345" s="4" t="s">
        <v>25</v>
      </c>
      <c r="H345" s="4" t="s">
        <v>50</v>
      </c>
      <c r="I345" s="5">
        <v>44713</v>
      </c>
      <c r="J345" s="6">
        <v>0</v>
      </c>
      <c r="K345" s="6">
        <v>0</v>
      </c>
      <c r="L345" s="6">
        <v>6.6000000000000003E-2</v>
      </c>
      <c r="M345" s="6">
        <v>6.6000000000000003E-2</v>
      </c>
      <c r="N345" s="6">
        <v>6.6000000000000003E-2</v>
      </c>
      <c r="O345" s="6">
        <v>6.6000000000000003E-2</v>
      </c>
      <c r="P345" s="6">
        <v>0</v>
      </c>
      <c r="Q345" s="4" t="s">
        <v>26</v>
      </c>
      <c r="R345" s="4">
        <v>0</v>
      </c>
      <c r="S345" s="4" t="s">
        <v>241</v>
      </c>
      <c r="T345" s="4" t="s">
        <v>378</v>
      </c>
      <c r="U345" s="4">
        <v>0</v>
      </c>
      <c r="V345" s="4">
        <v>54</v>
      </c>
      <c r="W345" s="4">
        <v>80</v>
      </c>
    </row>
    <row r="346" spans="1:23" ht="11.25" customHeight="1" x14ac:dyDescent="0.25">
      <c r="A346" s="4" t="s">
        <v>21</v>
      </c>
      <c r="B346" s="4" t="s">
        <v>32</v>
      </c>
      <c r="C346" s="4" t="s">
        <v>49</v>
      </c>
      <c r="D346" s="4" t="s">
        <v>41</v>
      </c>
      <c r="E346" s="4" t="s">
        <v>25</v>
      </c>
      <c r="F346" s="4" t="s">
        <v>25</v>
      </c>
      <c r="G346" s="4" t="s">
        <v>25</v>
      </c>
      <c r="H346" s="4" t="s">
        <v>36</v>
      </c>
      <c r="I346" s="5">
        <v>44621</v>
      </c>
      <c r="J346" s="6">
        <v>0</v>
      </c>
      <c r="K346" s="6">
        <v>0</v>
      </c>
      <c r="L346" s="6">
        <v>2.8000000000000001E-2</v>
      </c>
      <c r="M346" s="6">
        <v>2.8000000000000001E-2</v>
      </c>
      <c r="N346" s="6">
        <v>2.8000000000000001E-2</v>
      </c>
      <c r="O346" s="6">
        <v>2.8000000000000001E-2</v>
      </c>
      <c r="P346" s="6">
        <v>0</v>
      </c>
      <c r="Q346" s="4" t="s">
        <v>26</v>
      </c>
      <c r="R346" s="4">
        <v>0</v>
      </c>
      <c r="S346" s="4" t="s">
        <v>242</v>
      </c>
      <c r="T346" s="4" t="s">
        <v>379</v>
      </c>
      <c r="U346" s="4">
        <v>0</v>
      </c>
      <c r="V346" s="4">
        <v>56</v>
      </c>
      <c r="W346" s="4">
        <v>61</v>
      </c>
    </row>
    <row r="347" spans="1:23" ht="11.25" customHeight="1" x14ac:dyDescent="0.25">
      <c r="A347" s="4" t="s">
        <v>21</v>
      </c>
      <c r="B347" s="4" t="s">
        <v>32</v>
      </c>
      <c r="C347" s="4" t="s">
        <v>49</v>
      </c>
      <c r="D347" s="4" t="s">
        <v>41</v>
      </c>
      <c r="E347" s="4" t="s">
        <v>25</v>
      </c>
      <c r="F347" s="4" t="s">
        <v>25</v>
      </c>
      <c r="G347" s="4" t="s">
        <v>25</v>
      </c>
      <c r="H347" s="4" t="s">
        <v>36</v>
      </c>
      <c r="I347" s="5">
        <v>44652</v>
      </c>
      <c r="J347" s="6">
        <v>0</v>
      </c>
      <c r="K347" s="6">
        <v>0</v>
      </c>
      <c r="L347" s="6">
        <v>5.8999999999999997E-2</v>
      </c>
      <c r="M347" s="6">
        <v>5.8999999999999997E-2</v>
      </c>
      <c r="N347" s="6">
        <v>5.8999999999999997E-2</v>
      </c>
      <c r="O347" s="6">
        <v>5.8999999999999997E-2</v>
      </c>
      <c r="P347" s="6">
        <v>0</v>
      </c>
      <c r="Q347" s="4" t="s">
        <v>26</v>
      </c>
      <c r="R347" s="4">
        <v>0</v>
      </c>
      <c r="S347" s="4" t="s">
        <v>243</v>
      </c>
      <c r="T347" s="4" t="s">
        <v>380</v>
      </c>
      <c r="U347" s="4">
        <v>0</v>
      </c>
      <c r="V347" s="4">
        <v>56</v>
      </c>
      <c r="W347" s="4">
        <v>61</v>
      </c>
    </row>
    <row r="348" spans="1:23" ht="11.25" customHeight="1" x14ac:dyDescent="0.25">
      <c r="A348" s="4" t="s">
        <v>21</v>
      </c>
      <c r="B348" s="4" t="s">
        <v>32</v>
      </c>
      <c r="C348" s="4" t="s">
        <v>49</v>
      </c>
      <c r="D348" s="4" t="s">
        <v>41</v>
      </c>
      <c r="E348" s="4" t="s">
        <v>25</v>
      </c>
      <c r="F348" s="4" t="s">
        <v>25</v>
      </c>
      <c r="G348" s="4" t="s">
        <v>25</v>
      </c>
      <c r="H348" s="4" t="s">
        <v>36</v>
      </c>
      <c r="I348" s="5">
        <v>44682</v>
      </c>
      <c r="J348" s="6">
        <v>0</v>
      </c>
      <c r="K348" s="6">
        <v>0</v>
      </c>
      <c r="L348" s="6">
        <v>6.2E-2</v>
      </c>
      <c r="M348" s="6">
        <v>6.2E-2</v>
      </c>
      <c r="N348" s="6">
        <v>6.2E-2</v>
      </c>
      <c r="O348" s="6">
        <v>6.2E-2</v>
      </c>
      <c r="P348" s="6">
        <v>0</v>
      </c>
      <c r="Q348" s="4" t="s">
        <v>26</v>
      </c>
      <c r="R348" s="4">
        <v>0</v>
      </c>
      <c r="S348" s="4" t="s">
        <v>244</v>
      </c>
      <c r="T348" s="4" t="s">
        <v>381</v>
      </c>
      <c r="U348" s="4">
        <v>0</v>
      </c>
      <c r="V348" s="4">
        <v>56</v>
      </c>
      <c r="W348" s="4">
        <v>61</v>
      </c>
    </row>
    <row r="349" spans="1:23" ht="11.25" customHeight="1" x14ac:dyDescent="0.25">
      <c r="A349" s="4" t="s">
        <v>21</v>
      </c>
      <c r="B349" s="4" t="s">
        <v>32</v>
      </c>
      <c r="C349" s="4" t="s">
        <v>49</v>
      </c>
      <c r="D349" s="4" t="s">
        <v>41</v>
      </c>
      <c r="E349" s="4" t="s">
        <v>25</v>
      </c>
      <c r="F349" s="4" t="s">
        <v>25</v>
      </c>
      <c r="G349" s="4" t="s">
        <v>25</v>
      </c>
      <c r="H349" s="4" t="s">
        <v>36</v>
      </c>
      <c r="I349" s="5">
        <v>44713</v>
      </c>
      <c r="J349" s="6">
        <v>0</v>
      </c>
      <c r="K349" s="6">
        <v>0</v>
      </c>
      <c r="L349" s="6">
        <v>6.7000000000000004E-2</v>
      </c>
      <c r="M349" s="6">
        <v>6.7000000000000004E-2</v>
      </c>
      <c r="N349" s="6">
        <v>6.7000000000000004E-2</v>
      </c>
      <c r="O349" s="6">
        <v>6.7000000000000004E-2</v>
      </c>
      <c r="P349" s="6">
        <v>0</v>
      </c>
      <c r="Q349" s="4" t="s">
        <v>26</v>
      </c>
      <c r="R349" s="4">
        <v>0</v>
      </c>
      <c r="S349" s="4" t="s">
        <v>245</v>
      </c>
      <c r="T349" s="4" t="s">
        <v>382</v>
      </c>
      <c r="U349" s="4">
        <v>0</v>
      </c>
      <c r="V349" s="4">
        <v>56</v>
      </c>
      <c r="W349" s="4">
        <v>61</v>
      </c>
    </row>
    <row r="350" spans="1:23" ht="11.25" customHeight="1" x14ac:dyDescent="0.25">
      <c r="A350" s="4" t="s">
        <v>21</v>
      </c>
      <c r="B350" s="4" t="s">
        <v>32</v>
      </c>
      <c r="C350" s="4" t="s">
        <v>23</v>
      </c>
      <c r="D350" s="4" t="s">
        <v>38</v>
      </c>
      <c r="E350" s="4" t="s">
        <v>25</v>
      </c>
      <c r="F350" s="4" t="s">
        <v>25</v>
      </c>
      <c r="G350" s="4" t="s">
        <v>25</v>
      </c>
      <c r="H350" s="4" t="s">
        <v>25</v>
      </c>
      <c r="I350" s="5">
        <v>44378</v>
      </c>
      <c r="J350" s="6">
        <v>0</v>
      </c>
      <c r="K350" s="6">
        <v>0</v>
      </c>
      <c r="L350" s="6">
        <v>670.90099999999995</v>
      </c>
      <c r="M350" s="6">
        <v>670.90099999999995</v>
      </c>
      <c r="N350" s="6">
        <v>670.90099999999995</v>
      </c>
      <c r="O350" s="6">
        <v>670.90099999999995</v>
      </c>
      <c r="P350" s="6">
        <v>1633</v>
      </c>
      <c r="Q350" s="4" t="s">
        <v>26</v>
      </c>
      <c r="R350" s="4">
        <v>0</v>
      </c>
      <c r="S350" s="4" t="s">
        <v>246</v>
      </c>
      <c r="T350" s="4" t="s">
        <v>383</v>
      </c>
      <c r="U350" s="4">
        <v>0</v>
      </c>
      <c r="V350" s="4">
        <v>46</v>
      </c>
      <c r="W350" s="4">
        <v>83</v>
      </c>
    </row>
    <row r="351" spans="1:23" ht="11.25" customHeight="1" x14ac:dyDescent="0.25">
      <c r="A351" s="4" t="s">
        <v>27</v>
      </c>
      <c r="B351" s="4" t="s">
        <v>32</v>
      </c>
      <c r="C351" s="4" t="s">
        <v>23</v>
      </c>
      <c r="D351" s="4" t="s">
        <v>38</v>
      </c>
      <c r="E351" s="4" t="s">
        <v>25</v>
      </c>
      <c r="F351" s="4" t="s">
        <v>25</v>
      </c>
      <c r="G351" s="4" t="s">
        <v>25</v>
      </c>
      <c r="H351" s="4" t="s">
        <v>25</v>
      </c>
      <c r="I351" s="5">
        <v>44378</v>
      </c>
      <c r="J351" s="6">
        <v>0</v>
      </c>
      <c r="K351" s="6">
        <v>0</v>
      </c>
      <c r="L351" s="6">
        <v>37.423000000000002</v>
      </c>
      <c r="M351" s="6">
        <v>37.423000000000002</v>
      </c>
      <c r="N351" s="6">
        <v>37.423000000000002</v>
      </c>
      <c r="O351" s="6">
        <v>37.423000000000002</v>
      </c>
      <c r="P351" s="6">
        <v>62</v>
      </c>
      <c r="Q351" s="4" t="s">
        <v>26</v>
      </c>
      <c r="R351" s="4">
        <v>0</v>
      </c>
      <c r="S351" s="4" t="s">
        <v>246</v>
      </c>
      <c r="T351" s="4" t="s">
        <v>383</v>
      </c>
      <c r="U351" s="4">
        <v>0</v>
      </c>
      <c r="V351" s="4">
        <v>46</v>
      </c>
      <c r="W351" s="4">
        <v>83</v>
      </c>
    </row>
    <row r="352" spans="1:23" ht="11.25" customHeight="1" x14ac:dyDescent="0.25">
      <c r="A352" s="4" t="s">
        <v>21</v>
      </c>
      <c r="B352" s="4" t="s">
        <v>32</v>
      </c>
      <c r="C352" s="4" t="s">
        <v>23</v>
      </c>
      <c r="D352" s="4" t="s">
        <v>38</v>
      </c>
      <c r="E352" s="4" t="s">
        <v>25</v>
      </c>
      <c r="F352" s="4" t="s">
        <v>25</v>
      </c>
      <c r="G352" s="4" t="s">
        <v>25</v>
      </c>
      <c r="H352" s="4" t="s">
        <v>25</v>
      </c>
      <c r="I352" s="5">
        <v>44409</v>
      </c>
      <c r="J352" s="6">
        <v>0</v>
      </c>
      <c r="K352" s="6">
        <v>0</v>
      </c>
      <c r="L352" s="6">
        <v>657.50400000000002</v>
      </c>
      <c r="M352" s="6">
        <v>657.50400000000002</v>
      </c>
      <c r="N352" s="6">
        <v>657.50400000000002</v>
      </c>
      <c r="O352" s="6">
        <v>657.50400000000002</v>
      </c>
      <c r="P352" s="6">
        <v>1636</v>
      </c>
      <c r="Q352" s="4" t="s">
        <v>26</v>
      </c>
      <c r="R352" s="4">
        <v>0</v>
      </c>
      <c r="S352" s="4" t="s">
        <v>247</v>
      </c>
      <c r="T352" s="4" t="s">
        <v>384</v>
      </c>
      <c r="U352" s="4">
        <v>0</v>
      </c>
      <c r="V352" s="4">
        <v>46</v>
      </c>
      <c r="W352" s="4">
        <v>83</v>
      </c>
    </row>
    <row r="353" spans="1:23" ht="11.25" customHeight="1" x14ac:dyDescent="0.25">
      <c r="A353" s="4" t="s">
        <v>27</v>
      </c>
      <c r="B353" s="4" t="s">
        <v>32</v>
      </c>
      <c r="C353" s="4" t="s">
        <v>23</v>
      </c>
      <c r="D353" s="4" t="s">
        <v>38</v>
      </c>
      <c r="E353" s="4" t="s">
        <v>25</v>
      </c>
      <c r="F353" s="4" t="s">
        <v>25</v>
      </c>
      <c r="G353" s="4" t="s">
        <v>25</v>
      </c>
      <c r="H353" s="4" t="s">
        <v>25</v>
      </c>
      <c r="I353" s="5">
        <v>44409</v>
      </c>
      <c r="J353" s="6">
        <v>0</v>
      </c>
      <c r="K353" s="6">
        <v>0</v>
      </c>
      <c r="L353" s="6">
        <v>35.430999999999997</v>
      </c>
      <c r="M353" s="6">
        <v>35.430999999999997</v>
      </c>
      <c r="N353" s="6">
        <v>35.430999999999997</v>
      </c>
      <c r="O353" s="6">
        <v>35.430999999999997</v>
      </c>
      <c r="P353" s="6">
        <v>65</v>
      </c>
      <c r="Q353" s="4" t="s">
        <v>26</v>
      </c>
      <c r="R353" s="4">
        <v>0</v>
      </c>
      <c r="S353" s="4" t="s">
        <v>247</v>
      </c>
      <c r="T353" s="4" t="s">
        <v>384</v>
      </c>
      <c r="U353" s="4">
        <v>0</v>
      </c>
      <c r="V353" s="4">
        <v>46</v>
      </c>
      <c r="W353" s="4">
        <v>83</v>
      </c>
    </row>
    <row r="354" spans="1:23" ht="11.25" customHeight="1" x14ac:dyDescent="0.25">
      <c r="A354" s="4" t="s">
        <v>21</v>
      </c>
      <c r="B354" s="4" t="s">
        <v>32</v>
      </c>
      <c r="C354" s="4" t="s">
        <v>23</v>
      </c>
      <c r="D354" s="4" t="s">
        <v>38</v>
      </c>
      <c r="E354" s="4" t="s">
        <v>25</v>
      </c>
      <c r="F354" s="4" t="s">
        <v>25</v>
      </c>
      <c r="G354" s="4" t="s">
        <v>25</v>
      </c>
      <c r="H354" s="4" t="s">
        <v>25</v>
      </c>
      <c r="I354" s="5">
        <v>44440</v>
      </c>
      <c r="J354" s="6">
        <v>0</v>
      </c>
      <c r="K354" s="6">
        <v>0</v>
      </c>
      <c r="L354" s="6">
        <v>613.86199999999997</v>
      </c>
      <c r="M354" s="6">
        <v>613.86199999999997</v>
      </c>
      <c r="N354" s="6">
        <v>613.86199999999997</v>
      </c>
      <c r="O354" s="6">
        <v>613.86199999999997</v>
      </c>
      <c r="P354" s="6">
        <v>1641</v>
      </c>
      <c r="Q354" s="4" t="s">
        <v>26</v>
      </c>
      <c r="R354" s="4">
        <v>0</v>
      </c>
      <c r="S354" s="4" t="s">
        <v>248</v>
      </c>
      <c r="T354" s="4" t="s">
        <v>385</v>
      </c>
      <c r="U354" s="4">
        <v>0</v>
      </c>
      <c r="V354" s="4">
        <v>46</v>
      </c>
      <c r="W354" s="4">
        <v>83</v>
      </c>
    </row>
    <row r="355" spans="1:23" ht="11.25" customHeight="1" x14ac:dyDescent="0.25">
      <c r="A355" s="4" t="s">
        <v>27</v>
      </c>
      <c r="B355" s="4" t="s">
        <v>32</v>
      </c>
      <c r="C355" s="4" t="s">
        <v>23</v>
      </c>
      <c r="D355" s="4" t="s">
        <v>38</v>
      </c>
      <c r="E355" s="4" t="s">
        <v>25</v>
      </c>
      <c r="F355" s="4" t="s">
        <v>25</v>
      </c>
      <c r="G355" s="4" t="s">
        <v>25</v>
      </c>
      <c r="H355" s="4" t="s">
        <v>25</v>
      </c>
      <c r="I355" s="5">
        <v>44440</v>
      </c>
      <c r="J355" s="6">
        <v>0</v>
      </c>
      <c r="K355" s="6">
        <v>0</v>
      </c>
      <c r="L355" s="6">
        <v>31.786999999999999</v>
      </c>
      <c r="M355" s="6">
        <v>31.786999999999999</v>
      </c>
      <c r="N355" s="6">
        <v>31.786999999999999</v>
      </c>
      <c r="O355" s="6">
        <v>31.786999999999999</v>
      </c>
      <c r="P355" s="6">
        <v>64</v>
      </c>
      <c r="Q355" s="4" t="s">
        <v>26</v>
      </c>
      <c r="R355" s="4">
        <v>0</v>
      </c>
      <c r="S355" s="4" t="s">
        <v>248</v>
      </c>
      <c r="T355" s="4" t="s">
        <v>385</v>
      </c>
      <c r="U355" s="4">
        <v>0</v>
      </c>
      <c r="V355" s="4">
        <v>46</v>
      </c>
      <c r="W355" s="4">
        <v>83</v>
      </c>
    </row>
    <row r="356" spans="1:23" ht="11.25" customHeight="1" x14ac:dyDescent="0.25">
      <c r="A356" s="4" t="s">
        <v>21</v>
      </c>
      <c r="B356" s="4" t="s">
        <v>32</v>
      </c>
      <c r="C356" s="4" t="s">
        <v>23</v>
      </c>
      <c r="D356" s="4" t="s">
        <v>38</v>
      </c>
      <c r="E356" s="4" t="s">
        <v>25</v>
      </c>
      <c r="F356" s="4" t="s">
        <v>25</v>
      </c>
      <c r="G356" s="4" t="s">
        <v>25</v>
      </c>
      <c r="H356" s="4" t="s">
        <v>25</v>
      </c>
      <c r="I356" s="5">
        <v>44470</v>
      </c>
      <c r="J356" s="6">
        <v>0</v>
      </c>
      <c r="K356" s="6">
        <v>0</v>
      </c>
      <c r="L356" s="6">
        <v>608.11099999999999</v>
      </c>
      <c r="M356" s="6">
        <v>608.11099999999999</v>
      </c>
      <c r="N356" s="6">
        <v>608.11099999999999</v>
      </c>
      <c r="O356" s="6">
        <v>608.11099999999999</v>
      </c>
      <c r="P356" s="6">
        <v>1651</v>
      </c>
      <c r="Q356" s="4" t="s">
        <v>26</v>
      </c>
      <c r="R356" s="4">
        <v>0</v>
      </c>
      <c r="S356" s="4" t="s">
        <v>249</v>
      </c>
      <c r="T356" s="4" t="s">
        <v>386</v>
      </c>
      <c r="U356" s="4">
        <v>0</v>
      </c>
      <c r="V356" s="4">
        <v>46</v>
      </c>
      <c r="W356" s="4">
        <v>83</v>
      </c>
    </row>
    <row r="357" spans="1:23" ht="11.25" customHeight="1" x14ac:dyDescent="0.25">
      <c r="A357" s="4" t="s">
        <v>27</v>
      </c>
      <c r="B357" s="4" t="s">
        <v>32</v>
      </c>
      <c r="C357" s="4" t="s">
        <v>23</v>
      </c>
      <c r="D357" s="4" t="s">
        <v>38</v>
      </c>
      <c r="E357" s="4" t="s">
        <v>25</v>
      </c>
      <c r="F357" s="4" t="s">
        <v>25</v>
      </c>
      <c r="G357" s="4" t="s">
        <v>25</v>
      </c>
      <c r="H357" s="4" t="s">
        <v>25</v>
      </c>
      <c r="I357" s="5">
        <v>44470</v>
      </c>
      <c r="J357" s="6">
        <v>0</v>
      </c>
      <c r="K357" s="6">
        <v>0</v>
      </c>
      <c r="L357" s="6">
        <v>29.289000000000001</v>
      </c>
      <c r="M357" s="6">
        <v>29.289000000000001</v>
      </c>
      <c r="N357" s="6">
        <v>29.289000000000001</v>
      </c>
      <c r="O357" s="6">
        <v>29.289000000000001</v>
      </c>
      <c r="P357" s="6">
        <v>70</v>
      </c>
      <c r="Q357" s="4" t="s">
        <v>26</v>
      </c>
      <c r="R357" s="4">
        <v>0</v>
      </c>
      <c r="S357" s="4" t="s">
        <v>249</v>
      </c>
      <c r="T357" s="4" t="s">
        <v>386</v>
      </c>
      <c r="U357" s="4">
        <v>0</v>
      </c>
      <c r="V357" s="4">
        <v>46</v>
      </c>
      <c r="W357" s="4">
        <v>83</v>
      </c>
    </row>
    <row r="358" spans="1:23" ht="11.25" customHeight="1" x14ac:dyDescent="0.25">
      <c r="A358" s="4" t="s">
        <v>21</v>
      </c>
      <c r="B358" s="4" t="s">
        <v>32</v>
      </c>
      <c r="C358" s="4" t="s">
        <v>23</v>
      </c>
      <c r="D358" s="4" t="s">
        <v>38</v>
      </c>
      <c r="E358" s="4" t="s">
        <v>25</v>
      </c>
      <c r="F358" s="4" t="s">
        <v>25</v>
      </c>
      <c r="G358" s="4" t="s">
        <v>25</v>
      </c>
      <c r="H358" s="4" t="s">
        <v>25</v>
      </c>
      <c r="I358" s="5">
        <v>44501</v>
      </c>
      <c r="J358" s="6">
        <v>0</v>
      </c>
      <c r="K358" s="6">
        <v>0</v>
      </c>
      <c r="L358" s="6">
        <v>691.02599999999995</v>
      </c>
      <c r="M358" s="6">
        <v>691.02599999999995</v>
      </c>
      <c r="N358" s="6">
        <v>691.02599999999995</v>
      </c>
      <c r="O358" s="6">
        <v>691.02599999999995</v>
      </c>
      <c r="P358" s="6">
        <v>1646</v>
      </c>
      <c r="Q358" s="4" t="s">
        <v>26</v>
      </c>
      <c r="R358" s="4">
        <v>0</v>
      </c>
      <c r="S358" s="4" t="s">
        <v>250</v>
      </c>
      <c r="T358" s="4" t="s">
        <v>387</v>
      </c>
      <c r="U358" s="4">
        <v>0</v>
      </c>
      <c r="V358" s="4">
        <v>46</v>
      </c>
      <c r="W358" s="4">
        <v>83</v>
      </c>
    </row>
    <row r="359" spans="1:23" ht="11.25" customHeight="1" x14ac:dyDescent="0.25">
      <c r="A359" s="4" t="s">
        <v>27</v>
      </c>
      <c r="B359" s="4" t="s">
        <v>32</v>
      </c>
      <c r="C359" s="4" t="s">
        <v>23</v>
      </c>
      <c r="D359" s="4" t="s">
        <v>38</v>
      </c>
      <c r="E359" s="4" t="s">
        <v>25</v>
      </c>
      <c r="F359" s="4" t="s">
        <v>25</v>
      </c>
      <c r="G359" s="4" t="s">
        <v>25</v>
      </c>
      <c r="H359" s="4" t="s">
        <v>25</v>
      </c>
      <c r="I359" s="5">
        <v>44501</v>
      </c>
      <c r="J359" s="6">
        <v>0</v>
      </c>
      <c r="K359" s="6">
        <v>0</v>
      </c>
      <c r="L359" s="6">
        <v>25.792000000000002</v>
      </c>
      <c r="M359" s="6">
        <v>25.792000000000002</v>
      </c>
      <c r="N359" s="6">
        <v>25.792000000000002</v>
      </c>
      <c r="O359" s="6">
        <v>25.792000000000002</v>
      </c>
      <c r="P359" s="6">
        <v>74</v>
      </c>
      <c r="Q359" s="4" t="s">
        <v>26</v>
      </c>
      <c r="R359" s="4">
        <v>0</v>
      </c>
      <c r="S359" s="4" t="s">
        <v>250</v>
      </c>
      <c r="T359" s="4" t="s">
        <v>387</v>
      </c>
      <c r="U359" s="4">
        <v>0</v>
      </c>
      <c r="V359" s="4">
        <v>46</v>
      </c>
      <c r="W359" s="4">
        <v>83</v>
      </c>
    </row>
    <row r="360" spans="1:23" ht="11.25" customHeight="1" x14ac:dyDescent="0.25">
      <c r="A360" s="4" t="s">
        <v>21</v>
      </c>
      <c r="B360" s="4" t="s">
        <v>32</v>
      </c>
      <c r="C360" s="4" t="s">
        <v>23</v>
      </c>
      <c r="D360" s="4" t="s">
        <v>38</v>
      </c>
      <c r="E360" s="4" t="s">
        <v>25</v>
      </c>
      <c r="F360" s="4" t="s">
        <v>25</v>
      </c>
      <c r="G360" s="4" t="s">
        <v>25</v>
      </c>
      <c r="H360" s="4" t="s">
        <v>25</v>
      </c>
      <c r="I360" s="5">
        <v>44531</v>
      </c>
      <c r="J360" s="6">
        <v>0</v>
      </c>
      <c r="K360" s="6">
        <v>0</v>
      </c>
      <c r="L360" s="6">
        <v>756.05600000000004</v>
      </c>
      <c r="M360" s="6">
        <v>756.05600000000004</v>
      </c>
      <c r="N360" s="6">
        <v>756.05600000000004</v>
      </c>
      <c r="O360" s="6">
        <v>756.05600000000004</v>
      </c>
      <c r="P360" s="6">
        <v>1649</v>
      </c>
      <c r="Q360" s="4" t="s">
        <v>26</v>
      </c>
      <c r="R360" s="4">
        <v>0</v>
      </c>
      <c r="S360" s="4" t="s">
        <v>251</v>
      </c>
      <c r="T360" s="4" t="s">
        <v>388</v>
      </c>
      <c r="U360" s="4">
        <v>0</v>
      </c>
      <c r="V360" s="4">
        <v>46</v>
      </c>
      <c r="W360" s="4">
        <v>83</v>
      </c>
    </row>
    <row r="361" spans="1:23" ht="11.25" customHeight="1" x14ac:dyDescent="0.25">
      <c r="A361" s="4" t="s">
        <v>27</v>
      </c>
      <c r="B361" s="4" t="s">
        <v>32</v>
      </c>
      <c r="C361" s="4" t="s">
        <v>23</v>
      </c>
      <c r="D361" s="4" t="s">
        <v>38</v>
      </c>
      <c r="E361" s="4" t="s">
        <v>25</v>
      </c>
      <c r="F361" s="4" t="s">
        <v>25</v>
      </c>
      <c r="G361" s="4" t="s">
        <v>25</v>
      </c>
      <c r="H361" s="4" t="s">
        <v>25</v>
      </c>
      <c r="I361" s="5">
        <v>44531</v>
      </c>
      <c r="J361" s="6">
        <v>0</v>
      </c>
      <c r="K361" s="6">
        <v>0</v>
      </c>
      <c r="L361" s="6">
        <v>31.087</v>
      </c>
      <c r="M361" s="6">
        <v>31.087</v>
      </c>
      <c r="N361" s="6">
        <v>31.087</v>
      </c>
      <c r="O361" s="6">
        <v>31.087</v>
      </c>
      <c r="P361" s="6">
        <v>77</v>
      </c>
      <c r="Q361" s="4" t="s">
        <v>26</v>
      </c>
      <c r="R361" s="4">
        <v>0</v>
      </c>
      <c r="S361" s="4" t="s">
        <v>251</v>
      </c>
      <c r="T361" s="4" t="s">
        <v>388</v>
      </c>
      <c r="U361" s="4">
        <v>0</v>
      </c>
      <c r="V361" s="4">
        <v>46</v>
      </c>
      <c r="W361" s="4">
        <v>83</v>
      </c>
    </row>
    <row r="362" spans="1:23" ht="11.25" customHeight="1" x14ac:dyDescent="0.25">
      <c r="A362" s="4" t="s">
        <v>21</v>
      </c>
      <c r="B362" s="4" t="s">
        <v>32</v>
      </c>
      <c r="C362" s="4" t="s">
        <v>23</v>
      </c>
      <c r="D362" s="4" t="s">
        <v>38</v>
      </c>
      <c r="E362" s="4" t="s">
        <v>25</v>
      </c>
      <c r="F362" s="4" t="s">
        <v>25</v>
      </c>
      <c r="G362" s="4" t="s">
        <v>25</v>
      </c>
      <c r="H362" s="4" t="s">
        <v>25</v>
      </c>
      <c r="I362" s="5">
        <v>44562</v>
      </c>
      <c r="J362" s="6">
        <v>0</v>
      </c>
      <c r="K362" s="6">
        <v>0</v>
      </c>
      <c r="L362" s="6">
        <v>808.64599999999996</v>
      </c>
      <c r="M362" s="6">
        <v>808.64599999999996</v>
      </c>
      <c r="N362" s="6">
        <v>808.64599999999996</v>
      </c>
      <c r="O362" s="6">
        <v>808.64599999999996</v>
      </c>
      <c r="P362" s="6">
        <v>1658</v>
      </c>
      <c r="Q362" s="4" t="s">
        <v>26</v>
      </c>
      <c r="R362" s="4">
        <v>0</v>
      </c>
      <c r="S362" s="4" t="s">
        <v>252</v>
      </c>
      <c r="T362" s="4" t="s">
        <v>389</v>
      </c>
      <c r="U362" s="4">
        <v>0</v>
      </c>
      <c r="V362" s="4">
        <v>46</v>
      </c>
      <c r="W362" s="4">
        <v>83</v>
      </c>
    </row>
    <row r="363" spans="1:23" ht="11.25" customHeight="1" x14ac:dyDescent="0.25">
      <c r="A363" s="4" t="s">
        <v>27</v>
      </c>
      <c r="B363" s="4" t="s">
        <v>32</v>
      </c>
      <c r="C363" s="4" t="s">
        <v>23</v>
      </c>
      <c r="D363" s="4" t="s">
        <v>38</v>
      </c>
      <c r="E363" s="4" t="s">
        <v>25</v>
      </c>
      <c r="F363" s="4" t="s">
        <v>25</v>
      </c>
      <c r="G363" s="4" t="s">
        <v>25</v>
      </c>
      <c r="H363" s="4" t="s">
        <v>25</v>
      </c>
      <c r="I363" s="5">
        <v>44562</v>
      </c>
      <c r="J363" s="6">
        <v>0</v>
      </c>
      <c r="K363" s="6">
        <v>0</v>
      </c>
      <c r="L363" s="6">
        <v>25.024000000000001</v>
      </c>
      <c r="M363" s="6">
        <v>25.024000000000001</v>
      </c>
      <c r="N363" s="6">
        <v>25.024000000000001</v>
      </c>
      <c r="O363" s="6">
        <v>25.024000000000001</v>
      </c>
      <c r="P363" s="6">
        <v>81</v>
      </c>
      <c r="Q363" s="4" t="s">
        <v>26</v>
      </c>
      <c r="R363" s="4">
        <v>0</v>
      </c>
      <c r="S363" s="4" t="s">
        <v>252</v>
      </c>
      <c r="T363" s="4" t="s">
        <v>389</v>
      </c>
      <c r="U363" s="4">
        <v>0</v>
      </c>
      <c r="V363" s="4">
        <v>46</v>
      </c>
      <c r="W363" s="4">
        <v>83</v>
      </c>
    </row>
    <row r="364" spans="1:23" ht="11.25" customHeight="1" x14ac:dyDescent="0.25">
      <c r="A364" s="4" t="s">
        <v>21</v>
      </c>
      <c r="B364" s="4" t="s">
        <v>32</v>
      </c>
      <c r="C364" s="4" t="s">
        <v>23</v>
      </c>
      <c r="D364" s="4" t="s">
        <v>38</v>
      </c>
      <c r="E364" s="4" t="s">
        <v>25</v>
      </c>
      <c r="F364" s="4" t="s">
        <v>25</v>
      </c>
      <c r="G364" s="4" t="s">
        <v>25</v>
      </c>
      <c r="H364" s="4" t="s">
        <v>25</v>
      </c>
      <c r="I364" s="5">
        <v>44593</v>
      </c>
      <c r="J364" s="6">
        <v>0</v>
      </c>
      <c r="K364" s="6">
        <v>0</v>
      </c>
      <c r="L364" s="6">
        <v>809.22799999999995</v>
      </c>
      <c r="M364" s="6">
        <v>809.22799999999995</v>
      </c>
      <c r="N364" s="6">
        <v>809.22799999999995</v>
      </c>
      <c r="O364" s="6">
        <v>809.22799999999995</v>
      </c>
      <c r="P364" s="6">
        <v>1652</v>
      </c>
      <c r="Q364" s="4" t="s">
        <v>26</v>
      </c>
      <c r="R364" s="4">
        <v>0</v>
      </c>
      <c r="S364" s="4" t="s">
        <v>253</v>
      </c>
      <c r="T364" s="4" t="s">
        <v>390</v>
      </c>
      <c r="U364" s="4">
        <v>0</v>
      </c>
      <c r="V364" s="4">
        <v>46</v>
      </c>
      <c r="W364" s="4">
        <v>83</v>
      </c>
    </row>
    <row r="365" spans="1:23" ht="11.25" customHeight="1" x14ac:dyDescent="0.25">
      <c r="A365" s="4" t="s">
        <v>27</v>
      </c>
      <c r="B365" s="4" t="s">
        <v>32</v>
      </c>
      <c r="C365" s="4" t="s">
        <v>23</v>
      </c>
      <c r="D365" s="4" t="s">
        <v>38</v>
      </c>
      <c r="E365" s="4" t="s">
        <v>25</v>
      </c>
      <c r="F365" s="4" t="s">
        <v>25</v>
      </c>
      <c r="G365" s="4" t="s">
        <v>25</v>
      </c>
      <c r="H365" s="4" t="s">
        <v>25</v>
      </c>
      <c r="I365" s="5">
        <v>44593</v>
      </c>
      <c r="J365" s="6">
        <v>0</v>
      </c>
      <c r="K365" s="6">
        <v>0</v>
      </c>
      <c r="L365" s="6">
        <v>33.889000000000003</v>
      </c>
      <c r="M365" s="6">
        <v>33.889000000000003</v>
      </c>
      <c r="N365" s="6">
        <v>33.889000000000003</v>
      </c>
      <c r="O365" s="6">
        <v>33.889000000000003</v>
      </c>
      <c r="P365" s="6">
        <v>89</v>
      </c>
      <c r="Q365" s="4" t="s">
        <v>26</v>
      </c>
      <c r="R365" s="4">
        <v>0</v>
      </c>
      <c r="S365" s="4" t="s">
        <v>253</v>
      </c>
      <c r="T365" s="4" t="s">
        <v>390</v>
      </c>
      <c r="U365" s="4">
        <v>0</v>
      </c>
      <c r="V365" s="4">
        <v>46</v>
      </c>
      <c r="W365" s="4">
        <v>83</v>
      </c>
    </row>
    <row r="366" spans="1:23" ht="11.25" customHeight="1" x14ac:dyDescent="0.25">
      <c r="A366" s="4" t="s">
        <v>21</v>
      </c>
      <c r="B366" s="4" t="s">
        <v>32</v>
      </c>
      <c r="C366" s="4" t="s">
        <v>23</v>
      </c>
      <c r="D366" s="4" t="s">
        <v>38</v>
      </c>
      <c r="E366" s="4" t="s">
        <v>25</v>
      </c>
      <c r="F366" s="4" t="s">
        <v>25</v>
      </c>
      <c r="G366" s="4" t="s">
        <v>25</v>
      </c>
      <c r="H366" s="4" t="s">
        <v>25</v>
      </c>
      <c r="I366" s="5">
        <v>44621</v>
      </c>
      <c r="J366" s="6">
        <v>0</v>
      </c>
      <c r="K366" s="6">
        <v>0</v>
      </c>
      <c r="L366" s="6">
        <v>735.19200000000001</v>
      </c>
      <c r="M366" s="6">
        <v>735.19200000000001</v>
      </c>
      <c r="N366" s="6">
        <v>735.19200000000001</v>
      </c>
      <c r="O366" s="6">
        <v>735.19200000000001</v>
      </c>
      <c r="P366" s="6">
        <v>1651</v>
      </c>
      <c r="Q366" s="4" t="s">
        <v>26</v>
      </c>
      <c r="R366" s="4">
        <v>0</v>
      </c>
      <c r="S366" s="4" t="s">
        <v>254</v>
      </c>
      <c r="T366" s="4" t="s">
        <v>391</v>
      </c>
      <c r="U366" s="4">
        <v>0</v>
      </c>
      <c r="V366" s="4">
        <v>46</v>
      </c>
      <c r="W366" s="4">
        <v>83</v>
      </c>
    </row>
    <row r="367" spans="1:23" ht="11.25" customHeight="1" x14ac:dyDescent="0.25">
      <c r="A367" s="4" t="s">
        <v>27</v>
      </c>
      <c r="B367" s="4" t="s">
        <v>32</v>
      </c>
      <c r="C367" s="4" t="s">
        <v>23</v>
      </c>
      <c r="D367" s="4" t="s">
        <v>38</v>
      </c>
      <c r="E367" s="4" t="s">
        <v>25</v>
      </c>
      <c r="F367" s="4" t="s">
        <v>25</v>
      </c>
      <c r="G367" s="4" t="s">
        <v>25</v>
      </c>
      <c r="H367" s="4" t="s">
        <v>25</v>
      </c>
      <c r="I367" s="5">
        <v>44621</v>
      </c>
      <c r="J367" s="6">
        <v>0</v>
      </c>
      <c r="K367" s="6">
        <v>0</v>
      </c>
      <c r="L367" s="6">
        <v>38.405000000000001</v>
      </c>
      <c r="M367" s="6">
        <v>38.405000000000001</v>
      </c>
      <c r="N367" s="6">
        <v>38.405000000000001</v>
      </c>
      <c r="O367" s="6">
        <v>38.405000000000001</v>
      </c>
      <c r="P367" s="6">
        <v>95</v>
      </c>
      <c r="Q367" s="4" t="s">
        <v>26</v>
      </c>
      <c r="R367" s="4">
        <v>0</v>
      </c>
      <c r="S367" s="4" t="s">
        <v>254</v>
      </c>
      <c r="T367" s="4" t="s">
        <v>391</v>
      </c>
      <c r="U367" s="4">
        <v>0</v>
      </c>
      <c r="V367" s="4">
        <v>46</v>
      </c>
      <c r="W367" s="4">
        <v>83</v>
      </c>
    </row>
    <row r="368" spans="1:23" ht="11.25" customHeight="1" x14ac:dyDescent="0.25">
      <c r="A368" s="4" t="s">
        <v>21</v>
      </c>
      <c r="B368" s="4" t="s">
        <v>32</v>
      </c>
      <c r="C368" s="4" t="s">
        <v>23</v>
      </c>
      <c r="D368" s="4" t="s">
        <v>38</v>
      </c>
      <c r="E368" s="4" t="s">
        <v>25</v>
      </c>
      <c r="F368" s="4" t="s">
        <v>25</v>
      </c>
      <c r="G368" s="4" t="s">
        <v>25</v>
      </c>
      <c r="H368" s="4" t="s">
        <v>25</v>
      </c>
      <c r="I368" s="5">
        <v>44652</v>
      </c>
      <c r="J368" s="6">
        <v>0</v>
      </c>
      <c r="K368" s="6">
        <v>0</v>
      </c>
      <c r="L368" s="6">
        <v>630.58000000000004</v>
      </c>
      <c r="M368" s="6">
        <v>630.58000000000004</v>
      </c>
      <c r="N368" s="6">
        <v>630.58000000000004</v>
      </c>
      <c r="O368" s="6">
        <v>630.58000000000004</v>
      </c>
      <c r="P368" s="6">
        <v>1641</v>
      </c>
      <c r="Q368" s="4" t="s">
        <v>26</v>
      </c>
      <c r="R368" s="4">
        <v>0</v>
      </c>
      <c r="S368" s="4" t="s">
        <v>255</v>
      </c>
      <c r="T368" s="4" t="s">
        <v>392</v>
      </c>
      <c r="U368" s="4">
        <v>0</v>
      </c>
      <c r="V368" s="4">
        <v>46</v>
      </c>
      <c r="W368" s="4">
        <v>83</v>
      </c>
    </row>
    <row r="369" spans="1:23" ht="11.25" customHeight="1" x14ac:dyDescent="0.25">
      <c r="A369" s="4" t="s">
        <v>48</v>
      </c>
      <c r="B369" s="4" t="s">
        <v>32</v>
      </c>
      <c r="C369" s="4" t="s">
        <v>23</v>
      </c>
      <c r="D369" s="4" t="s">
        <v>38</v>
      </c>
      <c r="E369" s="4" t="s">
        <v>25</v>
      </c>
      <c r="F369" s="4" t="s">
        <v>25</v>
      </c>
      <c r="G369" s="4" t="s">
        <v>25</v>
      </c>
      <c r="H369" s="4" t="s">
        <v>25</v>
      </c>
      <c r="I369" s="5">
        <v>44652</v>
      </c>
      <c r="J369" s="6">
        <v>0</v>
      </c>
      <c r="K369" s="6">
        <v>0</v>
      </c>
      <c r="L369" s="6">
        <v>-4.1440000000000001</v>
      </c>
      <c r="M369" s="6">
        <v>-4.1440000000000001</v>
      </c>
      <c r="N369" s="6">
        <v>-4.1440000000000001</v>
      </c>
      <c r="O369" s="6">
        <v>-4.1440000000000001</v>
      </c>
      <c r="P369" s="6">
        <v>0</v>
      </c>
      <c r="Q369" s="4" t="s">
        <v>26</v>
      </c>
      <c r="R369" s="4">
        <v>0</v>
      </c>
      <c r="S369" s="4" t="s">
        <v>255</v>
      </c>
      <c r="T369" s="4" t="s">
        <v>392</v>
      </c>
      <c r="U369" s="4">
        <v>0</v>
      </c>
      <c r="V369" s="4">
        <v>46</v>
      </c>
      <c r="W369" s="4">
        <v>83</v>
      </c>
    </row>
    <row r="370" spans="1:23" ht="11.25" customHeight="1" x14ac:dyDescent="0.25">
      <c r="A370" s="4" t="s">
        <v>27</v>
      </c>
      <c r="B370" s="4" t="s">
        <v>32</v>
      </c>
      <c r="C370" s="4" t="s">
        <v>23</v>
      </c>
      <c r="D370" s="4" t="s">
        <v>38</v>
      </c>
      <c r="E370" s="4" t="s">
        <v>25</v>
      </c>
      <c r="F370" s="4" t="s">
        <v>25</v>
      </c>
      <c r="G370" s="4" t="s">
        <v>25</v>
      </c>
      <c r="H370" s="4" t="s">
        <v>25</v>
      </c>
      <c r="I370" s="5">
        <v>44652</v>
      </c>
      <c r="J370" s="6">
        <v>0</v>
      </c>
      <c r="K370" s="6">
        <v>0</v>
      </c>
      <c r="L370" s="6">
        <v>58.191000000000003</v>
      </c>
      <c r="M370" s="6">
        <v>58.191000000000003</v>
      </c>
      <c r="N370" s="6">
        <v>58.191000000000003</v>
      </c>
      <c r="O370" s="6">
        <v>58.191000000000003</v>
      </c>
      <c r="P370" s="6">
        <v>105</v>
      </c>
      <c r="Q370" s="4" t="s">
        <v>26</v>
      </c>
      <c r="R370" s="4">
        <v>0</v>
      </c>
      <c r="S370" s="4" t="s">
        <v>255</v>
      </c>
      <c r="T370" s="4" t="s">
        <v>392</v>
      </c>
      <c r="U370" s="4">
        <v>0</v>
      </c>
      <c r="V370" s="4">
        <v>46</v>
      </c>
      <c r="W370" s="4">
        <v>83</v>
      </c>
    </row>
    <row r="371" spans="1:23" ht="11.25" customHeight="1" x14ac:dyDescent="0.25">
      <c r="A371" s="4" t="s">
        <v>21</v>
      </c>
      <c r="B371" s="4" t="s">
        <v>32</v>
      </c>
      <c r="C371" s="4" t="s">
        <v>23</v>
      </c>
      <c r="D371" s="4" t="s">
        <v>38</v>
      </c>
      <c r="E371" s="4" t="s">
        <v>25</v>
      </c>
      <c r="F371" s="4" t="s">
        <v>25</v>
      </c>
      <c r="G371" s="4" t="s">
        <v>25</v>
      </c>
      <c r="H371" s="4" t="s">
        <v>25</v>
      </c>
      <c r="I371" s="5">
        <v>44682</v>
      </c>
      <c r="J371" s="6">
        <v>0</v>
      </c>
      <c r="K371" s="6">
        <v>0</v>
      </c>
      <c r="L371" s="6">
        <v>608.14400000000001</v>
      </c>
      <c r="M371" s="6">
        <v>608.14400000000001</v>
      </c>
      <c r="N371" s="6">
        <v>608.14400000000001</v>
      </c>
      <c r="O371" s="6">
        <v>608.14400000000001</v>
      </c>
      <c r="P371" s="6">
        <v>1641</v>
      </c>
      <c r="Q371" s="4" t="s">
        <v>26</v>
      </c>
      <c r="R371" s="4">
        <v>0</v>
      </c>
      <c r="S371" s="4" t="s">
        <v>256</v>
      </c>
      <c r="T371" s="4" t="s">
        <v>393</v>
      </c>
      <c r="U371" s="4">
        <v>0</v>
      </c>
      <c r="V371" s="4">
        <v>46</v>
      </c>
      <c r="W371" s="4">
        <v>83</v>
      </c>
    </row>
    <row r="372" spans="1:23" ht="11.25" customHeight="1" x14ac:dyDescent="0.25">
      <c r="A372" s="4" t="s">
        <v>27</v>
      </c>
      <c r="B372" s="4" t="s">
        <v>32</v>
      </c>
      <c r="C372" s="4" t="s">
        <v>23</v>
      </c>
      <c r="D372" s="4" t="s">
        <v>38</v>
      </c>
      <c r="E372" s="4" t="s">
        <v>25</v>
      </c>
      <c r="F372" s="4" t="s">
        <v>25</v>
      </c>
      <c r="G372" s="4" t="s">
        <v>25</v>
      </c>
      <c r="H372" s="4" t="s">
        <v>25</v>
      </c>
      <c r="I372" s="5">
        <v>44682</v>
      </c>
      <c r="J372" s="6">
        <v>0</v>
      </c>
      <c r="K372" s="6">
        <v>0</v>
      </c>
      <c r="L372" s="6">
        <v>64.507000000000005</v>
      </c>
      <c r="M372" s="6">
        <v>64.507000000000005</v>
      </c>
      <c r="N372" s="6">
        <v>64.507000000000005</v>
      </c>
      <c r="O372" s="6">
        <v>64.507000000000005</v>
      </c>
      <c r="P372" s="6">
        <v>111</v>
      </c>
      <c r="Q372" s="4" t="s">
        <v>26</v>
      </c>
      <c r="R372" s="4">
        <v>0</v>
      </c>
      <c r="S372" s="4" t="s">
        <v>256</v>
      </c>
      <c r="T372" s="4" t="s">
        <v>393</v>
      </c>
      <c r="U372" s="4">
        <v>0</v>
      </c>
      <c r="V372" s="4">
        <v>46</v>
      </c>
      <c r="W372" s="4">
        <v>83</v>
      </c>
    </row>
    <row r="373" spans="1:23" ht="11.25" customHeight="1" x14ac:dyDescent="0.25">
      <c r="A373" s="4" t="s">
        <v>21</v>
      </c>
      <c r="B373" s="4" t="s">
        <v>32</v>
      </c>
      <c r="C373" s="4" t="s">
        <v>23</v>
      </c>
      <c r="D373" s="4" t="s">
        <v>38</v>
      </c>
      <c r="E373" s="4" t="s">
        <v>25</v>
      </c>
      <c r="F373" s="4" t="s">
        <v>25</v>
      </c>
      <c r="G373" s="4" t="s">
        <v>25</v>
      </c>
      <c r="H373" s="4" t="s">
        <v>25</v>
      </c>
      <c r="I373" s="5">
        <v>44713</v>
      </c>
      <c r="J373" s="6">
        <v>0</v>
      </c>
      <c r="K373" s="6">
        <v>0</v>
      </c>
      <c r="L373" s="6">
        <v>633.66899999999998</v>
      </c>
      <c r="M373" s="6">
        <v>633.66899999999998</v>
      </c>
      <c r="N373" s="6">
        <v>633.66899999999998</v>
      </c>
      <c r="O373" s="6">
        <v>633.66899999999998</v>
      </c>
      <c r="P373" s="6">
        <v>1644</v>
      </c>
      <c r="Q373" s="4" t="s">
        <v>26</v>
      </c>
      <c r="R373" s="4">
        <v>0</v>
      </c>
      <c r="S373" s="4" t="s">
        <v>257</v>
      </c>
      <c r="T373" s="4" t="s">
        <v>394</v>
      </c>
      <c r="U373" s="4">
        <v>0</v>
      </c>
      <c r="V373" s="4">
        <v>46</v>
      </c>
      <c r="W373" s="4">
        <v>83</v>
      </c>
    </row>
    <row r="374" spans="1:23" ht="11.25" customHeight="1" x14ac:dyDescent="0.25">
      <c r="A374" s="4" t="s">
        <v>27</v>
      </c>
      <c r="B374" s="4" t="s">
        <v>32</v>
      </c>
      <c r="C374" s="4" t="s">
        <v>23</v>
      </c>
      <c r="D374" s="4" t="s">
        <v>38</v>
      </c>
      <c r="E374" s="4" t="s">
        <v>25</v>
      </c>
      <c r="F374" s="4" t="s">
        <v>25</v>
      </c>
      <c r="G374" s="4" t="s">
        <v>25</v>
      </c>
      <c r="H374" s="4" t="s">
        <v>25</v>
      </c>
      <c r="I374" s="5">
        <v>44713</v>
      </c>
      <c r="J374" s="6">
        <v>0</v>
      </c>
      <c r="K374" s="6">
        <v>0</v>
      </c>
      <c r="L374" s="6">
        <v>84.56</v>
      </c>
      <c r="M374" s="6">
        <v>84.56</v>
      </c>
      <c r="N374" s="6">
        <v>84.56</v>
      </c>
      <c r="O374" s="6">
        <v>84.56</v>
      </c>
      <c r="P374" s="6">
        <v>115</v>
      </c>
      <c r="Q374" s="4" t="s">
        <v>26</v>
      </c>
      <c r="R374" s="4">
        <v>0</v>
      </c>
      <c r="S374" s="4" t="s">
        <v>257</v>
      </c>
      <c r="T374" s="4" t="s">
        <v>394</v>
      </c>
      <c r="U374" s="4">
        <v>0</v>
      </c>
      <c r="V374" s="4">
        <v>46</v>
      </c>
      <c r="W374" s="4">
        <v>83</v>
      </c>
    </row>
    <row r="375" spans="1:23" ht="11.25" customHeight="1" x14ac:dyDescent="0.25">
      <c r="A375" s="4" t="s">
        <v>21</v>
      </c>
      <c r="B375" s="4" t="s">
        <v>32</v>
      </c>
      <c r="C375" s="4" t="s">
        <v>23</v>
      </c>
      <c r="D375" s="4" t="s">
        <v>47</v>
      </c>
      <c r="E375" s="4" t="s">
        <v>25</v>
      </c>
      <c r="F375" s="4" t="s">
        <v>25</v>
      </c>
      <c r="G375" s="4" t="s">
        <v>25</v>
      </c>
      <c r="H375" s="4" t="s">
        <v>25</v>
      </c>
      <c r="I375" s="5">
        <v>44378</v>
      </c>
      <c r="J375" s="6">
        <v>0</v>
      </c>
      <c r="K375" s="6">
        <v>0</v>
      </c>
      <c r="L375" s="6">
        <v>2.2789999999999999</v>
      </c>
      <c r="M375" s="6">
        <v>2.2789999999999999</v>
      </c>
      <c r="N375" s="6">
        <v>2.2789999999999999</v>
      </c>
      <c r="O375" s="6">
        <v>2.2789999999999999</v>
      </c>
      <c r="P375" s="6">
        <v>4</v>
      </c>
      <c r="Q375" s="4" t="s">
        <v>26</v>
      </c>
      <c r="R375" s="4">
        <v>0</v>
      </c>
      <c r="S375" s="4" t="s">
        <v>246</v>
      </c>
      <c r="T375" s="4" t="s">
        <v>383</v>
      </c>
      <c r="U375" s="4">
        <v>0</v>
      </c>
      <c r="V375" s="4">
        <v>46</v>
      </c>
      <c r="W375" s="4">
        <v>83</v>
      </c>
    </row>
    <row r="376" spans="1:23" ht="11.25" customHeight="1" x14ac:dyDescent="0.25">
      <c r="A376" s="4" t="s">
        <v>21</v>
      </c>
      <c r="B376" s="4" t="s">
        <v>32</v>
      </c>
      <c r="C376" s="4" t="s">
        <v>23</v>
      </c>
      <c r="D376" s="4" t="s">
        <v>47</v>
      </c>
      <c r="E376" s="4" t="s">
        <v>25</v>
      </c>
      <c r="F376" s="4" t="s">
        <v>25</v>
      </c>
      <c r="G376" s="4" t="s">
        <v>25</v>
      </c>
      <c r="H376" s="4" t="s">
        <v>25</v>
      </c>
      <c r="I376" s="5">
        <v>44409</v>
      </c>
      <c r="J376" s="6">
        <v>0</v>
      </c>
      <c r="K376" s="6">
        <v>0</v>
      </c>
      <c r="L376" s="6">
        <v>2.1070000000000002</v>
      </c>
      <c r="M376" s="6">
        <v>2.1070000000000002</v>
      </c>
      <c r="N376" s="6">
        <v>2.1070000000000002</v>
      </c>
      <c r="O376" s="6">
        <v>2.1070000000000002</v>
      </c>
      <c r="P376" s="6">
        <v>4</v>
      </c>
      <c r="Q376" s="4" t="s">
        <v>26</v>
      </c>
      <c r="R376" s="4">
        <v>0</v>
      </c>
      <c r="S376" s="4" t="s">
        <v>247</v>
      </c>
      <c r="T376" s="4" t="s">
        <v>384</v>
      </c>
      <c r="U376" s="4">
        <v>0</v>
      </c>
      <c r="V376" s="4">
        <v>46</v>
      </c>
      <c r="W376" s="4">
        <v>83</v>
      </c>
    </row>
    <row r="377" spans="1:23" ht="11.25" customHeight="1" x14ac:dyDescent="0.25">
      <c r="A377" s="4" t="s">
        <v>21</v>
      </c>
      <c r="B377" s="4" t="s">
        <v>32</v>
      </c>
      <c r="C377" s="4" t="s">
        <v>23</v>
      </c>
      <c r="D377" s="4" t="s">
        <v>47</v>
      </c>
      <c r="E377" s="4" t="s">
        <v>25</v>
      </c>
      <c r="F377" s="4" t="s">
        <v>25</v>
      </c>
      <c r="G377" s="4" t="s">
        <v>25</v>
      </c>
      <c r="H377" s="4" t="s">
        <v>25</v>
      </c>
      <c r="I377" s="5">
        <v>44440</v>
      </c>
      <c r="J377" s="6">
        <v>0</v>
      </c>
      <c r="K377" s="6">
        <v>0</v>
      </c>
      <c r="L377" s="6">
        <v>1.6970000000000001</v>
      </c>
      <c r="M377" s="6">
        <v>1.6970000000000001</v>
      </c>
      <c r="N377" s="6">
        <v>1.6970000000000001</v>
      </c>
      <c r="O377" s="6">
        <v>1.6970000000000001</v>
      </c>
      <c r="P377" s="6">
        <v>4</v>
      </c>
      <c r="Q377" s="4" t="s">
        <v>26</v>
      </c>
      <c r="R377" s="4">
        <v>0</v>
      </c>
      <c r="S377" s="4" t="s">
        <v>248</v>
      </c>
      <c r="T377" s="4" t="s">
        <v>385</v>
      </c>
      <c r="U377" s="4">
        <v>0</v>
      </c>
      <c r="V377" s="4">
        <v>46</v>
      </c>
      <c r="W377" s="4">
        <v>83</v>
      </c>
    </row>
    <row r="378" spans="1:23" ht="11.25" customHeight="1" x14ac:dyDescent="0.25">
      <c r="A378" s="4" t="s">
        <v>21</v>
      </c>
      <c r="B378" s="4" t="s">
        <v>32</v>
      </c>
      <c r="C378" s="4" t="s">
        <v>23</v>
      </c>
      <c r="D378" s="4" t="s">
        <v>47</v>
      </c>
      <c r="E378" s="4" t="s">
        <v>25</v>
      </c>
      <c r="F378" s="4" t="s">
        <v>25</v>
      </c>
      <c r="G378" s="4" t="s">
        <v>25</v>
      </c>
      <c r="H378" s="4" t="s">
        <v>25</v>
      </c>
      <c r="I378" s="5">
        <v>44470</v>
      </c>
      <c r="J378" s="6">
        <v>0</v>
      </c>
      <c r="K378" s="6">
        <v>0</v>
      </c>
      <c r="L378" s="6">
        <v>1.669</v>
      </c>
      <c r="M378" s="6">
        <v>1.669</v>
      </c>
      <c r="N378" s="6">
        <v>1.669</v>
      </c>
      <c r="O378" s="6">
        <v>1.669</v>
      </c>
      <c r="P378" s="6">
        <v>4</v>
      </c>
      <c r="Q378" s="4" t="s">
        <v>26</v>
      </c>
      <c r="R378" s="4">
        <v>0</v>
      </c>
      <c r="S378" s="4" t="s">
        <v>249</v>
      </c>
      <c r="T378" s="4" t="s">
        <v>386</v>
      </c>
      <c r="U378" s="4">
        <v>0</v>
      </c>
      <c r="V378" s="4">
        <v>46</v>
      </c>
      <c r="W378" s="4">
        <v>83</v>
      </c>
    </row>
    <row r="379" spans="1:23" ht="11.25" customHeight="1" x14ac:dyDescent="0.25">
      <c r="A379" s="4" t="s">
        <v>21</v>
      </c>
      <c r="B379" s="4" t="s">
        <v>32</v>
      </c>
      <c r="C379" s="4" t="s">
        <v>23</v>
      </c>
      <c r="D379" s="4" t="s">
        <v>47</v>
      </c>
      <c r="E379" s="4" t="s">
        <v>25</v>
      </c>
      <c r="F379" s="4" t="s">
        <v>25</v>
      </c>
      <c r="G379" s="4" t="s">
        <v>25</v>
      </c>
      <c r="H379" s="4" t="s">
        <v>25</v>
      </c>
      <c r="I379" s="5">
        <v>44501</v>
      </c>
      <c r="J379" s="6">
        <v>0</v>
      </c>
      <c r="K379" s="6">
        <v>0</v>
      </c>
      <c r="L379" s="6">
        <v>2.1970000000000001</v>
      </c>
      <c r="M379" s="6">
        <v>2.1970000000000001</v>
      </c>
      <c r="N379" s="6">
        <v>2.1970000000000001</v>
      </c>
      <c r="O379" s="6">
        <v>2.1970000000000001</v>
      </c>
      <c r="P379" s="6">
        <v>4</v>
      </c>
      <c r="Q379" s="4" t="s">
        <v>26</v>
      </c>
      <c r="R379" s="4">
        <v>0</v>
      </c>
      <c r="S379" s="4" t="s">
        <v>250</v>
      </c>
      <c r="T379" s="4" t="s">
        <v>387</v>
      </c>
      <c r="U379" s="4">
        <v>0</v>
      </c>
      <c r="V379" s="4">
        <v>46</v>
      </c>
      <c r="W379" s="4">
        <v>83</v>
      </c>
    </row>
    <row r="380" spans="1:23" ht="11.25" customHeight="1" x14ac:dyDescent="0.25">
      <c r="A380" s="4" t="s">
        <v>21</v>
      </c>
      <c r="B380" s="4" t="s">
        <v>32</v>
      </c>
      <c r="C380" s="4" t="s">
        <v>23</v>
      </c>
      <c r="D380" s="4" t="s">
        <v>47</v>
      </c>
      <c r="E380" s="4" t="s">
        <v>25</v>
      </c>
      <c r="F380" s="4" t="s">
        <v>25</v>
      </c>
      <c r="G380" s="4" t="s">
        <v>25</v>
      </c>
      <c r="H380" s="4" t="s">
        <v>25</v>
      </c>
      <c r="I380" s="5">
        <v>44531</v>
      </c>
      <c r="J380" s="6">
        <v>0</v>
      </c>
      <c r="K380" s="6">
        <v>0</v>
      </c>
      <c r="L380" s="6">
        <v>2.5529999999999999</v>
      </c>
      <c r="M380" s="6">
        <v>2.5529999999999999</v>
      </c>
      <c r="N380" s="6">
        <v>2.5529999999999999</v>
      </c>
      <c r="O380" s="6">
        <v>2.5529999999999999</v>
      </c>
      <c r="P380" s="6">
        <v>4</v>
      </c>
      <c r="Q380" s="4" t="s">
        <v>26</v>
      </c>
      <c r="R380" s="4">
        <v>0</v>
      </c>
      <c r="S380" s="4" t="s">
        <v>251</v>
      </c>
      <c r="T380" s="4" t="s">
        <v>388</v>
      </c>
      <c r="U380" s="4">
        <v>0</v>
      </c>
      <c r="V380" s="4">
        <v>46</v>
      </c>
      <c r="W380" s="4">
        <v>83</v>
      </c>
    </row>
    <row r="381" spans="1:23" ht="11.25" customHeight="1" x14ac:dyDescent="0.25">
      <c r="A381" s="4" t="s">
        <v>21</v>
      </c>
      <c r="B381" s="4" t="s">
        <v>32</v>
      </c>
      <c r="C381" s="4" t="s">
        <v>23</v>
      </c>
      <c r="D381" s="4" t="s">
        <v>47</v>
      </c>
      <c r="E381" s="4" t="s">
        <v>25</v>
      </c>
      <c r="F381" s="4" t="s">
        <v>25</v>
      </c>
      <c r="G381" s="4" t="s">
        <v>25</v>
      </c>
      <c r="H381" s="4" t="s">
        <v>25</v>
      </c>
      <c r="I381" s="5">
        <v>44562</v>
      </c>
      <c r="J381" s="6">
        <v>0</v>
      </c>
      <c r="K381" s="6">
        <v>0</v>
      </c>
      <c r="L381" s="6">
        <v>3.0910000000000002</v>
      </c>
      <c r="M381" s="6">
        <v>3.0910000000000002</v>
      </c>
      <c r="N381" s="6">
        <v>3.0910000000000002</v>
      </c>
      <c r="O381" s="6">
        <v>3.0910000000000002</v>
      </c>
      <c r="P381" s="6">
        <v>4</v>
      </c>
      <c r="Q381" s="4" t="s">
        <v>26</v>
      </c>
      <c r="R381" s="4">
        <v>0</v>
      </c>
      <c r="S381" s="4" t="s">
        <v>252</v>
      </c>
      <c r="T381" s="4" t="s">
        <v>389</v>
      </c>
      <c r="U381" s="4">
        <v>0</v>
      </c>
      <c r="V381" s="4">
        <v>46</v>
      </c>
      <c r="W381" s="4">
        <v>83</v>
      </c>
    </row>
    <row r="382" spans="1:23" ht="11.25" customHeight="1" x14ac:dyDescent="0.25">
      <c r="A382" s="4" t="s">
        <v>21</v>
      </c>
      <c r="B382" s="4" t="s">
        <v>32</v>
      </c>
      <c r="C382" s="4" t="s">
        <v>23</v>
      </c>
      <c r="D382" s="4" t="s">
        <v>47</v>
      </c>
      <c r="E382" s="4" t="s">
        <v>25</v>
      </c>
      <c r="F382" s="4" t="s">
        <v>25</v>
      </c>
      <c r="G382" s="4" t="s">
        <v>25</v>
      </c>
      <c r="H382" s="4" t="s">
        <v>25</v>
      </c>
      <c r="I382" s="5">
        <v>44593</v>
      </c>
      <c r="J382" s="6">
        <v>0</v>
      </c>
      <c r="K382" s="6">
        <v>0</v>
      </c>
      <c r="L382" s="6">
        <v>3.4940000000000002</v>
      </c>
      <c r="M382" s="6">
        <v>3.4940000000000002</v>
      </c>
      <c r="N382" s="6">
        <v>3.4940000000000002</v>
      </c>
      <c r="O382" s="6">
        <v>3.4940000000000002</v>
      </c>
      <c r="P382" s="6">
        <v>4</v>
      </c>
      <c r="Q382" s="4" t="s">
        <v>26</v>
      </c>
      <c r="R382" s="4">
        <v>0</v>
      </c>
      <c r="S382" s="4" t="s">
        <v>253</v>
      </c>
      <c r="T382" s="4" t="s">
        <v>390</v>
      </c>
      <c r="U382" s="4">
        <v>0</v>
      </c>
      <c r="V382" s="4">
        <v>46</v>
      </c>
      <c r="W382" s="4">
        <v>83</v>
      </c>
    </row>
    <row r="383" spans="1:23" ht="11.25" customHeight="1" x14ac:dyDescent="0.25">
      <c r="A383" s="4" t="s">
        <v>21</v>
      </c>
      <c r="B383" s="4" t="s">
        <v>32</v>
      </c>
      <c r="C383" s="4" t="s">
        <v>23</v>
      </c>
      <c r="D383" s="4" t="s">
        <v>47</v>
      </c>
      <c r="E383" s="4" t="s">
        <v>25</v>
      </c>
      <c r="F383" s="4" t="s">
        <v>25</v>
      </c>
      <c r="G383" s="4" t="s">
        <v>25</v>
      </c>
      <c r="H383" s="4" t="s">
        <v>25</v>
      </c>
      <c r="I383" s="5">
        <v>44621</v>
      </c>
      <c r="J383" s="6">
        <v>0</v>
      </c>
      <c r="K383" s="6">
        <v>0</v>
      </c>
      <c r="L383" s="6">
        <v>2.7389999999999999</v>
      </c>
      <c r="M383" s="6">
        <v>2.7389999999999999</v>
      </c>
      <c r="N383" s="6">
        <v>2.7389999999999999</v>
      </c>
      <c r="O383" s="6">
        <v>2.7389999999999999</v>
      </c>
      <c r="P383" s="6">
        <v>4</v>
      </c>
      <c r="Q383" s="4" t="s">
        <v>26</v>
      </c>
      <c r="R383" s="4">
        <v>0</v>
      </c>
      <c r="S383" s="4" t="s">
        <v>254</v>
      </c>
      <c r="T383" s="4" t="s">
        <v>391</v>
      </c>
      <c r="U383" s="4">
        <v>0</v>
      </c>
      <c r="V383" s="4">
        <v>46</v>
      </c>
      <c r="W383" s="4">
        <v>83</v>
      </c>
    </row>
    <row r="384" spans="1:23" ht="11.25" customHeight="1" x14ac:dyDescent="0.25">
      <c r="A384" s="4" t="s">
        <v>21</v>
      </c>
      <c r="B384" s="4" t="s">
        <v>32</v>
      </c>
      <c r="C384" s="4" t="s">
        <v>23</v>
      </c>
      <c r="D384" s="4" t="s">
        <v>47</v>
      </c>
      <c r="E384" s="4" t="s">
        <v>25</v>
      </c>
      <c r="F384" s="4" t="s">
        <v>25</v>
      </c>
      <c r="G384" s="4" t="s">
        <v>25</v>
      </c>
      <c r="H384" s="4" t="s">
        <v>25</v>
      </c>
      <c r="I384" s="5">
        <v>44652</v>
      </c>
      <c r="J384" s="6">
        <v>0</v>
      </c>
      <c r="K384" s="6">
        <v>0</v>
      </c>
      <c r="L384" s="6">
        <v>1.863</v>
      </c>
      <c r="M384" s="6">
        <v>1.863</v>
      </c>
      <c r="N384" s="6">
        <v>1.863</v>
      </c>
      <c r="O384" s="6">
        <v>1.863</v>
      </c>
      <c r="P384" s="6">
        <v>4</v>
      </c>
      <c r="Q384" s="4" t="s">
        <v>26</v>
      </c>
      <c r="R384" s="4">
        <v>0</v>
      </c>
      <c r="S384" s="4" t="s">
        <v>255</v>
      </c>
      <c r="T384" s="4" t="s">
        <v>392</v>
      </c>
      <c r="U384" s="4">
        <v>0</v>
      </c>
      <c r="V384" s="4">
        <v>46</v>
      </c>
      <c r="W384" s="4">
        <v>83</v>
      </c>
    </row>
    <row r="385" spans="1:23" ht="11.25" customHeight="1" x14ac:dyDescent="0.25">
      <c r="A385" s="4" t="s">
        <v>21</v>
      </c>
      <c r="B385" s="4" t="s">
        <v>32</v>
      </c>
      <c r="C385" s="4" t="s">
        <v>23</v>
      </c>
      <c r="D385" s="4" t="s">
        <v>47</v>
      </c>
      <c r="E385" s="4" t="s">
        <v>25</v>
      </c>
      <c r="F385" s="4" t="s">
        <v>25</v>
      </c>
      <c r="G385" s="4" t="s">
        <v>25</v>
      </c>
      <c r="H385" s="4" t="s">
        <v>25</v>
      </c>
      <c r="I385" s="5">
        <v>44682</v>
      </c>
      <c r="J385" s="6">
        <v>0</v>
      </c>
      <c r="K385" s="6">
        <v>0</v>
      </c>
      <c r="L385" s="6">
        <v>1.839</v>
      </c>
      <c r="M385" s="6">
        <v>1.839</v>
      </c>
      <c r="N385" s="6">
        <v>1.839</v>
      </c>
      <c r="O385" s="6">
        <v>1.839</v>
      </c>
      <c r="P385" s="6">
        <v>4</v>
      </c>
      <c r="Q385" s="4" t="s">
        <v>26</v>
      </c>
      <c r="R385" s="4">
        <v>0</v>
      </c>
      <c r="S385" s="4" t="s">
        <v>256</v>
      </c>
      <c r="T385" s="4" t="s">
        <v>393</v>
      </c>
      <c r="U385" s="4">
        <v>0</v>
      </c>
      <c r="V385" s="4">
        <v>46</v>
      </c>
      <c r="W385" s="4">
        <v>83</v>
      </c>
    </row>
    <row r="386" spans="1:23" ht="11.25" customHeight="1" x14ac:dyDescent="0.25">
      <c r="A386" s="4" t="s">
        <v>21</v>
      </c>
      <c r="B386" s="4" t="s">
        <v>32</v>
      </c>
      <c r="C386" s="4" t="s">
        <v>23</v>
      </c>
      <c r="D386" s="4" t="s">
        <v>47</v>
      </c>
      <c r="E386" s="4" t="s">
        <v>25</v>
      </c>
      <c r="F386" s="4" t="s">
        <v>25</v>
      </c>
      <c r="G386" s="4" t="s">
        <v>25</v>
      </c>
      <c r="H386" s="4" t="s">
        <v>25</v>
      </c>
      <c r="I386" s="5">
        <v>44713</v>
      </c>
      <c r="J386" s="6">
        <v>0</v>
      </c>
      <c r="K386" s="6">
        <v>0</v>
      </c>
      <c r="L386" s="6">
        <v>2.1509999999999998</v>
      </c>
      <c r="M386" s="6">
        <v>2.1509999999999998</v>
      </c>
      <c r="N386" s="6">
        <v>2.1509999999999998</v>
      </c>
      <c r="O386" s="6">
        <v>2.1509999999999998</v>
      </c>
      <c r="P386" s="6">
        <v>4</v>
      </c>
      <c r="Q386" s="4" t="s">
        <v>26</v>
      </c>
      <c r="R386" s="4">
        <v>0</v>
      </c>
      <c r="S386" s="4" t="s">
        <v>257</v>
      </c>
      <c r="T386" s="4" t="s">
        <v>394</v>
      </c>
      <c r="U386" s="4">
        <v>0</v>
      </c>
      <c r="V386" s="4">
        <v>46</v>
      </c>
      <c r="W386" s="4">
        <v>83</v>
      </c>
    </row>
    <row r="387" spans="1:23" ht="11.25" customHeight="1" x14ac:dyDescent="0.25">
      <c r="A387" s="4" t="s">
        <v>21</v>
      </c>
      <c r="B387" s="4" t="s">
        <v>32</v>
      </c>
      <c r="C387" s="4" t="s">
        <v>23</v>
      </c>
      <c r="D387" s="4" t="s">
        <v>33</v>
      </c>
      <c r="E387" s="4" t="s">
        <v>25</v>
      </c>
      <c r="F387" s="4" t="s">
        <v>25</v>
      </c>
      <c r="G387" s="4" t="s">
        <v>25</v>
      </c>
      <c r="H387" s="4" t="s">
        <v>25</v>
      </c>
      <c r="I387" s="5">
        <v>44378</v>
      </c>
      <c r="J387" s="6">
        <v>0</v>
      </c>
      <c r="K387" s="6">
        <v>0</v>
      </c>
      <c r="L387" s="6">
        <v>77.58</v>
      </c>
      <c r="M387" s="6">
        <v>77.58</v>
      </c>
      <c r="N387" s="6">
        <v>77.58</v>
      </c>
      <c r="O387" s="6">
        <v>77.58</v>
      </c>
      <c r="P387" s="6">
        <v>48</v>
      </c>
      <c r="Q387" s="4" t="s">
        <v>26</v>
      </c>
      <c r="R387" s="4">
        <v>0</v>
      </c>
      <c r="S387" s="4" t="s">
        <v>246</v>
      </c>
      <c r="T387" s="4" t="s">
        <v>383</v>
      </c>
      <c r="U387" s="4">
        <v>0</v>
      </c>
      <c r="V387" s="4">
        <v>46</v>
      </c>
      <c r="W387" s="4">
        <v>83</v>
      </c>
    </row>
    <row r="388" spans="1:23" ht="11.25" customHeight="1" x14ac:dyDescent="0.25">
      <c r="A388" s="4" t="s">
        <v>21</v>
      </c>
      <c r="B388" s="4" t="s">
        <v>32</v>
      </c>
      <c r="C388" s="4" t="s">
        <v>23</v>
      </c>
      <c r="D388" s="4" t="s">
        <v>33</v>
      </c>
      <c r="E388" s="4" t="s">
        <v>25</v>
      </c>
      <c r="F388" s="4" t="s">
        <v>25</v>
      </c>
      <c r="G388" s="4" t="s">
        <v>25</v>
      </c>
      <c r="H388" s="4" t="s">
        <v>25</v>
      </c>
      <c r="I388" s="5">
        <v>44409</v>
      </c>
      <c r="J388" s="6">
        <v>0</v>
      </c>
      <c r="K388" s="6">
        <v>0</v>
      </c>
      <c r="L388" s="6">
        <v>84.409000000000006</v>
      </c>
      <c r="M388" s="6">
        <v>84.409000000000006</v>
      </c>
      <c r="N388" s="6">
        <v>84.409000000000006</v>
      </c>
      <c r="O388" s="6">
        <v>84.409000000000006</v>
      </c>
      <c r="P388" s="6">
        <v>53</v>
      </c>
      <c r="Q388" s="4" t="s">
        <v>26</v>
      </c>
      <c r="R388" s="4">
        <v>0</v>
      </c>
      <c r="S388" s="4" t="s">
        <v>247</v>
      </c>
      <c r="T388" s="4" t="s">
        <v>384</v>
      </c>
      <c r="U388" s="4">
        <v>0</v>
      </c>
      <c r="V388" s="4">
        <v>46</v>
      </c>
      <c r="W388" s="4">
        <v>83</v>
      </c>
    </row>
    <row r="389" spans="1:23" ht="11.25" customHeight="1" x14ac:dyDescent="0.25">
      <c r="A389" s="4" t="s">
        <v>21</v>
      </c>
      <c r="B389" s="4" t="s">
        <v>32</v>
      </c>
      <c r="C389" s="4" t="s">
        <v>23</v>
      </c>
      <c r="D389" s="4" t="s">
        <v>33</v>
      </c>
      <c r="E389" s="4" t="s">
        <v>25</v>
      </c>
      <c r="F389" s="4" t="s">
        <v>25</v>
      </c>
      <c r="G389" s="4" t="s">
        <v>25</v>
      </c>
      <c r="H389" s="4" t="s">
        <v>25</v>
      </c>
      <c r="I389" s="5">
        <v>44440</v>
      </c>
      <c r="J389" s="6">
        <v>0</v>
      </c>
      <c r="K389" s="6">
        <v>0</v>
      </c>
      <c r="L389" s="6">
        <v>79.796000000000006</v>
      </c>
      <c r="M389" s="6">
        <v>79.796000000000006</v>
      </c>
      <c r="N389" s="6">
        <v>79.796000000000006</v>
      </c>
      <c r="O389" s="6">
        <v>79.796000000000006</v>
      </c>
      <c r="P389" s="6">
        <v>57</v>
      </c>
      <c r="Q389" s="4" t="s">
        <v>26</v>
      </c>
      <c r="R389" s="4">
        <v>0</v>
      </c>
      <c r="S389" s="4" t="s">
        <v>248</v>
      </c>
      <c r="T389" s="4" t="s">
        <v>385</v>
      </c>
      <c r="U389" s="4">
        <v>0</v>
      </c>
      <c r="V389" s="4">
        <v>46</v>
      </c>
      <c r="W389" s="4">
        <v>83</v>
      </c>
    </row>
    <row r="390" spans="1:23" ht="11.25" customHeight="1" x14ac:dyDescent="0.25">
      <c r="A390" s="4" t="s">
        <v>27</v>
      </c>
      <c r="B390" s="4" t="s">
        <v>32</v>
      </c>
      <c r="C390" s="4" t="s">
        <v>23</v>
      </c>
      <c r="D390" s="4" t="s">
        <v>33</v>
      </c>
      <c r="E390" s="4" t="s">
        <v>25</v>
      </c>
      <c r="F390" s="4" t="s">
        <v>25</v>
      </c>
      <c r="G390" s="4" t="s">
        <v>25</v>
      </c>
      <c r="H390" s="4" t="s">
        <v>25</v>
      </c>
      <c r="I390" s="5">
        <v>44440</v>
      </c>
      <c r="J390" s="6">
        <v>0</v>
      </c>
      <c r="K390" s="6">
        <v>0</v>
      </c>
      <c r="L390" s="6">
        <v>0.39500000000000002</v>
      </c>
      <c r="M390" s="6">
        <v>0.39500000000000002</v>
      </c>
      <c r="N390" s="6">
        <v>0.39500000000000002</v>
      </c>
      <c r="O390" s="6">
        <v>0.39500000000000002</v>
      </c>
      <c r="P390" s="6">
        <v>1</v>
      </c>
      <c r="Q390" s="4" t="s">
        <v>26</v>
      </c>
      <c r="R390" s="4">
        <v>0</v>
      </c>
      <c r="S390" s="4" t="s">
        <v>248</v>
      </c>
      <c r="T390" s="4" t="s">
        <v>385</v>
      </c>
      <c r="U390" s="4">
        <v>0</v>
      </c>
      <c r="V390" s="4">
        <v>46</v>
      </c>
      <c r="W390" s="4">
        <v>83</v>
      </c>
    </row>
    <row r="391" spans="1:23" ht="11.25" customHeight="1" x14ac:dyDescent="0.25">
      <c r="A391" s="4" t="s">
        <v>21</v>
      </c>
      <c r="B391" s="4" t="s">
        <v>32</v>
      </c>
      <c r="C391" s="4" t="s">
        <v>23</v>
      </c>
      <c r="D391" s="4" t="s">
        <v>33</v>
      </c>
      <c r="E391" s="4" t="s">
        <v>25</v>
      </c>
      <c r="F391" s="4" t="s">
        <v>25</v>
      </c>
      <c r="G391" s="4" t="s">
        <v>25</v>
      </c>
      <c r="H391" s="4" t="s">
        <v>25</v>
      </c>
      <c r="I391" s="5">
        <v>44470</v>
      </c>
      <c r="J391" s="6">
        <v>0</v>
      </c>
      <c r="K391" s="6">
        <v>0</v>
      </c>
      <c r="L391" s="6">
        <v>74.724999999999994</v>
      </c>
      <c r="M391" s="6">
        <v>74.724999999999994</v>
      </c>
      <c r="N391" s="6">
        <v>74.724999999999994</v>
      </c>
      <c r="O391" s="6">
        <v>74.724999999999994</v>
      </c>
      <c r="P391" s="6">
        <v>52</v>
      </c>
      <c r="Q391" s="4" t="s">
        <v>26</v>
      </c>
      <c r="R391" s="4">
        <v>0</v>
      </c>
      <c r="S391" s="4" t="s">
        <v>249</v>
      </c>
      <c r="T391" s="4" t="s">
        <v>386</v>
      </c>
      <c r="U391" s="4">
        <v>0</v>
      </c>
      <c r="V391" s="4">
        <v>46</v>
      </c>
      <c r="W391" s="4">
        <v>83</v>
      </c>
    </row>
    <row r="392" spans="1:23" ht="11.25" customHeight="1" x14ac:dyDescent="0.25">
      <c r="A392" s="4" t="s">
        <v>27</v>
      </c>
      <c r="B392" s="4" t="s">
        <v>32</v>
      </c>
      <c r="C392" s="4" t="s">
        <v>23</v>
      </c>
      <c r="D392" s="4" t="s">
        <v>33</v>
      </c>
      <c r="E392" s="4" t="s">
        <v>25</v>
      </c>
      <c r="F392" s="4" t="s">
        <v>25</v>
      </c>
      <c r="G392" s="4" t="s">
        <v>25</v>
      </c>
      <c r="H392" s="4" t="s">
        <v>25</v>
      </c>
      <c r="I392" s="5">
        <v>44470</v>
      </c>
      <c r="J392" s="6">
        <v>0</v>
      </c>
      <c r="K392" s="6">
        <v>0</v>
      </c>
      <c r="L392" s="6">
        <v>0.68400000000000005</v>
      </c>
      <c r="M392" s="6">
        <v>0.68400000000000005</v>
      </c>
      <c r="N392" s="6">
        <v>0.68400000000000005</v>
      </c>
      <c r="O392" s="6">
        <v>0.68400000000000005</v>
      </c>
      <c r="P392" s="6">
        <v>2</v>
      </c>
      <c r="Q392" s="4" t="s">
        <v>26</v>
      </c>
      <c r="R392" s="4">
        <v>0</v>
      </c>
      <c r="S392" s="4" t="s">
        <v>249</v>
      </c>
      <c r="T392" s="4" t="s">
        <v>386</v>
      </c>
      <c r="U392" s="4">
        <v>0</v>
      </c>
      <c r="V392" s="4">
        <v>46</v>
      </c>
      <c r="W392" s="4">
        <v>83</v>
      </c>
    </row>
    <row r="393" spans="1:23" ht="11.25" customHeight="1" x14ac:dyDescent="0.25">
      <c r="A393" s="4" t="s">
        <v>21</v>
      </c>
      <c r="B393" s="4" t="s">
        <v>32</v>
      </c>
      <c r="C393" s="4" t="s">
        <v>23</v>
      </c>
      <c r="D393" s="4" t="s">
        <v>33</v>
      </c>
      <c r="E393" s="4" t="s">
        <v>25</v>
      </c>
      <c r="F393" s="4" t="s">
        <v>25</v>
      </c>
      <c r="G393" s="4" t="s">
        <v>25</v>
      </c>
      <c r="H393" s="4" t="s">
        <v>25</v>
      </c>
      <c r="I393" s="5">
        <v>44501</v>
      </c>
      <c r="J393" s="6">
        <v>0</v>
      </c>
      <c r="K393" s="6">
        <v>0</v>
      </c>
      <c r="L393" s="6">
        <v>80.14</v>
      </c>
      <c r="M393" s="6">
        <v>80.14</v>
      </c>
      <c r="N393" s="6">
        <v>80.14</v>
      </c>
      <c r="O393" s="6">
        <v>80.14</v>
      </c>
      <c r="P393" s="6">
        <v>51</v>
      </c>
      <c r="Q393" s="4" t="s">
        <v>26</v>
      </c>
      <c r="R393" s="4">
        <v>0</v>
      </c>
      <c r="S393" s="4" t="s">
        <v>250</v>
      </c>
      <c r="T393" s="4" t="s">
        <v>387</v>
      </c>
      <c r="U393" s="4">
        <v>0</v>
      </c>
      <c r="V393" s="4">
        <v>46</v>
      </c>
      <c r="W393" s="4">
        <v>83</v>
      </c>
    </row>
    <row r="394" spans="1:23" ht="11.25" customHeight="1" x14ac:dyDescent="0.25">
      <c r="A394" s="4" t="s">
        <v>27</v>
      </c>
      <c r="B394" s="4" t="s">
        <v>32</v>
      </c>
      <c r="C394" s="4" t="s">
        <v>23</v>
      </c>
      <c r="D394" s="4" t="s">
        <v>33</v>
      </c>
      <c r="E394" s="4" t="s">
        <v>25</v>
      </c>
      <c r="F394" s="4" t="s">
        <v>25</v>
      </c>
      <c r="G394" s="4" t="s">
        <v>25</v>
      </c>
      <c r="H394" s="4" t="s">
        <v>25</v>
      </c>
      <c r="I394" s="5">
        <v>44501</v>
      </c>
      <c r="J394" s="6">
        <v>0</v>
      </c>
      <c r="K394" s="6">
        <v>0</v>
      </c>
      <c r="L394" s="6">
        <v>0.2</v>
      </c>
      <c r="M394" s="6">
        <v>0.2</v>
      </c>
      <c r="N394" s="6">
        <v>0.2</v>
      </c>
      <c r="O394" s="6">
        <v>0.2</v>
      </c>
      <c r="P394" s="6">
        <v>2</v>
      </c>
      <c r="Q394" s="4" t="s">
        <v>26</v>
      </c>
      <c r="R394" s="4">
        <v>0</v>
      </c>
      <c r="S394" s="4" t="s">
        <v>250</v>
      </c>
      <c r="T394" s="4" t="s">
        <v>387</v>
      </c>
      <c r="U394" s="4">
        <v>0</v>
      </c>
      <c r="V394" s="4">
        <v>46</v>
      </c>
      <c r="W394" s="4">
        <v>83</v>
      </c>
    </row>
    <row r="395" spans="1:23" ht="11.25" customHeight="1" x14ac:dyDescent="0.25">
      <c r="A395" s="4" t="s">
        <v>21</v>
      </c>
      <c r="B395" s="4" t="s">
        <v>32</v>
      </c>
      <c r="C395" s="4" t="s">
        <v>23</v>
      </c>
      <c r="D395" s="4" t="s">
        <v>33</v>
      </c>
      <c r="E395" s="4" t="s">
        <v>25</v>
      </c>
      <c r="F395" s="4" t="s">
        <v>25</v>
      </c>
      <c r="G395" s="4" t="s">
        <v>25</v>
      </c>
      <c r="H395" s="4" t="s">
        <v>25</v>
      </c>
      <c r="I395" s="5">
        <v>44531</v>
      </c>
      <c r="J395" s="6">
        <v>0</v>
      </c>
      <c r="K395" s="6">
        <v>0</v>
      </c>
      <c r="L395" s="6">
        <v>84.402000000000001</v>
      </c>
      <c r="M395" s="6">
        <v>84.402000000000001</v>
      </c>
      <c r="N395" s="6">
        <v>84.402000000000001</v>
      </c>
      <c r="O395" s="6">
        <v>84.402000000000001</v>
      </c>
      <c r="P395" s="6">
        <v>51</v>
      </c>
      <c r="Q395" s="4" t="s">
        <v>26</v>
      </c>
      <c r="R395" s="4">
        <v>0</v>
      </c>
      <c r="S395" s="4" t="s">
        <v>251</v>
      </c>
      <c r="T395" s="4" t="s">
        <v>388</v>
      </c>
      <c r="U395" s="4">
        <v>0</v>
      </c>
      <c r="V395" s="4">
        <v>46</v>
      </c>
      <c r="W395" s="4">
        <v>83</v>
      </c>
    </row>
    <row r="396" spans="1:23" ht="11.25" customHeight="1" x14ac:dyDescent="0.25">
      <c r="A396" s="4" t="s">
        <v>27</v>
      </c>
      <c r="B396" s="4" t="s">
        <v>32</v>
      </c>
      <c r="C396" s="4" t="s">
        <v>23</v>
      </c>
      <c r="D396" s="4" t="s">
        <v>33</v>
      </c>
      <c r="E396" s="4" t="s">
        <v>25</v>
      </c>
      <c r="F396" s="4" t="s">
        <v>25</v>
      </c>
      <c r="G396" s="4" t="s">
        <v>25</v>
      </c>
      <c r="H396" s="4" t="s">
        <v>25</v>
      </c>
      <c r="I396" s="5">
        <v>44531</v>
      </c>
      <c r="J396" s="6">
        <v>0</v>
      </c>
      <c r="K396" s="6">
        <v>0</v>
      </c>
      <c r="L396" s="6">
        <v>0.21299999999999999</v>
      </c>
      <c r="M396" s="6">
        <v>0.21299999999999999</v>
      </c>
      <c r="N396" s="6">
        <v>0.21299999999999999</v>
      </c>
      <c r="O396" s="6">
        <v>0.21299999999999999</v>
      </c>
      <c r="P396" s="6">
        <v>2</v>
      </c>
      <c r="Q396" s="4" t="s">
        <v>26</v>
      </c>
      <c r="R396" s="4">
        <v>0</v>
      </c>
      <c r="S396" s="4" t="s">
        <v>251</v>
      </c>
      <c r="T396" s="4" t="s">
        <v>388</v>
      </c>
      <c r="U396" s="4">
        <v>0</v>
      </c>
      <c r="V396" s="4">
        <v>46</v>
      </c>
      <c r="W396" s="4">
        <v>83</v>
      </c>
    </row>
    <row r="397" spans="1:23" ht="11.25" customHeight="1" x14ac:dyDescent="0.25">
      <c r="A397" s="4" t="s">
        <v>21</v>
      </c>
      <c r="B397" s="4" t="s">
        <v>32</v>
      </c>
      <c r="C397" s="4" t="s">
        <v>23</v>
      </c>
      <c r="D397" s="4" t="s">
        <v>33</v>
      </c>
      <c r="E397" s="4" t="s">
        <v>25</v>
      </c>
      <c r="F397" s="4" t="s">
        <v>25</v>
      </c>
      <c r="G397" s="4" t="s">
        <v>25</v>
      </c>
      <c r="H397" s="4" t="s">
        <v>25</v>
      </c>
      <c r="I397" s="5">
        <v>44562</v>
      </c>
      <c r="J397" s="6">
        <v>0</v>
      </c>
      <c r="K397" s="6">
        <v>0</v>
      </c>
      <c r="L397" s="6">
        <v>76.555999999999997</v>
      </c>
      <c r="M397" s="6">
        <v>76.555999999999997</v>
      </c>
      <c r="N397" s="6">
        <v>76.555999999999997</v>
      </c>
      <c r="O397" s="6">
        <v>76.555999999999997</v>
      </c>
      <c r="P397" s="6">
        <v>50</v>
      </c>
      <c r="Q397" s="4" t="s">
        <v>26</v>
      </c>
      <c r="R397" s="4">
        <v>0</v>
      </c>
      <c r="S397" s="4" t="s">
        <v>252</v>
      </c>
      <c r="T397" s="4" t="s">
        <v>389</v>
      </c>
      <c r="U397" s="4">
        <v>0</v>
      </c>
      <c r="V397" s="4">
        <v>46</v>
      </c>
      <c r="W397" s="4">
        <v>83</v>
      </c>
    </row>
    <row r="398" spans="1:23" ht="11.25" customHeight="1" x14ac:dyDescent="0.25">
      <c r="A398" s="4" t="s">
        <v>27</v>
      </c>
      <c r="B398" s="4" t="s">
        <v>32</v>
      </c>
      <c r="C398" s="4" t="s">
        <v>23</v>
      </c>
      <c r="D398" s="4" t="s">
        <v>33</v>
      </c>
      <c r="E398" s="4" t="s">
        <v>25</v>
      </c>
      <c r="F398" s="4" t="s">
        <v>25</v>
      </c>
      <c r="G398" s="4" t="s">
        <v>25</v>
      </c>
      <c r="H398" s="4" t="s">
        <v>25</v>
      </c>
      <c r="I398" s="5">
        <v>44562</v>
      </c>
      <c r="J398" s="6">
        <v>0</v>
      </c>
      <c r="K398" s="6">
        <v>0</v>
      </c>
      <c r="L398" s="6">
        <v>0.2</v>
      </c>
      <c r="M398" s="6">
        <v>0.2</v>
      </c>
      <c r="N398" s="6">
        <v>0.2</v>
      </c>
      <c r="O398" s="6">
        <v>0.2</v>
      </c>
      <c r="P398" s="6">
        <v>2</v>
      </c>
      <c r="Q398" s="4" t="s">
        <v>26</v>
      </c>
      <c r="R398" s="4">
        <v>0</v>
      </c>
      <c r="S398" s="4" t="s">
        <v>252</v>
      </c>
      <c r="T398" s="4" t="s">
        <v>389</v>
      </c>
      <c r="U398" s="4">
        <v>0</v>
      </c>
      <c r="V398" s="4">
        <v>46</v>
      </c>
      <c r="W398" s="4">
        <v>83</v>
      </c>
    </row>
    <row r="399" spans="1:23" ht="11.25" customHeight="1" x14ac:dyDescent="0.25">
      <c r="A399" s="4" t="s">
        <v>21</v>
      </c>
      <c r="B399" s="4" t="s">
        <v>32</v>
      </c>
      <c r="C399" s="4" t="s">
        <v>23</v>
      </c>
      <c r="D399" s="4" t="s">
        <v>33</v>
      </c>
      <c r="E399" s="4" t="s">
        <v>25</v>
      </c>
      <c r="F399" s="4" t="s">
        <v>25</v>
      </c>
      <c r="G399" s="4" t="s">
        <v>25</v>
      </c>
      <c r="H399" s="4" t="s">
        <v>25</v>
      </c>
      <c r="I399" s="5">
        <v>44593</v>
      </c>
      <c r="J399" s="6">
        <v>0</v>
      </c>
      <c r="K399" s="6">
        <v>0</v>
      </c>
      <c r="L399" s="6">
        <v>82.58</v>
      </c>
      <c r="M399" s="6">
        <v>82.58</v>
      </c>
      <c r="N399" s="6">
        <v>82.58</v>
      </c>
      <c r="O399" s="6">
        <v>82.58</v>
      </c>
      <c r="P399" s="6">
        <v>51</v>
      </c>
      <c r="Q399" s="4" t="s">
        <v>26</v>
      </c>
      <c r="R399" s="4">
        <v>0</v>
      </c>
      <c r="S399" s="4" t="s">
        <v>253</v>
      </c>
      <c r="T399" s="4" t="s">
        <v>390</v>
      </c>
      <c r="U399" s="4">
        <v>0</v>
      </c>
      <c r="V399" s="4">
        <v>46</v>
      </c>
      <c r="W399" s="4">
        <v>83</v>
      </c>
    </row>
    <row r="400" spans="1:23" ht="11.25" customHeight="1" x14ac:dyDescent="0.25">
      <c r="A400" s="4" t="s">
        <v>27</v>
      </c>
      <c r="B400" s="4" t="s">
        <v>32</v>
      </c>
      <c r="C400" s="4" t="s">
        <v>23</v>
      </c>
      <c r="D400" s="4" t="s">
        <v>33</v>
      </c>
      <c r="E400" s="4" t="s">
        <v>25</v>
      </c>
      <c r="F400" s="4" t="s">
        <v>25</v>
      </c>
      <c r="G400" s="4" t="s">
        <v>25</v>
      </c>
      <c r="H400" s="4" t="s">
        <v>25</v>
      </c>
      <c r="I400" s="5">
        <v>44593</v>
      </c>
      <c r="J400" s="6">
        <v>0</v>
      </c>
      <c r="K400" s="6">
        <v>0</v>
      </c>
      <c r="L400" s="6">
        <v>0.2</v>
      </c>
      <c r="M400" s="6">
        <v>0.2</v>
      </c>
      <c r="N400" s="6">
        <v>0.2</v>
      </c>
      <c r="O400" s="6">
        <v>0.2</v>
      </c>
      <c r="P400" s="6">
        <v>2</v>
      </c>
      <c r="Q400" s="4" t="s">
        <v>26</v>
      </c>
      <c r="R400" s="4">
        <v>0</v>
      </c>
      <c r="S400" s="4" t="s">
        <v>253</v>
      </c>
      <c r="T400" s="4" t="s">
        <v>390</v>
      </c>
      <c r="U400" s="4">
        <v>0</v>
      </c>
      <c r="V400" s="4">
        <v>46</v>
      </c>
      <c r="W400" s="4">
        <v>83</v>
      </c>
    </row>
    <row r="401" spans="1:23" ht="11.25" customHeight="1" x14ac:dyDescent="0.25">
      <c r="A401" s="4" t="s">
        <v>21</v>
      </c>
      <c r="B401" s="4" t="s">
        <v>32</v>
      </c>
      <c r="C401" s="4" t="s">
        <v>23</v>
      </c>
      <c r="D401" s="4" t="s">
        <v>33</v>
      </c>
      <c r="E401" s="4" t="s">
        <v>25</v>
      </c>
      <c r="F401" s="4" t="s">
        <v>25</v>
      </c>
      <c r="G401" s="4" t="s">
        <v>25</v>
      </c>
      <c r="H401" s="4" t="s">
        <v>25</v>
      </c>
      <c r="I401" s="5">
        <v>44621</v>
      </c>
      <c r="J401" s="6">
        <v>0</v>
      </c>
      <c r="K401" s="6">
        <v>0</v>
      </c>
      <c r="L401" s="6">
        <v>75.680999999999997</v>
      </c>
      <c r="M401" s="6">
        <v>75.680999999999997</v>
      </c>
      <c r="N401" s="6">
        <v>75.680999999999997</v>
      </c>
      <c r="O401" s="6">
        <v>75.680999999999997</v>
      </c>
      <c r="P401" s="6">
        <v>51</v>
      </c>
      <c r="Q401" s="4" t="s">
        <v>26</v>
      </c>
      <c r="R401" s="4">
        <v>0</v>
      </c>
      <c r="S401" s="4" t="s">
        <v>254</v>
      </c>
      <c r="T401" s="4" t="s">
        <v>391</v>
      </c>
      <c r="U401" s="4">
        <v>0</v>
      </c>
      <c r="V401" s="4">
        <v>46</v>
      </c>
      <c r="W401" s="4">
        <v>83</v>
      </c>
    </row>
    <row r="402" spans="1:23" ht="11.25" customHeight="1" x14ac:dyDescent="0.25">
      <c r="A402" s="4" t="s">
        <v>27</v>
      </c>
      <c r="B402" s="4" t="s">
        <v>32</v>
      </c>
      <c r="C402" s="4" t="s">
        <v>23</v>
      </c>
      <c r="D402" s="4" t="s">
        <v>33</v>
      </c>
      <c r="E402" s="4" t="s">
        <v>25</v>
      </c>
      <c r="F402" s="4" t="s">
        <v>25</v>
      </c>
      <c r="G402" s="4" t="s">
        <v>25</v>
      </c>
      <c r="H402" s="4" t="s">
        <v>25</v>
      </c>
      <c r="I402" s="5">
        <v>44621</v>
      </c>
      <c r="J402" s="6">
        <v>0</v>
      </c>
      <c r="K402" s="6">
        <v>0</v>
      </c>
      <c r="L402" s="6">
        <v>0.2</v>
      </c>
      <c r="M402" s="6">
        <v>0.2</v>
      </c>
      <c r="N402" s="6">
        <v>0.2</v>
      </c>
      <c r="O402" s="6">
        <v>0.2</v>
      </c>
      <c r="P402" s="6">
        <v>2</v>
      </c>
      <c r="Q402" s="4" t="s">
        <v>26</v>
      </c>
      <c r="R402" s="4">
        <v>0</v>
      </c>
      <c r="S402" s="4" t="s">
        <v>254</v>
      </c>
      <c r="T402" s="4" t="s">
        <v>391</v>
      </c>
      <c r="U402" s="4">
        <v>0</v>
      </c>
      <c r="V402" s="4">
        <v>46</v>
      </c>
      <c r="W402" s="4">
        <v>83</v>
      </c>
    </row>
    <row r="403" spans="1:23" ht="11.25" customHeight="1" x14ac:dyDescent="0.25">
      <c r="A403" s="4" t="s">
        <v>21</v>
      </c>
      <c r="B403" s="4" t="s">
        <v>32</v>
      </c>
      <c r="C403" s="4" t="s">
        <v>23</v>
      </c>
      <c r="D403" s="4" t="s">
        <v>33</v>
      </c>
      <c r="E403" s="4" t="s">
        <v>25</v>
      </c>
      <c r="F403" s="4" t="s">
        <v>25</v>
      </c>
      <c r="G403" s="4" t="s">
        <v>25</v>
      </c>
      <c r="H403" s="4" t="s">
        <v>25</v>
      </c>
      <c r="I403" s="5">
        <v>44652</v>
      </c>
      <c r="J403" s="6">
        <v>0</v>
      </c>
      <c r="K403" s="6">
        <v>0</v>
      </c>
      <c r="L403" s="6">
        <v>59.23</v>
      </c>
      <c r="M403" s="6">
        <v>59.23</v>
      </c>
      <c r="N403" s="6">
        <v>59.23</v>
      </c>
      <c r="O403" s="6">
        <v>59.23</v>
      </c>
      <c r="P403" s="6">
        <v>50</v>
      </c>
      <c r="Q403" s="4" t="s">
        <v>26</v>
      </c>
      <c r="R403" s="4">
        <v>0</v>
      </c>
      <c r="S403" s="4" t="s">
        <v>255</v>
      </c>
      <c r="T403" s="4" t="s">
        <v>392</v>
      </c>
      <c r="U403" s="4">
        <v>0</v>
      </c>
      <c r="V403" s="4">
        <v>46</v>
      </c>
      <c r="W403" s="4">
        <v>83</v>
      </c>
    </row>
    <row r="404" spans="1:23" ht="11.25" customHeight="1" x14ac:dyDescent="0.25">
      <c r="A404" s="4" t="s">
        <v>27</v>
      </c>
      <c r="B404" s="4" t="s">
        <v>32</v>
      </c>
      <c r="C404" s="4" t="s">
        <v>23</v>
      </c>
      <c r="D404" s="4" t="s">
        <v>33</v>
      </c>
      <c r="E404" s="4" t="s">
        <v>25</v>
      </c>
      <c r="F404" s="4" t="s">
        <v>25</v>
      </c>
      <c r="G404" s="4" t="s">
        <v>25</v>
      </c>
      <c r="H404" s="4" t="s">
        <v>25</v>
      </c>
      <c r="I404" s="5">
        <v>44652</v>
      </c>
      <c r="J404" s="6">
        <v>0</v>
      </c>
      <c r="K404" s="6">
        <v>0</v>
      </c>
      <c r="L404" s="6">
        <v>7.2889999999999997</v>
      </c>
      <c r="M404" s="6">
        <v>7.2889999999999997</v>
      </c>
      <c r="N404" s="6">
        <v>7.2889999999999997</v>
      </c>
      <c r="O404" s="6">
        <v>7.2889999999999997</v>
      </c>
      <c r="P404" s="6">
        <v>3</v>
      </c>
      <c r="Q404" s="4" t="s">
        <v>26</v>
      </c>
      <c r="R404" s="4">
        <v>0</v>
      </c>
      <c r="S404" s="4" t="s">
        <v>255</v>
      </c>
      <c r="T404" s="4" t="s">
        <v>392</v>
      </c>
      <c r="U404" s="4">
        <v>0</v>
      </c>
      <c r="V404" s="4">
        <v>46</v>
      </c>
      <c r="W404" s="4">
        <v>83</v>
      </c>
    </row>
    <row r="405" spans="1:23" ht="11.25" customHeight="1" x14ac:dyDescent="0.25">
      <c r="A405" s="4" t="s">
        <v>21</v>
      </c>
      <c r="B405" s="4" t="s">
        <v>32</v>
      </c>
      <c r="C405" s="4" t="s">
        <v>23</v>
      </c>
      <c r="D405" s="4" t="s">
        <v>33</v>
      </c>
      <c r="E405" s="4" t="s">
        <v>25</v>
      </c>
      <c r="F405" s="4" t="s">
        <v>25</v>
      </c>
      <c r="G405" s="4" t="s">
        <v>25</v>
      </c>
      <c r="H405" s="4" t="s">
        <v>25</v>
      </c>
      <c r="I405" s="5">
        <v>44682</v>
      </c>
      <c r="J405" s="6">
        <v>0</v>
      </c>
      <c r="K405" s="6">
        <v>0</v>
      </c>
      <c r="L405" s="6">
        <v>56.985999999999997</v>
      </c>
      <c r="M405" s="6">
        <v>56.985999999999997</v>
      </c>
      <c r="N405" s="6">
        <v>56.985999999999997</v>
      </c>
      <c r="O405" s="6">
        <v>56.985999999999997</v>
      </c>
      <c r="P405" s="6">
        <v>50</v>
      </c>
      <c r="Q405" s="4" t="s">
        <v>26</v>
      </c>
      <c r="R405" s="4">
        <v>0</v>
      </c>
      <c r="S405" s="4" t="s">
        <v>256</v>
      </c>
      <c r="T405" s="4" t="s">
        <v>393</v>
      </c>
      <c r="U405" s="4">
        <v>0</v>
      </c>
      <c r="V405" s="4">
        <v>46</v>
      </c>
      <c r="W405" s="4">
        <v>83</v>
      </c>
    </row>
    <row r="406" spans="1:23" ht="11.25" customHeight="1" x14ac:dyDescent="0.25">
      <c r="A406" s="4" t="s">
        <v>27</v>
      </c>
      <c r="B406" s="4" t="s">
        <v>32</v>
      </c>
      <c r="C406" s="4" t="s">
        <v>23</v>
      </c>
      <c r="D406" s="4" t="s">
        <v>33</v>
      </c>
      <c r="E406" s="4" t="s">
        <v>25</v>
      </c>
      <c r="F406" s="4" t="s">
        <v>25</v>
      </c>
      <c r="G406" s="4" t="s">
        <v>25</v>
      </c>
      <c r="H406" s="4" t="s">
        <v>25</v>
      </c>
      <c r="I406" s="5">
        <v>44682</v>
      </c>
      <c r="J406" s="6">
        <v>0</v>
      </c>
      <c r="K406" s="6">
        <v>0</v>
      </c>
      <c r="L406" s="6">
        <v>7.9249999999999998</v>
      </c>
      <c r="M406" s="6">
        <v>7.9249999999999998</v>
      </c>
      <c r="N406" s="6">
        <v>7.9249999999999998</v>
      </c>
      <c r="O406" s="6">
        <v>7.9249999999999998</v>
      </c>
      <c r="P406" s="6">
        <v>3</v>
      </c>
      <c r="Q406" s="4" t="s">
        <v>26</v>
      </c>
      <c r="R406" s="4">
        <v>0</v>
      </c>
      <c r="S406" s="4" t="s">
        <v>256</v>
      </c>
      <c r="T406" s="4" t="s">
        <v>393</v>
      </c>
      <c r="U406" s="4">
        <v>0</v>
      </c>
      <c r="V406" s="4">
        <v>46</v>
      </c>
      <c r="W406" s="4">
        <v>83</v>
      </c>
    </row>
    <row r="407" spans="1:23" ht="11.25" customHeight="1" x14ac:dyDescent="0.25">
      <c r="A407" s="4" t="s">
        <v>21</v>
      </c>
      <c r="B407" s="4" t="s">
        <v>32</v>
      </c>
      <c r="C407" s="4" t="s">
        <v>23</v>
      </c>
      <c r="D407" s="4" t="s">
        <v>33</v>
      </c>
      <c r="E407" s="4" t="s">
        <v>25</v>
      </c>
      <c r="F407" s="4" t="s">
        <v>25</v>
      </c>
      <c r="G407" s="4" t="s">
        <v>25</v>
      </c>
      <c r="H407" s="4" t="s">
        <v>25</v>
      </c>
      <c r="I407" s="5">
        <v>44713</v>
      </c>
      <c r="J407" s="6">
        <v>0</v>
      </c>
      <c r="K407" s="6">
        <v>0</v>
      </c>
      <c r="L407" s="6">
        <v>58.13</v>
      </c>
      <c r="M407" s="6">
        <v>58.13</v>
      </c>
      <c r="N407" s="6">
        <v>58.13</v>
      </c>
      <c r="O407" s="6">
        <v>58.13</v>
      </c>
      <c r="P407" s="6">
        <v>50</v>
      </c>
      <c r="Q407" s="4" t="s">
        <v>26</v>
      </c>
      <c r="R407" s="4">
        <v>0</v>
      </c>
      <c r="S407" s="4" t="s">
        <v>257</v>
      </c>
      <c r="T407" s="4" t="s">
        <v>394</v>
      </c>
      <c r="U407" s="4">
        <v>0</v>
      </c>
      <c r="V407" s="4">
        <v>46</v>
      </c>
      <c r="W407" s="4">
        <v>83</v>
      </c>
    </row>
    <row r="408" spans="1:23" ht="11.25" customHeight="1" x14ac:dyDescent="0.25">
      <c r="A408" s="4" t="s">
        <v>27</v>
      </c>
      <c r="B408" s="4" t="s">
        <v>32</v>
      </c>
      <c r="C408" s="4" t="s">
        <v>23</v>
      </c>
      <c r="D408" s="4" t="s">
        <v>33</v>
      </c>
      <c r="E408" s="4" t="s">
        <v>25</v>
      </c>
      <c r="F408" s="4" t="s">
        <v>25</v>
      </c>
      <c r="G408" s="4" t="s">
        <v>25</v>
      </c>
      <c r="H408" s="4" t="s">
        <v>25</v>
      </c>
      <c r="I408" s="5">
        <v>44713</v>
      </c>
      <c r="J408" s="6">
        <v>0</v>
      </c>
      <c r="K408" s="6">
        <v>0</v>
      </c>
      <c r="L408" s="6">
        <v>8.8469999999999995</v>
      </c>
      <c r="M408" s="6">
        <v>8.8469999999999995</v>
      </c>
      <c r="N408" s="6">
        <v>8.8469999999999995</v>
      </c>
      <c r="O408" s="6">
        <v>8.8469999999999995</v>
      </c>
      <c r="P408" s="6">
        <v>3</v>
      </c>
      <c r="Q408" s="4" t="s">
        <v>26</v>
      </c>
      <c r="R408" s="4">
        <v>0</v>
      </c>
      <c r="S408" s="4" t="s">
        <v>257</v>
      </c>
      <c r="T408" s="4" t="s">
        <v>394</v>
      </c>
      <c r="U408" s="4">
        <v>0</v>
      </c>
      <c r="V408" s="4">
        <v>46</v>
      </c>
      <c r="W408" s="4">
        <v>83</v>
      </c>
    </row>
    <row r="409" spans="1:23" ht="11.25" customHeight="1" x14ac:dyDescent="0.25">
      <c r="A409" s="4" t="s">
        <v>21</v>
      </c>
      <c r="B409" s="4" t="s">
        <v>32</v>
      </c>
      <c r="C409" s="4" t="s">
        <v>23</v>
      </c>
      <c r="D409" s="4" t="s">
        <v>41</v>
      </c>
      <c r="E409" s="4" t="s">
        <v>25</v>
      </c>
      <c r="F409" s="4" t="s">
        <v>25</v>
      </c>
      <c r="G409" s="4" t="s">
        <v>25</v>
      </c>
      <c r="H409" s="4" t="s">
        <v>25</v>
      </c>
      <c r="I409" s="5">
        <v>44378</v>
      </c>
      <c r="J409" s="6">
        <v>0</v>
      </c>
      <c r="K409" s="6">
        <v>0</v>
      </c>
      <c r="L409" s="6">
        <v>75.864999999999995</v>
      </c>
      <c r="M409" s="6">
        <v>75.864999999999995</v>
      </c>
      <c r="N409" s="6">
        <v>75.864999999999995</v>
      </c>
      <c r="O409" s="6">
        <v>75.864999999999995</v>
      </c>
      <c r="P409" s="6">
        <v>74</v>
      </c>
      <c r="Q409" s="4" t="s">
        <v>26</v>
      </c>
      <c r="R409" s="4">
        <v>0</v>
      </c>
      <c r="S409" s="4" t="s">
        <v>246</v>
      </c>
      <c r="T409" s="4" t="s">
        <v>383</v>
      </c>
      <c r="U409" s="4">
        <v>0</v>
      </c>
      <c r="V409" s="4">
        <v>46</v>
      </c>
      <c r="W409" s="4">
        <v>83</v>
      </c>
    </row>
    <row r="410" spans="1:23" ht="11.25" customHeight="1" x14ac:dyDescent="0.25">
      <c r="A410" s="4" t="s">
        <v>21</v>
      </c>
      <c r="B410" s="4" t="s">
        <v>32</v>
      </c>
      <c r="C410" s="4" t="s">
        <v>23</v>
      </c>
      <c r="D410" s="4" t="s">
        <v>41</v>
      </c>
      <c r="E410" s="4" t="s">
        <v>25</v>
      </c>
      <c r="F410" s="4" t="s">
        <v>25</v>
      </c>
      <c r="G410" s="4" t="s">
        <v>25</v>
      </c>
      <c r="H410" s="4" t="s">
        <v>25</v>
      </c>
      <c r="I410" s="5">
        <v>44409</v>
      </c>
      <c r="J410" s="6">
        <v>0</v>
      </c>
      <c r="K410" s="6">
        <v>0</v>
      </c>
      <c r="L410" s="6">
        <v>72.569999999999993</v>
      </c>
      <c r="M410" s="6">
        <v>72.569999999999993</v>
      </c>
      <c r="N410" s="6">
        <v>72.569999999999993</v>
      </c>
      <c r="O410" s="6">
        <v>72.569999999999993</v>
      </c>
      <c r="P410" s="6">
        <v>73</v>
      </c>
      <c r="Q410" s="4" t="s">
        <v>26</v>
      </c>
      <c r="R410" s="4">
        <v>0</v>
      </c>
      <c r="S410" s="4" t="s">
        <v>247</v>
      </c>
      <c r="T410" s="4" t="s">
        <v>384</v>
      </c>
      <c r="U410" s="4">
        <v>0</v>
      </c>
      <c r="V410" s="4">
        <v>46</v>
      </c>
      <c r="W410" s="4">
        <v>83</v>
      </c>
    </row>
    <row r="411" spans="1:23" ht="11.25" customHeight="1" x14ac:dyDescent="0.25">
      <c r="A411" s="4" t="s">
        <v>21</v>
      </c>
      <c r="B411" s="4" t="s">
        <v>32</v>
      </c>
      <c r="C411" s="4" t="s">
        <v>23</v>
      </c>
      <c r="D411" s="4" t="s">
        <v>41</v>
      </c>
      <c r="E411" s="4" t="s">
        <v>25</v>
      </c>
      <c r="F411" s="4" t="s">
        <v>25</v>
      </c>
      <c r="G411" s="4" t="s">
        <v>25</v>
      </c>
      <c r="H411" s="4" t="s">
        <v>25</v>
      </c>
      <c r="I411" s="5">
        <v>44440</v>
      </c>
      <c r="J411" s="6">
        <v>0</v>
      </c>
      <c r="K411" s="6">
        <v>0</v>
      </c>
      <c r="L411" s="6">
        <v>56.506</v>
      </c>
      <c r="M411" s="6">
        <v>56.506</v>
      </c>
      <c r="N411" s="6">
        <v>56.506</v>
      </c>
      <c r="O411" s="6">
        <v>56.506</v>
      </c>
      <c r="P411" s="6">
        <v>73</v>
      </c>
      <c r="Q411" s="4" t="s">
        <v>26</v>
      </c>
      <c r="R411" s="4">
        <v>0</v>
      </c>
      <c r="S411" s="4" t="s">
        <v>248</v>
      </c>
      <c r="T411" s="4" t="s">
        <v>385</v>
      </c>
      <c r="U411" s="4">
        <v>0</v>
      </c>
      <c r="V411" s="4">
        <v>46</v>
      </c>
      <c r="W411" s="4">
        <v>83</v>
      </c>
    </row>
    <row r="412" spans="1:23" ht="11.25" customHeight="1" x14ac:dyDescent="0.25">
      <c r="A412" s="4" t="s">
        <v>21</v>
      </c>
      <c r="B412" s="4" t="s">
        <v>32</v>
      </c>
      <c r="C412" s="4" t="s">
        <v>23</v>
      </c>
      <c r="D412" s="4" t="s">
        <v>41</v>
      </c>
      <c r="E412" s="4" t="s">
        <v>25</v>
      </c>
      <c r="F412" s="4" t="s">
        <v>25</v>
      </c>
      <c r="G412" s="4" t="s">
        <v>25</v>
      </c>
      <c r="H412" s="4" t="s">
        <v>25</v>
      </c>
      <c r="I412" s="5">
        <v>44470</v>
      </c>
      <c r="J412" s="6">
        <v>0</v>
      </c>
      <c r="K412" s="6">
        <v>0</v>
      </c>
      <c r="L412" s="6">
        <v>51.398000000000003</v>
      </c>
      <c r="M412" s="6">
        <v>51.398000000000003</v>
      </c>
      <c r="N412" s="6">
        <v>51.398000000000003</v>
      </c>
      <c r="O412" s="6">
        <v>51.398000000000003</v>
      </c>
      <c r="P412" s="6">
        <v>72</v>
      </c>
      <c r="Q412" s="4" t="s">
        <v>26</v>
      </c>
      <c r="R412" s="4">
        <v>0</v>
      </c>
      <c r="S412" s="4" t="s">
        <v>249</v>
      </c>
      <c r="T412" s="4" t="s">
        <v>386</v>
      </c>
      <c r="U412" s="4">
        <v>0</v>
      </c>
      <c r="V412" s="4">
        <v>46</v>
      </c>
      <c r="W412" s="4">
        <v>83</v>
      </c>
    </row>
    <row r="413" spans="1:23" ht="11.25" customHeight="1" x14ac:dyDescent="0.25">
      <c r="A413" s="4" t="s">
        <v>21</v>
      </c>
      <c r="B413" s="4" t="s">
        <v>32</v>
      </c>
      <c r="C413" s="4" t="s">
        <v>23</v>
      </c>
      <c r="D413" s="4" t="s">
        <v>41</v>
      </c>
      <c r="E413" s="4" t="s">
        <v>25</v>
      </c>
      <c r="F413" s="4" t="s">
        <v>25</v>
      </c>
      <c r="G413" s="4" t="s">
        <v>25</v>
      </c>
      <c r="H413" s="4" t="s">
        <v>25</v>
      </c>
      <c r="I413" s="5">
        <v>44501</v>
      </c>
      <c r="J413" s="6">
        <v>0</v>
      </c>
      <c r="K413" s="6">
        <v>0</v>
      </c>
      <c r="L413" s="6">
        <v>58.618000000000002</v>
      </c>
      <c r="M413" s="6">
        <v>58.618000000000002</v>
      </c>
      <c r="N413" s="6">
        <v>58.618000000000002</v>
      </c>
      <c r="O413" s="6">
        <v>58.618000000000002</v>
      </c>
      <c r="P413" s="6">
        <v>74</v>
      </c>
      <c r="Q413" s="4" t="s">
        <v>26</v>
      </c>
      <c r="R413" s="4">
        <v>0</v>
      </c>
      <c r="S413" s="4" t="s">
        <v>250</v>
      </c>
      <c r="T413" s="4" t="s">
        <v>387</v>
      </c>
      <c r="U413" s="4">
        <v>0</v>
      </c>
      <c r="V413" s="4">
        <v>46</v>
      </c>
      <c r="W413" s="4">
        <v>83</v>
      </c>
    </row>
    <row r="414" spans="1:23" ht="11.25" customHeight="1" x14ac:dyDescent="0.25">
      <c r="A414" s="4" t="s">
        <v>21</v>
      </c>
      <c r="B414" s="4" t="s">
        <v>32</v>
      </c>
      <c r="C414" s="4" t="s">
        <v>23</v>
      </c>
      <c r="D414" s="4" t="s">
        <v>41</v>
      </c>
      <c r="E414" s="4" t="s">
        <v>25</v>
      </c>
      <c r="F414" s="4" t="s">
        <v>25</v>
      </c>
      <c r="G414" s="4" t="s">
        <v>25</v>
      </c>
      <c r="H414" s="4" t="s">
        <v>25</v>
      </c>
      <c r="I414" s="5">
        <v>44531</v>
      </c>
      <c r="J414" s="6">
        <v>0</v>
      </c>
      <c r="K414" s="6">
        <v>0</v>
      </c>
      <c r="L414" s="6">
        <v>73.353999999999999</v>
      </c>
      <c r="M414" s="6">
        <v>73.353999999999999</v>
      </c>
      <c r="N414" s="6">
        <v>73.353999999999999</v>
      </c>
      <c r="O414" s="6">
        <v>73.353999999999999</v>
      </c>
      <c r="P414" s="6">
        <v>75</v>
      </c>
      <c r="Q414" s="4" t="s">
        <v>26</v>
      </c>
      <c r="R414" s="4">
        <v>0</v>
      </c>
      <c r="S414" s="4" t="s">
        <v>251</v>
      </c>
      <c r="T414" s="4" t="s">
        <v>388</v>
      </c>
      <c r="U414" s="4">
        <v>0</v>
      </c>
      <c r="V414" s="4">
        <v>46</v>
      </c>
      <c r="W414" s="4">
        <v>83</v>
      </c>
    </row>
    <row r="415" spans="1:23" ht="11.25" customHeight="1" x14ac:dyDescent="0.25">
      <c r="A415" s="4" t="s">
        <v>21</v>
      </c>
      <c r="B415" s="4" t="s">
        <v>32</v>
      </c>
      <c r="C415" s="4" t="s">
        <v>23</v>
      </c>
      <c r="D415" s="4" t="s">
        <v>41</v>
      </c>
      <c r="E415" s="4" t="s">
        <v>25</v>
      </c>
      <c r="F415" s="4" t="s">
        <v>25</v>
      </c>
      <c r="G415" s="4" t="s">
        <v>25</v>
      </c>
      <c r="H415" s="4" t="s">
        <v>25</v>
      </c>
      <c r="I415" s="5">
        <v>44562</v>
      </c>
      <c r="J415" s="6">
        <v>0</v>
      </c>
      <c r="K415" s="6">
        <v>0</v>
      </c>
      <c r="L415" s="6">
        <v>61.228999999999999</v>
      </c>
      <c r="M415" s="6">
        <v>61.228999999999999</v>
      </c>
      <c r="N415" s="6">
        <v>61.228999999999999</v>
      </c>
      <c r="O415" s="6">
        <v>61.228999999999999</v>
      </c>
      <c r="P415" s="6">
        <v>75</v>
      </c>
      <c r="Q415" s="4" t="s">
        <v>26</v>
      </c>
      <c r="R415" s="4">
        <v>0</v>
      </c>
      <c r="S415" s="4" t="s">
        <v>252</v>
      </c>
      <c r="T415" s="4" t="s">
        <v>389</v>
      </c>
      <c r="U415" s="4">
        <v>0</v>
      </c>
      <c r="V415" s="4">
        <v>46</v>
      </c>
      <c r="W415" s="4">
        <v>83</v>
      </c>
    </row>
    <row r="416" spans="1:23" ht="11.25" customHeight="1" x14ac:dyDescent="0.25">
      <c r="A416" s="4" t="s">
        <v>21</v>
      </c>
      <c r="B416" s="4" t="s">
        <v>32</v>
      </c>
      <c r="C416" s="4" t="s">
        <v>23</v>
      </c>
      <c r="D416" s="4" t="s">
        <v>41</v>
      </c>
      <c r="E416" s="4" t="s">
        <v>25</v>
      </c>
      <c r="F416" s="4" t="s">
        <v>25</v>
      </c>
      <c r="G416" s="4" t="s">
        <v>25</v>
      </c>
      <c r="H416" s="4" t="s">
        <v>25</v>
      </c>
      <c r="I416" s="5">
        <v>44593</v>
      </c>
      <c r="J416" s="6">
        <v>0</v>
      </c>
      <c r="K416" s="6">
        <v>0</v>
      </c>
      <c r="L416" s="6">
        <v>73.075000000000003</v>
      </c>
      <c r="M416" s="6">
        <v>73.075000000000003</v>
      </c>
      <c r="N416" s="6">
        <v>73.075000000000003</v>
      </c>
      <c r="O416" s="6">
        <v>73.075000000000003</v>
      </c>
      <c r="P416" s="6">
        <v>75</v>
      </c>
      <c r="Q416" s="4" t="s">
        <v>26</v>
      </c>
      <c r="R416" s="4">
        <v>0</v>
      </c>
      <c r="S416" s="4" t="s">
        <v>253</v>
      </c>
      <c r="T416" s="4" t="s">
        <v>390</v>
      </c>
      <c r="U416" s="4">
        <v>0</v>
      </c>
      <c r="V416" s="4">
        <v>46</v>
      </c>
      <c r="W416" s="4">
        <v>83</v>
      </c>
    </row>
    <row r="417" spans="1:23" ht="11.25" customHeight="1" x14ac:dyDescent="0.25">
      <c r="A417" s="4" t="s">
        <v>21</v>
      </c>
      <c r="B417" s="4" t="s">
        <v>32</v>
      </c>
      <c r="C417" s="4" t="s">
        <v>23</v>
      </c>
      <c r="D417" s="4" t="s">
        <v>41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44621</v>
      </c>
      <c r="J417" s="6">
        <v>0</v>
      </c>
      <c r="K417" s="6">
        <v>0</v>
      </c>
      <c r="L417" s="6">
        <v>72.114999999999995</v>
      </c>
      <c r="M417" s="6">
        <v>72.114999999999995</v>
      </c>
      <c r="N417" s="6">
        <v>72.114999999999995</v>
      </c>
      <c r="O417" s="6">
        <v>72.114999999999995</v>
      </c>
      <c r="P417" s="6">
        <v>74</v>
      </c>
      <c r="Q417" s="4" t="s">
        <v>26</v>
      </c>
      <c r="R417" s="4">
        <v>0</v>
      </c>
      <c r="S417" s="4" t="s">
        <v>254</v>
      </c>
      <c r="T417" s="4" t="s">
        <v>391</v>
      </c>
      <c r="U417" s="4">
        <v>0</v>
      </c>
      <c r="V417" s="4">
        <v>46</v>
      </c>
      <c r="W417" s="4">
        <v>83</v>
      </c>
    </row>
    <row r="418" spans="1:23" ht="11.25" customHeight="1" x14ac:dyDescent="0.25">
      <c r="A418" s="4" t="s">
        <v>21</v>
      </c>
      <c r="B418" s="4" t="s">
        <v>32</v>
      </c>
      <c r="C418" s="4" t="s">
        <v>23</v>
      </c>
      <c r="D418" s="4" t="s">
        <v>41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44652</v>
      </c>
      <c r="J418" s="6">
        <v>0</v>
      </c>
      <c r="K418" s="6">
        <v>0</v>
      </c>
      <c r="L418" s="6">
        <v>65.207999999999998</v>
      </c>
      <c r="M418" s="6">
        <v>65.207999999999998</v>
      </c>
      <c r="N418" s="6">
        <v>65.207999999999998</v>
      </c>
      <c r="O418" s="6">
        <v>65.207999999999998</v>
      </c>
      <c r="P418" s="6">
        <v>74</v>
      </c>
      <c r="Q418" s="4" t="s">
        <v>26</v>
      </c>
      <c r="R418" s="4">
        <v>0</v>
      </c>
      <c r="S418" s="4" t="s">
        <v>255</v>
      </c>
      <c r="T418" s="4" t="s">
        <v>392</v>
      </c>
      <c r="U418" s="4">
        <v>0</v>
      </c>
      <c r="V418" s="4">
        <v>46</v>
      </c>
      <c r="W418" s="4">
        <v>83</v>
      </c>
    </row>
    <row r="419" spans="1:23" ht="11.25" customHeight="1" x14ac:dyDescent="0.25">
      <c r="A419" s="4" t="s">
        <v>21</v>
      </c>
      <c r="B419" s="4" t="s">
        <v>32</v>
      </c>
      <c r="C419" s="4" t="s">
        <v>23</v>
      </c>
      <c r="D419" s="4" t="s">
        <v>41</v>
      </c>
      <c r="E419" s="4" t="s">
        <v>25</v>
      </c>
      <c r="F419" s="4" t="s">
        <v>25</v>
      </c>
      <c r="G419" s="4" t="s">
        <v>25</v>
      </c>
      <c r="H419" s="4" t="s">
        <v>25</v>
      </c>
      <c r="I419" s="5">
        <v>44682</v>
      </c>
      <c r="J419" s="6">
        <v>0</v>
      </c>
      <c r="K419" s="6">
        <v>0</v>
      </c>
      <c r="L419" s="6">
        <v>68.908000000000001</v>
      </c>
      <c r="M419" s="6">
        <v>68.908000000000001</v>
      </c>
      <c r="N419" s="6">
        <v>68.908000000000001</v>
      </c>
      <c r="O419" s="6">
        <v>68.908000000000001</v>
      </c>
      <c r="P419" s="6">
        <v>74</v>
      </c>
      <c r="Q419" s="4" t="s">
        <v>26</v>
      </c>
      <c r="R419" s="4">
        <v>0</v>
      </c>
      <c r="S419" s="4" t="s">
        <v>256</v>
      </c>
      <c r="T419" s="4" t="s">
        <v>393</v>
      </c>
      <c r="U419" s="4">
        <v>0</v>
      </c>
      <c r="V419" s="4">
        <v>46</v>
      </c>
      <c r="W419" s="4">
        <v>83</v>
      </c>
    </row>
    <row r="420" spans="1:23" ht="11.25" customHeight="1" x14ac:dyDescent="0.25">
      <c r="A420" s="4" t="s">
        <v>21</v>
      </c>
      <c r="B420" s="4" t="s">
        <v>32</v>
      </c>
      <c r="C420" s="4" t="s">
        <v>23</v>
      </c>
      <c r="D420" s="4" t="s">
        <v>41</v>
      </c>
      <c r="E420" s="4" t="s">
        <v>25</v>
      </c>
      <c r="F420" s="4" t="s">
        <v>25</v>
      </c>
      <c r="G420" s="4" t="s">
        <v>25</v>
      </c>
      <c r="H420" s="4" t="s">
        <v>25</v>
      </c>
      <c r="I420" s="5">
        <v>44713</v>
      </c>
      <c r="J420" s="6">
        <v>0</v>
      </c>
      <c r="K420" s="6">
        <v>0</v>
      </c>
      <c r="L420" s="6">
        <v>89.245000000000005</v>
      </c>
      <c r="M420" s="6">
        <v>89.245000000000005</v>
      </c>
      <c r="N420" s="6">
        <v>89.245000000000005</v>
      </c>
      <c r="O420" s="6">
        <v>89.245000000000005</v>
      </c>
      <c r="P420" s="6">
        <v>74</v>
      </c>
      <c r="Q420" s="4" t="s">
        <v>26</v>
      </c>
      <c r="R420" s="4">
        <v>0</v>
      </c>
      <c r="S420" s="4" t="s">
        <v>257</v>
      </c>
      <c r="T420" s="4" t="s">
        <v>394</v>
      </c>
      <c r="U420" s="4">
        <v>0</v>
      </c>
      <c r="V420" s="4">
        <v>46</v>
      </c>
      <c r="W420" s="4">
        <v>83</v>
      </c>
    </row>
    <row r="421" spans="1:23" ht="11.25" customHeight="1" x14ac:dyDescent="0.25">
      <c r="A421" s="4" t="s">
        <v>21</v>
      </c>
      <c r="B421" s="4" t="s">
        <v>32</v>
      </c>
      <c r="C421" s="4" t="s">
        <v>23</v>
      </c>
      <c r="D421" s="4" t="s">
        <v>45</v>
      </c>
      <c r="E421" s="4" t="s">
        <v>46</v>
      </c>
      <c r="F421" s="4" t="s">
        <v>25</v>
      </c>
      <c r="G421" s="4" t="s">
        <v>25</v>
      </c>
      <c r="H421" s="4" t="s">
        <v>25</v>
      </c>
      <c r="I421" s="5">
        <v>44378</v>
      </c>
      <c r="J421" s="6">
        <v>0</v>
      </c>
      <c r="K421" s="6">
        <v>0</v>
      </c>
      <c r="L421" s="6">
        <v>145.33199999999999</v>
      </c>
      <c r="M421" s="6">
        <v>136.61207999999999</v>
      </c>
      <c r="N421" s="6">
        <v>145.33199999999999</v>
      </c>
      <c r="O421" s="6">
        <v>136.61207999999999</v>
      </c>
      <c r="P421" s="6">
        <v>17</v>
      </c>
      <c r="Q421" s="4" t="s">
        <v>26</v>
      </c>
      <c r="R421" s="4">
        <v>0</v>
      </c>
      <c r="S421" s="4" t="s">
        <v>246</v>
      </c>
      <c r="T421" s="4" t="s">
        <v>383</v>
      </c>
      <c r="U421" s="4">
        <v>0</v>
      </c>
      <c r="V421" s="4">
        <v>46</v>
      </c>
      <c r="W421" s="4">
        <v>83</v>
      </c>
    </row>
    <row r="422" spans="1:23" ht="11.25" customHeight="1" x14ac:dyDescent="0.25">
      <c r="A422" s="4" t="s">
        <v>21</v>
      </c>
      <c r="B422" s="4" t="s">
        <v>32</v>
      </c>
      <c r="C422" s="4" t="s">
        <v>23</v>
      </c>
      <c r="D422" s="4" t="s">
        <v>45</v>
      </c>
      <c r="E422" s="4" t="s">
        <v>46</v>
      </c>
      <c r="F422" s="4" t="s">
        <v>25</v>
      </c>
      <c r="G422" s="4" t="s">
        <v>25</v>
      </c>
      <c r="H422" s="4" t="s">
        <v>25</v>
      </c>
      <c r="I422" s="5">
        <v>44409</v>
      </c>
      <c r="J422" s="6">
        <v>0</v>
      </c>
      <c r="K422" s="6">
        <v>0</v>
      </c>
      <c r="L422" s="6">
        <v>154.017</v>
      </c>
      <c r="M422" s="6">
        <v>144.77598</v>
      </c>
      <c r="N422" s="6">
        <v>154.017</v>
      </c>
      <c r="O422" s="6">
        <v>144.77598</v>
      </c>
      <c r="P422" s="6">
        <v>18</v>
      </c>
      <c r="Q422" s="4" t="s">
        <v>26</v>
      </c>
      <c r="R422" s="4">
        <v>0</v>
      </c>
      <c r="S422" s="4" t="s">
        <v>247</v>
      </c>
      <c r="T422" s="4" t="s">
        <v>384</v>
      </c>
      <c r="U422" s="4">
        <v>0</v>
      </c>
      <c r="V422" s="4">
        <v>46</v>
      </c>
      <c r="W422" s="4">
        <v>83</v>
      </c>
    </row>
    <row r="423" spans="1:23" ht="11.25" customHeight="1" x14ac:dyDescent="0.25">
      <c r="A423" s="4" t="s">
        <v>21</v>
      </c>
      <c r="B423" s="4" t="s">
        <v>32</v>
      </c>
      <c r="C423" s="4" t="s">
        <v>23</v>
      </c>
      <c r="D423" s="4" t="s">
        <v>45</v>
      </c>
      <c r="E423" s="4" t="s">
        <v>46</v>
      </c>
      <c r="F423" s="4" t="s">
        <v>25</v>
      </c>
      <c r="G423" s="4" t="s">
        <v>25</v>
      </c>
      <c r="H423" s="4" t="s">
        <v>25</v>
      </c>
      <c r="I423" s="5">
        <v>44440</v>
      </c>
      <c r="J423" s="6">
        <v>0</v>
      </c>
      <c r="K423" s="6">
        <v>0</v>
      </c>
      <c r="L423" s="6">
        <v>155.10900000000001</v>
      </c>
      <c r="M423" s="6">
        <v>145.80246</v>
      </c>
      <c r="N423" s="6">
        <v>155.10900000000001</v>
      </c>
      <c r="O423" s="6">
        <v>145.80246</v>
      </c>
      <c r="P423" s="6">
        <v>18</v>
      </c>
      <c r="Q423" s="4" t="s">
        <v>26</v>
      </c>
      <c r="R423" s="4">
        <v>0</v>
      </c>
      <c r="S423" s="4" t="s">
        <v>248</v>
      </c>
      <c r="T423" s="4" t="s">
        <v>385</v>
      </c>
      <c r="U423" s="4">
        <v>0</v>
      </c>
      <c r="V423" s="4">
        <v>46</v>
      </c>
      <c r="W423" s="4">
        <v>83</v>
      </c>
    </row>
    <row r="424" spans="1:23" ht="11.25" customHeight="1" x14ac:dyDescent="0.25">
      <c r="A424" s="4" t="s">
        <v>21</v>
      </c>
      <c r="B424" s="4" t="s">
        <v>32</v>
      </c>
      <c r="C424" s="4" t="s">
        <v>23</v>
      </c>
      <c r="D424" s="4" t="s">
        <v>45</v>
      </c>
      <c r="E424" s="4" t="s">
        <v>46</v>
      </c>
      <c r="F424" s="4" t="s">
        <v>25</v>
      </c>
      <c r="G424" s="4" t="s">
        <v>25</v>
      </c>
      <c r="H424" s="4" t="s">
        <v>25</v>
      </c>
      <c r="I424" s="5">
        <v>44470</v>
      </c>
      <c r="J424" s="6">
        <v>0</v>
      </c>
      <c r="K424" s="6">
        <v>0</v>
      </c>
      <c r="L424" s="6">
        <v>151.489</v>
      </c>
      <c r="M424" s="6">
        <v>142.39966000000001</v>
      </c>
      <c r="N424" s="6">
        <v>151.489</v>
      </c>
      <c r="O424" s="6">
        <v>142.39966000000001</v>
      </c>
      <c r="P424" s="6">
        <v>18</v>
      </c>
      <c r="Q424" s="4" t="s">
        <v>26</v>
      </c>
      <c r="R424" s="4">
        <v>0</v>
      </c>
      <c r="S424" s="4" t="s">
        <v>249</v>
      </c>
      <c r="T424" s="4" t="s">
        <v>386</v>
      </c>
      <c r="U424" s="4">
        <v>0</v>
      </c>
      <c r="V424" s="4">
        <v>46</v>
      </c>
      <c r="W424" s="4">
        <v>83</v>
      </c>
    </row>
    <row r="425" spans="1:23" ht="11.25" customHeight="1" x14ac:dyDescent="0.25">
      <c r="A425" s="4" t="s">
        <v>21</v>
      </c>
      <c r="B425" s="4" t="s">
        <v>32</v>
      </c>
      <c r="C425" s="4" t="s">
        <v>23</v>
      </c>
      <c r="D425" s="4" t="s">
        <v>45</v>
      </c>
      <c r="E425" s="4" t="s">
        <v>46</v>
      </c>
      <c r="F425" s="4" t="s">
        <v>25</v>
      </c>
      <c r="G425" s="4" t="s">
        <v>25</v>
      </c>
      <c r="H425" s="4" t="s">
        <v>25</v>
      </c>
      <c r="I425" s="5">
        <v>44501</v>
      </c>
      <c r="J425" s="6">
        <v>0</v>
      </c>
      <c r="K425" s="6">
        <v>0</v>
      </c>
      <c r="L425" s="6">
        <v>161.55500000000001</v>
      </c>
      <c r="M425" s="6">
        <v>151.86170000000001</v>
      </c>
      <c r="N425" s="6">
        <v>161.55500000000001</v>
      </c>
      <c r="O425" s="6">
        <v>151.86170000000001</v>
      </c>
      <c r="P425" s="6">
        <v>18</v>
      </c>
      <c r="Q425" s="4" t="s">
        <v>26</v>
      </c>
      <c r="R425" s="4">
        <v>0</v>
      </c>
      <c r="S425" s="4" t="s">
        <v>250</v>
      </c>
      <c r="T425" s="4" t="s">
        <v>387</v>
      </c>
      <c r="U425" s="4">
        <v>0</v>
      </c>
      <c r="V425" s="4">
        <v>46</v>
      </c>
      <c r="W425" s="4">
        <v>83</v>
      </c>
    </row>
    <row r="426" spans="1:23" ht="11.25" customHeight="1" x14ac:dyDescent="0.25">
      <c r="A426" s="4" t="s">
        <v>21</v>
      </c>
      <c r="B426" s="4" t="s">
        <v>32</v>
      </c>
      <c r="C426" s="4" t="s">
        <v>23</v>
      </c>
      <c r="D426" s="4" t="s">
        <v>45</v>
      </c>
      <c r="E426" s="4" t="s">
        <v>46</v>
      </c>
      <c r="F426" s="4" t="s">
        <v>25</v>
      </c>
      <c r="G426" s="4" t="s">
        <v>25</v>
      </c>
      <c r="H426" s="4" t="s">
        <v>25</v>
      </c>
      <c r="I426" s="5">
        <v>44531</v>
      </c>
      <c r="J426" s="6">
        <v>0</v>
      </c>
      <c r="K426" s="6">
        <v>0</v>
      </c>
      <c r="L426" s="6">
        <v>156.51300000000001</v>
      </c>
      <c r="M426" s="6">
        <v>147.12222</v>
      </c>
      <c r="N426" s="6">
        <v>156.51300000000001</v>
      </c>
      <c r="O426" s="6">
        <v>147.12222</v>
      </c>
      <c r="P426" s="6">
        <v>18</v>
      </c>
      <c r="Q426" s="4" t="s">
        <v>26</v>
      </c>
      <c r="R426" s="4">
        <v>0</v>
      </c>
      <c r="S426" s="4" t="s">
        <v>251</v>
      </c>
      <c r="T426" s="4" t="s">
        <v>388</v>
      </c>
      <c r="U426" s="4">
        <v>0</v>
      </c>
      <c r="V426" s="4">
        <v>46</v>
      </c>
      <c r="W426" s="4">
        <v>83</v>
      </c>
    </row>
    <row r="427" spans="1:23" ht="11.25" customHeight="1" x14ac:dyDescent="0.25">
      <c r="A427" s="4" t="s">
        <v>21</v>
      </c>
      <c r="B427" s="4" t="s">
        <v>32</v>
      </c>
      <c r="C427" s="4" t="s">
        <v>23</v>
      </c>
      <c r="D427" s="4" t="s">
        <v>45</v>
      </c>
      <c r="E427" s="4" t="s">
        <v>46</v>
      </c>
      <c r="F427" s="4" t="s">
        <v>25</v>
      </c>
      <c r="G427" s="4" t="s">
        <v>25</v>
      </c>
      <c r="H427" s="4" t="s">
        <v>25</v>
      </c>
      <c r="I427" s="5">
        <v>44562</v>
      </c>
      <c r="J427" s="6">
        <v>0</v>
      </c>
      <c r="K427" s="6">
        <v>0</v>
      </c>
      <c r="L427" s="6">
        <v>180.785</v>
      </c>
      <c r="M427" s="6">
        <v>169.93790000000001</v>
      </c>
      <c r="N427" s="6">
        <v>180.785</v>
      </c>
      <c r="O427" s="6">
        <v>169.93790000000001</v>
      </c>
      <c r="P427" s="6">
        <v>18</v>
      </c>
      <c r="Q427" s="4" t="s">
        <v>26</v>
      </c>
      <c r="R427" s="4">
        <v>0</v>
      </c>
      <c r="S427" s="4" t="s">
        <v>252</v>
      </c>
      <c r="T427" s="4" t="s">
        <v>389</v>
      </c>
      <c r="U427" s="4">
        <v>0</v>
      </c>
      <c r="V427" s="4">
        <v>46</v>
      </c>
      <c r="W427" s="4">
        <v>83</v>
      </c>
    </row>
    <row r="428" spans="1:23" ht="11.25" customHeight="1" x14ac:dyDescent="0.25">
      <c r="A428" s="4" t="s">
        <v>21</v>
      </c>
      <c r="B428" s="4" t="s">
        <v>32</v>
      </c>
      <c r="C428" s="4" t="s">
        <v>23</v>
      </c>
      <c r="D428" s="4" t="s">
        <v>45</v>
      </c>
      <c r="E428" s="4" t="s">
        <v>46</v>
      </c>
      <c r="F428" s="4" t="s">
        <v>25</v>
      </c>
      <c r="G428" s="4" t="s">
        <v>25</v>
      </c>
      <c r="H428" s="4" t="s">
        <v>25</v>
      </c>
      <c r="I428" s="5">
        <v>44593</v>
      </c>
      <c r="J428" s="6">
        <v>0</v>
      </c>
      <c r="K428" s="6">
        <v>0</v>
      </c>
      <c r="L428" s="6">
        <v>169.27</v>
      </c>
      <c r="M428" s="6">
        <v>159.1138</v>
      </c>
      <c r="N428" s="6">
        <v>169.27</v>
      </c>
      <c r="O428" s="6">
        <v>159.1138</v>
      </c>
      <c r="P428" s="6">
        <v>18</v>
      </c>
      <c r="Q428" s="4" t="s">
        <v>26</v>
      </c>
      <c r="R428" s="4">
        <v>0</v>
      </c>
      <c r="S428" s="4" t="s">
        <v>253</v>
      </c>
      <c r="T428" s="4" t="s">
        <v>390</v>
      </c>
      <c r="U428" s="4">
        <v>0</v>
      </c>
      <c r="V428" s="4">
        <v>46</v>
      </c>
      <c r="W428" s="4">
        <v>83</v>
      </c>
    </row>
    <row r="429" spans="1:23" ht="11.25" customHeight="1" x14ac:dyDescent="0.25">
      <c r="A429" s="4" t="s">
        <v>21</v>
      </c>
      <c r="B429" s="4" t="s">
        <v>32</v>
      </c>
      <c r="C429" s="4" t="s">
        <v>23</v>
      </c>
      <c r="D429" s="4" t="s">
        <v>45</v>
      </c>
      <c r="E429" s="4" t="s">
        <v>46</v>
      </c>
      <c r="F429" s="4" t="s">
        <v>25</v>
      </c>
      <c r="G429" s="4" t="s">
        <v>25</v>
      </c>
      <c r="H429" s="4" t="s">
        <v>25</v>
      </c>
      <c r="I429" s="5">
        <v>44621</v>
      </c>
      <c r="J429" s="6">
        <v>0</v>
      </c>
      <c r="K429" s="6">
        <v>0</v>
      </c>
      <c r="L429" s="6">
        <v>156.37100000000001</v>
      </c>
      <c r="M429" s="6">
        <v>146.98874000000001</v>
      </c>
      <c r="N429" s="6">
        <v>156.37100000000001</v>
      </c>
      <c r="O429" s="6">
        <v>146.98874000000001</v>
      </c>
      <c r="P429" s="6">
        <v>19</v>
      </c>
      <c r="Q429" s="4" t="s">
        <v>26</v>
      </c>
      <c r="R429" s="4">
        <v>0</v>
      </c>
      <c r="S429" s="4" t="s">
        <v>254</v>
      </c>
      <c r="T429" s="4" t="s">
        <v>391</v>
      </c>
      <c r="U429" s="4">
        <v>0</v>
      </c>
      <c r="V429" s="4">
        <v>46</v>
      </c>
      <c r="W429" s="4">
        <v>83</v>
      </c>
    </row>
    <row r="430" spans="1:23" ht="11.25" customHeight="1" x14ac:dyDescent="0.25">
      <c r="A430" s="4" t="s">
        <v>21</v>
      </c>
      <c r="B430" s="4" t="s">
        <v>32</v>
      </c>
      <c r="C430" s="4" t="s">
        <v>23</v>
      </c>
      <c r="D430" s="4" t="s">
        <v>45</v>
      </c>
      <c r="E430" s="4" t="s">
        <v>46</v>
      </c>
      <c r="F430" s="4" t="s">
        <v>25</v>
      </c>
      <c r="G430" s="4" t="s">
        <v>25</v>
      </c>
      <c r="H430" s="4" t="s">
        <v>25</v>
      </c>
      <c r="I430" s="5">
        <v>44652</v>
      </c>
      <c r="J430" s="6">
        <v>0</v>
      </c>
      <c r="K430" s="6">
        <v>0</v>
      </c>
      <c r="L430" s="6">
        <v>163.58500000000001</v>
      </c>
      <c r="M430" s="6">
        <v>153.76990000000001</v>
      </c>
      <c r="N430" s="6">
        <v>163.58500000000001</v>
      </c>
      <c r="O430" s="6">
        <v>153.76990000000001</v>
      </c>
      <c r="P430" s="6">
        <v>19</v>
      </c>
      <c r="Q430" s="4" t="s">
        <v>26</v>
      </c>
      <c r="R430" s="4">
        <v>0</v>
      </c>
      <c r="S430" s="4" t="s">
        <v>255</v>
      </c>
      <c r="T430" s="4" t="s">
        <v>392</v>
      </c>
      <c r="U430" s="4">
        <v>0</v>
      </c>
      <c r="V430" s="4">
        <v>46</v>
      </c>
      <c r="W430" s="4">
        <v>83</v>
      </c>
    </row>
    <row r="431" spans="1:23" ht="11.25" customHeight="1" x14ac:dyDescent="0.25">
      <c r="A431" s="4" t="s">
        <v>21</v>
      </c>
      <c r="B431" s="4" t="s">
        <v>32</v>
      </c>
      <c r="C431" s="4" t="s">
        <v>23</v>
      </c>
      <c r="D431" s="4" t="s">
        <v>45</v>
      </c>
      <c r="E431" s="4" t="s">
        <v>46</v>
      </c>
      <c r="F431" s="4" t="s">
        <v>25</v>
      </c>
      <c r="G431" s="4" t="s">
        <v>25</v>
      </c>
      <c r="H431" s="4" t="s">
        <v>25</v>
      </c>
      <c r="I431" s="5">
        <v>44682</v>
      </c>
      <c r="J431" s="6">
        <v>0</v>
      </c>
      <c r="K431" s="6">
        <v>0</v>
      </c>
      <c r="L431" s="6">
        <v>163.441</v>
      </c>
      <c r="M431" s="6">
        <v>153.63453999999999</v>
      </c>
      <c r="N431" s="6">
        <v>163.441</v>
      </c>
      <c r="O431" s="6">
        <v>153.63453999999999</v>
      </c>
      <c r="P431" s="6">
        <v>19</v>
      </c>
      <c r="Q431" s="4" t="s">
        <v>26</v>
      </c>
      <c r="R431" s="4">
        <v>0</v>
      </c>
      <c r="S431" s="4" t="s">
        <v>256</v>
      </c>
      <c r="T431" s="4" t="s">
        <v>393</v>
      </c>
      <c r="U431" s="4">
        <v>0</v>
      </c>
      <c r="V431" s="4">
        <v>46</v>
      </c>
      <c r="W431" s="4">
        <v>83</v>
      </c>
    </row>
    <row r="432" spans="1:23" ht="11.25" customHeight="1" x14ac:dyDescent="0.25">
      <c r="A432" s="4" t="s">
        <v>21</v>
      </c>
      <c r="B432" s="4" t="s">
        <v>32</v>
      </c>
      <c r="C432" s="4" t="s">
        <v>23</v>
      </c>
      <c r="D432" s="4" t="s">
        <v>45</v>
      </c>
      <c r="E432" s="4" t="s">
        <v>46</v>
      </c>
      <c r="F432" s="4" t="s">
        <v>25</v>
      </c>
      <c r="G432" s="4" t="s">
        <v>25</v>
      </c>
      <c r="H432" s="4" t="s">
        <v>25</v>
      </c>
      <c r="I432" s="5">
        <v>44713</v>
      </c>
      <c r="J432" s="6">
        <v>0</v>
      </c>
      <c r="K432" s="6">
        <v>0</v>
      </c>
      <c r="L432" s="6">
        <v>165.161</v>
      </c>
      <c r="M432" s="6">
        <v>155.25134</v>
      </c>
      <c r="N432" s="6">
        <v>165.161</v>
      </c>
      <c r="O432" s="6">
        <v>155.25134</v>
      </c>
      <c r="P432" s="6">
        <v>19</v>
      </c>
      <c r="Q432" s="4" t="s">
        <v>26</v>
      </c>
      <c r="R432" s="4">
        <v>0</v>
      </c>
      <c r="S432" s="4" t="s">
        <v>257</v>
      </c>
      <c r="T432" s="4" t="s">
        <v>394</v>
      </c>
      <c r="U432" s="4">
        <v>0</v>
      </c>
      <c r="V432" s="4">
        <v>46</v>
      </c>
      <c r="W432" s="4">
        <v>83</v>
      </c>
    </row>
    <row r="433" spans="1:23" ht="11.25" customHeight="1" x14ac:dyDescent="0.25">
      <c r="A433" s="4" t="s">
        <v>21</v>
      </c>
      <c r="B433" s="4" t="s">
        <v>42</v>
      </c>
      <c r="C433" s="4" t="s">
        <v>23</v>
      </c>
      <c r="D433" s="4" t="s">
        <v>43</v>
      </c>
      <c r="E433" s="4" t="s">
        <v>44</v>
      </c>
      <c r="F433" s="4" t="s">
        <v>25</v>
      </c>
      <c r="G433" s="4" t="s">
        <v>25</v>
      </c>
      <c r="H433" s="4" t="s">
        <v>25</v>
      </c>
      <c r="I433" s="5">
        <v>44378</v>
      </c>
      <c r="J433" s="6">
        <v>0</v>
      </c>
      <c r="K433" s="6">
        <v>0</v>
      </c>
      <c r="L433" s="6">
        <v>361.29700000000003</v>
      </c>
      <c r="M433" s="6">
        <v>361.29700000000003</v>
      </c>
      <c r="N433" s="6">
        <v>361.29700000000003</v>
      </c>
      <c r="O433" s="6">
        <v>361.29700000000003</v>
      </c>
      <c r="P433" s="6">
        <v>6</v>
      </c>
      <c r="Q433" s="4" t="s">
        <v>26</v>
      </c>
      <c r="R433" s="4">
        <v>0</v>
      </c>
      <c r="S433" s="4" t="s">
        <v>258</v>
      </c>
      <c r="T433" s="4" t="s">
        <v>395</v>
      </c>
      <c r="U433" s="4">
        <v>0</v>
      </c>
      <c r="V433" s="4">
        <v>20</v>
      </c>
      <c r="W433" s="4">
        <v>70</v>
      </c>
    </row>
    <row r="434" spans="1:23" ht="11.25" customHeight="1" x14ac:dyDescent="0.25">
      <c r="A434" s="4" t="s">
        <v>21</v>
      </c>
      <c r="B434" s="4" t="s">
        <v>42</v>
      </c>
      <c r="C434" s="4" t="s">
        <v>23</v>
      </c>
      <c r="D434" s="4" t="s">
        <v>43</v>
      </c>
      <c r="E434" s="4" t="s">
        <v>44</v>
      </c>
      <c r="F434" s="4" t="s">
        <v>25</v>
      </c>
      <c r="G434" s="4" t="s">
        <v>25</v>
      </c>
      <c r="H434" s="4" t="s">
        <v>25</v>
      </c>
      <c r="I434" s="5">
        <v>44409</v>
      </c>
      <c r="J434" s="6">
        <v>0</v>
      </c>
      <c r="K434" s="6">
        <v>0</v>
      </c>
      <c r="L434" s="6">
        <v>323.56400000000002</v>
      </c>
      <c r="M434" s="6">
        <v>323.56400000000002</v>
      </c>
      <c r="N434" s="6">
        <v>323.56400000000002</v>
      </c>
      <c r="O434" s="6">
        <v>323.56400000000002</v>
      </c>
      <c r="P434" s="6">
        <v>6</v>
      </c>
      <c r="Q434" s="4" t="s">
        <v>26</v>
      </c>
      <c r="R434" s="4">
        <v>0</v>
      </c>
      <c r="S434" s="4" t="s">
        <v>259</v>
      </c>
      <c r="T434" s="4" t="s">
        <v>396</v>
      </c>
      <c r="U434" s="4">
        <v>0</v>
      </c>
      <c r="V434" s="4">
        <v>20</v>
      </c>
      <c r="W434" s="4">
        <v>70</v>
      </c>
    </row>
    <row r="435" spans="1:23" ht="11.25" customHeight="1" x14ac:dyDescent="0.25">
      <c r="A435" s="4" t="s">
        <v>21</v>
      </c>
      <c r="B435" s="4" t="s">
        <v>42</v>
      </c>
      <c r="C435" s="4" t="s">
        <v>23</v>
      </c>
      <c r="D435" s="4" t="s">
        <v>43</v>
      </c>
      <c r="E435" s="4" t="s">
        <v>44</v>
      </c>
      <c r="F435" s="4" t="s">
        <v>25</v>
      </c>
      <c r="G435" s="4" t="s">
        <v>25</v>
      </c>
      <c r="H435" s="4" t="s">
        <v>25</v>
      </c>
      <c r="I435" s="5">
        <v>44440</v>
      </c>
      <c r="J435" s="6">
        <v>0</v>
      </c>
      <c r="K435" s="6">
        <v>0</v>
      </c>
      <c r="L435" s="6">
        <v>293.35199999999998</v>
      </c>
      <c r="M435" s="6">
        <v>293.35199999999998</v>
      </c>
      <c r="N435" s="6">
        <v>293.35199999999998</v>
      </c>
      <c r="O435" s="6">
        <v>293.35199999999998</v>
      </c>
      <c r="P435" s="6">
        <v>6</v>
      </c>
      <c r="Q435" s="4" t="s">
        <v>26</v>
      </c>
      <c r="R435" s="4">
        <v>0</v>
      </c>
      <c r="S435" s="4" t="s">
        <v>260</v>
      </c>
      <c r="T435" s="4" t="s">
        <v>397</v>
      </c>
      <c r="U435" s="4">
        <v>0</v>
      </c>
      <c r="V435" s="4">
        <v>20</v>
      </c>
      <c r="W435" s="4">
        <v>70</v>
      </c>
    </row>
    <row r="436" spans="1:23" ht="11.25" customHeight="1" x14ac:dyDescent="0.25">
      <c r="A436" s="4" t="s">
        <v>21</v>
      </c>
      <c r="B436" s="4" t="s">
        <v>42</v>
      </c>
      <c r="C436" s="4" t="s">
        <v>23</v>
      </c>
      <c r="D436" s="4" t="s">
        <v>43</v>
      </c>
      <c r="E436" s="4" t="s">
        <v>44</v>
      </c>
      <c r="F436" s="4" t="s">
        <v>25</v>
      </c>
      <c r="G436" s="4" t="s">
        <v>25</v>
      </c>
      <c r="H436" s="4" t="s">
        <v>25</v>
      </c>
      <c r="I436" s="5">
        <v>44470</v>
      </c>
      <c r="J436" s="6">
        <v>0</v>
      </c>
      <c r="K436" s="6">
        <v>0</v>
      </c>
      <c r="L436" s="6">
        <v>281.81599999999997</v>
      </c>
      <c r="M436" s="6">
        <v>281.81599999999997</v>
      </c>
      <c r="N436" s="6">
        <v>281.81599999999997</v>
      </c>
      <c r="O436" s="6">
        <v>281.81599999999997</v>
      </c>
      <c r="P436" s="6">
        <v>6</v>
      </c>
      <c r="Q436" s="4" t="s">
        <v>26</v>
      </c>
      <c r="R436" s="4">
        <v>0</v>
      </c>
      <c r="S436" s="4" t="s">
        <v>261</v>
      </c>
      <c r="T436" s="4" t="s">
        <v>398</v>
      </c>
      <c r="U436" s="4">
        <v>0</v>
      </c>
      <c r="V436" s="4">
        <v>20</v>
      </c>
      <c r="W436" s="4">
        <v>70</v>
      </c>
    </row>
    <row r="437" spans="1:23" ht="11.25" customHeight="1" x14ac:dyDescent="0.25">
      <c r="A437" s="4" t="s">
        <v>21</v>
      </c>
      <c r="B437" s="4" t="s">
        <v>42</v>
      </c>
      <c r="C437" s="4" t="s">
        <v>23</v>
      </c>
      <c r="D437" s="4" t="s">
        <v>43</v>
      </c>
      <c r="E437" s="4" t="s">
        <v>44</v>
      </c>
      <c r="F437" s="4" t="s">
        <v>25</v>
      </c>
      <c r="G437" s="4" t="s">
        <v>25</v>
      </c>
      <c r="H437" s="4" t="s">
        <v>25</v>
      </c>
      <c r="I437" s="5">
        <v>44501</v>
      </c>
      <c r="J437" s="6">
        <v>0</v>
      </c>
      <c r="K437" s="6">
        <v>0</v>
      </c>
      <c r="L437" s="6">
        <v>258.72500000000002</v>
      </c>
      <c r="M437" s="6">
        <v>258.72500000000002</v>
      </c>
      <c r="N437" s="6">
        <v>258.72500000000002</v>
      </c>
      <c r="O437" s="6">
        <v>258.72500000000002</v>
      </c>
      <c r="P437" s="6">
        <v>5</v>
      </c>
      <c r="Q437" s="4" t="s">
        <v>26</v>
      </c>
      <c r="R437" s="4">
        <v>0</v>
      </c>
      <c r="S437" s="4" t="s">
        <v>262</v>
      </c>
      <c r="T437" s="4" t="s">
        <v>399</v>
      </c>
      <c r="U437" s="4">
        <v>0</v>
      </c>
      <c r="V437" s="4">
        <v>20</v>
      </c>
      <c r="W437" s="4">
        <v>70</v>
      </c>
    </row>
    <row r="438" spans="1:23" ht="11.25" customHeight="1" x14ac:dyDescent="0.25">
      <c r="A438" s="4" t="s">
        <v>21</v>
      </c>
      <c r="B438" s="4" t="s">
        <v>42</v>
      </c>
      <c r="C438" s="4" t="s">
        <v>23</v>
      </c>
      <c r="D438" s="4" t="s">
        <v>43</v>
      </c>
      <c r="E438" s="4" t="s">
        <v>44</v>
      </c>
      <c r="F438" s="4" t="s">
        <v>25</v>
      </c>
      <c r="G438" s="4" t="s">
        <v>25</v>
      </c>
      <c r="H438" s="4" t="s">
        <v>25</v>
      </c>
      <c r="I438" s="5">
        <v>44531</v>
      </c>
      <c r="J438" s="6">
        <v>0</v>
      </c>
      <c r="K438" s="6">
        <v>0</v>
      </c>
      <c r="L438" s="6">
        <v>265.32</v>
      </c>
      <c r="M438" s="6">
        <v>265.32</v>
      </c>
      <c r="N438" s="6">
        <v>265.32</v>
      </c>
      <c r="O438" s="6">
        <v>265.32</v>
      </c>
      <c r="P438" s="6">
        <v>5</v>
      </c>
      <c r="Q438" s="4" t="s">
        <v>26</v>
      </c>
      <c r="R438" s="4">
        <v>0</v>
      </c>
      <c r="S438" s="4" t="s">
        <v>263</v>
      </c>
      <c r="T438" s="4" t="s">
        <v>400</v>
      </c>
      <c r="U438" s="4">
        <v>0</v>
      </c>
      <c r="V438" s="4">
        <v>20</v>
      </c>
      <c r="W438" s="4">
        <v>70</v>
      </c>
    </row>
    <row r="439" spans="1:23" ht="11.25" customHeight="1" x14ac:dyDescent="0.25">
      <c r="A439" s="4" t="s">
        <v>21</v>
      </c>
      <c r="B439" s="4" t="s">
        <v>42</v>
      </c>
      <c r="C439" s="4" t="s">
        <v>23</v>
      </c>
      <c r="D439" s="4" t="s">
        <v>43</v>
      </c>
      <c r="E439" s="4" t="s">
        <v>44</v>
      </c>
      <c r="F439" s="4" t="s">
        <v>25</v>
      </c>
      <c r="G439" s="4" t="s">
        <v>25</v>
      </c>
      <c r="H439" s="4" t="s">
        <v>25</v>
      </c>
      <c r="I439" s="5">
        <v>44562</v>
      </c>
      <c r="J439" s="6">
        <v>0</v>
      </c>
      <c r="K439" s="6">
        <v>0</v>
      </c>
      <c r="L439" s="6">
        <v>260.32100000000003</v>
      </c>
      <c r="M439" s="6">
        <v>260.32100000000003</v>
      </c>
      <c r="N439" s="6">
        <v>260.32100000000003</v>
      </c>
      <c r="O439" s="6">
        <v>260.32100000000003</v>
      </c>
      <c r="P439" s="6">
        <v>5</v>
      </c>
      <c r="Q439" s="4" t="s">
        <v>26</v>
      </c>
      <c r="R439" s="4">
        <v>0</v>
      </c>
      <c r="S439" s="4" t="s">
        <v>264</v>
      </c>
      <c r="T439" s="4" t="s">
        <v>401</v>
      </c>
      <c r="U439" s="4">
        <v>0</v>
      </c>
      <c r="V439" s="4">
        <v>20</v>
      </c>
      <c r="W439" s="4">
        <v>70</v>
      </c>
    </row>
    <row r="440" spans="1:23" ht="11.25" customHeight="1" x14ac:dyDescent="0.25">
      <c r="A440" s="4" t="s">
        <v>21</v>
      </c>
      <c r="B440" s="4" t="s">
        <v>42</v>
      </c>
      <c r="C440" s="4" t="s">
        <v>23</v>
      </c>
      <c r="D440" s="4" t="s">
        <v>43</v>
      </c>
      <c r="E440" s="4" t="s">
        <v>44</v>
      </c>
      <c r="F440" s="4" t="s">
        <v>25</v>
      </c>
      <c r="G440" s="4" t="s">
        <v>25</v>
      </c>
      <c r="H440" s="4" t="s">
        <v>25</v>
      </c>
      <c r="I440" s="5">
        <v>44593</v>
      </c>
      <c r="J440" s="6">
        <v>0</v>
      </c>
      <c r="K440" s="6">
        <v>0</v>
      </c>
      <c r="L440" s="6">
        <v>249.749</v>
      </c>
      <c r="M440" s="6">
        <v>249.749</v>
      </c>
      <c r="N440" s="6">
        <v>249.749</v>
      </c>
      <c r="O440" s="6">
        <v>249.749</v>
      </c>
      <c r="P440" s="6">
        <v>5</v>
      </c>
      <c r="Q440" s="4" t="s">
        <v>26</v>
      </c>
      <c r="R440" s="4">
        <v>0</v>
      </c>
      <c r="S440" s="4" t="s">
        <v>265</v>
      </c>
      <c r="T440" s="4" t="s">
        <v>402</v>
      </c>
      <c r="U440" s="4">
        <v>0</v>
      </c>
      <c r="V440" s="4">
        <v>20</v>
      </c>
      <c r="W440" s="4">
        <v>70</v>
      </c>
    </row>
    <row r="441" spans="1:23" ht="11.25" customHeight="1" x14ac:dyDescent="0.25">
      <c r="A441" s="4" t="s">
        <v>21</v>
      </c>
      <c r="B441" s="4" t="s">
        <v>42</v>
      </c>
      <c r="C441" s="4" t="s">
        <v>23</v>
      </c>
      <c r="D441" s="4" t="s">
        <v>43</v>
      </c>
      <c r="E441" s="4" t="s">
        <v>44</v>
      </c>
      <c r="F441" s="4" t="s">
        <v>25</v>
      </c>
      <c r="G441" s="4" t="s">
        <v>25</v>
      </c>
      <c r="H441" s="4" t="s">
        <v>25</v>
      </c>
      <c r="I441" s="5">
        <v>44621</v>
      </c>
      <c r="J441" s="6">
        <v>0</v>
      </c>
      <c r="K441" s="6">
        <v>0</v>
      </c>
      <c r="L441" s="6">
        <v>298.02699999999999</v>
      </c>
      <c r="M441" s="6">
        <v>298.02699999999999</v>
      </c>
      <c r="N441" s="6">
        <v>298.02699999999999</v>
      </c>
      <c r="O441" s="6">
        <v>298.02699999999999</v>
      </c>
      <c r="P441" s="6">
        <v>5</v>
      </c>
      <c r="Q441" s="4" t="s">
        <v>26</v>
      </c>
      <c r="R441" s="4">
        <v>0</v>
      </c>
      <c r="S441" s="4" t="s">
        <v>266</v>
      </c>
      <c r="T441" s="4" t="s">
        <v>403</v>
      </c>
      <c r="U441" s="4">
        <v>0</v>
      </c>
      <c r="V441" s="4">
        <v>20</v>
      </c>
      <c r="W441" s="4">
        <v>70</v>
      </c>
    </row>
    <row r="442" spans="1:23" ht="11.25" customHeight="1" x14ac:dyDescent="0.25">
      <c r="A442" s="4" t="s">
        <v>21</v>
      </c>
      <c r="B442" s="4" t="s">
        <v>42</v>
      </c>
      <c r="C442" s="4" t="s">
        <v>23</v>
      </c>
      <c r="D442" s="4" t="s">
        <v>43</v>
      </c>
      <c r="E442" s="4" t="s">
        <v>44</v>
      </c>
      <c r="F442" s="4" t="s">
        <v>25</v>
      </c>
      <c r="G442" s="4" t="s">
        <v>25</v>
      </c>
      <c r="H442" s="4" t="s">
        <v>25</v>
      </c>
      <c r="I442" s="5">
        <v>44652</v>
      </c>
      <c r="J442" s="6">
        <v>0</v>
      </c>
      <c r="K442" s="6">
        <v>0</v>
      </c>
      <c r="L442" s="6">
        <v>310.37</v>
      </c>
      <c r="M442" s="6">
        <v>310.37</v>
      </c>
      <c r="N442" s="6">
        <v>310.37</v>
      </c>
      <c r="O442" s="6">
        <v>310.37</v>
      </c>
      <c r="P442" s="6">
        <v>5</v>
      </c>
      <c r="Q442" s="4" t="s">
        <v>26</v>
      </c>
      <c r="R442" s="4">
        <v>0</v>
      </c>
      <c r="S442" s="4" t="s">
        <v>267</v>
      </c>
      <c r="T442" s="4" t="s">
        <v>404</v>
      </c>
      <c r="U442" s="4">
        <v>0</v>
      </c>
      <c r="V442" s="4">
        <v>20</v>
      </c>
      <c r="W442" s="4">
        <v>70</v>
      </c>
    </row>
    <row r="443" spans="1:23" ht="11.25" customHeight="1" x14ac:dyDescent="0.25">
      <c r="A443" s="4" t="s">
        <v>21</v>
      </c>
      <c r="B443" s="4" t="s">
        <v>42</v>
      </c>
      <c r="C443" s="4" t="s">
        <v>23</v>
      </c>
      <c r="D443" s="4" t="s">
        <v>43</v>
      </c>
      <c r="E443" s="4" t="s">
        <v>44</v>
      </c>
      <c r="F443" s="4" t="s">
        <v>25</v>
      </c>
      <c r="G443" s="4" t="s">
        <v>25</v>
      </c>
      <c r="H443" s="4" t="s">
        <v>25</v>
      </c>
      <c r="I443" s="5">
        <v>44682</v>
      </c>
      <c r="J443" s="6">
        <v>0</v>
      </c>
      <c r="K443" s="6">
        <v>0</v>
      </c>
      <c r="L443" s="6">
        <v>338.00400000000002</v>
      </c>
      <c r="M443" s="6">
        <v>338.00400000000002</v>
      </c>
      <c r="N443" s="6">
        <v>338.00400000000002</v>
      </c>
      <c r="O443" s="6">
        <v>338.00400000000002</v>
      </c>
      <c r="P443" s="6">
        <v>5</v>
      </c>
      <c r="Q443" s="4" t="s">
        <v>26</v>
      </c>
      <c r="R443" s="4">
        <v>0</v>
      </c>
      <c r="S443" s="4" t="s">
        <v>268</v>
      </c>
      <c r="T443" s="4" t="s">
        <v>405</v>
      </c>
      <c r="U443" s="4">
        <v>0</v>
      </c>
      <c r="V443" s="4">
        <v>20</v>
      </c>
      <c r="W443" s="4">
        <v>70</v>
      </c>
    </row>
    <row r="444" spans="1:23" ht="11.25" customHeight="1" x14ac:dyDescent="0.25">
      <c r="A444" s="4" t="s">
        <v>21</v>
      </c>
      <c r="B444" s="4" t="s">
        <v>42</v>
      </c>
      <c r="C444" s="4" t="s">
        <v>23</v>
      </c>
      <c r="D444" s="4" t="s">
        <v>43</v>
      </c>
      <c r="E444" s="4" t="s">
        <v>44</v>
      </c>
      <c r="F444" s="4" t="s">
        <v>25</v>
      </c>
      <c r="G444" s="4" t="s">
        <v>25</v>
      </c>
      <c r="H444" s="4" t="s">
        <v>25</v>
      </c>
      <c r="I444" s="5">
        <v>44713</v>
      </c>
      <c r="J444" s="6">
        <v>0</v>
      </c>
      <c r="K444" s="6">
        <v>0</v>
      </c>
      <c r="L444" s="6">
        <v>335.22500000000002</v>
      </c>
      <c r="M444" s="6">
        <v>335.22500000000002</v>
      </c>
      <c r="N444" s="6">
        <v>335.22500000000002</v>
      </c>
      <c r="O444" s="6">
        <v>335.22500000000002</v>
      </c>
      <c r="P444" s="6">
        <v>5</v>
      </c>
      <c r="Q444" s="4" t="s">
        <v>26</v>
      </c>
      <c r="R444" s="4">
        <v>0</v>
      </c>
      <c r="S444" s="4" t="s">
        <v>269</v>
      </c>
      <c r="T444" s="4" t="s">
        <v>406</v>
      </c>
      <c r="U444" s="4">
        <v>0</v>
      </c>
      <c r="V444" s="4">
        <v>20</v>
      </c>
      <c r="W444" s="4">
        <v>70</v>
      </c>
    </row>
  </sheetData>
  <sortState xmlns:xlrd2="http://schemas.microsoft.com/office/spreadsheetml/2017/richdata2" ref="A2:W444">
    <sortCondition ref="B2:B444"/>
    <sortCondition ref="C2:C444"/>
    <sortCondition ref="D2:D444"/>
    <sortCondition ref="E2:E444"/>
    <sortCondition ref="F2:F444"/>
    <sortCondition ref="H2:H444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2A231-DA15-4B1E-9CE4-1B1FD65DA637}">
  <dimension ref="A1:H64"/>
  <sheetViews>
    <sheetView showGridLines="0" workbookViewId="0">
      <selection activeCell="H1" sqref="H1"/>
    </sheetView>
  </sheetViews>
  <sheetFormatPr defaultRowHeight="11.25" customHeight="1" x14ac:dyDescent="0.25"/>
  <cols>
    <col min="1" max="1" width="12.140625" style="8" bestFit="1" customWidth="1"/>
    <col min="2" max="2" width="15.85546875" style="8" bestFit="1" customWidth="1"/>
    <col min="3" max="3" width="4.7109375" style="8" bestFit="1" customWidth="1"/>
    <col min="4" max="4" width="6.42578125" style="8" bestFit="1" customWidth="1"/>
    <col min="5" max="5" width="8.42578125" style="8" bestFit="1" customWidth="1"/>
    <col min="6" max="6" width="9.140625" style="8"/>
    <col min="7" max="7" width="18.5703125" style="8" bestFit="1" customWidth="1"/>
    <col min="8" max="8" width="2" style="8" bestFit="1" customWidth="1"/>
    <col min="9" max="16384" width="9.140625" style="8"/>
  </cols>
  <sheetData>
    <row r="1" spans="1:8" s="7" customFormat="1" ht="11.25" customHeight="1" x14ac:dyDescent="0.25">
      <c r="A1" s="7" t="s">
        <v>54</v>
      </c>
      <c r="B1" s="7" t="s">
        <v>55</v>
      </c>
      <c r="C1" s="7" t="s">
        <v>56</v>
      </c>
      <c r="D1" s="7" t="s">
        <v>57</v>
      </c>
      <c r="E1" s="7" t="s">
        <v>58</v>
      </c>
      <c r="G1" s="7" t="s">
        <v>59</v>
      </c>
      <c r="H1" s="7">
        <f>COUNTA(A:A)</f>
        <v>64</v>
      </c>
    </row>
    <row r="2" spans="1:8" ht="11.25" customHeight="1" x14ac:dyDescent="0.25">
      <c r="A2" s="8" t="s">
        <v>283</v>
      </c>
      <c r="B2" s="8" t="s">
        <v>284</v>
      </c>
      <c r="C2" s="8" t="s">
        <v>285</v>
      </c>
      <c r="D2" s="8">
        <v>62</v>
      </c>
      <c r="E2" s="8" t="s">
        <v>286</v>
      </c>
    </row>
    <row r="3" spans="1:8" ht="11.25" customHeight="1" x14ac:dyDescent="0.25">
      <c r="A3" s="8" t="s">
        <v>283</v>
      </c>
      <c r="B3" s="8" t="s">
        <v>284</v>
      </c>
      <c r="C3" s="8" t="s">
        <v>285</v>
      </c>
      <c r="D3" s="8">
        <v>63</v>
      </c>
      <c r="E3" s="8" t="s">
        <v>286</v>
      </c>
    </row>
    <row r="4" spans="1:8" ht="11.25" customHeight="1" x14ac:dyDescent="0.25">
      <c r="A4" s="8" t="s">
        <v>283</v>
      </c>
      <c r="B4" s="8" t="s">
        <v>284</v>
      </c>
      <c r="C4" s="8" t="s">
        <v>285</v>
      </c>
      <c r="D4" s="8">
        <v>64</v>
      </c>
      <c r="E4" s="8" t="s">
        <v>286</v>
      </c>
    </row>
    <row r="5" spans="1:8" ht="11.25" customHeight="1" x14ac:dyDescent="0.25">
      <c r="A5" s="8" t="s">
        <v>283</v>
      </c>
      <c r="B5" s="8" t="s">
        <v>284</v>
      </c>
      <c r="C5" s="8" t="s">
        <v>285</v>
      </c>
      <c r="D5" s="8">
        <v>65</v>
      </c>
      <c r="E5" s="8" t="s">
        <v>286</v>
      </c>
    </row>
    <row r="6" spans="1:8" ht="11.25" customHeight="1" x14ac:dyDescent="0.25">
      <c r="A6" s="8" t="s">
        <v>283</v>
      </c>
      <c r="B6" s="8" t="s">
        <v>284</v>
      </c>
      <c r="C6" s="8" t="s">
        <v>285</v>
      </c>
      <c r="D6" s="8">
        <v>66</v>
      </c>
      <c r="E6" s="8" t="s">
        <v>286</v>
      </c>
    </row>
    <row r="7" spans="1:8" ht="11.25" customHeight="1" x14ac:dyDescent="0.25">
      <c r="A7" s="8" t="s">
        <v>283</v>
      </c>
      <c r="B7" s="8" t="s">
        <v>284</v>
      </c>
      <c r="C7" s="8" t="s">
        <v>285</v>
      </c>
      <c r="D7" s="8">
        <v>67</v>
      </c>
      <c r="E7" s="8" t="s">
        <v>286</v>
      </c>
    </row>
    <row r="8" spans="1:8" ht="11.25" customHeight="1" x14ac:dyDescent="0.25">
      <c r="A8" s="8" t="s">
        <v>283</v>
      </c>
      <c r="B8" s="8" t="s">
        <v>284</v>
      </c>
      <c r="C8" s="8" t="s">
        <v>285</v>
      </c>
      <c r="D8" s="8">
        <v>68</v>
      </c>
      <c r="E8" s="8" t="s">
        <v>286</v>
      </c>
    </row>
    <row r="9" spans="1:8" ht="11.25" customHeight="1" x14ac:dyDescent="0.25">
      <c r="A9" s="8" t="s">
        <v>283</v>
      </c>
      <c r="B9" s="8" t="s">
        <v>284</v>
      </c>
      <c r="C9" s="8" t="s">
        <v>285</v>
      </c>
      <c r="D9" s="8">
        <v>69</v>
      </c>
      <c r="E9" s="8" t="s">
        <v>286</v>
      </c>
    </row>
    <row r="10" spans="1:8" ht="11.25" customHeight="1" x14ac:dyDescent="0.25">
      <c r="A10" s="8" t="s">
        <v>283</v>
      </c>
      <c r="B10" s="8" t="s">
        <v>284</v>
      </c>
      <c r="C10" s="8" t="s">
        <v>285</v>
      </c>
      <c r="D10" s="8">
        <v>70</v>
      </c>
      <c r="E10" s="8" t="s">
        <v>286</v>
      </c>
    </row>
    <row r="11" spans="1:8" ht="11.25" customHeight="1" x14ac:dyDescent="0.25">
      <c r="A11" s="8" t="s">
        <v>283</v>
      </c>
      <c r="B11" s="8" t="s">
        <v>284</v>
      </c>
      <c r="C11" s="8" t="s">
        <v>285</v>
      </c>
      <c r="D11" s="8">
        <v>71</v>
      </c>
      <c r="E11" s="8" t="s">
        <v>286</v>
      </c>
    </row>
    <row r="12" spans="1:8" ht="11.25" customHeight="1" x14ac:dyDescent="0.25">
      <c r="A12" s="8" t="s">
        <v>283</v>
      </c>
      <c r="B12" s="8" t="s">
        <v>284</v>
      </c>
      <c r="C12" s="8" t="s">
        <v>285</v>
      </c>
      <c r="D12" s="8">
        <v>72</v>
      </c>
      <c r="E12" s="8" t="s">
        <v>286</v>
      </c>
    </row>
    <row r="13" spans="1:8" ht="11.25" customHeight="1" x14ac:dyDescent="0.25">
      <c r="A13" s="8" t="s">
        <v>283</v>
      </c>
      <c r="B13" s="8" t="s">
        <v>284</v>
      </c>
      <c r="C13" s="8" t="s">
        <v>285</v>
      </c>
      <c r="D13" s="8">
        <v>73</v>
      </c>
      <c r="E13" s="8" t="s">
        <v>286</v>
      </c>
    </row>
    <row r="14" spans="1:8" ht="11.25" customHeight="1" x14ac:dyDescent="0.25">
      <c r="A14" s="8" t="s">
        <v>283</v>
      </c>
      <c r="B14" s="8" t="s">
        <v>284</v>
      </c>
      <c r="C14" s="8" t="s">
        <v>285</v>
      </c>
      <c r="D14" s="8">
        <v>74</v>
      </c>
      <c r="E14" s="8" t="s">
        <v>286</v>
      </c>
    </row>
    <row r="15" spans="1:8" ht="11.25" customHeight="1" x14ac:dyDescent="0.25">
      <c r="A15" s="8" t="s">
        <v>283</v>
      </c>
      <c r="B15" s="8" t="s">
        <v>284</v>
      </c>
      <c r="C15" s="8" t="s">
        <v>285</v>
      </c>
      <c r="D15" s="8">
        <v>75</v>
      </c>
      <c r="E15" s="8" t="s">
        <v>286</v>
      </c>
    </row>
    <row r="16" spans="1:8" ht="11.25" customHeight="1" x14ac:dyDescent="0.25">
      <c r="A16" s="8" t="s">
        <v>283</v>
      </c>
      <c r="B16" s="8" t="s">
        <v>284</v>
      </c>
      <c r="C16" s="8" t="s">
        <v>285</v>
      </c>
      <c r="D16" s="8">
        <v>76</v>
      </c>
      <c r="E16" s="8" t="s">
        <v>286</v>
      </c>
    </row>
    <row r="17" spans="1:5" ht="11.25" customHeight="1" x14ac:dyDescent="0.25">
      <c r="A17" s="8" t="s">
        <v>283</v>
      </c>
      <c r="B17" s="8" t="s">
        <v>284</v>
      </c>
      <c r="C17" s="8" t="s">
        <v>285</v>
      </c>
      <c r="D17" s="8">
        <v>77</v>
      </c>
      <c r="E17" s="8" t="s">
        <v>286</v>
      </c>
    </row>
    <row r="18" spans="1:5" ht="11.25" customHeight="1" x14ac:dyDescent="0.25">
      <c r="A18" s="8" t="s">
        <v>283</v>
      </c>
      <c r="B18" s="8" t="s">
        <v>284</v>
      </c>
      <c r="C18" s="8" t="s">
        <v>285</v>
      </c>
      <c r="D18" s="8">
        <v>78</v>
      </c>
      <c r="E18" s="8" t="s">
        <v>286</v>
      </c>
    </row>
    <row r="19" spans="1:5" ht="11.25" customHeight="1" x14ac:dyDescent="0.25">
      <c r="A19" s="8" t="s">
        <v>283</v>
      </c>
      <c r="B19" s="8" t="s">
        <v>284</v>
      </c>
      <c r="C19" s="8" t="s">
        <v>285</v>
      </c>
      <c r="D19" s="8">
        <v>79</v>
      </c>
      <c r="E19" s="8" t="s">
        <v>286</v>
      </c>
    </row>
    <row r="20" spans="1:5" ht="11.25" customHeight="1" x14ac:dyDescent="0.25">
      <c r="A20" s="8" t="s">
        <v>283</v>
      </c>
      <c r="B20" s="8" t="s">
        <v>284</v>
      </c>
      <c r="C20" s="8" t="s">
        <v>285</v>
      </c>
      <c r="D20" s="8">
        <v>80</v>
      </c>
      <c r="E20" s="8" t="s">
        <v>286</v>
      </c>
    </row>
    <row r="21" spans="1:5" ht="11.25" customHeight="1" x14ac:dyDescent="0.25">
      <c r="A21" s="8" t="s">
        <v>283</v>
      </c>
      <c r="B21" s="8" t="s">
        <v>284</v>
      </c>
      <c r="C21" s="8" t="s">
        <v>285</v>
      </c>
      <c r="D21" s="8">
        <v>81</v>
      </c>
      <c r="E21" s="8" t="s">
        <v>286</v>
      </c>
    </row>
    <row r="22" spans="1:5" ht="11.25" customHeight="1" x14ac:dyDescent="0.25">
      <c r="A22" s="8" t="s">
        <v>283</v>
      </c>
      <c r="B22" s="8" t="s">
        <v>284</v>
      </c>
      <c r="C22" s="8" t="s">
        <v>285</v>
      </c>
      <c r="D22" s="8">
        <v>82</v>
      </c>
      <c r="E22" s="8" t="s">
        <v>286</v>
      </c>
    </row>
    <row r="23" spans="1:5" ht="11.25" customHeight="1" x14ac:dyDescent="0.25">
      <c r="A23" s="8" t="s">
        <v>283</v>
      </c>
      <c r="B23" s="8" t="s">
        <v>284</v>
      </c>
      <c r="C23" s="8" t="s">
        <v>285</v>
      </c>
      <c r="D23" s="8">
        <v>83</v>
      </c>
      <c r="E23" s="8" t="s">
        <v>286</v>
      </c>
    </row>
    <row r="24" spans="1:5" ht="11.25" customHeight="1" x14ac:dyDescent="0.25">
      <c r="A24" s="8" t="s">
        <v>283</v>
      </c>
      <c r="B24" s="8" t="s">
        <v>284</v>
      </c>
      <c r="C24" s="8" t="s">
        <v>285</v>
      </c>
      <c r="D24" s="8">
        <v>84</v>
      </c>
      <c r="E24" s="8" t="s">
        <v>286</v>
      </c>
    </row>
    <row r="25" spans="1:5" ht="11.25" customHeight="1" x14ac:dyDescent="0.25">
      <c r="A25" s="8" t="s">
        <v>283</v>
      </c>
      <c r="B25" s="8" t="s">
        <v>284</v>
      </c>
      <c r="C25" s="8" t="s">
        <v>285</v>
      </c>
      <c r="D25" s="8">
        <v>85</v>
      </c>
      <c r="E25" s="8" t="s">
        <v>286</v>
      </c>
    </row>
    <row r="26" spans="1:5" ht="11.25" customHeight="1" x14ac:dyDescent="0.25">
      <c r="A26" s="8" t="s">
        <v>283</v>
      </c>
      <c r="B26" s="8" t="s">
        <v>284</v>
      </c>
      <c r="C26" s="8" t="s">
        <v>285</v>
      </c>
      <c r="D26" s="8">
        <v>158</v>
      </c>
      <c r="E26" s="8" t="s">
        <v>286</v>
      </c>
    </row>
    <row r="27" spans="1:5" ht="11.25" customHeight="1" x14ac:dyDescent="0.25">
      <c r="A27" s="8" t="s">
        <v>283</v>
      </c>
      <c r="B27" s="8" t="s">
        <v>284</v>
      </c>
      <c r="C27" s="8" t="s">
        <v>285</v>
      </c>
      <c r="D27" s="8">
        <v>159</v>
      </c>
      <c r="E27" s="8" t="s">
        <v>286</v>
      </c>
    </row>
    <row r="28" spans="1:5" ht="11.25" customHeight="1" x14ac:dyDescent="0.25">
      <c r="A28" s="8" t="s">
        <v>283</v>
      </c>
      <c r="B28" s="8" t="s">
        <v>284</v>
      </c>
      <c r="C28" s="8" t="s">
        <v>285</v>
      </c>
      <c r="D28" s="8">
        <v>160</v>
      </c>
      <c r="E28" s="8" t="s">
        <v>286</v>
      </c>
    </row>
    <row r="29" spans="1:5" ht="11.25" customHeight="1" x14ac:dyDescent="0.25">
      <c r="A29" s="8" t="s">
        <v>283</v>
      </c>
      <c r="B29" s="8" t="s">
        <v>284</v>
      </c>
      <c r="C29" s="8" t="s">
        <v>285</v>
      </c>
      <c r="D29" s="8">
        <v>161</v>
      </c>
      <c r="E29" s="8" t="s">
        <v>286</v>
      </c>
    </row>
    <row r="30" spans="1:5" ht="11.25" customHeight="1" x14ac:dyDescent="0.25">
      <c r="A30" s="8" t="s">
        <v>283</v>
      </c>
      <c r="B30" s="8" t="s">
        <v>284</v>
      </c>
      <c r="C30" s="8" t="s">
        <v>285</v>
      </c>
      <c r="D30" s="8">
        <v>162</v>
      </c>
      <c r="E30" s="8" t="s">
        <v>286</v>
      </c>
    </row>
    <row r="31" spans="1:5" ht="11.25" customHeight="1" x14ac:dyDescent="0.25">
      <c r="A31" s="8" t="s">
        <v>283</v>
      </c>
      <c r="B31" s="8" t="s">
        <v>284</v>
      </c>
      <c r="C31" s="8" t="s">
        <v>285</v>
      </c>
      <c r="D31" s="8">
        <v>163</v>
      </c>
      <c r="E31" s="8" t="s">
        <v>286</v>
      </c>
    </row>
    <row r="32" spans="1:5" ht="11.25" customHeight="1" x14ac:dyDescent="0.25">
      <c r="A32" s="8" t="s">
        <v>283</v>
      </c>
      <c r="B32" s="8" t="s">
        <v>284</v>
      </c>
      <c r="C32" s="8" t="s">
        <v>285</v>
      </c>
      <c r="D32" s="8">
        <v>164</v>
      </c>
      <c r="E32" s="8" t="s">
        <v>286</v>
      </c>
    </row>
    <row r="33" spans="1:5" ht="11.25" customHeight="1" x14ac:dyDescent="0.25">
      <c r="A33" s="8" t="s">
        <v>283</v>
      </c>
      <c r="B33" s="8" t="s">
        <v>284</v>
      </c>
      <c r="C33" s="8" t="s">
        <v>285</v>
      </c>
      <c r="D33" s="8">
        <v>165</v>
      </c>
      <c r="E33" s="8" t="s">
        <v>286</v>
      </c>
    </row>
    <row r="34" spans="1:5" ht="11.25" customHeight="1" x14ac:dyDescent="0.25">
      <c r="A34" s="8" t="s">
        <v>283</v>
      </c>
      <c r="B34" s="8" t="s">
        <v>284</v>
      </c>
      <c r="C34" s="8" t="s">
        <v>285</v>
      </c>
      <c r="D34" s="8">
        <v>166</v>
      </c>
      <c r="E34" s="8" t="s">
        <v>286</v>
      </c>
    </row>
    <row r="35" spans="1:5" ht="11.25" customHeight="1" x14ac:dyDescent="0.25">
      <c r="A35" s="8" t="s">
        <v>283</v>
      </c>
      <c r="B35" s="8" t="s">
        <v>284</v>
      </c>
      <c r="C35" s="8" t="s">
        <v>285</v>
      </c>
      <c r="D35" s="8">
        <v>167</v>
      </c>
      <c r="E35" s="8" t="s">
        <v>286</v>
      </c>
    </row>
    <row r="36" spans="1:5" ht="11.25" customHeight="1" x14ac:dyDescent="0.25">
      <c r="A36" s="8" t="s">
        <v>283</v>
      </c>
      <c r="B36" s="8" t="s">
        <v>284</v>
      </c>
      <c r="C36" s="8" t="s">
        <v>285</v>
      </c>
      <c r="D36" s="8">
        <v>168</v>
      </c>
      <c r="E36" s="8" t="s">
        <v>286</v>
      </c>
    </row>
    <row r="37" spans="1:5" ht="11.25" customHeight="1" x14ac:dyDescent="0.25">
      <c r="A37" s="8" t="s">
        <v>283</v>
      </c>
      <c r="B37" s="8" t="s">
        <v>284</v>
      </c>
      <c r="C37" s="8" t="s">
        <v>285</v>
      </c>
      <c r="D37" s="8">
        <v>169</v>
      </c>
      <c r="E37" s="8" t="s">
        <v>286</v>
      </c>
    </row>
    <row r="38" spans="1:5" ht="11.25" customHeight="1" x14ac:dyDescent="0.25">
      <c r="A38" s="8" t="s">
        <v>283</v>
      </c>
      <c r="B38" s="8" t="s">
        <v>284</v>
      </c>
      <c r="C38" s="8" t="s">
        <v>285</v>
      </c>
      <c r="D38" s="8">
        <v>194</v>
      </c>
      <c r="E38" s="8" t="s">
        <v>286</v>
      </c>
    </row>
    <row r="39" spans="1:5" ht="11.25" customHeight="1" x14ac:dyDescent="0.25">
      <c r="A39" s="8" t="s">
        <v>283</v>
      </c>
      <c r="B39" s="8" t="s">
        <v>284</v>
      </c>
      <c r="C39" s="8" t="s">
        <v>285</v>
      </c>
      <c r="D39" s="8">
        <v>195</v>
      </c>
      <c r="E39" s="8" t="s">
        <v>286</v>
      </c>
    </row>
    <row r="40" spans="1:5" ht="11.25" customHeight="1" x14ac:dyDescent="0.25">
      <c r="A40" s="8" t="s">
        <v>283</v>
      </c>
      <c r="B40" s="8" t="s">
        <v>284</v>
      </c>
      <c r="C40" s="8" t="s">
        <v>285</v>
      </c>
      <c r="D40" s="8">
        <v>196</v>
      </c>
      <c r="E40" s="8" t="s">
        <v>286</v>
      </c>
    </row>
    <row r="41" spans="1:5" ht="11.25" customHeight="1" x14ac:dyDescent="0.25">
      <c r="A41" s="8" t="s">
        <v>283</v>
      </c>
      <c r="B41" s="8" t="s">
        <v>284</v>
      </c>
      <c r="C41" s="8" t="s">
        <v>285</v>
      </c>
      <c r="D41" s="8">
        <v>197</v>
      </c>
      <c r="E41" s="8" t="s">
        <v>286</v>
      </c>
    </row>
    <row r="42" spans="1:5" ht="11.25" customHeight="1" x14ac:dyDescent="0.25">
      <c r="A42" s="8" t="s">
        <v>283</v>
      </c>
      <c r="B42" s="8" t="s">
        <v>284</v>
      </c>
      <c r="C42" s="8" t="s">
        <v>285</v>
      </c>
      <c r="D42" s="8">
        <v>198</v>
      </c>
      <c r="E42" s="8" t="s">
        <v>286</v>
      </c>
    </row>
    <row r="43" spans="1:5" ht="11.25" customHeight="1" x14ac:dyDescent="0.25">
      <c r="A43" s="8" t="s">
        <v>283</v>
      </c>
      <c r="B43" s="8" t="s">
        <v>284</v>
      </c>
      <c r="C43" s="8" t="s">
        <v>285</v>
      </c>
      <c r="D43" s="8">
        <v>199</v>
      </c>
      <c r="E43" s="8" t="s">
        <v>286</v>
      </c>
    </row>
    <row r="44" spans="1:5" ht="11.25" customHeight="1" x14ac:dyDescent="0.25">
      <c r="A44" s="8" t="s">
        <v>283</v>
      </c>
      <c r="B44" s="8" t="s">
        <v>284</v>
      </c>
      <c r="C44" s="8" t="s">
        <v>285</v>
      </c>
      <c r="D44" s="8">
        <v>200</v>
      </c>
      <c r="E44" s="8" t="s">
        <v>286</v>
      </c>
    </row>
    <row r="45" spans="1:5" ht="11.25" customHeight="1" x14ac:dyDescent="0.25">
      <c r="A45" s="8" t="s">
        <v>283</v>
      </c>
      <c r="B45" s="8" t="s">
        <v>284</v>
      </c>
      <c r="C45" s="8" t="s">
        <v>285</v>
      </c>
      <c r="D45" s="8">
        <v>201</v>
      </c>
      <c r="E45" s="8" t="s">
        <v>286</v>
      </c>
    </row>
    <row r="46" spans="1:5" ht="11.25" customHeight="1" x14ac:dyDescent="0.25">
      <c r="A46" s="8" t="s">
        <v>283</v>
      </c>
      <c r="B46" s="8" t="s">
        <v>284</v>
      </c>
      <c r="C46" s="8" t="s">
        <v>285</v>
      </c>
      <c r="D46" s="8">
        <v>202</v>
      </c>
      <c r="E46" s="8" t="s">
        <v>286</v>
      </c>
    </row>
    <row r="47" spans="1:5" ht="11.25" customHeight="1" x14ac:dyDescent="0.25">
      <c r="A47" s="8" t="s">
        <v>283</v>
      </c>
      <c r="B47" s="8" t="s">
        <v>284</v>
      </c>
      <c r="C47" s="8" t="s">
        <v>285</v>
      </c>
      <c r="D47" s="8">
        <v>203</v>
      </c>
      <c r="E47" s="8" t="s">
        <v>286</v>
      </c>
    </row>
    <row r="48" spans="1:5" ht="11.25" customHeight="1" x14ac:dyDescent="0.25">
      <c r="A48" s="8" t="s">
        <v>283</v>
      </c>
      <c r="B48" s="8" t="s">
        <v>284</v>
      </c>
      <c r="C48" s="8" t="s">
        <v>285</v>
      </c>
      <c r="D48" s="8">
        <v>204</v>
      </c>
      <c r="E48" s="8" t="s">
        <v>286</v>
      </c>
    </row>
    <row r="49" spans="1:5" ht="11.25" customHeight="1" x14ac:dyDescent="0.25">
      <c r="A49" s="8" t="s">
        <v>283</v>
      </c>
      <c r="B49" s="8" t="s">
        <v>284</v>
      </c>
      <c r="C49" s="8" t="s">
        <v>285</v>
      </c>
      <c r="D49" s="8">
        <v>205</v>
      </c>
      <c r="E49" s="8" t="s">
        <v>286</v>
      </c>
    </row>
    <row r="50" spans="1:5" ht="11.25" customHeight="1" x14ac:dyDescent="0.25">
      <c r="A50" s="8" t="s">
        <v>283</v>
      </c>
      <c r="B50" s="8" t="s">
        <v>284</v>
      </c>
      <c r="C50" s="8" t="s">
        <v>285</v>
      </c>
      <c r="D50" s="8">
        <v>221</v>
      </c>
      <c r="E50" s="8" t="s">
        <v>286</v>
      </c>
    </row>
    <row r="51" spans="1:5" ht="11.25" customHeight="1" x14ac:dyDescent="0.25">
      <c r="A51" s="8" t="s">
        <v>283</v>
      </c>
      <c r="B51" s="8" t="s">
        <v>284</v>
      </c>
      <c r="C51" s="8" t="s">
        <v>285</v>
      </c>
      <c r="D51" s="8">
        <v>222</v>
      </c>
      <c r="E51" s="8" t="s">
        <v>286</v>
      </c>
    </row>
    <row r="52" spans="1:5" ht="11.25" customHeight="1" x14ac:dyDescent="0.25">
      <c r="A52" s="8" t="s">
        <v>283</v>
      </c>
      <c r="B52" s="8" t="s">
        <v>284</v>
      </c>
      <c r="C52" s="8" t="s">
        <v>285</v>
      </c>
      <c r="D52" s="8">
        <v>223</v>
      </c>
      <c r="E52" s="8" t="s">
        <v>286</v>
      </c>
    </row>
    <row r="53" spans="1:5" ht="11.25" customHeight="1" x14ac:dyDescent="0.25">
      <c r="A53" s="8" t="s">
        <v>283</v>
      </c>
      <c r="B53" s="8" t="s">
        <v>284</v>
      </c>
      <c r="C53" s="8" t="s">
        <v>285</v>
      </c>
      <c r="D53" s="8">
        <v>224</v>
      </c>
      <c r="E53" s="8" t="s">
        <v>286</v>
      </c>
    </row>
    <row r="54" spans="1:5" ht="11.25" customHeight="1" x14ac:dyDescent="0.25">
      <c r="A54" s="8" t="s">
        <v>283</v>
      </c>
      <c r="B54" s="8" t="s">
        <v>284</v>
      </c>
      <c r="C54" s="8" t="s">
        <v>285</v>
      </c>
      <c r="D54" s="8">
        <v>225</v>
      </c>
      <c r="E54" s="8" t="s">
        <v>286</v>
      </c>
    </row>
    <row r="55" spans="1:5" ht="11.25" customHeight="1" x14ac:dyDescent="0.25">
      <c r="A55" s="8" t="s">
        <v>283</v>
      </c>
      <c r="B55" s="8" t="s">
        <v>284</v>
      </c>
      <c r="C55" s="8" t="s">
        <v>285</v>
      </c>
      <c r="D55" s="8">
        <v>226</v>
      </c>
      <c r="E55" s="8" t="s">
        <v>286</v>
      </c>
    </row>
    <row r="56" spans="1:5" ht="11.25" customHeight="1" x14ac:dyDescent="0.25">
      <c r="A56" s="8" t="s">
        <v>283</v>
      </c>
      <c r="B56" s="8" t="s">
        <v>284</v>
      </c>
      <c r="C56" s="8" t="s">
        <v>285</v>
      </c>
      <c r="D56" s="8">
        <v>227</v>
      </c>
      <c r="E56" s="8" t="s">
        <v>286</v>
      </c>
    </row>
    <row r="57" spans="1:5" ht="11.25" customHeight="1" x14ac:dyDescent="0.25">
      <c r="A57" s="8" t="s">
        <v>283</v>
      </c>
      <c r="B57" s="8" t="s">
        <v>284</v>
      </c>
      <c r="C57" s="8" t="s">
        <v>285</v>
      </c>
      <c r="D57" s="8">
        <v>228</v>
      </c>
      <c r="E57" s="8" t="s">
        <v>286</v>
      </c>
    </row>
    <row r="58" spans="1:5" ht="11.25" customHeight="1" x14ac:dyDescent="0.25">
      <c r="A58" s="8" t="s">
        <v>283</v>
      </c>
      <c r="B58" s="8" t="s">
        <v>284</v>
      </c>
      <c r="C58" s="8" t="s">
        <v>285</v>
      </c>
      <c r="D58" s="8">
        <v>229</v>
      </c>
      <c r="E58" s="8" t="s">
        <v>286</v>
      </c>
    </row>
    <row r="59" spans="1:5" ht="11.25" customHeight="1" x14ac:dyDescent="0.25">
      <c r="A59" s="8" t="s">
        <v>283</v>
      </c>
      <c r="B59" s="8" t="s">
        <v>284</v>
      </c>
      <c r="C59" s="8" t="s">
        <v>285</v>
      </c>
      <c r="D59" s="8">
        <v>230</v>
      </c>
      <c r="E59" s="8" t="s">
        <v>286</v>
      </c>
    </row>
    <row r="60" spans="1:5" ht="11.25" customHeight="1" x14ac:dyDescent="0.25">
      <c r="A60" s="8" t="s">
        <v>283</v>
      </c>
      <c r="B60" s="8" t="s">
        <v>284</v>
      </c>
      <c r="C60" s="8" t="s">
        <v>285</v>
      </c>
      <c r="D60" s="8">
        <v>231</v>
      </c>
      <c r="E60" s="8" t="s">
        <v>286</v>
      </c>
    </row>
    <row r="61" spans="1:5" ht="11.25" customHeight="1" x14ac:dyDescent="0.25">
      <c r="A61" s="8" t="s">
        <v>283</v>
      </c>
      <c r="B61" s="8" t="s">
        <v>284</v>
      </c>
      <c r="C61" s="8" t="s">
        <v>285</v>
      </c>
      <c r="D61" s="8">
        <v>232</v>
      </c>
      <c r="E61" s="8" t="s">
        <v>286</v>
      </c>
    </row>
    <row r="62" spans="1:5" ht="11.25" customHeight="1" x14ac:dyDescent="0.25">
      <c r="A62" s="8" t="s">
        <v>283</v>
      </c>
      <c r="C62" s="8" t="s">
        <v>496</v>
      </c>
      <c r="D62" s="8">
        <v>40</v>
      </c>
      <c r="E62" s="8" t="s">
        <v>9</v>
      </c>
    </row>
    <row r="63" spans="1:5" ht="11.25" customHeight="1" x14ac:dyDescent="0.25">
      <c r="A63" s="8" t="s">
        <v>283</v>
      </c>
      <c r="C63" s="8" t="s">
        <v>496</v>
      </c>
      <c r="D63" s="8">
        <v>40</v>
      </c>
      <c r="E63" s="8" t="s">
        <v>9</v>
      </c>
    </row>
    <row r="64" spans="1:5" ht="11.25" customHeight="1" x14ac:dyDescent="0.25">
      <c r="A64" s="8" t="s">
        <v>283</v>
      </c>
      <c r="C64" s="8" t="s">
        <v>496</v>
      </c>
      <c r="D64" s="8">
        <v>40</v>
      </c>
      <c r="E64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E7D57-246C-4B7E-88C3-AB464FC7FCA9}">
  <dimension ref="A1:AX85"/>
  <sheetViews>
    <sheetView showGridLines="0" workbookViewId="0"/>
  </sheetViews>
  <sheetFormatPr defaultRowHeight="11.25" x14ac:dyDescent="0.25"/>
  <cols>
    <col min="1" max="1" width="4.7109375" style="8" bestFit="1" customWidth="1"/>
    <col min="2" max="2" width="8.85546875" style="8" bestFit="1" customWidth="1"/>
    <col min="3" max="3" width="8.7109375" style="8" bestFit="1" customWidth="1"/>
    <col min="4" max="4" width="27.140625" style="8" bestFit="1" customWidth="1"/>
    <col min="5" max="5" width="13.5703125" style="8" bestFit="1" customWidth="1"/>
    <col min="6" max="6" width="25.140625" style="8" bestFit="1" customWidth="1"/>
    <col min="7" max="9" width="10.28515625" style="8" bestFit="1" customWidth="1"/>
    <col min="10" max="10" width="6.85546875" style="8" bestFit="1" customWidth="1"/>
    <col min="11" max="11" width="4.5703125" style="8" bestFit="1" customWidth="1"/>
    <col min="12" max="12" width="4.42578125" style="8" bestFit="1" customWidth="1"/>
    <col min="13" max="13" width="6.7109375" style="8" bestFit="1" customWidth="1"/>
    <col min="14" max="14" width="6.28515625" style="8" bestFit="1" customWidth="1"/>
    <col min="15" max="15" width="11.140625" style="8" bestFit="1" customWidth="1"/>
    <col min="16" max="16" width="10.42578125" style="8" bestFit="1" customWidth="1"/>
    <col min="17" max="16384" width="9.140625" style="8"/>
  </cols>
  <sheetData>
    <row r="1" spans="1:50" ht="11.25" customHeight="1" x14ac:dyDescent="0.25">
      <c r="A1" s="55" t="s">
        <v>550</v>
      </c>
      <c r="B1" s="55" t="s">
        <v>541</v>
      </c>
      <c r="C1" s="55" t="s">
        <v>1</v>
      </c>
      <c r="D1" s="55" t="s">
        <v>2</v>
      </c>
      <c r="E1" s="55" t="s">
        <v>3</v>
      </c>
      <c r="F1" s="55" t="s">
        <v>4</v>
      </c>
      <c r="G1" s="55" t="s">
        <v>5</v>
      </c>
      <c r="H1" s="55" t="s">
        <v>6</v>
      </c>
      <c r="I1" s="55" t="s">
        <v>7</v>
      </c>
      <c r="J1" s="55" t="s">
        <v>542</v>
      </c>
      <c r="K1" s="55" t="s">
        <v>543</v>
      </c>
      <c r="L1" s="55" t="s">
        <v>544</v>
      </c>
      <c r="M1" s="55" t="s">
        <v>545</v>
      </c>
      <c r="N1" s="55" t="s">
        <v>546</v>
      </c>
      <c r="O1" s="55" t="s">
        <v>428</v>
      </c>
      <c r="P1" s="55" t="s">
        <v>414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customHeight="1" x14ac:dyDescent="0.25">
      <c r="A2" s="56">
        <v>1</v>
      </c>
      <c r="B2" s="56" t="s">
        <v>436</v>
      </c>
      <c r="C2" s="56" t="s">
        <v>22</v>
      </c>
      <c r="D2" s="56" t="s">
        <v>73</v>
      </c>
      <c r="E2" s="56" t="s">
        <v>24</v>
      </c>
      <c r="F2" s="56" t="s">
        <v>28</v>
      </c>
      <c r="G2" s="56" t="s">
        <v>25</v>
      </c>
      <c r="H2" s="56" t="s">
        <v>25</v>
      </c>
      <c r="I2" s="56" t="s">
        <v>25</v>
      </c>
      <c r="J2" s="56" t="s">
        <v>547</v>
      </c>
      <c r="K2" s="56" t="s">
        <v>548</v>
      </c>
      <c r="L2" s="56" t="s">
        <v>70</v>
      </c>
      <c r="M2" s="56">
        <v>2021</v>
      </c>
      <c r="N2" s="56">
        <v>0</v>
      </c>
      <c r="O2" s="56">
        <v>84.65</v>
      </c>
      <c r="P2" s="56"/>
    </row>
    <row r="3" spans="1:50" ht="11.25" customHeight="1" x14ac:dyDescent="0.25">
      <c r="A3" s="56">
        <v>2</v>
      </c>
      <c r="B3" s="56" t="s">
        <v>408</v>
      </c>
      <c r="C3" s="56" t="s">
        <v>34</v>
      </c>
      <c r="D3" s="56" t="s">
        <v>51</v>
      </c>
      <c r="E3" s="56" t="s">
        <v>25</v>
      </c>
      <c r="F3" s="56" t="s">
        <v>25</v>
      </c>
      <c r="G3" s="56" t="s">
        <v>25</v>
      </c>
      <c r="H3" s="56" t="s">
        <v>25</v>
      </c>
      <c r="I3" s="56" t="s">
        <v>37</v>
      </c>
      <c r="J3" s="56" t="s">
        <v>549</v>
      </c>
      <c r="K3" s="56" t="s">
        <v>548</v>
      </c>
      <c r="L3" s="56" t="s">
        <v>75</v>
      </c>
      <c r="M3" s="56">
        <v>2021</v>
      </c>
      <c r="N3" s="56">
        <v>0</v>
      </c>
      <c r="O3" s="56">
        <v>14.94</v>
      </c>
      <c r="P3" s="56">
        <v>0</v>
      </c>
    </row>
    <row r="4" spans="1:50" ht="11.25" customHeight="1" x14ac:dyDescent="0.25">
      <c r="A4" s="56">
        <v>3</v>
      </c>
      <c r="B4" s="56" t="s">
        <v>436</v>
      </c>
      <c r="C4" s="56" t="s">
        <v>22</v>
      </c>
      <c r="D4" s="56" t="s">
        <v>69</v>
      </c>
      <c r="E4" s="56" t="s">
        <v>24</v>
      </c>
      <c r="F4" s="56" t="s">
        <v>24</v>
      </c>
      <c r="G4" s="56" t="s">
        <v>25</v>
      </c>
      <c r="H4" s="56" t="s">
        <v>25</v>
      </c>
      <c r="I4" s="56" t="s">
        <v>37</v>
      </c>
      <c r="J4" s="56" t="s">
        <v>547</v>
      </c>
      <c r="K4" s="56" t="s">
        <v>548</v>
      </c>
      <c r="L4" s="56" t="s">
        <v>70</v>
      </c>
      <c r="M4" s="56">
        <v>2021</v>
      </c>
      <c r="N4" s="56">
        <v>0</v>
      </c>
      <c r="O4" s="56">
        <v>229.87</v>
      </c>
      <c r="P4" s="56"/>
    </row>
    <row r="5" spans="1:50" ht="11.25" customHeight="1" x14ac:dyDescent="0.25">
      <c r="A5" s="56">
        <v>4</v>
      </c>
      <c r="B5" s="56" t="s">
        <v>408</v>
      </c>
      <c r="C5" s="56" t="s">
        <v>22</v>
      </c>
      <c r="D5" s="56" t="s">
        <v>49</v>
      </c>
      <c r="E5" s="56" t="s">
        <v>24</v>
      </c>
      <c r="F5" s="56" t="s">
        <v>24</v>
      </c>
      <c r="G5" s="56" t="s">
        <v>25</v>
      </c>
      <c r="H5" s="56" t="s">
        <v>25</v>
      </c>
      <c r="I5" s="56" t="s">
        <v>36</v>
      </c>
      <c r="J5" s="56" t="s">
        <v>547</v>
      </c>
      <c r="K5" s="56" t="s">
        <v>548</v>
      </c>
      <c r="L5" s="56" t="s">
        <v>70</v>
      </c>
      <c r="M5" s="56">
        <v>2021</v>
      </c>
      <c r="N5" s="56">
        <v>0</v>
      </c>
      <c r="O5" s="56">
        <v>676.14</v>
      </c>
      <c r="P5" s="56">
        <v>65.458437221371398</v>
      </c>
    </row>
    <row r="6" spans="1:50" ht="11.25" customHeight="1" x14ac:dyDescent="0.25">
      <c r="A6" s="56">
        <v>5</v>
      </c>
      <c r="B6" s="56" t="s">
        <v>436</v>
      </c>
      <c r="C6" s="56" t="s">
        <v>22</v>
      </c>
      <c r="D6" s="56" t="s">
        <v>69</v>
      </c>
      <c r="E6" s="56" t="s">
        <v>24</v>
      </c>
      <c r="F6" s="56" t="s">
        <v>24</v>
      </c>
      <c r="G6" s="56" t="s">
        <v>25</v>
      </c>
      <c r="H6" s="56" t="s">
        <v>25</v>
      </c>
      <c r="I6" s="56" t="s">
        <v>36</v>
      </c>
      <c r="J6" s="56" t="s">
        <v>547</v>
      </c>
      <c r="K6" s="56" t="s">
        <v>548</v>
      </c>
      <c r="L6" s="56" t="s">
        <v>70</v>
      </c>
      <c r="M6" s="56">
        <v>2021</v>
      </c>
      <c r="N6" s="56">
        <v>0</v>
      </c>
      <c r="O6" s="56">
        <v>373.71</v>
      </c>
      <c r="P6" s="56"/>
    </row>
    <row r="7" spans="1:50" ht="11.25" customHeight="1" x14ac:dyDescent="0.25">
      <c r="A7" s="56">
        <v>6</v>
      </c>
      <c r="B7" s="56" t="s">
        <v>408</v>
      </c>
      <c r="C7" s="56" t="s">
        <v>80</v>
      </c>
      <c r="D7" s="56" t="s">
        <v>79</v>
      </c>
      <c r="E7" s="56" t="s">
        <v>25</v>
      </c>
      <c r="F7" s="56" t="s">
        <v>25</v>
      </c>
      <c r="G7" s="56" t="s">
        <v>82</v>
      </c>
      <c r="H7" s="56" t="s">
        <v>25</v>
      </c>
      <c r="I7" s="56" t="s">
        <v>25</v>
      </c>
      <c r="J7" s="56" t="s">
        <v>549</v>
      </c>
      <c r="K7" s="56" t="s">
        <v>548</v>
      </c>
      <c r="L7" s="56" t="s">
        <v>75</v>
      </c>
      <c r="M7" s="56">
        <v>2021</v>
      </c>
      <c r="N7" s="56">
        <v>0</v>
      </c>
      <c r="O7" s="56">
        <v>8.89</v>
      </c>
      <c r="P7" s="56">
        <v>0</v>
      </c>
    </row>
    <row r="8" spans="1:50" ht="11.25" customHeight="1" x14ac:dyDescent="0.25">
      <c r="A8" s="56">
        <v>7</v>
      </c>
      <c r="B8" s="56" t="s">
        <v>436</v>
      </c>
      <c r="C8" s="56" t="s">
        <v>22</v>
      </c>
      <c r="D8" s="56" t="s">
        <v>73</v>
      </c>
      <c r="E8" s="56" t="s">
        <v>24</v>
      </c>
      <c r="F8" s="56" t="s">
        <v>24</v>
      </c>
      <c r="G8" s="56" t="s">
        <v>25</v>
      </c>
      <c r="H8" s="56" t="s">
        <v>25</v>
      </c>
      <c r="I8" s="56" t="s">
        <v>25</v>
      </c>
      <c r="J8" s="56" t="s">
        <v>547</v>
      </c>
      <c r="K8" s="56" t="s">
        <v>548</v>
      </c>
      <c r="L8" s="56" t="s">
        <v>70</v>
      </c>
      <c r="M8" s="56">
        <v>2021</v>
      </c>
      <c r="N8" s="56">
        <v>0</v>
      </c>
      <c r="O8" s="56">
        <v>241.85</v>
      </c>
      <c r="P8" s="56"/>
    </row>
    <row r="9" spans="1:50" ht="11.25" customHeight="1" x14ac:dyDescent="0.25">
      <c r="A9" s="56">
        <v>8</v>
      </c>
      <c r="B9" s="56" t="s">
        <v>408</v>
      </c>
      <c r="C9" s="56" t="s">
        <v>34</v>
      </c>
      <c r="D9" s="56" t="s">
        <v>51</v>
      </c>
      <c r="E9" s="56" t="s">
        <v>25</v>
      </c>
      <c r="F9" s="56" t="s">
        <v>25</v>
      </c>
      <c r="G9" s="56" t="s">
        <v>25</v>
      </c>
      <c r="H9" s="56" t="s">
        <v>25</v>
      </c>
      <c r="I9" s="56" t="s">
        <v>36</v>
      </c>
      <c r="J9" s="56" t="s">
        <v>549</v>
      </c>
      <c r="K9" s="56" t="s">
        <v>548</v>
      </c>
      <c r="L9" s="56" t="s">
        <v>75</v>
      </c>
      <c r="M9" s="56">
        <v>2021</v>
      </c>
      <c r="N9" s="56">
        <v>0</v>
      </c>
      <c r="O9" s="56">
        <v>35.54</v>
      </c>
      <c r="P9" s="56">
        <v>0</v>
      </c>
    </row>
    <row r="10" spans="1:50" ht="11.25" customHeight="1" x14ac:dyDescent="0.25">
      <c r="A10" s="56">
        <v>9</v>
      </c>
      <c r="B10" s="56" t="s">
        <v>436</v>
      </c>
      <c r="C10" s="56" t="s">
        <v>34</v>
      </c>
      <c r="D10" s="56" t="s">
        <v>69</v>
      </c>
      <c r="E10" s="56" t="s">
        <v>25</v>
      </c>
      <c r="F10" s="56" t="s">
        <v>25</v>
      </c>
      <c r="G10" s="56" t="s">
        <v>25</v>
      </c>
      <c r="H10" s="56" t="s">
        <v>25</v>
      </c>
      <c r="I10" s="56" t="s">
        <v>36</v>
      </c>
      <c r="J10" s="56" t="s">
        <v>547</v>
      </c>
      <c r="K10" s="56" t="s">
        <v>548</v>
      </c>
      <c r="L10" s="56" t="s">
        <v>70</v>
      </c>
      <c r="M10" s="56">
        <v>2021</v>
      </c>
      <c r="N10" s="56">
        <v>0</v>
      </c>
      <c r="O10" s="56">
        <v>373.71</v>
      </c>
      <c r="P10" s="56"/>
    </row>
    <row r="11" spans="1:50" ht="11.25" customHeight="1" x14ac:dyDescent="0.25">
      <c r="A11" s="56">
        <v>10</v>
      </c>
      <c r="B11" s="56" t="s">
        <v>408</v>
      </c>
      <c r="C11" s="56" t="s">
        <v>34</v>
      </c>
      <c r="D11" s="56" t="s">
        <v>35</v>
      </c>
      <c r="E11" s="56" t="s">
        <v>25</v>
      </c>
      <c r="F11" s="56" t="s">
        <v>25</v>
      </c>
      <c r="G11" s="56" t="s">
        <v>78</v>
      </c>
      <c r="H11" s="56" t="s">
        <v>25</v>
      </c>
      <c r="I11" s="56" t="s">
        <v>36</v>
      </c>
      <c r="J11" s="56" t="s">
        <v>547</v>
      </c>
      <c r="K11" s="56" t="s">
        <v>548</v>
      </c>
      <c r="L11" s="56" t="s">
        <v>70</v>
      </c>
      <c r="M11" s="56">
        <v>2021</v>
      </c>
      <c r="N11" s="56">
        <v>0</v>
      </c>
      <c r="O11" s="56">
        <v>874.57</v>
      </c>
      <c r="P11" s="56">
        <v>0</v>
      </c>
    </row>
    <row r="12" spans="1:50" ht="11.25" customHeight="1" x14ac:dyDescent="0.25">
      <c r="A12" s="56">
        <v>11</v>
      </c>
      <c r="B12" s="56" t="s">
        <v>408</v>
      </c>
      <c r="C12" s="56" t="s">
        <v>80</v>
      </c>
      <c r="D12" s="56" t="s">
        <v>79</v>
      </c>
      <c r="E12" s="56" t="s">
        <v>25</v>
      </c>
      <c r="F12" s="56" t="s">
        <v>25</v>
      </c>
      <c r="G12" s="56" t="s">
        <v>81</v>
      </c>
      <c r="H12" s="56" t="s">
        <v>25</v>
      </c>
      <c r="I12" s="56" t="s">
        <v>25</v>
      </c>
      <c r="J12" s="56" t="s">
        <v>549</v>
      </c>
      <c r="K12" s="56" t="s">
        <v>548</v>
      </c>
      <c r="L12" s="56" t="s">
        <v>75</v>
      </c>
      <c r="M12" s="56">
        <v>2021</v>
      </c>
      <c r="N12" s="56">
        <v>0</v>
      </c>
      <c r="O12" s="56">
        <v>6.17</v>
      </c>
      <c r="P12" s="56">
        <v>0</v>
      </c>
    </row>
    <row r="13" spans="1:50" ht="11.25" customHeight="1" x14ac:dyDescent="0.25">
      <c r="A13" s="56">
        <v>12</v>
      </c>
      <c r="B13" s="56" t="s">
        <v>408</v>
      </c>
      <c r="C13" s="56" t="s">
        <v>42</v>
      </c>
      <c r="D13" s="56" t="s">
        <v>23</v>
      </c>
      <c r="E13" s="56" t="s">
        <v>43</v>
      </c>
      <c r="F13" s="56" t="s">
        <v>88</v>
      </c>
      <c r="G13" s="56" t="s">
        <v>25</v>
      </c>
      <c r="H13" s="56" t="s">
        <v>25</v>
      </c>
      <c r="I13" s="56" t="s">
        <v>25</v>
      </c>
      <c r="J13" s="56" t="s">
        <v>547</v>
      </c>
      <c r="K13" s="56" t="s">
        <v>548</v>
      </c>
      <c r="L13" s="56" t="s">
        <v>70</v>
      </c>
      <c r="M13" s="56">
        <v>2021</v>
      </c>
      <c r="N13" s="56">
        <v>0</v>
      </c>
      <c r="O13" s="56">
        <v>199.89</v>
      </c>
      <c r="P13" s="56">
        <v>39.275062332822898</v>
      </c>
    </row>
    <row r="14" spans="1:50" ht="11.25" customHeight="1" x14ac:dyDescent="0.25">
      <c r="A14" s="56">
        <v>13</v>
      </c>
      <c r="B14" s="56" t="s">
        <v>408</v>
      </c>
      <c r="C14" s="56" t="s">
        <v>34</v>
      </c>
      <c r="D14" s="56" t="s">
        <v>35</v>
      </c>
      <c r="E14" s="56" t="s">
        <v>25</v>
      </c>
      <c r="F14" s="56" t="s">
        <v>25</v>
      </c>
      <c r="G14" s="56" t="s">
        <v>25</v>
      </c>
      <c r="H14" s="56" t="s">
        <v>25</v>
      </c>
      <c r="I14" s="56" t="s">
        <v>37</v>
      </c>
      <c r="J14" s="56" t="s">
        <v>547</v>
      </c>
      <c r="K14" s="56" t="s">
        <v>548</v>
      </c>
      <c r="L14" s="56" t="s">
        <v>70</v>
      </c>
      <c r="M14" s="56">
        <v>2021</v>
      </c>
      <c r="N14" s="56">
        <v>0</v>
      </c>
      <c r="O14" s="56">
        <v>78.650000000000006</v>
      </c>
      <c r="P14" s="56">
        <v>56.948840382593197</v>
      </c>
    </row>
    <row r="15" spans="1:50" ht="11.25" customHeight="1" x14ac:dyDescent="0.25">
      <c r="A15" s="56">
        <v>14</v>
      </c>
      <c r="B15" s="56" t="s">
        <v>408</v>
      </c>
      <c r="C15" s="56" t="s">
        <v>32</v>
      </c>
      <c r="D15" s="56" t="s">
        <v>85</v>
      </c>
      <c r="E15" s="56" t="s">
        <v>25</v>
      </c>
      <c r="F15" s="56" t="s">
        <v>25</v>
      </c>
      <c r="G15" s="56" t="s">
        <v>25</v>
      </c>
      <c r="H15" s="56" t="s">
        <v>25</v>
      </c>
      <c r="I15" s="56" t="s">
        <v>25</v>
      </c>
      <c r="J15" s="56" t="s">
        <v>547</v>
      </c>
      <c r="K15" s="56" t="s">
        <v>548</v>
      </c>
      <c r="L15" s="56" t="s">
        <v>70</v>
      </c>
      <c r="M15" s="56">
        <v>2021</v>
      </c>
      <c r="N15" s="56">
        <v>0</v>
      </c>
      <c r="O15" s="56">
        <v>333.15</v>
      </c>
      <c r="P15" s="56">
        <v>65.458437221371398</v>
      </c>
    </row>
    <row r="16" spans="1:50" ht="11.25" customHeight="1" x14ac:dyDescent="0.25">
      <c r="A16" s="56">
        <v>15</v>
      </c>
      <c r="B16" s="56" t="s">
        <v>408</v>
      </c>
      <c r="C16" s="56" t="s">
        <v>34</v>
      </c>
      <c r="D16" s="56" t="s">
        <v>35</v>
      </c>
      <c r="E16" s="56" t="s">
        <v>25</v>
      </c>
      <c r="F16" s="56" t="s">
        <v>25</v>
      </c>
      <c r="G16" s="56" t="s">
        <v>25</v>
      </c>
      <c r="H16" s="56" t="s">
        <v>25</v>
      </c>
      <c r="I16" s="56" t="s">
        <v>36</v>
      </c>
      <c r="J16" s="56" t="s">
        <v>547</v>
      </c>
      <c r="K16" s="56" t="s">
        <v>548</v>
      </c>
      <c r="L16" s="56" t="s">
        <v>70</v>
      </c>
      <c r="M16" s="56">
        <v>2021</v>
      </c>
      <c r="N16" s="56">
        <v>0</v>
      </c>
      <c r="O16" s="56">
        <v>940.75</v>
      </c>
      <c r="P16" s="56">
        <v>56.948840382593197</v>
      </c>
    </row>
    <row r="17" spans="1:16" ht="11.25" customHeight="1" x14ac:dyDescent="0.25">
      <c r="A17" s="56">
        <v>16</v>
      </c>
      <c r="B17" s="56" t="s">
        <v>436</v>
      </c>
      <c r="C17" s="56" t="s">
        <v>34</v>
      </c>
      <c r="D17" s="56" t="s">
        <v>69</v>
      </c>
      <c r="E17" s="56" t="s">
        <v>25</v>
      </c>
      <c r="F17" s="56" t="s">
        <v>25</v>
      </c>
      <c r="G17" s="56" t="s">
        <v>25</v>
      </c>
      <c r="H17" s="56" t="s">
        <v>25</v>
      </c>
      <c r="I17" s="56" t="s">
        <v>37</v>
      </c>
      <c r="J17" s="56" t="s">
        <v>547</v>
      </c>
      <c r="K17" s="56" t="s">
        <v>548</v>
      </c>
      <c r="L17" s="56" t="s">
        <v>70</v>
      </c>
      <c r="M17" s="56">
        <v>2021</v>
      </c>
      <c r="N17" s="56">
        <v>0</v>
      </c>
      <c r="O17" s="56">
        <v>229.87</v>
      </c>
      <c r="P17" s="56"/>
    </row>
    <row r="18" spans="1:16" ht="11.25" customHeight="1" x14ac:dyDescent="0.25">
      <c r="A18" s="56">
        <v>17</v>
      </c>
      <c r="B18" s="56" t="s">
        <v>408</v>
      </c>
      <c r="C18" s="56" t="s">
        <v>34</v>
      </c>
      <c r="D18" s="56" t="s">
        <v>35</v>
      </c>
      <c r="E18" s="56" t="s">
        <v>25</v>
      </c>
      <c r="F18" s="56" t="s">
        <v>25</v>
      </c>
      <c r="G18" s="56" t="s">
        <v>78</v>
      </c>
      <c r="H18" s="56" t="s">
        <v>25</v>
      </c>
      <c r="I18" s="56" t="s">
        <v>37</v>
      </c>
      <c r="J18" s="56" t="s">
        <v>547</v>
      </c>
      <c r="K18" s="56" t="s">
        <v>548</v>
      </c>
      <c r="L18" s="56" t="s">
        <v>70</v>
      </c>
      <c r="M18" s="56">
        <v>2021</v>
      </c>
      <c r="N18" s="56">
        <v>0</v>
      </c>
      <c r="O18" s="56">
        <v>12.47</v>
      </c>
      <c r="P18" s="56">
        <v>0</v>
      </c>
    </row>
    <row r="19" spans="1:16" ht="11.25" customHeight="1" x14ac:dyDescent="0.25">
      <c r="A19" s="56">
        <v>18</v>
      </c>
      <c r="B19" s="56" t="s">
        <v>436</v>
      </c>
      <c r="C19" s="56" t="s">
        <v>22</v>
      </c>
      <c r="D19" s="56" t="s">
        <v>73</v>
      </c>
      <c r="E19" s="56" t="s">
        <v>24</v>
      </c>
      <c r="F19" s="56" t="s">
        <v>29</v>
      </c>
      <c r="G19" s="56" t="s">
        <v>25</v>
      </c>
      <c r="H19" s="56" t="s">
        <v>25</v>
      </c>
      <c r="I19" s="56" t="s">
        <v>25</v>
      </c>
      <c r="J19" s="56" t="s">
        <v>547</v>
      </c>
      <c r="K19" s="56" t="s">
        <v>548</v>
      </c>
      <c r="L19" s="56" t="s">
        <v>70</v>
      </c>
      <c r="M19" s="56">
        <v>2021</v>
      </c>
      <c r="N19" s="56">
        <v>0</v>
      </c>
      <c r="O19" s="56">
        <v>145.11000000000001</v>
      </c>
      <c r="P19" s="56"/>
    </row>
    <row r="20" spans="1:16" ht="11.25" customHeight="1" x14ac:dyDescent="0.25">
      <c r="A20" s="56">
        <v>19</v>
      </c>
      <c r="B20" s="56" t="s">
        <v>408</v>
      </c>
      <c r="C20" s="56" t="s">
        <v>34</v>
      </c>
      <c r="D20" s="56" t="s">
        <v>51</v>
      </c>
      <c r="E20" s="56" t="s">
        <v>25</v>
      </c>
      <c r="F20" s="56" t="s">
        <v>25</v>
      </c>
      <c r="G20" s="56" t="s">
        <v>25</v>
      </c>
      <c r="H20" s="56" t="s">
        <v>25</v>
      </c>
      <c r="I20" s="56" t="s">
        <v>25</v>
      </c>
      <c r="J20" s="56" t="s">
        <v>547</v>
      </c>
      <c r="K20" s="56" t="s">
        <v>548</v>
      </c>
      <c r="L20" s="56" t="s">
        <v>70</v>
      </c>
      <c r="M20" s="56">
        <v>2021</v>
      </c>
      <c r="N20" s="56">
        <v>0</v>
      </c>
      <c r="O20" s="56">
        <v>78.650000000000006</v>
      </c>
      <c r="P20" s="56">
        <v>56.948840382593197</v>
      </c>
    </row>
    <row r="21" spans="1:16" ht="11.25" customHeight="1" x14ac:dyDescent="0.25">
      <c r="A21" s="56">
        <v>20</v>
      </c>
      <c r="B21" s="56" t="s">
        <v>408</v>
      </c>
      <c r="C21" s="56" t="s">
        <v>42</v>
      </c>
      <c r="D21" s="56" t="s">
        <v>23</v>
      </c>
      <c r="E21" s="56" t="s">
        <v>43</v>
      </c>
      <c r="F21" s="56" t="s">
        <v>44</v>
      </c>
      <c r="G21" s="56" t="s">
        <v>25</v>
      </c>
      <c r="H21" s="56" t="s">
        <v>25</v>
      </c>
      <c r="I21" s="56" t="s">
        <v>25</v>
      </c>
      <c r="J21" s="56" t="s">
        <v>547</v>
      </c>
      <c r="K21" s="56" t="s">
        <v>548</v>
      </c>
      <c r="L21" s="56" t="s">
        <v>70</v>
      </c>
      <c r="M21" s="56">
        <v>2021</v>
      </c>
      <c r="N21" s="56">
        <v>0</v>
      </c>
      <c r="O21" s="56">
        <v>183.23</v>
      </c>
      <c r="P21" s="56">
        <v>36.002140471754302</v>
      </c>
    </row>
    <row r="22" spans="1:16" ht="11.25" customHeight="1" x14ac:dyDescent="0.25">
      <c r="A22" s="56">
        <v>21</v>
      </c>
      <c r="B22" s="56" t="s">
        <v>408</v>
      </c>
      <c r="C22" s="56" t="s">
        <v>22</v>
      </c>
      <c r="D22" s="56" t="s">
        <v>23</v>
      </c>
      <c r="E22" s="56" t="s">
        <v>24</v>
      </c>
      <c r="F22" s="56" t="s">
        <v>24</v>
      </c>
      <c r="G22" s="56" t="s">
        <v>25</v>
      </c>
      <c r="H22" s="56" t="s">
        <v>25</v>
      </c>
      <c r="I22" s="56" t="s">
        <v>25</v>
      </c>
      <c r="J22" s="56" t="s">
        <v>547</v>
      </c>
      <c r="K22" s="56" t="s">
        <v>548</v>
      </c>
      <c r="L22" s="56" t="s">
        <v>70</v>
      </c>
      <c r="M22" s="56">
        <v>2021</v>
      </c>
      <c r="N22" s="56">
        <v>0</v>
      </c>
      <c r="O22" s="56">
        <v>333.15</v>
      </c>
      <c r="P22" s="56">
        <v>65.458437221371398</v>
      </c>
    </row>
    <row r="23" spans="1:16" ht="11.25" customHeight="1" x14ac:dyDescent="0.25">
      <c r="A23" s="56">
        <v>22</v>
      </c>
      <c r="B23" s="56" t="s">
        <v>408</v>
      </c>
      <c r="C23" s="56" t="s">
        <v>39</v>
      </c>
      <c r="D23" s="56" t="s">
        <v>23</v>
      </c>
      <c r="E23" s="56" t="s">
        <v>40</v>
      </c>
      <c r="F23" s="56" t="s">
        <v>25</v>
      </c>
      <c r="G23" s="56" t="s">
        <v>25</v>
      </c>
      <c r="H23" s="56" t="s">
        <v>25</v>
      </c>
      <c r="I23" s="56" t="s">
        <v>25</v>
      </c>
      <c r="J23" s="56" t="s">
        <v>547</v>
      </c>
      <c r="K23" s="56" t="s">
        <v>548</v>
      </c>
      <c r="L23" s="56" t="s">
        <v>70</v>
      </c>
      <c r="M23" s="56">
        <v>2021</v>
      </c>
      <c r="N23" s="56">
        <v>0</v>
      </c>
      <c r="O23" s="56">
        <v>293.17</v>
      </c>
      <c r="P23" s="56">
        <v>57.603424754806902</v>
      </c>
    </row>
    <row r="24" spans="1:16" ht="11.25" customHeight="1" x14ac:dyDescent="0.25">
      <c r="A24" s="56">
        <v>23</v>
      </c>
      <c r="B24" s="56" t="s">
        <v>408</v>
      </c>
      <c r="C24" s="56" t="s">
        <v>22</v>
      </c>
      <c r="D24" s="56" t="s">
        <v>49</v>
      </c>
      <c r="E24" s="56" t="s">
        <v>24</v>
      </c>
      <c r="F24" s="56" t="s">
        <v>24</v>
      </c>
      <c r="G24" s="56" t="s">
        <v>25</v>
      </c>
      <c r="H24" s="56" t="s">
        <v>25</v>
      </c>
      <c r="I24" s="56" t="s">
        <v>37</v>
      </c>
      <c r="J24" s="56" t="s">
        <v>547</v>
      </c>
      <c r="K24" s="56" t="s">
        <v>548</v>
      </c>
      <c r="L24" s="56" t="s">
        <v>70</v>
      </c>
      <c r="M24" s="56">
        <v>2021</v>
      </c>
      <c r="N24" s="56">
        <v>0</v>
      </c>
      <c r="O24" s="56">
        <v>212.51</v>
      </c>
      <c r="P24" s="56">
        <v>65.458437221371398</v>
      </c>
    </row>
    <row r="25" spans="1:16" ht="11.25" customHeight="1" x14ac:dyDescent="0.25">
      <c r="A25" s="56">
        <v>24</v>
      </c>
      <c r="B25" s="56" t="s">
        <v>408</v>
      </c>
      <c r="C25" s="56" t="s">
        <v>22</v>
      </c>
      <c r="D25" s="56" t="s">
        <v>49</v>
      </c>
      <c r="E25" s="56" t="s">
        <v>24</v>
      </c>
      <c r="F25" s="56" t="s">
        <v>24</v>
      </c>
      <c r="G25" s="56" t="s">
        <v>25</v>
      </c>
      <c r="H25" s="56" t="s">
        <v>25</v>
      </c>
      <c r="I25" s="56" t="s">
        <v>50</v>
      </c>
      <c r="J25" s="56" t="s">
        <v>547</v>
      </c>
      <c r="K25" s="56" t="s">
        <v>548</v>
      </c>
      <c r="L25" s="56" t="s">
        <v>70</v>
      </c>
      <c r="M25" s="56">
        <v>2021</v>
      </c>
      <c r="N25" s="56">
        <v>0</v>
      </c>
      <c r="O25" s="56">
        <v>444.33</v>
      </c>
      <c r="P25" s="56">
        <v>65.458437221371398</v>
      </c>
    </row>
    <row r="26" spans="1:16" ht="11.25" customHeight="1" x14ac:dyDescent="0.25">
      <c r="A26" s="56">
        <v>25</v>
      </c>
      <c r="B26" s="56" t="s">
        <v>408</v>
      </c>
      <c r="C26" s="56" t="s">
        <v>34</v>
      </c>
      <c r="D26" s="56" t="s">
        <v>79</v>
      </c>
      <c r="E26" s="56" t="s">
        <v>25</v>
      </c>
      <c r="F26" s="56" t="s">
        <v>25</v>
      </c>
      <c r="G26" s="56" t="s">
        <v>25</v>
      </c>
      <c r="H26" s="56" t="s">
        <v>25</v>
      </c>
      <c r="I26" s="56" t="s">
        <v>25</v>
      </c>
      <c r="J26" s="56" t="s">
        <v>549</v>
      </c>
      <c r="K26" s="56" t="s">
        <v>548</v>
      </c>
      <c r="L26" s="56" t="s">
        <v>75</v>
      </c>
      <c r="M26" s="56">
        <v>2021</v>
      </c>
      <c r="N26" s="56">
        <v>0</v>
      </c>
      <c r="O26" s="56">
        <v>5.22</v>
      </c>
      <c r="P26" s="56">
        <v>0</v>
      </c>
    </row>
    <row r="27" spans="1:16" ht="11.25" customHeight="1" x14ac:dyDescent="0.25">
      <c r="A27" s="56">
        <v>26</v>
      </c>
      <c r="B27" s="56" t="s">
        <v>408</v>
      </c>
      <c r="C27" s="56" t="s">
        <v>22</v>
      </c>
      <c r="D27" s="56" t="s">
        <v>23</v>
      </c>
      <c r="E27" s="56" t="s">
        <v>24</v>
      </c>
      <c r="F27" s="56" t="s">
        <v>29</v>
      </c>
      <c r="G27" s="56" t="s">
        <v>25</v>
      </c>
      <c r="H27" s="56" t="s">
        <v>25</v>
      </c>
      <c r="I27" s="56" t="s">
        <v>25</v>
      </c>
      <c r="J27" s="56" t="s">
        <v>547</v>
      </c>
      <c r="K27" s="56" t="s">
        <v>548</v>
      </c>
      <c r="L27" s="56" t="s">
        <v>70</v>
      </c>
      <c r="M27" s="56">
        <v>2021</v>
      </c>
      <c r="N27" s="56">
        <v>0</v>
      </c>
      <c r="O27" s="56">
        <v>155.15</v>
      </c>
      <c r="P27" s="56">
        <v>0</v>
      </c>
    </row>
    <row r="28" spans="1:16" ht="11.25" customHeight="1" x14ac:dyDescent="0.25">
      <c r="A28" s="56">
        <v>27</v>
      </c>
      <c r="B28" s="56" t="s">
        <v>408</v>
      </c>
      <c r="C28" s="56" t="s">
        <v>22</v>
      </c>
      <c r="D28" s="56" t="s">
        <v>85</v>
      </c>
      <c r="E28" s="56" t="s">
        <v>24</v>
      </c>
      <c r="F28" s="56" t="s">
        <v>30</v>
      </c>
      <c r="G28" s="56" t="s">
        <v>25</v>
      </c>
      <c r="H28" s="56" t="s">
        <v>25</v>
      </c>
      <c r="I28" s="56" t="s">
        <v>25</v>
      </c>
      <c r="J28" s="56" t="s">
        <v>547</v>
      </c>
      <c r="K28" s="56" t="s">
        <v>548</v>
      </c>
      <c r="L28" s="56" t="s">
        <v>70</v>
      </c>
      <c r="M28" s="56">
        <v>2021</v>
      </c>
      <c r="N28" s="56">
        <v>0</v>
      </c>
      <c r="O28" s="56">
        <v>232.73</v>
      </c>
      <c r="P28" s="56">
        <v>0</v>
      </c>
    </row>
    <row r="29" spans="1:16" ht="11.25" customHeight="1" x14ac:dyDescent="0.25">
      <c r="A29" s="56">
        <v>28</v>
      </c>
      <c r="B29" s="56" t="s">
        <v>408</v>
      </c>
      <c r="C29" s="56" t="s">
        <v>39</v>
      </c>
      <c r="D29" s="56" t="s">
        <v>85</v>
      </c>
      <c r="E29" s="56" t="s">
        <v>40</v>
      </c>
      <c r="F29" s="56" t="s">
        <v>25</v>
      </c>
      <c r="G29" s="56" t="s">
        <v>25</v>
      </c>
      <c r="H29" s="56" t="s">
        <v>25</v>
      </c>
      <c r="I29" s="56" t="s">
        <v>25</v>
      </c>
      <c r="J29" s="56" t="s">
        <v>547</v>
      </c>
      <c r="K29" s="56" t="s">
        <v>548</v>
      </c>
      <c r="L29" s="56" t="s">
        <v>70</v>
      </c>
      <c r="M29" s="56">
        <v>2021</v>
      </c>
      <c r="N29" s="56">
        <v>0</v>
      </c>
      <c r="O29" s="56">
        <v>293.17</v>
      </c>
      <c r="P29" s="56">
        <v>57.603424754806902</v>
      </c>
    </row>
    <row r="30" spans="1:16" ht="11.25" customHeight="1" x14ac:dyDescent="0.25">
      <c r="A30" s="56">
        <v>29</v>
      </c>
      <c r="B30" s="56" t="s">
        <v>408</v>
      </c>
      <c r="C30" s="56" t="s">
        <v>22</v>
      </c>
      <c r="D30" s="56" t="s">
        <v>85</v>
      </c>
      <c r="E30" s="56" t="s">
        <v>24</v>
      </c>
      <c r="F30" s="56" t="s">
        <v>31</v>
      </c>
      <c r="G30" s="56" t="s">
        <v>25</v>
      </c>
      <c r="H30" s="56" t="s">
        <v>25</v>
      </c>
      <c r="I30" s="56" t="s">
        <v>25</v>
      </c>
      <c r="J30" s="56" t="s">
        <v>547</v>
      </c>
      <c r="K30" s="56" t="s">
        <v>548</v>
      </c>
      <c r="L30" s="56" t="s">
        <v>70</v>
      </c>
      <c r="M30" s="56">
        <v>2021</v>
      </c>
      <c r="N30" s="56">
        <v>0</v>
      </c>
      <c r="O30" s="56">
        <v>258.58</v>
      </c>
      <c r="P30" s="56">
        <v>0</v>
      </c>
    </row>
    <row r="31" spans="1:16" ht="11.25" customHeight="1" x14ac:dyDescent="0.25">
      <c r="A31" s="56">
        <v>30</v>
      </c>
      <c r="B31" s="56" t="s">
        <v>408</v>
      </c>
      <c r="C31" s="56" t="s">
        <v>22</v>
      </c>
      <c r="D31" s="56" t="s">
        <v>85</v>
      </c>
      <c r="E31" s="56" t="s">
        <v>24</v>
      </c>
      <c r="F31" s="56" t="s">
        <v>29</v>
      </c>
      <c r="G31" s="56" t="s">
        <v>25</v>
      </c>
      <c r="H31" s="56" t="s">
        <v>25</v>
      </c>
      <c r="I31" s="56" t="s">
        <v>25</v>
      </c>
      <c r="J31" s="56" t="s">
        <v>547</v>
      </c>
      <c r="K31" s="56" t="s">
        <v>548</v>
      </c>
      <c r="L31" s="56" t="s">
        <v>70</v>
      </c>
      <c r="M31" s="56">
        <v>2021</v>
      </c>
      <c r="N31" s="56">
        <v>0</v>
      </c>
      <c r="O31" s="56">
        <v>155.15</v>
      </c>
      <c r="P31" s="56">
        <v>0</v>
      </c>
    </row>
    <row r="32" spans="1:16" ht="11.25" customHeight="1" x14ac:dyDescent="0.25">
      <c r="A32" s="56">
        <v>31</v>
      </c>
      <c r="B32" s="56" t="s">
        <v>408</v>
      </c>
      <c r="C32" s="56" t="s">
        <v>39</v>
      </c>
      <c r="D32" s="56" t="s">
        <v>49</v>
      </c>
      <c r="E32" s="56" t="s">
        <v>40</v>
      </c>
      <c r="F32" s="56" t="s">
        <v>87</v>
      </c>
      <c r="G32" s="56" t="s">
        <v>25</v>
      </c>
      <c r="H32" s="56" t="s">
        <v>25</v>
      </c>
      <c r="I32" s="56" t="s">
        <v>37</v>
      </c>
      <c r="J32" s="56" t="s">
        <v>547</v>
      </c>
      <c r="K32" s="56" t="s">
        <v>548</v>
      </c>
      <c r="L32" s="56" t="s">
        <v>70</v>
      </c>
      <c r="M32" s="56">
        <v>2021</v>
      </c>
      <c r="N32" s="56">
        <v>0</v>
      </c>
      <c r="O32" s="56">
        <v>190.43</v>
      </c>
      <c r="P32" s="56">
        <v>54.985087265951996</v>
      </c>
    </row>
    <row r="33" spans="1:16" ht="11.25" customHeight="1" x14ac:dyDescent="0.25">
      <c r="A33" s="56">
        <v>32</v>
      </c>
      <c r="B33" s="56" t="s">
        <v>408</v>
      </c>
      <c r="C33" s="56" t="s">
        <v>34</v>
      </c>
      <c r="D33" s="56" t="s">
        <v>51</v>
      </c>
      <c r="E33" s="56" t="s">
        <v>25</v>
      </c>
      <c r="F33" s="56" t="s">
        <v>25</v>
      </c>
      <c r="G33" s="56" t="s">
        <v>78</v>
      </c>
      <c r="H33" s="56" t="s">
        <v>25</v>
      </c>
      <c r="I33" s="56" t="s">
        <v>25</v>
      </c>
      <c r="J33" s="56" t="s">
        <v>547</v>
      </c>
      <c r="K33" s="56" t="s">
        <v>548</v>
      </c>
      <c r="L33" s="56" t="s">
        <v>70</v>
      </c>
      <c r="M33" s="56">
        <v>2021</v>
      </c>
      <c r="N33" s="56">
        <v>0</v>
      </c>
      <c r="O33" s="56">
        <v>12.47</v>
      </c>
      <c r="P33" s="56">
        <v>0</v>
      </c>
    </row>
    <row r="34" spans="1:16" ht="11.25" customHeight="1" x14ac:dyDescent="0.25">
      <c r="A34" s="56">
        <v>33</v>
      </c>
      <c r="B34" s="56" t="s">
        <v>408</v>
      </c>
      <c r="C34" s="56" t="s">
        <v>22</v>
      </c>
      <c r="D34" s="56" t="s">
        <v>23</v>
      </c>
      <c r="E34" s="56" t="s">
        <v>24</v>
      </c>
      <c r="F34" s="56" t="s">
        <v>28</v>
      </c>
      <c r="G34" s="56" t="s">
        <v>25</v>
      </c>
      <c r="H34" s="56" t="s">
        <v>25</v>
      </c>
      <c r="I34" s="56" t="s">
        <v>25</v>
      </c>
      <c r="J34" s="56" t="s">
        <v>547</v>
      </c>
      <c r="K34" s="56" t="s">
        <v>548</v>
      </c>
      <c r="L34" s="56" t="s">
        <v>70</v>
      </c>
      <c r="M34" s="56">
        <v>2021</v>
      </c>
      <c r="N34" s="56">
        <v>0</v>
      </c>
      <c r="O34" s="56">
        <v>90.5</v>
      </c>
      <c r="P34" s="56">
        <v>0</v>
      </c>
    </row>
    <row r="35" spans="1:16" ht="11.25" customHeight="1" x14ac:dyDescent="0.25">
      <c r="A35" s="56">
        <v>34</v>
      </c>
      <c r="B35" s="56" t="s">
        <v>408</v>
      </c>
      <c r="C35" s="56" t="s">
        <v>22</v>
      </c>
      <c r="D35" s="56" t="s">
        <v>85</v>
      </c>
      <c r="E35" s="56" t="s">
        <v>24</v>
      </c>
      <c r="F35" s="56" t="s">
        <v>28</v>
      </c>
      <c r="G35" s="56" t="s">
        <v>25</v>
      </c>
      <c r="H35" s="56" t="s">
        <v>25</v>
      </c>
      <c r="I35" s="56" t="s">
        <v>25</v>
      </c>
      <c r="J35" s="56" t="s">
        <v>547</v>
      </c>
      <c r="K35" s="56" t="s">
        <v>548</v>
      </c>
      <c r="L35" s="56" t="s">
        <v>70</v>
      </c>
      <c r="M35" s="56">
        <v>2021</v>
      </c>
      <c r="N35" s="56">
        <v>0</v>
      </c>
      <c r="O35" s="56">
        <v>90.5</v>
      </c>
      <c r="P35" s="56">
        <v>0</v>
      </c>
    </row>
    <row r="36" spans="1:16" ht="11.25" customHeight="1" x14ac:dyDescent="0.25">
      <c r="A36" s="56">
        <v>35</v>
      </c>
      <c r="B36" s="56" t="s">
        <v>436</v>
      </c>
      <c r="C36" s="56" t="s">
        <v>22</v>
      </c>
      <c r="D36" s="56" t="s">
        <v>69</v>
      </c>
      <c r="E36" s="56" t="s">
        <v>24</v>
      </c>
      <c r="F36" s="56" t="s">
        <v>24</v>
      </c>
      <c r="G36" s="56" t="s">
        <v>25</v>
      </c>
      <c r="H36" s="56" t="s">
        <v>25</v>
      </c>
      <c r="I36" s="56" t="s">
        <v>50</v>
      </c>
      <c r="J36" s="56" t="s">
        <v>547</v>
      </c>
      <c r="K36" s="56" t="s">
        <v>548</v>
      </c>
      <c r="L36" s="56" t="s">
        <v>70</v>
      </c>
      <c r="M36" s="56">
        <v>2021</v>
      </c>
      <c r="N36" s="56">
        <v>0</v>
      </c>
      <c r="O36" s="56">
        <v>229.87</v>
      </c>
      <c r="P36" s="56"/>
    </row>
    <row r="37" spans="1:16" ht="11.25" customHeight="1" x14ac:dyDescent="0.25">
      <c r="A37" s="56">
        <v>36</v>
      </c>
      <c r="B37" s="56" t="s">
        <v>408</v>
      </c>
      <c r="C37" s="56" t="s">
        <v>34</v>
      </c>
      <c r="D37" s="56" t="s">
        <v>35</v>
      </c>
      <c r="E37" s="56" t="s">
        <v>25</v>
      </c>
      <c r="F37" s="56" t="s">
        <v>25</v>
      </c>
      <c r="G37" s="56" t="s">
        <v>25</v>
      </c>
      <c r="H37" s="56" t="s">
        <v>25</v>
      </c>
      <c r="I37" s="56" t="s">
        <v>25</v>
      </c>
      <c r="J37" s="56" t="s">
        <v>549</v>
      </c>
      <c r="K37" s="56" t="s">
        <v>548</v>
      </c>
      <c r="L37" s="56" t="s">
        <v>75</v>
      </c>
      <c r="M37" s="56">
        <v>2021</v>
      </c>
      <c r="N37" s="56">
        <v>0</v>
      </c>
      <c r="O37" s="56">
        <v>14.94</v>
      </c>
      <c r="P37" s="56">
        <v>0</v>
      </c>
    </row>
    <row r="38" spans="1:16" ht="11.25" customHeight="1" x14ac:dyDescent="0.25">
      <c r="A38" s="56">
        <v>37</v>
      </c>
      <c r="B38" s="56" t="s">
        <v>408</v>
      </c>
      <c r="C38" s="56" t="s">
        <v>22</v>
      </c>
      <c r="D38" s="56" t="s">
        <v>23</v>
      </c>
      <c r="E38" s="56" t="s">
        <v>24</v>
      </c>
      <c r="F38" s="56" t="s">
        <v>31</v>
      </c>
      <c r="G38" s="56" t="s">
        <v>25</v>
      </c>
      <c r="H38" s="56" t="s">
        <v>25</v>
      </c>
      <c r="I38" s="56" t="s">
        <v>25</v>
      </c>
      <c r="J38" s="56" t="s">
        <v>547</v>
      </c>
      <c r="K38" s="56" t="s">
        <v>548</v>
      </c>
      <c r="L38" s="56" t="s">
        <v>70</v>
      </c>
      <c r="M38" s="56">
        <v>2021</v>
      </c>
      <c r="N38" s="56">
        <v>0</v>
      </c>
      <c r="O38" s="56">
        <v>258.58</v>
      </c>
      <c r="P38" s="56">
        <v>0</v>
      </c>
    </row>
    <row r="39" spans="1:16" ht="11.25" customHeight="1" x14ac:dyDescent="0.25">
      <c r="A39" s="56">
        <v>38</v>
      </c>
      <c r="B39" s="56" t="s">
        <v>408</v>
      </c>
      <c r="C39" s="56" t="s">
        <v>39</v>
      </c>
      <c r="D39" s="56" t="s">
        <v>23</v>
      </c>
      <c r="E39" s="56" t="s">
        <v>40</v>
      </c>
      <c r="F39" s="56" t="s">
        <v>86</v>
      </c>
      <c r="G39" s="56" t="s">
        <v>25</v>
      </c>
      <c r="H39" s="56" t="s">
        <v>25</v>
      </c>
      <c r="I39" s="56" t="s">
        <v>25</v>
      </c>
      <c r="J39" s="56" t="s">
        <v>547</v>
      </c>
      <c r="K39" s="56" t="s">
        <v>548</v>
      </c>
      <c r="L39" s="56" t="s">
        <v>70</v>
      </c>
      <c r="M39" s="56">
        <v>2021</v>
      </c>
      <c r="N39" s="56">
        <v>0</v>
      </c>
      <c r="O39" s="56">
        <v>293.17</v>
      </c>
      <c r="P39" s="56">
        <v>57.603424754806902</v>
      </c>
    </row>
    <row r="40" spans="1:16" ht="11.25" customHeight="1" x14ac:dyDescent="0.25">
      <c r="A40" s="56">
        <v>39</v>
      </c>
      <c r="B40" s="56" t="s">
        <v>408</v>
      </c>
      <c r="C40" s="56" t="s">
        <v>39</v>
      </c>
      <c r="D40" s="56" t="s">
        <v>49</v>
      </c>
      <c r="E40" s="56" t="s">
        <v>40</v>
      </c>
      <c r="F40" s="56" t="s">
        <v>87</v>
      </c>
      <c r="G40" s="56" t="s">
        <v>25</v>
      </c>
      <c r="H40" s="56" t="s">
        <v>25</v>
      </c>
      <c r="I40" s="56" t="s">
        <v>50</v>
      </c>
      <c r="J40" s="56" t="s">
        <v>547</v>
      </c>
      <c r="K40" s="56" t="s">
        <v>548</v>
      </c>
      <c r="L40" s="56" t="s">
        <v>70</v>
      </c>
      <c r="M40" s="56">
        <v>2021</v>
      </c>
      <c r="N40" s="56">
        <v>0</v>
      </c>
      <c r="O40" s="56">
        <v>409</v>
      </c>
      <c r="P40" s="56">
        <v>54.985087265951996</v>
      </c>
    </row>
    <row r="41" spans="1:16" ht="11.25" customHeight="1" x14ac:dyDescent="0.25">
      <c r="A41" s="56">
        <v>40</v>
      </c>
      <c r="B41" s="56" t="s">
        <v>408</v>
      </c>
      <c r="C41" s="56" t="s">
        <v>39</v>
      </c>
      <c r="D41" s="56" t="s">
        <v>49</v>
      </c>
      <c r="E41" s="56" t="s">
        <v>40</v>
      </c>
      <c r="F41" s="56" t="s">
        <v>25</v>
      </c>
      <c r="G41" s="56" t="s">
        <v>25</v>
      </c>
      <c r="H41" s="56" t="s">
        <v>25</v>
      </c>
      <c r="I41" s="56" t="s">
        <v>50</v>
      </c>
      <c r="J41" s="56" t="s">
        <v>547</v>
      </c>
      <c r="K41" s="56" t="s">
        <v>548</v>
      </c>
      <c r="L41" s="56" t="s">
        <v>70</v>
      </c>
      <c r="M41" s="56">
        <v>2021</v>
      </c>
      <c r="N41" s="56">
        <v>0</v>
      </c>
      <c r="O41" s="56">
        <v>428.48</v>
      </c>
      <c r="P41" s="56">
        <v>57.603424754806902</v>
      </c>
    </row>
    <row r="42" spans="1:16" ht="11.25" customHeight="1" x14ac:dyDescent="0.25">
      <c r="A42" s="56">
        <v>41</v>
      </c>
      <c r="B42" s="56" t="s">
        <v>408</v>
      </c>
      <c r="C42" s="56" t="s">
        <v>39</v>
      </c>
      <c r="D42" s="56" t="s">
        <v>85</v>
      </c>
      <c r="E42" s="56" t="s">
        <v>40</v>
      </c>
      <c r="F42" s="56" t="s">
        <v>87</v>
      </c>
      <c r="G42" s="56" t="s">
        <v>25</v>
      </c>
      <c r="H42" s="56" t="s">
        <v>25</v>
      </c>
      <c r="I42" s="56" t="s">
        <v>25</v>
      </c>
      <c r="J42" s="56" t="s">
        <v>547</v>
      </c>
      <c r="K42" s="56" t="s">
        <v>548</v>
      </c>
      <c r="L42" s="56" t="s">
        <v>70</v>
      </c>
      <c r="M42" s="56">
        <v>2021</v>
      </c>
      <c r="N42" s="56">
        <v>0</v>
      </c>
      <c r="O42" s="56">
        <v>279.85000000000002</v>
      </c>
      <c r="P42" s="56">
        <v>54.985087265951996</v>
      </c>
    </row>
    <row r="43" spans="1:16" ht="11.25" customHeight="1" x14ac:dyDescent="0.25">
      <c r="A43" s="56">
        <v>42</v>
      </c>
      <c r="B43" s="56" t="s">
        <v>408</v>
      </c>
      <c r="C43" s="56" t="s">
        <v>39</v>
      </c>
      <c r="D43" s="56" t="s">
        <v>23</v>
      </c>
      <c r="E43" s="56" t="s">
        <v>40</v>
      </c>
      <c r="F43" s="56" t="s">
        <v>87</v>
      </c>
      <c r="G43" s="56" t="s">
        <v>25</v>
      </c>
      <c r="H43" s="56" t="s">
        <v>25</v>
      </c>
      <c r="I43" s="56" t="s">
        <v>25</v>
      </c>
      <c r="J43" s="56" t="s">
        <v>547</v>
      </c>
      <c r="K43" s="56" t="s">
        <v>548</v>
      </c>
      <c r="L43" s="56" t="s">
        <v>70</v>
      </c>
      <c r="M43" s="56">
        <v>2021</v>
      </c>
      <c r="N43" s="56">
        <v>0</v>
      </c>
      <c r="O43" s="56">
        <v>279.85000000000002</v>
      </c>
      <c r="P43" s="56">
        <v>54.985087265951996</v>
      </c>
    </row>
    <row r="44" spans="1:16" ht="11.25" customHeight="1" x14ac:dyDescent="0.25">
      <c r="A44" s="56">
        <v>43</v>
      </c>
      <c r="B44" s="56" t="s">
        <v>408</v>
      </c>
      <c r="C44" s="56" t="s">
        <v>39</v>
      </c>
      <c r="D44" s="56" t="s">
        <v>49</v>
      </c>
      <c r="E44" s="56" t="s">
        <v>40</v>
      </c>
      <c r="F44" s="56" t="s">
        <v>86</v>
      </c>
      <c r="G44" s="56" t="s">
        <v>25</v>
      </c>
      <c r="H44" s="56" t="s">
        <v>25</v>
      </c>
      <c r="I44" s="56" t="s">
        <v>36</v>
      </c>
      <c r="J44" s="56" t="s">
        <v>547</v>
      </c>
      <c r="K44" s="56" t="s">
        <v>548</v>
      </c>
      <c r="L44" s="56" t="s">
        <v>70</v>
      </c>
      <c r="M44" s="56">
        <v>2021</v>
      </c>
      <c r="N44" s="56">
        <v>0</v>
      </c>
      <c r="O44" s="56">
        <v>657.45</v>
      </c>
      <c r="P44" s="56">
        <v>57.603424754806902</v>
      </c>
    </row>
    <row r="45" spans="1:16" ht="11.25" customHeight="1" x14ac:dyDescent="0.25">
      <c r="A45" s="56">
        <v>44</v>
      </c>
      <c r="B45" s="56" t="s">
        <v>408</v>
      </c>
      <c r="C45" s="56" t="s">
        <v>32</v>
      </c>
      <c r="D45" s="56" t="s">
        <v>49</v>
      </c>
      <c r="E45" s="56" t="s">
        <v>25</v>
      </c>
      <c r="F45" s="56" t="s">
        <v>25</v>
      </c>
      <c r="G45" s="56" t="s">
        <v>25</v>
      </c>
      <c r="H45" s="56" t="s">
        <v>25</v>
      </c>
      <c r="I45" s="56" t="s">
        <v>37</v>
      </c>
      <c r="J45" s="56" t="s">
        <v>547</v>
      </c>
      <c r="K45" s="56" t="s">
        <v>548</v>
      </c>
      <c r="L45" s="56" t="s">
        <v>70</v>
      </c>
      <c r="M45" s="56">
        <v>2021</v>
      </c>
      <c r="N45" s="56">
        <v>0</v>
      </c>
      <c r="O45" s="56">
        <v>252.73</v>
      </c>
      <c r="P45" s="56">
        <v>65.458437221371398</v>
      </c>
    </row>
    <row r="46" spans="1:16" ht="11.25" customHeight="1" x14ac:dyDescent="0.25">
      <c r="A46" s="56">
        <v>45</v>
      </c>
      <c r="B46" s="56" t="s">
        <v>408</v>
      </c>
      <c r="C46" s="56" t="s">
        <v>22</v>
      </c>
      <c r="D46" s="56" t="s">
        <v>23</v>
      </c>
      <c r="E46" s="56" t="s">
        <v>24</v>
      </c>
      <c r="F46" s="56" t="s">
        <v>30</v>
      </c>
      <c r="G46" s="56" t="s">
        <v>25</v>
      </c>
      <c r="H46" s="56" t="s">
        <v>25</v>
      </c>
      <c r="I46" s="56" t="s">
        <v>25</v>
      </c>
      <c r="J46" s="56" t="s">
        <v>547</v>
      </c>
      <c r="K46" s="56" t="s">
        <v>548</v>
      </c>
      <c r="L46" s="56" t="s">
        <v>70</v>
      </c>
      <c r="M46" s="56">
        <v>2021</v>
      </c>
      <c r="N46" s="56">
        <v>0</v>
      </c>
      <c r="O46" s="56">
        <v>232.73</v>
      </c>
      <c r="P46" s="56">
        <v>0</v>
      </c>
    </row>
    <row r="47" spans="1:16" ht="11.25" customHeight="1" x14ac:dyDescent="0.25">
      <c r="A47" s="56">
        <v>46</v>
      </c>
      <c r="B47" s="56" t="s">
        <v>408</v>
      </c>
      <c r="C47" s="56" t="s">
        <v>32</v>
      </c>
      <c r="D47" s="56" t="s">
        <v>23</v>
      </c>
      <c r="E47" s="56" t="s">
        <v>25</v>
      </c>
      <c r="F47" s="56" t="s">
        <v>25</v>
      </c>
      <c r="G47" s="56" t="s">
        <v>25</v>
      </c>
      <c r="H47" s="56" t="s">
        <v>25</v>
      </c>
      <c r="I47" s="56" t="s">
        <v>25</v>
      </c>
      <c r="J47" s="56" t="s">
        <v>547</v>
      </c>
      <c r="K47" s="56" t="s">
        <v>548</v>
      </c>
      <c r="L47" s="56" t="s">
        <v>70</v>
      </c>
      <c r="M47" s="56">
        <v>2021</v>
      </c>
      <c r="N47" s="56">
        <v>0</v>
      </c>
      <c r="O47" s="56">
        <v>333.15</v>
      </c>
      <c r="P47" s="56">
        <v>65.458437221371398</v>
      </c>
    </row>
    <row r="48" spans="1:16" ht="11.25" customHeight="1" x14ac:dyDescent="0.25">
      <c r="A48" s="56">
        <v>47</v>
      </c>
      <c r="B48" s="56" t="s">
        <v>408</v>
      </c>
      <c r="C48" s="56" t="s">
        <v>39</v>
      </c>
      <c r="D48" s="56" t="s">
        <v>49</v>
      </c>
      <c r="E48" s="56" t="s">
        <v>40</v>
      </c>
      <c r="F48" s="56" t="s">
        <v>25</v>
      </c>
      <c r="G48" s="56" t="s">
        <v>25</v>
      </c>
      <c r="H48" s="56" t="s">
        <v>25</v>
      </c>
      <c r="I48" s="56" t="s">
        <v>36</v>
      </c>
      <c r="J48" s="56" t="s">
        <v>547</v>
      </c>
      <c r="K48" s="56" t="s">
        <v>548</v>
      </c>
      <c r="L48" s="56" t="s">
        <v>70</v>
      </c>
      <c r="M48" s="56">
        <v>2021</v>
      </c>
      <c r="N48" s="56">
        <v>0</v>
      </c>
      <c r="O48" s="56">
        <v>657.45</v>
      </c>
      <c r="P48" s="56">
        <v>57.603424754806902</v>
      </c>
    </row>
    <row r="49" spans="1:16" ht="11.25" customHeight="1" x14ac:dyDescent="0.25">
      <c r="A49" s="56">
        <v>48</v>
      </c>
      <c r="B49" s="56" t="s">
        <v>408</v>
      </c>
      <c r="C49" s="56" t="s">
        <v>39</v>
      </c>
      <c r="D49" s="56" t="s">
        <v>85</v>
      </c>
      <c r="E49" s="56" t="s">
        <v>40</v>
      </c>
      <c r="F49" s="56" t="s">
        <v>86</v>
      </c>
      <c r="G49" s="56" t="s">
        <v>25</v>
      </c>
      <c r="H49" s="56" t="s">
        <v>25</v>
      </c>
      <c r="I49" s="56" t="s">
        <v>25</v>
      </c>
      <c r="J49" s="56" t="s">
        <v>547</v>
      </c>
      <c r="K49" s="56" t="s">
        <v>548</v>
      </c>
      <c r="L49" s="56" t="s">
        <v>70</v>
      </c>
      <c r="M49" s="56">
        <v>2021</v>
      </c>
      <c r="N49" s="56">
        <v>0</v>
      </c>
      <c r="O49" s="56">
        <v>293.17</v>
      </c>
      <c r="P49" s="56">
        <v>57.603424754806902</v>
      </c>
    </row>
    <row r="50" spans="1:16" ht="11.25" customHeight="1" x14ac:dyDescent="0.25">
      <c r="A50" s="56">
        <v>49</v>
      </c>
      <c r="B50" s="56" t="s">
        <v>408</v>
      </c>
      <c r="C50" s="56" t="s">
        <v>22</v>
      </c>
      <c r="D50" s="56" t="s">
        <v>85</v>
      </c>
      <c r="E50" s="56" t="s">
        <v>24</v>
      </c>
      <c r="F50" s="56" t="s">
        <v>24</v>
      </c>
      <c r="G50" s="56" t="s">
        <v>25</v>
      </c>
      <c r="H50" s="56" t="s">
        <v>25</v>
      </c>
      <c r="I50" s="56" t="s">
        <v>25</v>
      </c>
      <c r="J50" s="56" t="s">
        <v>547</v>
      </c>
      <c r="K50" s="56" t="s">
        <v>548</v>
      </c>
      <c r="L50" s="56" t="s">
        <v>70</v>
      </c>
      <c r="M50" s="56">
        <v>2021</v>
      </c>
      <c r="N50" s="56">
        <v>0</v>
      </c>
      <c r="O50" s="56">
        <v>333.15</v>
      </c>
      <c r="P50" s="56">
        <v>65.458437221371398</v>
      </c>
    </row>
    <row r="51" spans="1:16" ht="11.25" customHeight="1" x14ac:dyDescent="0.25">
      <c r="A51" s="56">
        <v>50</v>
      </c>
      <c r="B51" s="56" t="s">
        <v>408</v>
      </c>
      <c r="C51" s="56" t="s">
        <v>39</v>
      </c>
      <c r="D51" s="56" t="s">
        <v>49</v>
      </c>
      <c r="E51" s="56" t="s">
        <v>40</v>
      </c>
      <c r="F51" s="56" t="s">
        <v>87</v>
      </c>
      <c r="G51" s="56" t="s">
        <v>25</v>
      </c>
      <c r="H51" s="56" t="s">
        <v>25</v>
      </c>
      <c r="I51" s="56" t="s">
        <v>36</v>
      </c>
      <c r="J51" s="56" t="s">
        <v>547</v>
      </c>
      <c r="K51" s="56" t="s">
        <v>548</v>
      </c>
      <c r="L51" s="56" t="s">
        <v>70</v>
      </c>
      <c r="M51" s="56">
        <v>2021</v>
      </c>
      <c r="N51" s="56">
        <v>0</v>
      </c>
      <c r="O51" s="56">
        <v>627.57000000000005</v>
      </c>
      <c r="P51" s="56">
        <v>54.985087265951996</v>
      </c>
    </row>
    <row r="52" spans="1:16" ht="11.25" customHeight="1" x14ac:dyDescent="0.25">
      <c r="A52" s="56">
        <v>51</v>
      </c>
      <c r="B52" s="56" t="s">
        <v>408</v>
      </c>
      <c r="C52" s="56" t="s">
        <v>39</v>
      </c>
      <c r="D52" s="56" t="s">
        <v>49</v>
      </c>
      <c r="E52" s="56" t="s">
        <v>40</v>
      </c>
      <c r="F52" s="56" t="s">
        <v>86</v>
      </c>
      <c r="G52" s="56" t="s">
        <v>25</v>
      </c>
      <c r="H52" s="56" t="s">
        <v>25</v>
      </c>
      <c r="I52" s="56" t="s">
        <v>50</v>
      </c>
      <c r="J52" s="56" t="s">
        <v>547</v>
      </c>
      <c r="K52" s="56" t="s">
        <v>548</v>
      </c>
      <c r="L52" s="56" t="s">
        <v>70</v>
      </c>
      <c r="M52" s="56">
        <v>2021</v>
      </c>
      <c r="N52" s="56">
        <v>0</v>
      </c>
      <c r="O52" s="56">
        <v>428.48</v>
      </c>
      <c r="P52" s="56">
        <v>57.603424754806902</v>
      </c>
    </row>
    <row r="53" spans="1:16" ht="11.25" customHeight="1" x14ac:dyDescent="0.25">
      <c r="A53" s="56">
        <v>52</v>
      </c>
      <c r="B53" s="56" t="s">
        <v>408</v>
      </c>
      <c r="C53" s="56" t="s">
        <v>39</v>
      </c>
      <c r="D53" s="56" t="s">
        <v>49</v>
      </c>
      <c r="E53" s="56" t="s">
        <v>40</v>
      </c>
      <c r="F53" s="56" t="s">
        <v>25</v>
      </c>
      <c r="G53" s="56" t="s">
        <v>25</v>
      </c>
      <c r="H53" s="56" t="s">
        <v>25</v>
      </c>
      <c r="I53" s="56" t="s">
        <v>37</v>
      </c>
      <c r="J53" s="56" t="s">
        <v>547</v>
      </c>
      <c r="K53" s="56" t="s">
        <v>548</v>
      </c>
      <c r="L53" s="56" t="s">
        <v>70</v>
      </c>
      <c r="M53" s="56">
        <v>2021</v>
      </c>
      <c r="N53" s="56">
        <v>0</v>
      </c>
      <c r="O53" s="56">
        <v>199.5</v>
      </c>
      <c r="P53" s="56">
        <v>57.603424754806902</v>
      </c>
    </row>
    <row r="54" spans="1:16" ht="11.25" customHeight="1" x14ac:dyDescent="0.25">
      <c r="A54" s="56">
        <v>53</v>
      </c>
      <c r="B54" s="56" t="s">
        <v>436</v>
      </c>
      <c r="C54" s="56" t="s">
        <v>22</v>
      </c>
      <c r="D54" s="56" t="s">
        <v>73</v>
      </c>
      <c r="E54" s="56" t="s">
        <v>24</v>
      </c>
      <c r="F54" s="56" t="s">
        <v>30</v>
      </c>
      <c r="G54" s="56" t="s">
        <v>25</v>
      </c>
      <c r="H54" s="56" t="s">
        <v>25</v>
      </c>
      <c r="I54" s="56" t="s">
        <v>25</v>
      </c>
      <c r="J54" s="56" t="s">
        <v>547</v>
      </c>
      <c r="K54" s="56" t="s">
        <v>548</v>
      </c>
      <c r="L54" s="56" t="s">
        <v>70</v>
      </c>
      <c r="M54" s="56">
        <v>2021</v>
      </c>
      <c r="N54" s="56">
        <v>0</v>
      </c>
      <c r="O54" s="56">
        <v>217.67</v>
      </c>
      <c r="P54" s="56"/>
    </row>
    <row r="55" spans="1:16" ht="11.25" customHeight="1" x14ac:dyDescent="0.25">
      <c r="A55" s="56">
        <v>54</v>
      </c>
      <c r="B55" s="56" t="s">
        <v>408</v>
      </c>
      <c r="C55" s="56" t="s">
        <v>32</v>
      </c>
      <c r="D55" s="56" t="s">
        <v>49</v>
      </c>
      <c r="E55" s="56" t="s">
        <v>25</v>
      </c>
      <c r="F55" s="56" t="s">
        <v>25</v>
      </c>
      <c r="G55" s="56" t="s">
        <v>25</v>
      </c>
      <c r="H55" s="56" t="s">
        <v>25</v>
      </c>
      <c r="I55" s="56" t="s">
        <v>50</v>
      </c>
      <c r="J55" s="56" t="s">
        <v>547</v>
      </c>
      <c r="K55" s="56" t="s">
        <v>548</v>
      </c>
      <c r="L55" s="56" t="s">
        <v>70</v>
      </c>
      <c r="M55" s="56">
        <v>2021</v>
      </c>
      <c r="N55" s="56">
        <v>0</v>
      </c>
      <c r="O55" s="56">
        <v>564.97</v>
      </c>
      <c r="P55" s="56">
        <v>65.458437221371398</v>
      </c>
    </row>
    <row r="56" spans="1:16" ht="11.25" customHeight="1" x14ac:dyDescent="0.25">
      <c r="A56" s="56">
        <v>55</v>
      </c>
      <c r="B56" s="56" t="s">
        <v>436</v>
      </c>
      <c r="C56" s="56" t="s">
        <v>39</v>
      </c>
      <c r="D56" s="56" t="s">
        <v>69</v>
      </c>
      <c r="E56" s="56" t="s">
        <v>40</v>
      </c>
      <c r="F56" s="56" t="s">
        <v>86</v>
      </c>
      <c r="G56" s="56" t="s">
        <v>25</v>
      </c>
      <c r="H56" s="56" t="s">
        <v>25</v>
      </c>
      <c r="I56" s="56" t="s">
        <v>36</v>
      </c>
      <c r="J56" s="56" t="s">
        <v>547</v>
      </c>
      <c r="K56" s="56" t="s">
        <v>548</v>
      </c>
      <c r="L56" s="56" t="s">
        <v>70</v>
      </c>
      <c r="M56" s="56">
        <v>2021</v>
      </c>
      <c r="N56" s="56">
        <v>0</v>
      </c>
      <c r="O56" s="56">
        <v>328.86</v>
      </c>
      <c r="P56" s="56"/>
    </row>
    <row r="57" spans="1:16" ht="11.25" customHeight="1" x14ac:dyDescent="0.25">
      <c r="A57" s="56">
        <v>56</v>
      </c>
      <c r="B57" s="56" t="s">
        <v>408</v>
      </c>
      <c r="C57" s="56" t="s">
        <v>32</v>
      </c>
      <c r="D57" s="56" t="s">
        <v>49</v>
      </c>
      <c r="E57" s="56" t="s">
        <v>25</v>
      </c>
      <c r="F57" s="56" t="s">
        <v>25</v>
      </c>
      <c r="G57" s="56" t="s">
        <v>25</v>
      </c>
      <c r="H57" s="56" t="s">
        <v>25</v>
      </c>
      <c r="I57" s="56" t="s">
        <v>36</v>
      </c>
      <c r="J57" s="56" t="s">
        <v>547</v>
      </c>
      <c r="K57" s="56" t="s">
        <v>548</v>
      </c>
      <c r="L57" s="56" t="s">
        <v>70</v>
      </c>
      <c r="M57" s="56">
        <v>2021</v>
      </c>
      <c r="N57" s="56">
        <v>0</v>
      </c>
      <c r="O57" s="56">
        <v>877.21</v>
      </c>
      <c r="P57" s="56">
        <v>65.458437221371398</v>
      </c>
    </row>
    <row r="58" spans="1:16" ht="11.25" customHeight="1" x14ac:dyDescent="0.25">
      <c r="A58" s="56">
        <v>57</v>
      </c>
      <c r="B58" s="56" t="s">
        <v>436</v>
      </c>
      <c r="C58" s="56" t="s">
        <v>39</v>
      </c>
      <c r="D58" s="56" t="s">
        <v>73</v>
      </c>
      <c r="E58" s="56" t="s">
        <v>40</v>
      </c>
      <c r="F58" s="56" t="s">
        <v>25</v>
      </c>
      <c r="G58" s="56" t="s">
        <v>25</v>
      </c>
      <c r="H58" s="56" t="s">
        <v>25</v>
      </c>
      <c r="I58" s="56" t="s">
        <v>25</v>
      </c>
      <c r="J58" s="56" t="s">
        <v>547</v>
      </c>
      <c r="K58" s="56" t="s">
        <v>548</v>
      </c>
      <c r="L58" s="56" t="s">
        <v>70</v>
      </c>
      <c r="M58" s="56">
        <v>2021</v>
      </c>
      <c r="N58" s="56">
        <v>0</v>
      </c>
      <c r="O58" s="56">
        <v>212.83</v>
      </c>
      <c r="P58" s="56"/>
    </row>
    <row r="59" spans="1:16" ht="11.25" customHeight="1" x14ac:dyDescent="0.25">
      <c r="A59" s="56">
        <v>58</v>
      </c>
      <c r="B59" s="56" t="s">
        <v>408</v>
      </c>
      <c r="C59" s="56" t="s">
        <v>39</v>
      </c>
      <c r="D59" s="56" t="s">
        <v>49</v>
      </c>
      <c r="E59" s="56" t="s">
        <v>40</v>
      </c>
      <c r="F59" s="56" t="s">
        <v>86</v>
      </c>
      <c r="G59" s="56" t="s">
        <v>25</v>
      </c>
      <c r="H59" s="56" t="s">
        <v>25</v>
      </c>
      <c r="I59" s="56" t="s">
        <v>37</v>
      </c>
      <c r="J59" s="56" t="s">
        <v>547</v>
      </c>
      <c r="K59" s="56" t="s">
        <v>548</v>
      </c>
      <c r="L59" s="56" t="s">
        <v>70</v>
      </c>
      <c r="M59" s="56">
        <v>2021</v>
      </c>
      <c r="N59" s="56">
        <v>0</v>
      </c>
      <c r="O59" s="56">
        <v>199.5</v>
      </c>
      <c r="P59" s="56">
        <v>57.603424754806902</v>
      </c>
    </row>
    <row r="60" spans="1:16" ht="11.25" customHeight="1" x14ac:dyDescent="0.25">
      <c r="A60" s="56">
        <v>59</v>
      </c>
      <c r="B60" s="56" t="s">
        <v>436</v>
      </c>
      <c r="C60" s="56" t="s">
        <v>22</v>
      </c>
      <c r="D60" s="56" t="s">
        <v>73</v>
      </c>
      <c r="E60" s="56" t="s">
        <v>24</v>
      </c>
      <c r="F60" s="56" t="s">
        <v>31</v>
      </c>
      <c r="G60" s="56" t="s">
        <v>25</v>
      </c>
      <c r="H60" s="56" t="s">
        <v>25</v>
      </c>
      <c r="I60" s="56" t="s">
        <v>25</v>
      </c>
      <c r="J60" s="56" t="s">
        <v>547</v>
      </c>
      <c r="K60" s="56" t="s">
        <v>548</v>
      </c>
      <c r="L60" s="56" t="s">
        <v>70</v>
      </c>
      <c r="M60" s="56">
        <v>2021</v>
      </c>
      <c r="N60" s="56">
        <v>0</v>
      </c>
      <c r="O60" s="56">
        <v>241.85</v>
      </c>
      <c r="P60" s="56"/>
    </row>
    <row r="61" spans="1:16" ht="11.25" customHeight="1" x14ac:dyDescent="0.25">
      <c r="A61" s="56">
        <v>60</v>
      </c>
      <c r="B61" s="56" t="s">
        <v>436</v>
      </c>
      <c r="C61" s="56" t="s">
        <v>39</v>
      </c>
      <c r="D61" s="56" t="s">
        <v>69</v>
      </c>
      <c r="E61" s="56" t="s">
        <v>40</v>
      </c>
      <c r="F61" s="56" t="s">
        <v>25</v>
      </c>
      <c r="G61" s="56" t="s">
        <v>25</v>
      </c>
      <c r="H61" s="56" t="s">
        <v>25</v>
      </c>
      <c r="I61" s="56" t="s">
        <v>37</v>
      </c>
      <c r="J61" s="56" t="s">
        <v>547</v>
      </c>
      <c r="K61" s="56" t="s">
        <v>548</v>
      </c>
      <c r="L61" s="56" t="s">
        <v>70</v>
      </c>
      <c r="M61" s="56">
        <v>2021</v>
      </c>
      <c r="N61" s="56">
        <v>0</v>
      </c>
      <c r="O61" s="56">
        <v>202.28</v>
      </c>
      <c r="P61" s="56"/>
    </row>
    <row r="62" spans="1:16" ht="11.25" customHeight="1" x14ac:dyDescent="0.25">
      <c r="A62" s="56">
        <v>61</v>
      </c>
      <c r="B62" s="56" t="s">
        <v>436</v>
      </c>
      <c r="C62" s="56" t="s">
        <v>32</v>
      </c>
      <c r="D62" s="56" t="s">
        <v>69</v>
      </c>
      <c r="E62" s="56" t="s">
        <v>25</v>
      </c>
      <c r="F62" s="56" t="s">
        <v>25</v>
      </c>
      <c r="G62" s="56" t="s">
        <v>25</v>
      </c>
      <c r="H62" s="56" t="s">
        <v>25</v>
      </c>
      <c r="I62" s="56" t="s">
        <v>36</v>
      </c>
      <c r="J62" s="56" t="s">
        <v>547</v>
      </c>
      <c r="K62" s="56" t="s">
        <v>548</v>
      </c>
      <c r="L62" s="56" t="s">
        <v>70</v>
      </c>
      <c r="M62" s="56">
        <v>2021</v>
      </c>
      <c r="N62" s="56">
        <v>0</v>
      </c>
      <c r="O62" s="56">
        <v>373.71</v>
      </c>
      <c r="P62" s="56"/>
    </row>
    <row r="63" spans="1:16" ht="11.25" customHeight="1" x14ac:dyDescent="0.25">
      <c r="A63" s="56">
        <v>62</v>
      </c>
      <c r="B63" s="56" t="s">
        <v>436</v>
      </c>
      <c r="C63" s="56" t="s">
        <v>22</v>
      </c>
      <c r="D63" s="56" t="s">
        <v>84</v>
      </c>
      <c r="E63" s="56" t="s">
        <v>24</v>
      </c>
      <c r="F63" s="56" t="s">
        <v>24</v>
      </c>
      <c r="G63" s="56" t="s">
        <v>25</v>
      </c>
      <c r="H63" s="56" t="s">
        <v>25</v>
      </c>
      <c r="I63" s="56" t="s">
        <v>25</v>
      </c>
      <c r="J63" s="56" t="s">
        <v>547</v>
      </c>
      <c r="K63" s="56" t="s">
        <v>548</v>
      </c>
      <c r="L63" s="56" t="s">
        <v>70</v>
      </c>
      <c r="M63" s="56">
        <v>2021</v>
      </c>
      <c r="N63" s="56">
        <v>0</v>
      </c>
      <c r="O63" s="56">
        <v>241.85</v>
      </c>
      <c r="P63" s="56"/>
    </row>
    <row r="64" spans="1:16" ht="11.25" customHeight="1" x14ac:dyDescent="0.25">
      <c r="A64" s="56">
        <v>63</v>
      </c>
      <c r="B64" s="56" t="s">
        <v>436</v>
      </c>
      <c r="C64" s="56" t="s">
        <v>39</v>
      </c>
      <c r="D64" s="56" t="s">
        <v>69</v>
      </c>
      <c r="E64" s="56" t="s">
        <v>40</v>
      </c>
      <c r="F64" s="56" t="s">
        <v>86</v>
      </c>
      <c r="G64" s="56" t="s">
        <v>25</v>
      </c>
      <c r="H64" s="56" t="s">
        <v>25</v>
      </c>
      <c r="I64" s="56" t="s">
        <v>50</v>
      </c>
      <c r="J64" s="56" t="s">
        <v>547</v>
      </c>
      <c r="K64" s="56" t="s">
        <v>548</v>
      </c>
      <c r="L64" s="56" t="s">
        <v>70</v>
      </c>
      <c r="M64" s="56">
        <v>2021</v>
      </c>
      <c r="N64" s="56">
        <v>0</v>
      </c>
      <c r="O64" s="56">
        <v>202.28</v>
      </c>
      <c r="P64" s="56"/>
    </row>
    <row r="65" spans="1:16" ht="11.25" customHeight="1" x14ac:dyDescent="0.25">
      <c r="A65" s="56">
        <v>64</v>
      </c>
      <c r="B65" s="56" t="s">
        <v>436</v>
      </c>
      <c r="C65" s="56" t="s">
        <v>32</v>
      </c>
      <c r="D65" s="56" t="s">
        <v>84</v>
      </c>
      <c r="E65" s="56" t="s">
        <v>25</v>
      </c>
      <c r="F65" s="56" t="s">
        <v>25</v>
      </c>
      <c r="G65" s="56" t="s">
        <v>25</v>
      </c>
      <c r="H65" s="56" t="s">
        <v>25</v>
      </c>
      <c r="I65" s="56" t="s">
        <v>25</v>
      </c>
      <c r="J65" s="56" t="s">
        <v>547</v>
      </c>
      <c r="K65" s="56" t="s">
        <v>548</v>
      </c>
      <c r="L65" s="56" t="s">
        <v>70</v>
      </c>
      <c r="M65" s="56">
        <v>2021</v>
      </c>
      <c r="N65" s="56">
        <v>0</v>
      </c>
      <c r="O65" s="56">
        <v>241.85</v>
      </c>
      <c r="P65" s="56"/>
    </row>
    <row r="66" spans="1:16" ht="11.25" customHeight="1" x14ac:dyDescent="0.25">
      <c r="A66" s="56">
        <v>65</v>
      </c>
      <c r="B66" s="56" t="s">
        <v>436</v>
      </c>
      <c r="C66" s="56" t="s">
        <v>39</v>
      </c>
      <c r="D66" s="56" t="s">
        <v>69</v>
      </c>
      <c r="E66" s="56" t="s">
        <v>40</v>
      </c>
      <c r="F66" s="56" t="s">
        <v>86</v>
      </c>
      <c r="G66" s="56" t="s">
        <v>25</v>
      </c>
      <c r="H66" s="56" t="s">
        <v>25</v>
      </c>
      <c r="I66" s="56" t="s">
        <v>37</v>
      </c>
      <c r="J66" s="56" t="s">
        <v>547</v>
      </c>
      <c r="K66" s="56" t="s">
        <v>548</v>
      </c>
      <c r="L66" s="56" t="s">
        <v>70</v>
      </c>
      <c r="M66" s="56">
        <v>2021</v>
      </c>
      <c r="N66" s="56">
        <v>0</v>
      </c>
      <c r="O66" s="56">
        <v>202.28</v>
      </c>
      <c r="P66" s="56"/>
    </row>
    <row r="67" spans="1:16" ht="11.25" customHeight="1" x14ac:dyDescent="0.25">
      <c r="A67" s="56">
        <v>66</v>
      </c>
      <c r="B67" s="56" t="s">
        <v>436</v>
      </c>
      <c r="C67" s="56" t="s">
        <v>39</v>
      </c>
      <c r="D67" s="56" t="s">
        <v>73</v>
      </c>
      <c r="E67" s="56" t="s">
        <v>40</v>
      </c>
      <c r="F67" s="56" t="s">
        <v>86</v>
      </c>
      <c r="G67" s="56" t="s">
        <v>25</v>
      </c>
      <c r="H67" s="56" t="s">
        <v>25</v>
      </c>
      <c r="I67" s="56" t="s">
        <v>25</v>
      </c>
      <c r="J67" s="56" t="s">
        <v>547</v>
      </c>
      <c r="K67" s="56" t="s">
        <v>548</v>
      </c>
      <c r="L67" s="56" t="s">
        <v>70</v>
      </c>
      <c r="M67" s="56">
        <v>2021</v>
      </c>
      <c r="N67" s="56">
        <v>0</v>
      </c>
      <c r="O67" s="56">
        <v>212.83</v>
      </c>
      <c r="P67" s="56"/>
    </row>
    <row r="68" spans="1:16" ht="11.25" customHeight="1" x14ac:dyDescent="0.25">
      <c r="A68" s="56">
        <v>67</v>
      </c>
      <c r="B68" s="56" t="s">
        <v>436</v>
      </c>
      <c r="C68" s="56" t="s">
        <v>39</v>
      </c>
      <c r="D68" s="56" t="s">
        <v>69</v>
      </c>
      <c r="E68" s="56" t="s">
        <v>40</v>
      </c>
      <c r="F68" s="56" t="s">
        <v>25</v>
      </c>
      <c r="G68" s="56" t="s">
        <v>25</v>
      </c>
      <c r="H68" s="56" t="s">
        <v>25</v>
      </c>
      <c r="I68" s="56" t="s">
        <v>50</v>
      </c>
      <c r="J68" s="56" t="s">
        <v>547</v>
      </c>
      <c r="K68" s="56" t="s">
        <v>548</v>
      </c>
      <c r="L68" s="56" t="s">
        <v>70</v>
      </c>
      <c r="M68" s="56">
        <v>2021</v>
      </c>
      <c r="N68" s="56">
        <v>0</v>
      </c>
      <c r="O68" s="56">
        <v>202.28</v>
      </c>
      <c r="P68" s="56"/>
    </row>
    <row r="69" spans="1:16" ht="11.25" customHeight="1" x14ac:dyDescent="0.25">
      <c r="A69" s="56">
        <v>68</v>
      </c>
      <c r="B69" s="56" t="s">
        <v>436</v>
      </c>
      <c r="C69" s="56" t="s">
        <v>39</v>
      </c>
      <c r="D69" s="56" t="s">
        <v>69</v>
      </c>
      <c r="E69" s="56" t="s">
        <v>40</v>
      </c>
      <c r="F69" s="56" t="s">
        <v>25</v>
      </c>
      <c r="G69" s="56" t="s">
        <v>25</v>
      </c>
      <c r="H69" s="56" t="s">
        <v>25</v>
      </c>
      <c r="I69" s="56" t="s">
        <v>36</v>
      </c>
      <c r="J69" s="56" t="s">
        <v>547</v>
      </c>
      <c r="K69" s="56" t="s">
        <v>548</v>
      </c>
      <c r="L69" s="56" t="s">
        <v>70</v>
      </c>
      <c r="M69" s="56">
        <v>2021</v>
      </c>
      <c r="N69" s="56">
        <v>0</v>
      </c>
      <c r="O69" s="56">
        <v>328.86</v>
      </c>
      <c r="P69" s="56"/>
    </row>
    <row r="70" spans="1:16" ht="11.25" customHeight="1" x14ac:dyDescent="0.25">
      <c r="A70" s="56">
        <v>69</v>
      </c>
      <c r="B70" s="56" t="s">
        <v>436</v>
      </c>
      <c r="C70" s="56" t="s">
        <v>39</v>
      </c>
      <c r="D70" s="56" t="s">
        <v>84</v>
      </c>
      <c r="E70" s="56" t="s">
        <v>40</v>
      </c>
      <c r="F70" s="56" t="s">
        <v>86</v>
      </c>
      <c r="G70" s="56" t="s">
        <v>25</v>
      </c>
      <c r="H70" s="56" t="s">
        <v>25</v>
      </c>
      <c r="I70" s="56" t="s">
        <v>25</v>
      </c>
      <c r="J70" s="56" t="s">
        <v>547</v>
      </c>
      <c r="K70" s="56" t="s">
        <v>548</v>
      </c>
      <c r="L70" s="56" t="s">
        <v>70</v>
      </c>
      <c r="M70" s="56">
        <v>2021</v>
      </c>
      <c r="N70" s="56">
        <v>0</v>
      </c>
      <c r="O70" s="56">
        <v>212.83</v>
      </c>
      <c r="P70" s="56"/>
    </row>
    <row r="71" spans="1:16" ht="11.25" customHeight="1" x14ac:dyDescent="0.25">
      <c r="A71" s="56">
        <v>70</v>
      </c>
      <c r="B71" s="56" t="s">
        <v>436</v>
      </c>
      <c r="C71" s="56" t="s">
        <v>42</v>
      </c>
      <c r="D71" s="56" t="s">
        <v>73</v>
      </c>
      <c r="E71" s="56" t="s">
        <v>43</v>
      </c>
      <c r="F71" s="56" t="s">
        <v>44</v>
      </c>
      <c r="G71" s="56" t="s">
        <v>25</v>
      </c>
      <c r="H71" s="56" t="s">
        <v>25</v>
      </c>
      <c r="I71" s="56" t="s">
        <v>25</v>
      </c>
      <c r="J71" s="56" t="s">
        <v>547</v>
      </c>
      <c r="K71" s="56" t="s">
        <v>548</v>
      </c>
      <c r="L71" s="56" t="s">
        <v>70</v>
      </c>
      <c r="M71" s="56">
        <v>2021</v>
      </c>
      <c r="N71" s="56">
        <v>0</v>
      </c>
      <c r="O71" s="56">
        <v>133.02000000000001</v>
      </c>
      <c r="P71" s="56"/>
    </row>
    <row r="72" spans="1:16" ht="11.25" customHeight="1" x14ac:dyDescent="0.25">
      <c r="A72" s="56">
        <v>71</v>
      </c>
      <c r="B72" s="56" t="s">
        <v>436</v>
      </c>
      <c r="C72" s="56" t="s">
        <v>22</v>
      </c>
      <c r="D72" s="56" t="s">
        <v>84</v>
      </c>
      <c r="E72" s="56" t="s">
        <v>24</v>
      </c>
      <c r="F72" s="56" t="s">
        <v>28</v>
      </c>
      <c r="G72" s="56" t="s">
        <v>25</v>
      </c>
      <c r="H72" s="56" t="s">
        <v>25</v>
      </c>
      <c r="I72" s="56" t="s">
        <v>25</v>
      </c>
      <c r="J72" s="56" t="s">
        <v>547</v>
      </c>
      <c r="K72" s="56" t="s">
        <v>548</v>
      </c>
      <c r="L72" s="56" t="s">
        <v>70</v>
      </c>
      <c r="M72" s="56">
        <v>2021</v>
      </c>
      <c r="N72" s="56">
        <v>0</v>
      </c>
      <c r="O72" s="56">
        <v>84.65</v>
      </c>
      <c r="P72" s="56"/>
    </row>
    <row r="73" spans="1:16" ht="11.25" customHeight="1" x14ac:dyDescent="0.25">
      <c r="A73" s="56">
        <v>72</v>
      </c>
      <c r="B73" s="56" t="s">
        <v>436</v>
      </c>
      <c r="C73" s="56" t="s">
        <v>39</v>
      </c>
      <c r="D73" s="56" t="s">
        <v>69</v>
      </c>
      <c r="E73" s="56" t="s">
        <v>40</v>
      </c>
      <c r="F73" s="56" t="s">
        <v>87</v>
      </c>
      <c r="G73" s="56" t="s">
        <v>25</v>
      </c>
      <c r="H73" s="56" t="s">
        <v>25</v>
      </c>
      <c r="I73" s="56" t="s">
        <v>50</v>
      </c>
      <c r="J73" s="56" t="s">
        <v>547</v>
      </c>
      <c r="K73" s="56" t="s">
        <v>548</v>
      </c>
      <c r="L73" s="56" t="s">
        <v>70</v>
      </c>
      <c r="M73" s="56">
        <v>2021</v>
      </c>
      <c r="N73" s="56">
        <v>0</v>
      </c>
      <c r="O73" s="56">
        <v>193.09</v>
      </c>
      <c r="P73" s="56"/>
    </row>
    <row r="74" spans="1:16" ht="11.25" customHeight="1" x14ac:dyDescent="0.25">
      <c r="A74" s="56">
        <v>73</v>
      </c>
      <c r="B74" s="56" t="s">
        <v>436</v>
      </c>
      <c r="C74" s="56" t="s">
        <v>39</v>
      </c>
      <c r="D74" s="56" t="s">
        <v>84</v>
      </c>
      <c r="E74" s="56" t="s">
        <v>40</v>
      </c>
      <c r="F74" s="56" t="s">
        <v>87</v>
      </c>
      <c r="G74" s="56" t="s">
        <v>25</v>
      </c>
      <c r="H74" s="56" t="s">
        <v>25</v>
      </c>
      <c r="I74" s="56" t="s">
        <v>25</v>
      </c>
      <c r="J74" s="56" t="s">
        <v>547</v>
      </c>
      <c r="K74" s="56" t="s">
        <v>548</v>
      </c>
      <c r="L74" s="56" t="s">
        <v>70</v>
      </c>
      <c r="M74" s="56">
        <v>2021</v>
      </c>
      <c r="N74" s="56">
        <v>0</v>
      </c>
      <c r="O74" s="56">
        <v>203.16</v>
      </c>
      <c r="P74" s="56"/>
    </row>
    <row r="75" spans="1:16" ht="11.25" customHeight="1" x14ac:dyDescent="0.25">
      <c r="A75" s="56">
        <v>74</v>
      </c>
      <c r="B75" s="56" t="s">
        <v>436</v>
      </c>
      <c r="C75" s="56" t="s">
        <v>22</v>
      </c>
      <c r="D75" s="56" t="s">
        <v>84</v>
      </c>
      <c r="E75" s="56" t="s">
        <v>24</v>
      </c>
      <c r="F75" s="56" t="s">
        <v>31</v>
      </c>
      <c r="G75" s="56" t="s">
        <v>25</v>
      </c>
      <c r="H75" s="56" t="s">
        <v>25</v>
      </c>
      <c r="I75" s="56" t="s">
        <v>25</v>
      </c>
      <c r="J75" s="56" t="s">
        <v>547</v>
      </c>
      <c r="K75" s="56" t="s">
        <v>548</v>
      </c>
      <c r="L75" s="56" t="s">
        <v>70</v>
      </c>
      <c r="M75" s="56">
        <v>2021</v>
      </c>
      <c r="N75" s="56">
        <v>0</v>
      </c>
      <c r="O75" s="56">
        <v>241.85</v>
      </c>
      <c r="P75" s="56"/>
    </row>
    <row r="76" spans="1:16" ht="11.25" customHeight="1" x14ac:dyDescent="0.25">
      <c r="A76" s="56">
        <v>75</v>
      </c>
      <c r="B76" s="56" t="s">
        <v>436</v>
      </c>
      <c r="C76" s="56" t="s">
        <v>22</v>
      </c>
      <c r="D76" s="56" t="s">
        <v>84</v>
      </c>
      <c r="E76" s="56" t="s">
        <v>24</v>
      </c>
      <c r="F76" s="56" t="s">
        <v>29</v>
      </c>
      <c r="G76" s="56" t="s">
        <v>25</v>
      </c>
      <c r="H76" s="56" t="s">
        <v>25</v>
      </c>
      <c r="I76" s="56" t="s">
        <v>25</v>
      </c>
      <c r="J76" s="56" t="s">
        <v>547</v>
      </c>
      <c r="K76" s="56" t="s">
        <v>548</v>
      </c>
      <c r="L76" s="56" t="s">
        <v>70</v>
      </c>
      <c r="M76" s="56">
        <v>2021</v>
      </c>
      <c r="N76" s="56">
        <v>0</v>
      </c>
      <c r="O76" s="56">
        <v>145.11000000000001</v>
      </c>
      <c r="P76" s="56"/>
    </row>
    <row r="77" spans="1:16" ht="11.25" customHeight="1" x14ac:dyDescent="0.25">
      <c r="A77" s="56">
        <v>76</v>
      </c>
      <c r="B77" s="56" t="s">
        <v>436</v>
      </c>
      <c r="C77" s="56" t="s">
        <v>39</v>
      </c>
      <c r="D77" s="56" t="s">
        <v>69</v>
      </c>
      <c r="E77" s="56" t="s">
        <v>40</v>
      </c>
      <c r="F77" s="56" t="s">
        <v>87</v>
      </c>
      <c r="G77" s="56" t="s">
        <v>25</v>
      </c>
      <c r="H77" s="56" t="s">
        <v>25</v>
      </c>
      <c r="I77" s="56" t="s">
        <v>37</v>
      </c>
      <c r="J77" s="56" t="s">
        <v>547</v>
      </c>
      <c r="K77" s="56" t="s">
        <v>548</v>
      </c>
      <c r="L77" s="56" t="s">
        <v>70</v>
      </c>
      <c r="M77" s="56">
        <v>2021</v>
      </c>
      <c r="N77" s="56">
        <v>0</v>
      </c>
      <c r="O77" s="56">
        <v>193.09</v>
      </c>
      <c r="P77" s="56"/>
    </row>
    <row r="78" spans="1:16" ht="11.25" customHeight="1" x14ac:dyDescent="0.25">
      <c r="A78" s="56">
        <v>77</v>
      </c>
      <c r="B78" s="56" t="s">
        <v>436</v>
      </c>
      <c r="C78" s="56" t="s">
        <v>22</v>
      </c>
      <c r="D78" s="56" t="s">
        <v>84</v>
      </c>
      <c r="E78" s="56" t="s">
        <v>24</v>
      </c>
      <c r="F78" s="56" t="s">
        <v>30</v>
      </c>
      <c r="G78" s="56" t="s">
        <v>25</v>
      </c>
      <c r="H78" s="56" t="s">
        <v>25</v>
      </c>
      <c r="I78" s="56" t="s">
        <v>25</v>
      </c>
      <c r="J78" s="56" t="s">
        <v>547</v>
      </c>
      <c r="K78" s="56" t="s">
        <v>548</v>
      </c>
      <c r="L78" s="56" t="s">
        <v>70</v>
      </c>
      <c r="M78" s="56">
        <v>2021</v>
      </c>
      <c r="N78" s="56">
        <v>0</v>
      </c>
      <c r="O78" s="56">
        <v>217.67</v>
      </c>
      <c r="P78" s="56"/>
    </row>
    <row r="79" spans="1:16" ht="11.25" customHeight="1" x14ac:dyDescent="0.25">
      <c r="A79" s="56">
        <v>78</v>
      </c>
      <c r="B79" s="56" t="s">
        <v>436</v>
      </c>
      <c r="C79" s="56" t="s">
        <v>39</v>
      </c>
      <c r="D79" s="56" t="s">
        <v>73</v>
      </c>
      <c r="E79" s="56" t="s">
        <v>40</v>
      </c>
      <c r="F79" s="56" t="s">
        <v>87</v>
      </c>
      <c r="G79" s="56" t="s">
        <v>25</v>
      </c>
      <c r="H79" s="56" t="s">
        <v>25</v>
      </c>
      <c r="I79" s="56" t="s">
        <v>25</v>
      </c>
      <c r="J79" s="56" t="s">
        <v>547</v>
      </c>
      <c r="K79" s="56" t="s">
        <v>548</v>
      </c>
      <c r="L79" s="56" t="s">
        <v>70</v>
      </c>
      <c r="M79" s="56">
        <v>2021</v>
      </c>
      <c r="N79" s="56">
        <v>0</v>
      </c>
      <c r="O79" s="56">
        <v>203.16</v>
      </c>
      <c r="P79" s="56"/>
    </row>
    <row r="80" spans="1:16" ht="11.25" customHeight="1" x14ac:dyDescent="0.25">
      <c r="A80" s="56">
        <v>79</v>
      </c>
      <c r="B80" s="56" t="s">
        <v>436</v>
      </c>
      <c r="C80" s="56" t="s">
        <v>39</v>
      </c>
      <c r="D80" s="56" t="s">
        <v>84</v>
      </c>
      <c r="E80" s="56" t="s">
        <v>40</v>
      </c>
      <c r="F80" s="56" t="s">
        <v>25</v>
      </c>
      <c r="G80" s="56" t="s">
        <v>25</v>
      </c>
      <c r="H80" s="56" t="s">
        <v>25</v>
      </c>
      <c r="I80" s="56" t="s">
        <v>25</v>
      </c>
      <c r="J80" s="56" t="s">
        <v>547</v>
      </c>
      <c r="K80" s="56" t="s">
        <v>548</v>
      </c>
      <c r="L80" s="56" t="s">
        <v>70</v>
      </c>
      <c r="M80" s="56">
        <v>2021</v>
      </c>
      <c r="N80" s="56">
        <v>0</v>
      </c>
      <c r="O80" s="56">
        <v>212.83</v>
      </c>
      <c r="P80" s="56"/>
    </row>
    <row r="81" spans="1:16" ht="11.25" customHeight="1" x14ac:dyDescent="0.25">
      <c r="A81" s="56">
        <v>80</v>
      </c>
      <c r="B81" s="56" t="s">
        <v>436</v>
      </c>
      <c r="C81" s="56" t="s">
        <v>32</v>
      </c>
      <c r="D81" s="56" t="s">
        <v>69</v>
      </c>
      <c r="E81" s="56" t="s">
        <v>25</v>
      </c>
      <c r="F81" s="56" t="s">
        <v>25</v>
      </c>
      <c r="G81" s="56" t="s">
        <v>25</v>
      </c>
      <c r="H81" s="56" t="s">
        <v>25</v>
      </c>
      <c r="I81" s="56" t="s">
        <v>50</v>
      </c>
      <c r="J81" s="56" t="s">
        <v>547</v>
      </c>
      <c r="K81" s="56" t="s">
        <v>548</v>
      </c>
      <c r="L81" s="56" t="s">
        <v>70</v>
      </c>
      <c r="M81" s="56">
        <v>2021</v>
      </c>
      <c r="N81" s="56">
        <v>0</v>
      </c>
      <c r="O81" s="56">
        <v>229.87</v>
      </c>
      <c r="P81" s="56"/>
    </row>
    <row r="82" spans="1:16" ht="11.25" customHeight="1" x14ac:dyDescent="0.25">
      <c r="A82" s="56">
        <v>81</v>
      </c>
      <c r="B82" s="56" t="s">
        <v>436</v>
      </c>
      <c r="C82" s="56" t="s">
        <v>39</v>
      </c>
      <c r="D82" s="56" t="s">
        <v>69</v>
      </c>
      <c r="E82" s="56" t="s">
        <v>40</v>
      </c>
      <c r="F82" s="56" t="s">
        <v>87</v>
      </c>
      <c r="G82" s="56" t="s">
        <v>25</v>
      </c>
      <c r="H82" s="56" t="s">
        <v>25</v>
      </c>
      <c r="I82" s="56" t="s">
        <v>36</v>
      </c>
      <c r="J82" s="56" t="s">
        <v>547</v>
      </c>
      <c r="K82" s="56" t="s">
        <v>548</v>
      </c>
      <c r="L82" s="56" t="s">
        <v>70</v>
      </c>
      <c r="M82" s="56">
        <v>2021</v>
      </c>
      <c r="N82" s="56">
        <v>0</v>
      </c>
      <c r="O82" s="56">
        <v>313.91000000000003</v>
      </c>
      <c r="P82" s="56"/>
    </row>
    <row r="83" spans="1:16" ht="11.25" customHeight="1" x14ac:dyDescent="0.25">
      <c r="A83" s="56">
        <v>82</v>
      </c>
      <c r="B83" s="56" t="s">
        <v>436</v>
      </c>
      <c r="C83" s="56" t="s">
        <v>42</v>
      </c>
      <c r="D83" s="56" t="s">
        <v>73</v>
      </c>
      <c r="E83" s="56" t="s">
        <v>43</v>
      </c>
      <c r="F83" s="56" t="s">
        <v>88</v>
      </c>
      <c r="G83" s="56" t="s">
        <v>25</v>
      </c>
      <c r="H83" s="56" t="s">
        <v>25</v>
      </c>
      <c r="I83" s="56" t="s">
        <v>25</v>
      </c>
      <c r="J83" s="56" t="s">
        <v>547</v>
      </c>
      <c r="K83" s="56" t="s">
        <v>548</v>
      </c>
      <c r="L83" s="56" t="s">
        <v>70</v>
      </c>
      <c r="M83" s="56">
        <v>2021</v>
      </c>
      <c r="N83" s="56">
        <v>0</v>
      </c>
      <c r="O83" s="56">
        <v>145.11000000000001</v>
      </c>
      <c r="P83" s="56"/>
    </row>
    <row r="84" spans="1:16" ht="11.25" customHeight="1" x14ac:dyDescent="0.25">
      <c r="A84" s="56">
        <v>83</v>
      </c>
      <c r="B84" s="56" t="s">
        <v>436</v>
      </c>
      <c r="C84" s="56" t="s">
        <v>32</v>
      </c>
      <c r="D84" s="56" t="s">
        <v>73</v>
      </c>
      <c r="E84" s="56" t="s">
        <v>25</v>
      </c>
      <c r="F84" s="56" t="s">
        <v>25</v>
      </c>
      <c r="G84" s="56" t="s">
        <v>25</v>
      </c>
      <c r="H84" s="56" t="s">
        <v>25</v>
      </c>
      <c r="I84" s="56" t="s">
        <v>25</v>
      </c>
      <c r="J84" s="56" t="s">
        <v>547</v>
      </c>
      <c r="K84" s="56" t="s">
        <v>548</v>
      </c>
      <c r="L84" s="56" t="s">
        <v>70</v>
      </c>
      <c r="M84" s="56">
        <v>2021</v>
      </c>
      <c r="N84" s="56">
        <v>0</v>
      </c>
      <c r="O84" s="56">
        <v>241.85</v>
      </c>
      <c r="P84" s="56"/>
    </row>
    <row r="85" spans="1:16" ht="11.25" customHeight="1" x14ac:dyDescent="0.25">
      <c r="A85" s="56">
        <v>84</v>
      </c>
      <c r="B85" s="56" t="s">
        <v>436</v>
      </c>
      <c r="C85" s="56" t="s">
        <v>32</v>
      </c>
      <c r="D85" s="56" t="s">
        <v>69</v>
      </c>
      <c r="E85" s="56" t="s">
        <v>25</v>
      </c>
      <c r="F85" s="56" t="s">
        <v>25</v>
      </c>
      <c r="G85" s="56" t="s">
        <v>25</v>
      </c>
      <c r="H85" s="56" t="s">
        <v>25</v>
      </c>
      <c r="I85" s="56" t="s">
        <v>37</v>
      </c>
      <c r="J85" s="56" t="s">
        <v>547</v>
      </c>
      <c r="K85" s="56" t="s">
        <v>548</v>
      </c>
      <c r="L85" s="56" t="s">
        <v>70</v>
      </c>
      <c r="M85" s="56">
        <v>2021</v>
      </c>
      <c r="N85" s="56">
        <v>0</v>
      </c>
      <c r="O85" s="56">
        <v>229.87</v>
      </c>
      <c r="P85" s="56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67344-929C-4A1C-8D6C-CCC7216CC10C}">
  <dimension ref="A1:AD49"/>
  <sheetViews>
    <sheetView showGridLines="0" workbookViewId="0">
      <selection activeCell="A2" sqref="A2:A11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60</v>
      </c>
      <c r="B1" s="10" t="s">
        <v>61</v>
      </c>
      <c r="C1" s="10" t="s">
        <v>62</v>
      </c>
      <c r="D1" s="10" t="s">
        <v>63</v>
      </c>
      <c r="E1" s="10" t="s">
        <v>64</v>
      </c>
      <c r="F1" s="10" t="s">
        <v>65</v>
      </c>
      <c r="G1" s="10" t="s">
        <v>66</v>
      </c>
      <c r="H1" s="10" t="s">
        <v>67</v>
      </c>
      <c r="I1" s="11">
        <v>44378</v>
      </c>
      <c r="J1" s="11">
        <v>44409</v>
      </c>
      <c r="K1" s="11">
        <v>44440</v>
      </c>
      <c r="L1" s="11">
        <v>44470</v>
      </c>
      <c r="M1" s="11">
        <v>44501</v>
      </c>
      <c r="N1" s="11">
        <v>44531</v>
      </c>
      <c r="O1" s="11">
        <v>44562</v>
      </c>
      <c r="P1" s="11">
        <v>44593</v>
      </c>
      <c r="Q1" s="11">
        <v>44621</v>
      </c>
      <c r="R1" s="11">
        <v>44652</v>
      </c>
      <c r="S1" s="11">
        <v>44682</v>
      </c>
      <c r="T1" s="11">
        <v>44713</v>
      </c>
      <c r="U1" s="10" t="s">
        <v>68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18" t="s">
        <v>34</v>
      </c>
      <c r="B2" s="118" t="s">
        <v>51</v>
      </c>
      <c r="C2" s="118" t="s">
        <v>25</v>
      </c>
      <c r="D2" s="118" t="s">
        <v>25</v>
      </c>
      <c r="E2" s="118" t="s">
        <v>25</v>
      </c>
      <c r="F2" s="118" t="s">
        <v>25</v>
      </c>
      <c r="G2" s="12" t="s">
        <v>76</v>
      </c>
      <c r="H2" s="12" t="s">
        <v>75</v>
      </c>
      <c r="I2" s="12">
        <f>SUMIF(Mercado_Receita!$S$2:$S$444,"44378A4AzulNão se aplicaNão se aplicaNão se aplicaNão se aplicaPonta",Mercado_Receita!$J$2:$J$444)+SUMIF(Mercado_Receita!$S$2:$S$444,"44378A4AzulNão se aplicaNão se aplicaAPENão se aplicaPonta",Mercado_Receita!$J$2:$J$444)</f>
        <v>1700</v>
      </c>
      <c r="J2" s="12">
        <f>SUMIF(Mercado_Receita!$S$2:$S$444,"44409A4AzulNão se aplicaNão se aplicaNão se aplicaNão se aplicaPonta",Mercado_Receita!$J$2:$J$444)+SUMIF(Mercado_Receita!$S$2:$S$444,"44409A4AzulNão se aplicaNão se aplicaAPENão se aplicaPonta",Mercado_Receita!$J$2:$J$444)</f>
        <v>1757</v>
      </c>
      <c r="K2" s="12">
        <f>SUMIF(Mercado_Receita!$S$2:$S$444,"44440A4AzulNão se aplicaNão se aplicaNão se aplicaNão se aplicaPonta",Mercado_Receita!$J$2:$J$444)+SUMIF(Mercado_Receita!$S$2:$S$444,"44440A4AzulNão se aplicaNão se aplicaAPENão se aplicaPonta",Mercado_Receita!$J$2:$J$444)</f>
        <v>1700</v>
      </c>
      <c r="L2" s="12">
        <f>SUMIF(Mercado_Receita!$S$2:$S$444,"44470A4AzulNão se aplicaNão se aplicaNão se aplicaNão se aplicaPonta",Mercado_Receita!$J$2:$J$444)+SUMIF(Mercado_Receita!$S$2:$S$444,"44470A4AzulNão se aplicaNão se aplicaAPENão se aplicaPonta",Mercado_Receita!$J$2:$J$444)</f>
        <v>1730</v>
      </c>
      <c r="M2" s="12">
        <f>SUMIF(Mercado_Receita!$S$2:$S$444,"44501A4AzulNão se aplicaNão se aplicaNão se aplicaNão se aplicaPonta",Mercado_Receita!$J$2:$J$444)+SUMIF(Mercado_Receita!$S$2:$S$444,"44501A4AzulNão se aplicaNão se aplicaAPENão se aplicaPonta",Mercado_Receita!$J$2:$J$444)</f>
        <v>1700</v>
      </c>
      <c r="N2" s="12">
        <f>SUMIF(Mercado_Receita!$S$2:$S$444,"44531A4AzulNão se aplicaNão se aplicaNão se aplicaNão se aplicaPonta",Mercado_Receita!$J$2:$J$444)+SUMIF(Mercado_Receita!$S$2:$S$444,"44531A4AzulNão se aplicaNão se aplicaAPENão se aplicaPonta",Mercado_Receita!$J$2:$J$444)</f>
        <v>1700</v>
      </c>
      <c r="O2" s="12">
        <f>SUMIF(Mercado_Receita!$S$2:$S$444,"44562A4AzulNão se aplicaNão se aplicaNão se aplicaNão se aplicaPonta",Mercado_Receita!$J$2:$J$444)+SUMIF(Mercado_Receita!$S$2:$S$444,"44562A4AzulNão se aplicaNão se aplicaAPENão se aplicaPonta",Mercado_Receita!$J$2:$J$444)</f>
        <v>1700</v>
      </c>
      <c r="P2" s="12">
        <f>SUMIF(Mercado_Receita!$S$2:$S$444,"44593A4AzulNão se aplicaNão se aplicaNão se aplicaNão se aplicaPonta",Mercado_Receita!$J$2:$J$444)+SUMIF(Mercado_Receita!$S$2:$S$444,"44593A4AzulNão se aplicaNão se aplicaAPENão se aplicaPonta",Mercado_Receita!$J$2:$J$444)</f>
        <v>1700</v>
      </c>
      <c r="Q2" s="12">
        <f>SUMIF(Mercado_Receita!$S$2:$S$444,"44621A4AzulNão se aplicaNão se aplicaNão se aplicaNão se aplicaPonta",Mercado_Receita!$J$2:$J$444)+SUMIF(Mercado_Receita!$S$2:$S$444,"44621A4AzulNão se aplicaNão se aplicaAPENão se aplicaPonta",Mercado_Receita!$J$2:$J$444)</f>
        <v>1700</v>
      </c>
      <c r="R2" s="12">
        <f>SUMIF(Mercado_Receita!$S$2:$S$444,"44652A4AzulNão se aplicaNão se aplicaNão se aplicaNão se aplicaPonta",Mercado_Receita!$J$2:$J$444)+SUMIF(Mercado_Receita!$S$2:$S$444,"44652A4AzulNão se aplicaNão se aplicaAPENão se aplicaPonta",Mercado_Receita!$J$2:$J$444)</f>
        <v>1700</v>
      </c>
      <c r="S2" s="12">
        <f>SUMIF(Mercado_Receita!$S$2:$S$444,"44682A4AzulNão se aplicaNão se aplicaNão se aplicaNão se aplicaPonta",Mercado_Receita!$J$2:$J$444)+SUMIF(Mercado_Receita!$S$2:$S$444,"44682A4AzulNão se aplicaNão se aplicaAPENão se aplicaPonta",Mercado_Receita!$J$2:$J$444)</f>
        <v>1700</v>
      </c>
      <c r="T2" s="12">
        <f>SUMIF(Mercado_Receita!$S$2:$S$444,"44713A4AzulNão se aplicaNão se aplicaNão se aplicaNão se aplicaPonta",Mercado_Receita!$J$2:$J$444)+SUMIF(Mercado_Receita!$S$2:$S$444,"44713A4AzulNão se aplicaNão se aplicaAPENão se aplicaPonta",Mercado_Receita!$J$2:$J$444)</f>
        <v>1700</v>
      </c>
      <c r="U2" s="12">
        <f t="shared" ref="U2:U48" si="0">SUM(I2:T2)</f>
        <v>20487</v>
      </c>
      <c r="V2" s="12"/>
      <c r="W2" s="12"/>
    </row>
    <row r="3" spans="1:30" ht="11.25" customHeight="1" x14ac:dyDescent="0.25">
      <c r="A3" s="119"/>
      <c r="B3" s="119"/>
      <c r="C3" s="119"/>
      <c r="D3" s="119"/>
      <c r="E3" s="119"/>
      <c r="F3" s="119"/>
      <c r="G3" s="12" t="s">
        <v>77</v>
      </c>
      <c r="H3" s="12" t="s">
        <v>75</v>
      </c>
      <c r="I3" s="12">
        <f>SUMIF(Mercado_Receita!$S$2:$S$444,"44378A4AzulNão se aplicaNão se aplicaNão se aplicaNão se aplicaFora ponta",Mercado_Receita!$J$2:$J$444)+SUMIF(Mercado_Receita!$S$2:$S$444,"44378A4AzulNão se aplicaNão se aplicaAPENão se aplicaFora ponta",Mercado_Receita!$J$2:$J$444)</f>
        <v>1800</v>
      </c>
      <c r="J3" s="12">
        <f>SUMIF(Mercado_Receita!$S$2:$S$444,"44409A4AzulNão se aplicaNão se aplicaNão se aplicaNão se aplicaFora ponta",Mercado_Receita!$J$2:$J$444)+SUMIF(Mercado_Receita!$S$2:$S$444,"44409A4AzulNão se aplicaNão se aplicaAPENão se aplicaFora ponta",Mercado_Receita!$J$2:$J$444)</f>
        <v>1802</v>
      </c>
      <c r="K3" s="12">
        <f>SUMIF(Mercado_Receita!$S$2:$S$444,"44440A4AzulNão se aplicaNão se aplicaNão se aplicaNão se aplicaFora ponta",Mercado_Receita!$J$2:$J$444)+SUMIF(Mercado_Receita!$S$2:$S$444,"44440A4AzulNão se aplicaNão se aplicaAPENão se aplicaFora ponta",Mercado_Receita!$J$2:$J$444)</f>
        <v>1800</v>
      </c>
      <c r="L3" s="12">
        <f>SUMIF(Mercado_Receita!$S$2:$S$444,"44470A4AzulNão se aplicaNão se aplicaNão se aplicaNão se aplicaFora ponta",Mercado_Receita!$J$2:$J$444)+SUMIF(Mercado_Receita!$S$2:$S$444,"44470A4AzulNão se aplicaNão se aplicaAPENão se aplicaFora ponta",Mercado_Receita!$J$2:$J$444)</f>
        <v>1813</v>
      </c>
      <c r="M3" s="12">
        <f>SUMIF(Mercado_Receita!$S$2:$S$444,"44501A4AzulNão se aplicaNão se aplicaNão se aplicaNão se aplicaFora ponta",Mercado_Receita!$J$2:$J$444)+SUMIF(Mercado_Receita!$S$2:$S$444,"44501A4AzulNão se aplicaNão se aplicaAPENão se aplicaFora ponta",Mercado_Receita!$J$2:$J$444)</f>
        <v>1809</v>
      </c>
      <c r="N3" s="12">
        <f>SUMIF(Mercado_Receita!$S$2:$S$444,"44531A4AzulNão se aplicaNão se aplicaNão se aplicaNão se aplicaFora ponta",Mercado_Receita!$J$2:$J$444)+SUMIF(Mercado_Receita!$S$2:$S$444,"44531A4AzulNão se aplicaNão se aplicaAPENão se aplicaFora ponta",Mercado_Receita!$J$2:$J$444)</f>
        <v>1800</v>
      </c>
      <c r="O3" s="12">
        <f>SUMIF(Mercado_Receita!$S$2:$S$444,"44562A4AzulNão se aplicaNão se aplicaNão se aplicaNão se aplicaFora ponta",Mercado_Receita!$J$2:$J$444)+SUMIF(Mercado_Receita!$S$2:$S$444,"44562A4AzulNão se aplicaNão se aplicaAPENão se aplicaFora ponta",Mercado_Receita!$J$2:$J$444)</f>
        <v>1800</v>
      </c>
      <c r="P3" s="12">
        <f>SUMIF(Mercado_Receita!$S$2:$S$444,"44593A4AzulNão se aplicaNão se aplicaNão se aplicaNão se aplicaFora ponta",Mercado_Receita!$J$2:$J$444)+SUMIF(Mercado_Receita!$S$2:$S$444,"44593A4AzulNão se aplicaNão se aplicaAPENão se aplicaFora ponta",Mercado_Receita!$J$2:$J$444)</f>
        <v>1800</v>
      </c>
      <c r="Q3" s="12">
        <f>SUMIF(Mercado_Receita!$S$2:$S$444,"44621A4AzulNão se aplicaNão se aplicaNão se aplicaNão se aplicaFora ponta",Mercado_Receita!$J$2:$J$444)+SUMIF(Mercado_Receita!$S$2:$S$444,"44621A4AzulNão se aplicaNão se aplicaAPENão se aplicaFora ponta",Mercado_Receita!$J$2:$J$444)</f>
        <v>1800</v>
      </c>
      <c r="R3" s="12">
        <f>SUMIF(Mercado_Receita!$S$2:$S$444,"44652A4AzulNão se aplicaNão se aplicaNão se aplicaNão se aplicaFora ponta",Mercado_Receita!$J$2:$J$444)+SUMIF(Mercado_Receita!$S$2:$S$444,"44652A4AzulNão se aplicaNão se aplicaAPENão se aplicaFora ponta",Mercado_Receita!$J$2:$J$444)</f>
        <v>1800</v>
      </c>
      <c r="S3" s="12">
        <f>SUMIF(Mercado_Receita!$S$2:$S$444,"44682A4AzulNão se aplicaNão se aplicaNão se aplicaNão se aplicaFora ponta",Mercado_Receita!$J$2:$J$444)+SUMIF(Mercado_Receita!$S$2:$S$444,"44682A4AzulNão se aplicaNão se aplicaAPENão se aplicaFora ponta",Mercado_Receita!$J$2:$J$444)</f>
        <v>1800</v>
      </c>
      <c r="T3" s="12">
        <f>SUMIF(Mercado_Receita!$S$2:$S$444,"44713A4AzulNão se aplicaNão se aplicaNão se aplicaNão se aplicaFora ponta",Mercado_Receita!$J$2:$J$444)+SUMIF(Mercado_Receita!$S$2:$S$444,"44713A4AzulNão se aplicaNão se aplicaAPENão se aplicaFora ponta",Mercado_Receita!$J$2:$J$444)</f>
        <v>1800</v>
      </c>
      <c r="U3" s="12">
        <f t="shared" si="0"/>
        <v>21624</v>
      </c>
      <c r="V3" s="12"/>
      <c r="W3" s="12"/>
    </row>
    <row r="4" spans="1:30" ht="11.25" customHeight="1" x14ac:dyDescent="0.25">
      <c r="A4" s="119"/>
      <c r="B4" s="119"/>
      <c r="C4" s="119"/>
      <c r="D4" s="119"/>
      <c r="E4" s="119"/>
      <c r="F4" s="119"/>
      <c r="G4" s="12" t="s">
        <v>74</v>
      </c>
      <c r="H4" s="12" t="s">
        <v>70</v>
      </c>
      <c r="I4" s="12">
        <f>SUMIF(Mercado_Receita!$S$2:$S$444,"44378A4AzulNão se aplicaNão se aplicaNão se aplicaNão se aplicaPonta",Mercado_Receita!$L$2:$L$444)+SUMIF(Mercado_Receita!$S$2:$S$444,"44378A4AzulNão se aplicaNão se aplicaNão se aplicaNão se aplicaFora ponta",Mercado_Receita!$L$2:$L$444)+SUMIF(Mercado_Receita!$S$2:$S$444,"44378A4AzulNão se aplicaNão se aplicaNão se aplicaNão se aplicaIntermediário",Mercado_Receita!$L$2:$L$444)+SUMIF(Mercado_Receita!$S$2:$S$444,"44378A4AzulNão se aplicaNão se aplicaNão se aplicaNão se aplicaNão se aplica",Mercado_Receita!$L$2:$L$444)</f>
        <v>816.21</v>
      </c>
      <c r="J4" s="12">
        <f>SUMIF(Mercado_Receita!$S$2:$S$444,"44409A4AzulNão se aplicaNão se aplicaNão se aplicaNão se aplicaPonta",Mercado_Receita!$L$2:$L$444)+SUMIF(Mercado_Receita!$S$2:$S$444,"44409A4AzulNão se aplicaNão se aplicaNão se aplicaNão se aplicaFora ponta",Mercado_Receita!$L$2:$L$444)+SUMIF(Mercado_Receita!$S$2:$S$444,"44409A4AzulNão se aplicaNão se aplicaNão se aplicaNão se aplicaIntermediário",Mercado_Receita!$L$2:$L$444)+SUMIF(Mercado_Receita!$S$2:$S$444,"44409A4AzulNão se aplicaNão se aplicaNão se aplicaNão se aplicaNão se aplica",Mercado_Receita!$L$2:$L$444)</f>
        <v>769.80899999999997</v>
      </c>
      <c r="K4" s="12">
        <f>SUMIF(Mercado_Receita!$S$2:$S$444,"44440A4AzulNão se aplicaNão se aplicaNão se aplicaNão se aplicaPonta",Mercado_Receita!$L$2:$L$444)+SUMIF(Mercado_Receita!$S$2:$S$444,"44440A4AzulNão se aplicaNão se aplicaNão se aplicaNão se aplicaFora ponta",Mercado_Receita!$L$2:$L$444)+SUMIF(Mercado_Receita!$S$2:$S$444,"44440A4AzulNão se aplicaNão se aplicaNão se aplicaNão se aplicaIntermediário",Mercado_Receita!$L$2:$L$444)+SUMIF(Mercado_Receita!$S$2:$S$444,"44440A4AzulNão se aplicaNão se aplicaNão se aplicaNão se aplicaNão se aplica",Mercado_Receita!$L$2:$L$444)</f>
        <v>736.49300000000005</v>
      </c>
      <c r="L4" s="12">
        <f>SUMIF(Mercado_Receita!$S$2:$S$444,"44470A4AzulNão se aplicaNão se aplicaNão se aplicaNão se aplicaPonta",Mercado_Receita!$L$2:$L$444)+SUMIF(Mercado_Receita!$S$2:$S$444,"44470A4AzulNão se aplicaNão se aplicaNão se aplicaNão se aplicaFora ponta",Mercado_Receita!$L$2:$L$444)+SUMIF(Mercado_Receita!$S$2:$S$444,"44470A4AzulNão se aplicaNão se aplicaNão se aplicaNão se aplicaIntermediário",Mercado_Receita!$L$2:$L$444)+SUMIF(Mercado_Receita!$S$2:$S$444,"44470A4AzulNão se aplicaNão se aplicaNão se aplicaNão se aplicaNão se aplica",Mercado_Receita!$L$2:$L$444)</f>
        <v>814.29600000000005</v>
      </c>
      <c r="M4" s="12">
        <f>SUMIF(Mercado_Receita!$S$2:$S$444,"44501A4AzulNão se aplicaNão se aplicaNão se aplicaNão se aplicaPonta",Mercado_Receita!$L$2:$L$444)+SUMIF(Mercado_Receita!$S$2:$S$444,"44501A4AzulNão se aplicaNão se aplicaNão se aplicaNão se aplicaFora ponta",Mercado_Receita!$L$2:$L$444)+SUMIF(Mercado_Receita!$S$2:$S$444,"44501A4AzulNão se aplicaNão se aplicaNão se aplicaNão se aplicaIntermediário",Mercado_Receita!$L$2:$L$444)+SUMIF(Mercado_Receita!$S$2:$S$444,"44501A4AzulNão se aplicaNão se aplicaNão se aplicaNão se aplicaNão se aplica",Mercado_Receita!$L$2:$L$444)</f>
        <v>772.84299999999996</v>
      </c>
      <c r="N4" s="12">
        <f>SUMIF(Mercado_Receita!$S$2:$S$444,"44531A4AzulNão se aplicaNão se aplicaNão se aplicaNão se aplicaPonta",Mercado_Receita!$L$2:$L$444)+SUMIF(Mercado_Receita!$S$2:$S$444,"44531A4AzulNão se aplicaNão se aplicaNão se aplicaNão se aplicaFora ponta",Mercado_Receita!$L$2:$L$444)+SUMIF(Mercado_Receita!$S$2:$S$444,"44531A4AzulNão se aplicaNão se aplicaNão se aplicaNão se aplicaIntermediário",Mercado_Receita!$L$2:$L$444)+SUMIF(Mercado_Receita!$S$2:$S$444,"44531A4AzulNão se aplicaNão se aplicaNão se aplicaNão se aplicaNão se aplica",Mercado_Receita!$L$2:$L$444)</f>
        <v>596.46600000000001</v>
      </c>
      <c r="O4" s="12">
        <f>SUMIF(Mercado_Receita!$S$2:$S$444,"44562A4AzulNão se aplicaNão se aplicaNão se aplicaNão se aplicaPonta",Mercado_Receita!$L$2:$L$444)+SUMIF(Mercado_Receita!$S$2:$S$444,"44562A4AzulNão se aplicaNão se aplicaNão se aplicaNão se aplicaFora ponta",Mercado_Receita!$L$2:$L$444)+SUMIF(Mercado_Receita!$S$2:$S$444,"44562A4AzulNão se aplicaNão se aplicaNão se aplicaNão se aplicaIntermediário",Mercado_Receita!$L$2:$L$444)+SUMIF(Mercado_Receita!$S$2:$S$444,"44562A4AzulNão se aplicaNão se aplicaNão se aplicaNão se aplicaNão se aplica",Mercado_Receita!$L$2:$L$444)</f>
        <v>601.54100000000005</v>
      </c>
      <c r="P4" s="12">
        <f>SUMIF(Mercado_Receita!$S$2:$S$444,"44593A4AzulNão se aplicaNão se aplicaNão se aplicaNão se aplicaPonta",Mercado_Receita!$L$2:$L$444)+SUMIF(Mercado_Receita!$S$2:$S$444,"44593A4AzulNão se aplicaNão se aplicaNão se aplicaNão se aplicaFora ponta",Mercado_Receita!$L$2:$L$444)+SUMIF(Mercado_Receita!$S$2:$S$444,"44593A4AzulNão se aplicaNão se aplicaNão se aplicaNão se aplicaIntermediário",Mercado_Receita!$L$2:$L$444)+SUMIF(Mercado_Receita!$S$2:$S$444,"44593A4AzulNão se aplicaNão se aplicaNão se aplicaNão se aplicaNão se aplica",Mercado_Receita!$L$2:$L$444)</f>
        <v>705.21699999999998</v>
      </c>
      <c r="Q4" s="12">
        <f>SUMIF(Mercado_Receita!$S$2:$S$444,"44621A4AzulNão se aplicaNão se aplicaNão se aplicaNão se aplicaPonta",Mercado_Receita!$L$2:$L$444)+SUMIF(Mercado_Receita!$S$2:$S$444,"44621A4AzulNão se aplicaNão se aplicaNão se aplicaNão se aplicaFora ponta",Mercado_Receita!$L$2:$L$444)+SUMIF(Mercado_Receita!$S$2:$S$444,"44621A4AzulNão se aplicaNão se aplicaNão se aplicaNão se aplicaIntermediário",Mercado_Receita!$L$2:$L$444)+SUMIF(Mercado_Receita!$S$2:$S$444,"44621A4AzulNão se aplicaNão se aplicaNão se aplicaNão se aplicaNão se aplica",Mercado_Receita!$L$2:$L$444)</f>
        <v>761.19200000000001</v>
      </c>
      <c r="R4" s="12">
        <f>SUMIF(Mercado_Receita!$S$2:$S$444,"44652A4AzulNão se aplicaNão se aplicaNão se aplicaNão se aplicaPonta",Mercado_Receita!$L$2:$L$444)+SUMIF(Mercado_Receita!$S$2:$S$444,"44652A4AzulNão se aplicaNão se aplicaNão se aplicaNão se aplicaFora ponta",Mercado_Receita!$L$2:$L$444)+SUMIF(Mercado_Receita!$S$2:$S$444,"44652A4AzulNão se aplicaNão se aplicaNão se aplicaNão se aplicaIntermediário",Mercado_Receita!$L$2:$L$444)+SUMIF(Mercado_Receita!$S$2:$S$444,"44652A4AzulNão se aplicaNão se aplicaNão se aplicaNão se aplicaNão se aplica",Mercado_Receita!$L$2:$L$444)</f>
        <v>683.74400000000003</v>
      </c>
      <c r="S4" s="12">
        <f>SUMIF(Mercado_Receita!$S$2:$S$444,"44682A4AzulNão se aplicaNão se aplicaNão se aplicaNão se aplicaPonta",Mercado_Receita!$L$2:$L$444)+SUMIF(Mercado_Receita!$S$2:$S$444,"44682A4AzulNão se aplicaNão se aplicaNão se aplicaNão se aplicaFora ponta",Mercado_Receita!$L$2:$L$444)+SUMIF(Mercado_Receita!$S$2:$S$444,"44682A4AzulNão se aplicaNão se aplicaNão se aplicaNão se aplicaIntermediário",Mercado_Receita!$L$2:$L$444)+SUMIF(Mercado_Receita!$S$2:$S$444,"44682A4AzulNão se aplicaNão se aplicaNão se aplicaNão se aplicaNão se aplica",Mercado_Receita!$L$2:$L$444)</f>
        <v>709.04</v>
      </c>
      <c r="T4" s="12">
        <f>SUMIF(Mercado_Receita!$S$2:$S$444,"44713A4AzulNão se aplicaNão se aplicaNão se aplicaNão se aplicaPonta",Mercado_Receita!$L$2:$L$444)+SUMIF(Mercado_Receita!$S$2:$S$444,"44713A4AzulNão se aplicaNão se aplicaNão se aplicaNão se aplicaFora ponta",Mercado_Receita!$L$2:$L$444)+SUMIF(Mercado_Receita!$S$2:$S$444,"44713A4AzulNão se aplicaNão se aplicaNão se aplicaNão se aplicaIntermediário",Mercado_Receita!$L$2:$L$444)+SUMIF(Mercado_Receita!$S$2:$S$444,"44713A4AzulNão se aplicaNão se aplicaNão se aplicaNão se aplicaNão se aplica",Mercado_Receita!$L$2:$L$444)</f>
        <v>709.08799999999997</v>
      </c>
      <c r="U4" s="12">
        <f t="shared" si="0"/>
        <v>8675.9390000000003</v>
      </c>
      <c r="V4" s="12"/>
      <c r="W4" s="12"/>
    </row>
    <row r="5" spans="1:30" ht="11.25" customHeight="1" x14ac:dyDescent="0.25">
      <c r="A5" s="119"/>
      <c r="B5" s="119"/>
      <c r="C5" s="119"/>
      <c r="D5" s="119"/>
      <c r="E5" s="13" t="s">
        <v>78</v>
      </c>
      <c r="F5" s="13" t="s">
        <v>25</v>
      </c>
      <c r="G5" s="12" t="s">
        <v>74</v>
      </c>
      <c r="H5" s="12" t="s">
        <v>70</v>
      </c>
      <c r="I5" s="12">
        <f>SUMIF(Mercado_Receita!$S$2:$S$444,"44378A4AzulNão se aplicaNão se aplicaAPENão se aplicaPonta",Mercado_Receita!$L$2:$L$444)+SUMIF(Mercado_Receita!$S$2:$S$444,"44378A4AzulNão se aplicaNão se aplicaAPENão se aplicaFora ponta",Mercado_Receita!$L$2:$L$444)+SUMIF(Mercado_Receita!$S$2:$S$444,"44378A4AzulNão se aplicaNão se aplicaAPENão se aplicaIntermediário",Mercado_Receita!$L$2:$L$444)+SUMIF(Mercado_Receita!$S$2:$S$444,"44378A4AzulNão se aplicaNão se aplicaAPENão se aplicaNão se aplica",Mercado_Receita!$L$2:$L$444)</f>
        <v>0</v>
      </c>
      <c r="J5" s="12">
        <f>SUMIF(Mercado_Receita!$S$2:$S$444,"44409A4AzulNão se aplicaNão se aplicaAPENão se aplicaPonta",Mercado_Receita!$L$2:$L$444)+SUMIF(Mercado_Receita!$S$2:$S$444,"44409A4AzulNão se aplicaNão se aplicaAPENão se aplicaFora ponta",Mercado_Receita!$L$2:$L$444)+SUMIF(Mercado_Receita!$S$2:$S$444,"44409A4AzulNão se aplicaNão se aplicaAPENão se aplicaIntermediário",Mercado_Receita!$L$2:$L$444)+SUMIF(Mercado_Receita!$S$2:$S$444,"44409A4AzulNão se aplicaNão se aplicaAPENão se aplicaNão se aplica",Mercado_Receita!$L$2:$L$444)</f>
        <v>0</v>
      </c>
      <c r="K5" s="12">
        <f>SUMIF(Mercado_Receita!$S$2:$S$444,"44440A4AzulNão se aplicaNão se aplicaAPENão se aplicaPonta",Mercado_Receita!$L$2:$L$444)+SUMIF(Mercado_Receita!$S$2:$S$444,"44440A4AzulNão se aplicaNão se aplicaAPENão se aplicaFora ponta",Mercado_Receita!$L$2:$L$444)+SUMIF(Mercado_Receita!$S$2:$S$444,"44440A4AzulNão se aplicaNão se aplicaAPENão se aplicaIntermediário",Mercado_Receita!$L$2:$L$444)+SUMIF(Mercado_Receita!$S$2:$S$444,"44440A4AzulNão se aplicaNão se aplicaAPENão se aplicaNão se aplica",Mercado_Receita!$L$2:$L$444)</f>
        <v>0</v>
      </c>
      <c r="L5" s="12">
        <f>SUMIF(Mercado_Receita!$S$2:$S$444,"44470A4AzulNão se aplicaNão se aplicaAPENão se aplicaPonta",Mercado_Receita!$L$2:$L$444)+SUMIF(Mercado_Receita!$S$2:$S$444,"44470A4AzulNão se aplicaNão se aplicaAPENão se aplicaFora ponta",Mercado_Receita!$L$2:$L$444)+SUMIF(Mercado_Receita!$S$2:$S$444,"44470A4AzulNão se aplicaNão se aplicaAPENão se aplicaIntermediário",Mercado_Receita!$L$2:$L$444)+SUMIF(Mercado_Receita!$S$2:$S$444,"44470A4AzulNão se aplicaNão se aplicaAPENão se aplicaNão se aplica",Mercado_Receita!$L$2:$L$444)</f>
        <v>0</v>
      </c>
      <c r="M5" s="12">
        <f>SUMIF(Mercado_Receita!$S$2:$S$444,"44501A4AzulNão se aplicaNão se aplicaAPENão se aplicaPonta",Mercado_Receita!$L$2:$L$444)+SUMIF(Mercado_Receita!$S$2:$S$444,"44501A4AzulNão se aplicaNão se aplicaAPENão se aplicaFora ponta",Mercado_Receita!$L$2:$L$444)+SUMIF(Mercado_Receita!$S$2:$S$444,"44501A4AzulNão se aplicaNão se aplicaAPENão se aplicaIntermediário",Mercado_Receita!$L$2:$L$444)+SUMIF(Mercado_Receita!$S$2:$S$444,"44501A4AzulNão se aplicaNão se aplicaAPENão se aplicaNão se aplica",Mercado_Receita!$L$2:$L$444)</f>
        <v>0</v>
      </c>
      <c r="N5" s="12">
        <f>SUMIF(Mercado_Receita!$S$2:$S$444,"44531A4AzulNão se aplicaNão se aplicaAPENão se aplicaPonta",Mercado_Receita!$L$2:$L$444)+SUMIF(Mercado_Receita!$S$2:$S$444,"44531A4AzulNão se aplicaNão se aplicaAPENão se aplicaFora ponta",Mercado_Receita!$L$2:$L$444)+SUMIF(Mercado_Receita!$S$2:$S$444,"44531A4AzulNão se aplicaNão se aplicaAPENão se aplicaIntermediário",Mercado_Receita!$L$2:$L$444)+SUMIF(Mercado_Receita!$S$2:$S$444,"44531A4AzulNão se aplicaNão se aplicaAPENão se aplicaNão se aplica",Mercado_Receita!$L$2:$L$444)</f>
        <v>0</v>
      </c>
      <c r="O5" s="12">
        <f>SUMIF(Mercado_Receita!$S$2:$S$444,"44562A4AzulNão se aplicaNão se aplicaAPENão se aplicaPonta",Mercado_Receita!$L$2:$L$444)+SUMIF(Mercado_Receita!$S$2:$S$444,"44562A4AzulNão se aplicaNão se aplicaAPENão se aplicaFora ponta",Mercado_Receita!$L$2:$L$444)+SUMIF(Mercado_Receita!$S$2:$S$444,"44562A4AzulNão se aplicaNão se aplicaAPENão se aplicaIntermediário",Mercado_Receita!$L$2:$L$444)+SUMIF(Mercado_Receita!$S$2:$S$444,"44562A4AzulNão se aplicaNão se aplicaAPENão se aplicaNão se aplica",Mercado_Receita!$L$2:$L$444)</f>
        <v>0</v>
      </c>
      <c r="P5" s="12">
        <f>SUMIF(Mercado_Receita!$S$2:$S$444,"44593A4AzulNão se aplicaNão se aplicaAPENão se aplicaPonta",Mercado_Receita!$L$2:$L$444)+SUMIF(Mercado_Receita!$S$2:$S$444,"44593A4AzulNão se aplicaNão se aplicaAPENão se aplicaFora ponta",Mercado_Receita!$L$2:$L$444)+SUMIF(Mercado_Receita!$S$2:$S$444,"44593A4AzulNão se aplicaNão se aplicaAPENão se aplicaIntermediário",Mercado_Receita!$L$2:$L$444)+SUMIF(Mercado_Receita!$S$2:$S$444,"44593A4AzulNão se aplicaNão se aplicaAPENão se aplicaNão se aplica",Mercado_Receita!$L$2:$L$444)</f>
        <v>0</v>
      </c>
      <c r="Q5" s="12">
        <f>SUMIF(Mercado_Receita!$S$2:$S$444,"44621A4AzulNão se aplicaNão se aplicaAPENão se aplicaPonta",Mercado_Receita!$L$2:$L$444)+SUMIF(Mercado_Receita!$S$2:$S$444,"44621A4AzulNão se aplicaNão se aplicaAPENão se aplicaFora ponta",Mercado_Receita!$L$2:$L$444)+SUMIF(Mercado_Receita!$S$2:$S$444,"44621A4AzulNão se aplicaNão se aplicaAPENão se aplicaIntermediário",Mercado_Receita!$L$2:$L$444)+SUMIF(Mercado_Receita!$S$2:$S$444,"44621A4AzulNão se aplicaNão se aplicaAPENão se aplicaNão se aplica",Mercado_Receita!$L$2:$L$444)</f>
        <v>0</v>
      </c>
      <c r="R5" s="12">
        <f>SUMIF(Mercado_Receita!$S$2:$S$444,"44652A4AzulNão se aplicaNão se aplicaAPENão se aplicaPonta",Mercado_Receita!$L$2:$L$444)+SUMIF(Mercado_Receita!$S$2:$S$444,"44652A4AzulNão se aplicaNão se aplicaAPENão se aplicaFora ponta",Mercado_Receita!$L$2:$L$444)+SUMIF(Mercado_Receita!$S$2:$S$444,"44652A4AzulNão se aplicaNão se aplicaAPENão se aplicaIntermediário",Mercado_Receita!$L$2:$L$444)+SUMIF(Mercado_Receita!$S$2:$S$444,"44652A4AzulNão se aplicaNão se aplicaAPENão se aplicaNão se aplica",Mercado_Receita!$L$2:$L$444)</f>
        <v>0</v>
      </c>
      <c r="S5" s="12">
        <f>SUMIF(Mercado_Receita!$S$2:$S$444,"44682A4AzulNão se aplicaNão se aplicaAPENão se aplicaPonta",Mercado_Receita!$L$2:$L$444)+SUMIF(Mercado_Receita!$S$2:$S$444,"44682A4AzulNão se aplicaNão se aplicaAPENão se aplicaFora ponta",Mercado_Receita!$L$2:$L$444)+SUMIF(Mercado_Receita!$S$2:$S$444,"44682A4AzulNão se aplicaNão se aplicaAPENão se aplicaIntermediário",Mercado_Receita!$L$2:$L$444)+SUMIF(Mercado_Receita!$S$2:$S$444,"44682A4AzulNão se aplicaNão se aplicaAPENão se aplicaNão se aplica",Mercado_Receita!$L$2:$L$444)</f>
        <v>0</v>
      </c>
      <c r="T5" s="12">
        <f>SUMIF(Mercado_Receita!$S$2:$S$444,"44713A4AzulNão se aplicaNão se aplicaAPENão se aplicaPonta",Mercado_Receita!$L$2:$L$444)+SUMIF(Mercado_Receita!$S$2:$S$444,"44713A4AzulNão se aplicaNão se aplicaAPENão se aplicaFora ponta",Mercado_Receita!$L$2:$L$444)+SUMIF(Mercado_Receita!$S$2:$S$444,"44713A4AzulNão se aplicaNão se aplicaAPENão se aplicaIntermediário",Mercado_Receita!$L$2:$L$444)+SUMIF(Mercado_Receita!$S$2:$S$444,"44713A4AzulNão se aplicaNão se aplicaAPENão se aplicaNão se aplica",Mercado_Receita!$L$2:$L$444)</f>
        <v>0</v>
      </c>
      <c r="U5" s="12">
        <f t="shared" si="0"/>
        <v>0</v>
      </c>
      <c r="V5" s="12"/>
      <c r="W5" s="12"/>
    </row>
    <row r="6" spans="1:30" ht="11.25" customHeight="1" x14ac:dyDescent="0.25">
      <c r="A6" s="119"/>
      <c r="B6" s="13" t="s">
        <v>79</v>
      </c>
      <c r="C6" s="13" t="s">
        <v>25</v>
      </c>
      <c r="D6" s="13" t="s">
        <v>25</v>
      </c>
      <c r="E6" s="13" t="s">
        <v>25</v>
      </c>
      <c r="F6" s="13" t="s">
        <v>25</v>
      </c>
      <c r="G6" s="12" t="s">
        <v>9</v>
      </c>
      <c r="H6" s="12" t="s">
        <v>75</v>
      </c>
      <c r="I6" s="12">
        <f>SUMIF(Mercado_Receita!$S$2:$S$444,"44378A4GeraçãoNão se aplicaNão se aplicaNão se aplicaNão se aplicaNão se aplica",Mercado_Receita!$J$2:$J$444)+SUMIF(Mercado_Receita!$S$2:$S$444,"44378A4GeraçãoNão se aplicaNão se aplicaAPENão se aplicaNão se aplica",Mercado_Receita!$J$2:$J$444)</f>
        <v>0</v>
      </c>
      <c r="J6" s="12">
        <f>SUMIF(Mercado_Receita!$S$2:$S$444,"44409A4GeraçãoNão se aplicaNão se aplicaNão se aplicaNão se aplicaNão se aplica",Mercado_Receita!$J$2:$J$444)+SUMIF(Mercado_Receita!$S$2:$S$444,"44409A4GeraçãoNão se aplicaNão se aplicaAPENão se aplicaNão se aplica",Mercado_Receita!$J$2:$J$444)</f>
        <v>0</v>
      </c>
      <c r="K6" s="12">
        <f>SUMIF(Mercado_Receita!$S$2:$S$444,"44440A4GeraçãoNão se aplicaNão se aplicaNão se aplicaNão se aplicaNão se aplica",Mercado_Receita!$J$2:$J$444)+SUMIF(Mercado_Receita!$S$2:$S$444,"44440A4GeraçãoNão se aplicaNão se aplicaAPENão se aplicaNão se aplica",Mercado_Receita!$J$2:$J$444)</f>
        <v>0</v>
      </c>
      <c r="L6" s="12">
        <f>SUMIF(Mercado_Receita!$S$2:$S$444,"44470A4GeraçãoNão se aplicaNão se aplicaNão se aplicaNão se aplicaNão se aplica",Mercado_Receita!$J$2:$J$444)+SUMIF(Mercado_Receita!$S$2:$S$444,"44470A4GeraçãoNão se aplicaNão se aplicaAPENão se aplicaNão se aplica",Mercado_Receita!$J$2:$J$444)</f>
        <v>0</v>
      </c>
      <c r="M6" s="12">
        <f>SUMIF(Mercado_Receita!$S$2:$S$444,"44501A4GeraçãoNão se aplicaNão se aplicaNão se aplicaNão se aplicaNão se aplica",Mercado_Receita!$J$2:$J$444)+SUMIF(Mercado_Receita!$S$2:$S$444,"44501A4GeraçãoNão se aplicaNão se aplicaAPENão se aplicaNão se aplica",Mercado_Receita!$J$2:$J$444)</f>
        <v>0</v>
      </c>
      <c r="N6" s="12">
        <f>SUMIF(Mercado_Receita!$S$2:$S$444,"44531A4GeraçãoNão se aplicaNão se aplicaNão se aplicaNão se aplicaNão se aplica",Mercado_Receita!$J$2:$J$444)+SUMIF(Mercado_Receita!$S$2:$S$444,"44531A4GeraçãoNão se aplicaNão se aplicaAPENão se aplicaNão se aplica",Mercado_Receita!$J$2:$J$444)</f>
        <v>0</v>
      </c>
      <c r="O6" s="12">
        <f>SUMIF(Mercado_Receita!$S$2:$S$444,"44562A4GeraçãoNão se aplicaNão se aplicaNão se aplicaNão se aplicaNão se aplica",Mercado_Receita!$J$2:$J$444)+SUMIF(Mercado_Receita!$S$2:$S$444,"44562A4GeraçãoNão se aplicaNão se aplicaAPENão se aplicaNão se aplica",Mercado_Receita!$J$2:$J$444)</f>
        <v>0</v>
      </c>
      <c r="P6" s="12">
        <f>SUMIF(Mercado_Receita!$S$2:$S$444,"44593A4GeraçãoNão se aplicaNão se aplicaNão se aplicaNão se aplicaNão se aplica",Mercado_Receita!$J$2:$J$444)+SUMIF(Mercado_Receita!$S$2:$S$444,"44593A4GeraçãoNão se aplicaNão se aplicaAPENão se aplicaNão se aplica",Mercado_Receita!$J$2:$J$444)</f>
        <v>0</v>
      </c>
      <c r="Q6" s="12">
        <f>SUMIF(Mercado_Receita!$S$2:$S$444,"44621A4GeraçãoNão se aplicaNão se aplicaNão se aplicaNão se aplicaNão se aplica",Mercado_Receita!$J$2:$J$444)+SUMIF(Mercado_Receita!$S$2:$S$444,"44621A4GeraçãoNão se aplicaNão se aplicaAPENão se aplicaNão se aplica",Mercado_Receita!$J$2:$J$444)</f>
        <v>0</v>
      </c>
      <c r="R6" s="12">
        <f>SUMIF(Mercado_Receita!$S$2:$S$444,"44652A4GeraçãoNão se aplicaNão se aplicaNão se aplicaNão se aplicaNão se aplica",Mercado_Receita!$J$2:$J$444)+SUMIF(Mercado_Receita!$S$2:$S$444,"44652A4GeraçãoNão se aplicaNão se aplicaAPENão se aplicaNão se aplica",Mercado_Receita!$J$2:$J$444)</f>
        <v>0</v>
      </c>
      <c r="S6" s="12">
        <f>SUMIF(Mercado_Receita!$S$2:$S$444,"44682A4GeraçãoNão se aplicaNão se aplicaNão se aplicaNão se aplicaNão se aplica",Mercado_Receita!$J$2:$J$444)+SUMIF(Mercado_Receita!$S$2:$S$444,"44682A4GeraçãoNão se aplicaNão se aplicaAPENão se aplicaNão se aplica",Mercado_Receita!$J$2:$J$444)</f>
        <v>0</v>
      </c>
      <c r="T6" s="12">
        <f>SUMIF(Mercado_Receita!$S$2:$S$444,"44713A4GeraçãoNão se aplicaNão se aplicaNão se aplicaNão se aplicaNão se aplica",Mercado_Receita!$J$2:$J$444)+SUMIF(Mercado_Receita!$S$2:$S$444,"44713A4GeraçãoNão se aplicaNão se aplicaAPENão se aplicaNão se aplica",Mercado_Receita!$J$2:$J$444)</f>
        <v>0</v>
      </c>
      <c r="U6" s="12">
        <f t="shared" si="0"/>
        <v>0</v>
      </c>
      <c r="V6" s="12"/>
      <c r="W6" s="12"/>
    </row>
    <row r="7" spans="1:30" ht="11.25" customHeight="1" x14ac:dyDescent="0.25">
      <c r="A7" s="119"/>
      <c r="B7" s="118" t="s">
        <v>35</v>
      </c>
      <c r="C7" s="118" t="s">
        <v>25</v>
      </c>
      <c r="D7" s="118" t="s">
        <v>25</v>
      </c>
      <c r="E7" s="118" t="s">
        <v>25</v>
      </c>
      <c r="F7" s="118" t="s">
        <v>25</v>
      </c>
      <c r="G7" s="12" t="s">
        <v>9</v>
      </c>
      <c r="H7" s="12" t="s">
        <v>75</v>
      </c>
      <c r="I7" s="12">
        <f>SUMIF(Mercado_Receita!$S$2:$S$444,"44378A4VerdeNão se aplicaNão se aplicaNão se aplicaNão se aplicaNão se aplica",Mercado_Receita!$J$2:$J$444)+SUMIF(Mercado_Receita!$S$2:$S$444,"44378A4VerdeNão se aplicaNão se aplicaAPENão se aplicaNão se aplica",Mercado_Receita!$J$2:$J$444)</f>
        <v>7067</v>
      </c>
      <c r="J7" s="12">
        <f>SUMIF(Mercado_Receita!$S$2:$S$444,"44409A4VerdeNão se aplicaNão se aplicaNão se aplicaNão se aplicaNão se aplica",Mercado_Receita!$J$2:$J$444)+SUMIF(Mercado_Receita!$S$2:$S$444,"44409A4VerdeNão se aplicaNão se aplicaAPENão se aplicaNão se aplica",Mercado_Receita!$J$2:$J$444)</f>
        <v>6911</v>
      </c>
      <c r="K7" s="12">
        <f>SUMIF(Mercado_Receita!$S$2:$S$444,"44440A4VerdeNão se aplicaNão se aplicaNão se aplicaNão se aplicaNão se aplica",Mercado_Receita!$J$2:$J$444)+SUMIF(Mercado_Receita!$S$2:$S$444,"44440A4VerdeNão se aplicaNão se aplicaAPENão se aplicaNão se aplica",Mercado_Receita!$J$2:$J$444)</f>
        <v>6888</v>
      </c>
      <c r="L7" s="12">
        <f>SUMIF(Mercado_Receita!$S$2:$S$444,"44470A4VerdeNão se aplicaNão se aplicaNão se aplicaNão se aplicaNão se aplica",Mercado_Receita!$J$2:$J$444)+SUMIF(Mercado_Receita!$S$2:$S$444,"44470A4VerdeNão se aplicaNão se aplicaAPENão se aplicaNão se aplica",Mercado_Receita!$J$2:$J$444)</f>
        <v>6893</v>
      </c>
      <c r="M7" s="12">
        <f>SUMIF(Mercado_Receita!$S$2:$S$444,"44501A4VerdeNão se aplicaNão se aplicaNão se aplicaNão se aplicaNão se aplica",Mercado_Receita!$J$2:$J$444)+SUMIF(Mercado_Receita!$S$2:$S$444,"44501A4VerdeNão se aplicaNão se aplicaAPENão se aplicaNão se aplica",Mercado_Receita!$J$2:$J$444)</f>
        <v>6927</v>
      </c>
      <c r="N7" s="12">
        <f>SUMIF(Mercado_Receita!$S$2:$S$444,"44531A4VerdeNão se aplicaNão se aplicaNão se aplicaNão se aplicaNão se aplica",Mercado_Receita!$J$2:$J$444)+SUMIF(Mercado_Receita!$S$2:$S$444,"44531A4VerdeNão se aplicaNão se aplicaAPENão se aplicaNão se aplica",Mercado_Receita!$J$2:$J$444)</f>
        <v>6932</v>
      </c>
      <c r="O7" s="12">
        <f>SUMIF(Mercado_Receita!$S$2:$S$444,"44562A4VerdeNão se aplicaNão se aplicaNão se aplicaNão se aplicaNão se aplica",Mercado_Receita!$J$2:$J$444)+SUMIF(Mercado_Receita!$S$2:$S$444,"44562A4VerdeNão se aplicaNão se aplicaAPENão se aplicaNão se aplica",Mercado_Receita!$J$2:$J$444)</f>
        <v>6966</v>
      </c>
      <c r="P7" s="12">
        <f>SUMIF(Mercado_Receita!$S$2:$S$444,"44593A4VerdeNão se aplicaNão se aplicaNão se aplicaNão se aplicaNão se aplica",Mercado_Receita!$J$2:$J$444)+SUMIF(Mercado_Receita!$S$2:$S$444,"44593A4VerdeNão se aplicaNão se aplicaAPENão se aplicaNão se aplica",Mercado_Receita!$J$2:$J$444)</f>
        <v>6998</v>
      </c>
      <c r="Q7" s="12">
        <f>SUMIF(Mercado_Receita!$S$2:$S$444,"44621A4VerdeNão se aplicaNão se aplicaNão se aplicaNão se aplicaNão se aplica",Mercado_Receita!$J$2:$J$444)+SUMIF(Mercado_Receita!$S$2:$S$444,"44621A4VerdeNão se aplicaNão se aplicaAPENão se aplicaNão se aplica",Mercado_Receita!$J$2:$J$444)</f>
        <v>6988</v>
      </c>
      <c r="R7" s="12">
        <f>SUMIF(Mercado_Receita!$S$2:$S$444,"44652A4VerdeNão se aplicaNão se aplicaNão se aplicaNão se aplicaNão se aplica",Mercado_Receita!$J$2:$J$444)+SUMIF(Mercado_Receita!$S$2:$S$444,"44652A4VerdeNão se aplicaNão se aplicaAPENão se aplicaNão se aplica",Mercado_Receita!$J$2:$J$444)</f>
        <v>7138</v>
      </c>
      <c r="S7" s="12">
        <f>SUMIF(Mercado_Receita!$S$2:$S$444,"44682A4VerdeNão se aplicaNão se aplicaNão se aplicaNão se aplicaNão se aplica",Mercado_Receita!$J$2:$J$444)+SUMIF(Mercado_Receita!$S$2:$S$444,"44682A4VerdeNão se aplicaNão se aplicaAPENão se aplicaNão se aplica",Mercado_Receita!$J$2:$J$444)</f>
        <v>7030</v>
      </c>
      <c r="T7" s="12">
        <f>SUMIF(Mercado_Receita!$S$2:$S$444,"44713A4VerdeNão se aplicaNão se aplicaNão se aplicaNão se aplicaNão se aplica",Mercado_Receita!$J$2:$J$444)+SUMIF(Mercado_Receita!$S$2:$S$444,"44713A4VerdeNão se aplicaNão se aplicaAPENão se aplicaNão se aplica",Mercado_Receita!$J$2:$J$444)</f>
        <v>7031</v>
      </c>
      <c r="U7" s="12">
        <f t="shared" si="0"/>
        <v>83769</v>
      </c>
      <c r="V7" s="12"/>
      <c r="W7" s="12"/>
    </row>
    <row r="8" spans="1:30" ht="11.25" customHeight="1" x14ac:dyDescent="0.25">
      <c r="A8" s="119"/>
      <c r="B8" s="119"/>
      <c r="C8" s="119"/>
      <c r="D8" s="119"/>
      <c r="E8" s="119"/>
      <c r="F8" s="119"/>
      <c r="G8" s="12" t="s">
        <v>71</v>
      </c>
      <c r="H8" s="12" t="s">
        <v>70</v>
      </c>
      <c r="I8" s="12">
        <f>SUMIF(Mercado_Receita!$S$2:$S$444,"44378A4VerdeNão se aplicaNão se aplicaNão se aplicaNão se aplicaPonta",Mercado_Receita!$L$2:$L$444)</f>
        <v>217.07799999999997</v>
      </c>
      <c r="J8" s="12">
        <f>SUMIF(Mercado_Receita!$S$2:$S$444,"44409A4VerdeNão se aplicaNão se aplicaNão se aplicaNão se aplicaPonta",Mercado_Receita!$L$2:$L$444)</f>
        <v>221.94399999999999</v>
      </c>
      <c r="K8" s="12">
        <f>SUMIF(Mercado_Receita!$S$2:$S$444,"44440A4VerdeNão se aplicaNão se aplicaNão se aplicaNão se aplicaPonta",Mercado_Receita!$L$2:$L$444)</f>
        <v>211.73699999999999</v>
      </c>
      <c r="L8" s="12">
        <f>SUMIF(Mercado_Receita!$S$2:$S$444,"44470A4VerdeNão se aplicaNão se aplicaNão se aplicaNão se aplicaPonta",Mercado_Receita!$L$2:$L$444)</f>
        <v>214.05099999999999</v>
      </c>
      <c r="M8" s="12">
        <f>SUMIF(Mercado_Receita!$S$2:$S$444,"44501A4VerdeNão se aplicaNão se aplicaNão se aplicaNão se aplicaPonta",Mercado_Receita!$L$2:$L$444)</f>
        <v>216.947</v>
      </c>
      <c r="N8" s="12">
        <f>SUMIF(Mercado_Receita!$S$2:$S$444,"44531A4VerdeNão se aplicaNão se aplicaNão se aplicaNão se aplicaPonta",Mercado_Receita!$L$2:$L$444)</f>
        <v>227.18299999999999</v>
      </c>
      <c r="O8" s="12">
        <f>SUMIF(Mercado_Receita!$S$2:$S$444,"44562A4VerdeNão se aplicaNão se aplicaNão se aplicaNão se aplicaPonta",Mercado_Receita!$L$2:$L$444)</f>
        <v>236.49200000000002</v>
      </c>
      <c r="P8" s="12">
        <f>SUMIF(Mercado_Receita!$S$2:$S$444,"44593A4VerdeNão se aplicaNão se aplicaNão se aplicaNão se aplicaPonta",Mercado_Receita!$L$2:$L$444)</f>
        <v>211.21100000000001</v>
      </c>
      <c r="Q8" s="12">
        <f>SUMIF(Mercado_Receita!$S$2:$S$444,"44621A4VerdeNão se aplicaNão se aplicaNão se aplicaNão se aplicaPonta",Mercado_Receita!$L$2:$L$444)</f>
        <v>215.50299999999999</v>
      </c>
      <c r="R8" s="12">
        <f>SUMIF(Mercado_Receita!$S$2:$S$444,"44652A4VerdeNão se aplicaNão se aplicaNão se aplicaNão se aplicaPonta",Mercado_Receita!$L$2:$L$444)</f>
        <v>195.44900000000004</v>
      </c>
      <c r="S8" s="12">
        <f>SUMIF(Mercado_Receita!$S$2:$S$444,"44682A4VerdeNão se aplicaNão se aplicaNão se aplicaNão se aplicaPonta",Mercado_Receita!$L$2:$L$444)</f>
        <v>205.93800000000002</v>
      </c>
      <c r="T8" s="12">
        <f>SUMIF(Mercado_Receita!$S$2:$S$444,"44713A4VerdeNão se aplicaNão se aplicaNão se aplicaNão se aplicaPonta",Mercado_Receita!$L$2:$L$444)</f>
        <v>194.82400000000001</v>
      </c>
      <c r="U8" s="12">
        <f t="shared" si="0"/>
        <v>2568.357</v>
      </c>
      <c r="V8" s="12"/>
      <c r="W8" s="12"/>
    </row>
    <row r="9" spans="1:30" ht="11.25" customHeight="1" x14ac:dyDescent="0.25">
      <c r="A9" s="119"/>
      <c r="B9" s="119"/>
      <c r="C9" s="119"/>
      <c r="D9" s="119"/>
      <c r="E9" s="119"/>
      <c r="F9" s="119"/>
      <c r="G9" s="12" t="s">
        <v>72</v>
      </c>
      <c r="H9" s="12" t="s">
        <v>70</v>
      </c>
      <c r="I9" s="12">
        <f>SUMIF(Mercado_Receita!$S$2:$S$444,"44378A4VerdeNão se aplicaNão se aplicaNão se aplicaNão se aplicaFora ponta",Mercado_Receita!$L$2:$L$444)</f>
        <v>2248.875</v>
      </c>
      <c r="J9" s="12">
        <f>SUMIF(Mercado_Receita!$S$2:$S$444,"44409A4VerdeNão se aplicaNão se aplicaNão se aplicaNão se aplicaFora ponta",Mercado_Receita!$L$2:$L$444)</f>
        <v>2270.3089999999997</v>
      </c>
      <c r="K9" s="12">
        <f>SUMIF(Mercado_Receita!$S$2:$S$444,"44440A4VerdeNão se aplicaNão se aplicaNão se aplicaNão se aplicaFora ponta",Mercado_Receita!$L$2:$L$444)</f>
        <v>2203.25</v>
      </c>
      <c r="L9" s="12">
        <f>SUMIF(Mercado_Receita!$S$2:$S$444,"44470A4VerdeNão se aplicaNão se aplicaNão se aplicaNão se aplicaFora ponta",Mercado_Receita!$L$2:$L$444)</f>
        <v>2327.5500000000002</v>
      </c>
      <c r="M9" s="12">
        <f>SUMIF(Mercado_Receita!$S$2:$S$444,"44501A4VerdeNão se aplicaNão se aplicaNão se aplicaNão se aplicaFora ponta",Mercado_Receita!$L$2:$L$444)</f>
        <v>2334.7750000000001</v>
      </c>
      <c r="N9" s="12">
        <f>SUMIF(Mercado_Receita!$S$2:$S$444,"44531A4VerdeNão se aplicaNão se aplicaNão se aplicaNão se aplicaFora ponta",Mercado_Receita!$L$2:$L$444)</f>
        <v>2266.5859999999998</v>
      </c>
      <c r="O9" s="12">
        <f>SUMIF(Mercado_Receita!$S$2:$S$444,"44562A4VerdeNão se aplicaNão se aplicaNão se aplicaNão se aplicaFora ponta",Mercado_Receita!$L$2:$L$444)</f>
        <v>2409.9769999999999</v>
      </c>
      <c r="P9" s="12">
        <f>SUMIF(Mercado_Receita!$S$2:$S$444,"44593A4VerdeNão se aplicaNão se aplicaNão se aplicaNão se aplicaFora ponta",Mercado_Receita!$L$2:$L$444)</f>
        <v>2038.2179999999998</v>
      </c>
      <c r="Q9" s="12">
        <f>SUMIF(Mercado_Receita!$S$2:$S$444,"44621A4VerdeNão se aplicaNão se aplicaNão se aplicaNão se aplicaFora ponta",Mercado_Receita!$L$2:$L$444)</f>
        <v>2133.518</v>
      </c>
      <c r="R9" s="12">
        <f>SUMIF(Mercado_Receita!$S$2:$S$444,"44652A4VerdeNão se aplicaNão se aplicaNão se aplicaNão se aplicaFora ponta",Mercado_Receita!$L$2:$L$444)</f>
        <v>2114.4079999999999</v>
      </c>
      <c r="S9" s="12">
        <f>SUMIF(Mercado_Receita!$S$2:$S$444,"44682A4VerdeNão se aplicaNão se aplicaNão se aplicaNão se aplicaFora ponta",Mercado_Receita!$L$2:$L$444)</f>
        <v>2021.6620000000003</v>
      </c>
      <c r="T9" s="12">
        <f>SUMIF(Mercado_Receita!$S$2:$S$444,"44713A4VerdeNão se aplicaNão se aplicaNão se aplicaNão se aplicaFora ponta",Mercado_Receita!$L$2:$L$444)</f>
        <v>2002.694</v>
      </c>
      <c r="U9" s="12">
        <f t="shared" si="0"/>
        <v>26371.822</v>
      </c>
      <c r="V9" s="12"/>
      <c r="W9" s="12"/>
    </row>
    <row r="10" spans="1:30" ht="11.25" customHeight="1" x14ac:dyDescent="0.25">
      <c r="A10" s="119"/>
      <c r="B10" s="119"/>
      <c r="C10" s="119"/>
      <c r="D10" s="119"/>
      <c r="E10" s="118" t="s">
        <v>78</v>
      </c>
      <c r="F10" s="118" t="s">
        <v>25</v>
      </c>
      <c r="G10" s="12" t="s">
        <v>71</v>
      </c>
      <c r="H10" s="12" t="s">
        <v>70</v>
      </c>
      <c r="I10" s="12">
        <f>SUMIF(Mercado_Receita!$S$2:$S$444,"44378A4VerdeNão se aplicaNão se aplicaAPENão se aplicaPonta",Mercado_Receita!$L$2:$L$444)</f>
        <v>0</v>
      </c>
      <c r="J10" s="12">
        <f>SUMIF(Mercado_Receita!$S$2:$S$444,"44409A4VerdeNão se aplicaNão se aplicaAPENão se aplicaPonta",Mercado_Receita!$L$2:$L$444)</f>
        <v>0</v>
      </c>
      <c r="K10" s="12">
        <f>SUMIF(Mercado_Receita!$S$2:$S$444,"44440A4VerdeNão se aplicaNão se aplicaAPENão se aplicaPonta",Mercado_Receita!$L$2:$L$444)</f>
        <v>0</v>
      </c>
      <c r="L10" s="12">
        <f>SUMIF(Mercado_Receita!$S$2:$S$444,"44470A4VerdeNão se aplicaNão se aplicaAPENão se aplicaPonta",Mercado_Receita!$L$2:$L$444)</f>
        <v>0</v>
      </c>
      <c r="M10" s="12">
        <f>SUMIF(Mercado_Receita!$S$2:$S$444,"44501A4VerdeNão se aplicaNão se aplicaAPENão se aplicaPonta",Mercado_Receita!$L$2:$L$444)</f>
        <v>0</v>
      </c>
      <c r="N10" s="12">
        <f>SUMIF(Mercado_Receita!$S$2:$S$444,"44531A4VerdeNão se aplicaNão se aplicaAPENão se aplicaPonta",Mercado_Receita!$L$2:$L$444)</f>
        <v>0</v>
      </c>
      <c r="O10" s="12">
        <f>SUMIF(Mercado_Receita!$S$2:$S$444,"44562A4VerdeNão se aplicaNão se aplicaAPENão se aplicaPonta",Mercado_Receita!$L$2:$L$444)</f>
        <v>0</v>
      </c>
      <c r="P10" s="12">
        <f>SUMIF(Mercado_Receita!$S$2:$S$444,"44593A4VerdeNão se aplicaNão se aplicaAPENão se aplicaPonta",Mercado_Receita!$L$2:$L$444)</f>
        <v>0</v>
      </c>
      <c r="Q10" s="12">
        <f>SUMIF(Mercado_Receita!$S$2:$S$444,"44621A4VerdeNão se aplicaNão se aplicaAPENão se aplicaPonta",Mercado_Receita!$L$2:$L$444)</f>
        <v>0</v>
      </c>
      <c r="R10" s="12">
        <f>SUMIF(Mercado_Receita!$S$2:$S$444,"44652A4VerdeNão se aplicaNão se aplicaAPENão se aplicaPonta",Mercado_Receita!$L$2:$L$444)</f>
        <v>0</v>
      </c>
      <c r="S10" s="12">
        <f>SUMIF(Mercado_Receita!$S$2:$S$444,"44682A4VerdeNão se aplicaNão se aplicaAPENão se aplicaPonta",Mercado_Receita!$L$2:$L$444)</f>
        <v>0</v>
      </c>
      <c r="T10" s="12">
        <f>SUMIF(Mercado_Receita!$S$2:$S$444,"44713A4VerdeNão se aplicaNão se aplicaAPENão se aplicaPonta",Mercado_Receita!$L$2:$L$444)</f>
        <v>0</v>
      </c>
      <c r="U10" s="12">
        <f t="shared" si="0"/>
        <v>0</v>
      </c>
      <c r="V10" s="12"/>
      <c r="W10" s="12"/>
    </row>
    <row r="11" spans="1:30" ht="11.25" customHeight="1" x14ac:dyDescent="0.25">
      <c r="A11" s="119"/>
      <c r="B11" s="119"/>
      <c r="C11" s="119"/>
      <c r="D11" s="119"/>
      <c r="E11" s="119"/>
      <c r="F11" s="119"/>
      <c r="G11" s="12" t="s">
        <v>72</v>
      </c>
      <c r="H11" s="12" t="s">
        <v>70</v>
      </c>
      <c r="I11" s="12">
        <f>SUMIF(Mercado_Receita!$S$2:$S$444,"44378A4VerdeNão se aplicaNão se aplicaAPENão se aplicaFora ponta",Mercado_Receita!$L$2:$L$444)</f>
        <v>0</v>
      </c>
      <c r="J11" s="12">
        <f>SUMIF(Mercado_Receita!$S$2:$S$444,"44409A4VerdeNão se aplicaNão se aplicaAPENão se aplicaFora ponta",Mercado_Receita!$L$2:$L$444)</f>
        <v>0</v>
      </c>
      <c r="K11" s="12">
        <f>SUMIF(Mercado_Receita!$S$2:$S$444,"44440A4VerdeNão se aplicaNão se aplicaAPENão se aplicaFora ponta",Mercado_Receita!$L$2:$L$444)</f>
        <v>0</v>
      </c>
      <c r="L11" s="12">
        <f>SUMIF(Mercado_Receita!$S$2:$S$444,"44470A4VerdeNão se aplicaNão se aplicaAPENão se aplicaFora ponta",Mercado_Receita!$L$2:$L$444)</f>
        <v>0</v>
      </c>
      <c r="M11" s="12">
        <f>SUMIF(Mercado_Receita!$S$2:$S$444,"44501A4VerdeNão se aplicaNão se aplicaAPENão se aplicaFora ponta",Mercado_Receita!$L$2:$L$444)</f>
        <v>0</v>
      </c>
      <c r="N11" s="12">
        <f>SUMIF(Mercado_Receita!$S$2:$S$444,"44531A4VerdeNão se aplicaNão se aplicaAPENão se aplicaFora ponta",Mercado_Receita!$L$2:$L$444)</f>
        <v>0</v>
      </c>
      <c r="O11" s="12">
        <f>SUMIF(Mercado_Receita!$S$2:$S$444,"44562A4VerdeNão se aplicaNão se aplicaAPENão se aplicaFora ponta",Mercado_Receita!$L$2:$L$444)</f>
        <v>0</v>
      </c>
      <c r="P11" s="12">
        <f>SUMIF(Mercado_Receita!$S$2:$S$444,"44593A4VerdeNão se aplicaNão se aplicaAPENão se aplicaFora ponta",Mercado_Receita!$L$2:$L$444)</f>
        <v>0</v>
      </c>
      <c r="Q11" s="12">
        <f>SUMIF(Mercado_Receita!$S$2:$S$444,"44621A4VerdeNão se aplicaNão se aplicaAPENão se aplicaFora ponta",Mercado_Receita!$L$2:$L$444)</f>
        <v>0</v>
      </c>
      <c r="R11" s="12">
        <f>SUMIF(Mercado_Receita!$S$2:$S$444,"44652A4VerdeNão se aplicaNão se aplicaAPENão se aplicaFora ponta",Mercado_Receita!$L$2:$L$444)</f>
        <v>0</v>
      </c>
      <c r="S11" s="12">
        <f>SUMIF(Mercado_Receita!$S$2:$S$444,"44682A4VerdeNão se aplicaNão se aplicaAPENão se aplicaFora ponta",Mercado_Receita!$L$2:$L$444)</f>
        <v>0</v>
      </c>
      <c r="T11" s="12">
        <f>SUMIF(Mercado_Receita!$S$2:$S$444,"44713A4VerdeNão se aplicaNão se aplicaAPENão se aplicaFora ponta",Mercado_Receita!$L$2:$L$444)</f>
        <v>0</v>
      </c>
      <c r="U11" s="12">
        <f t="shared" si="0"/>
        <v>0</v>
      </c>
      <c r="V11" s="12"/>
      <c r="W11" s="12"/>
    </row>
    <row r="12" spans="1:30" ht="11.25" customHeight="1" x14ac:dyDescent="0.25">
      <c r="A12" s="118" t="s">
        <v>80</v>
      </c>
      <c r="B12" s="118" t="s">
        <v>79</v>
      </c>
      <c r="C12" s="118" t="s">
        <v>25</v>
      </c>
      <c r="D12" s="118" t="s">
        <v>25</v>
      </c>
      <c r="E12" s="13" t="s">
        <v>81</v>
      </c>
      <c r="F12" s="13" t="s">
        <v>25</v>
      </c>
      <c r="G12" s="12" t="s">
        <v>9</v>
      </c>
      <c r="H12" s="12" t="s">
        <v>75</v>
      </c>
      <c r="I12" s="12">
        <f>SUMIF(Mercado_Receita!$S$2:$S$444,"44378BGeraçãoNão se aplicaNão se aplicaTIPO 01Não se aplicaNão se aplica",Mercado_Receita!$J$2:$J$444)+SUMIF(Mercado_Receita!$S$2:$S$444,"44378BGeraçãoNão se aplicaNão se aplicaAPENão se aplicaNão se aplica",Mercado_Receita!$J$2:$J$444)</f>
        <v>0</v>
      </c>
      <c r="J12" s="12">
        <f>SUMIF(Mercado_Receita!$S$2:$S$444,"44409BGeraçãoNão se aplicaNão se aplicaTIPO 01Não se aplicaNão se aplica",Mercado_Receita!$J$2:$J$444)+SUMIF(Mercado_Receita!$S$2:$S$444,"44409BGeraçãoNão se aplicaNão se aplicaAPENão se aplicaNão se aplica",Mercado_Receita!$J$2:$J$444)</f>
        <v>0</v>
      </c>
      <c r="K12" s="12">
        <f>SUMIF(Mercado_Receita!$S$2:$S$444,"44440BGeraçãoNão se aplicaNão se aplicaTIPO 01Não se aplicaNão se aplica",Mercado_Receita!$J$2:$J$444)+SUMIF(Mercado_Receita!$S$2:$S$444,"44440BGeraçãoNão se aplicaNão se aplicaAPENão se aplicaNão se aplica",Mercado_Receita!$J$2:$J$444)</f>
        <v>0</v>
      </c>
      <c r="L12" s="12">
        <f>SUMIF(Mercado_Receita!$S$2:$S$444,"44470BGeraçãoNão se aplicaNão se aplicaTIPO 01Não se aplicaNão se aplica",Mercado_Receita!$J$2:$J$444)+SUMIF(Mercado_Receita!$S$2:$S$444,"44470BGeraçãoNão se aplicaNão se aplicaAPENão se aplicaNão se aplica",Mercado_Receita!$J$2:$J$444)</f>
        <v>0</v>
      </c>
      <c r="M12" s="12">
        <f>SUMIF(Mercado_Receita!$S$2:$S$444,"44501BGeraçãoNão se aplicaNão se aplicaTIPO 01Não se aplicaNão se aplica",Mercado_Receita!$J$2:$J$444)+SUMIF(Mercado_Receita!$S$2:$S$444,"44501BGeraçãoNão se aplicaNão se aplicaAPENão se aplicaNão se aplica",Mercado_Receita!$J$2:$J$444)</f>
        <v>0</v>
      </c>
      <c r="N12" s="12">
        <f>SUMIF(Mercado_Receita!$S$2:$S$444,"44531BGeraçãoNão se aplicaNão se aplicaTIPO 01Não se aplicaNão se aplica",Mercado_Receita!$J$2:$J$444)+SUMIF(Mercado_Receita!$S$2:$S$444,"44531BGeraçãoNão se aplicaNão se aplicaAPENão se aplicaNão se aplica",Mercado_Receita!$J$2:$J$444)</f>
        <v>0</v>
      </c>
      <c r="O12" s="12">
        <f>SUMIF(Mercado_Receita!$S$2:$S$444,"44562BGeraçãoNão se aplicaNão se aplicaTIPO 01Não se aplicaNão se aplica",Mercado_Receita!$J$2:$J$444)+SUMIF(Mercado_Receita!$S$2:$S$444,"44562BGeraçãoNão se aplicaNão se aplicaAPENão se aplicaNão se aplica",Mercado_Receita!$J$2:$J$444)</f>
        <v>0</v>
      </c>
      <c r="P12" s="12">
        <f>SUMIF(Mercado_Receita!$S$2:$S$444,"44593BGeraçãoNão se aplicaNão se aplicaTIPO 01Não se aplicaNão se aplica",Mercado_Receita!$J$2:$J$444)+SUMIF(Mercado_Receita!$S$2:$S$444,"44593BGeraçãoNão se aplicaNão se aplicaAPENão se aplicaNão se aplica",Mercado_Receita!$J$2:$J$444)</f>
        <v>0</v>
      </c>
      <c r="Q12" s="12">
        <f>SUMIF(Mercado_Receita!$S$2:$S$444,"44621BGeraçãoNão se aplicaNão se aplicaTIPO 01Não se aplicaNão se aplica",Mercado_Receita!$J$2:$J$444)+SUMIF(Mercado_Receita!$S$2:$S$444,"44621BGeraçãoNão se aplicaNão se aplicaAPENão se aplicaNão se aplica",Mercado_Receita!$J$2:$J$444)</f>
        <v>0</v>
      </c>
      <c r="R12" s="12">
        <f>SUMIF(Mercado_Receita!$S$2:$S$444,"44652BGeraçãoNão se aplicaNão se aplicaTIPO 01Não se aplicaNão se aplica",Mercado_Receita!$J$2:$J$444)+SUMIF(Mercado_Receita!$S$2:$S$444,"44652BGeraçãoNão se aplicaNão se aplicaAPENão se aplicaNão se aplica",Mercado_Receita!$J$2:$J$444)</f>
        <v>0</v>
      </c>
      <c r="S12" s="12">
        <f>SUMIF(Mercado_Receita!$S$2:$S$444,"44682BGeraçãoNão se aplicaNão se aplicaTIPO 01Não se aplicaNão se aplica",Mercado_Receita!$J$2:$J$444)+SUMIF(Mercado_Receita!$S$2:$S$444,"44682BGeraçãoNão se aplicaNão se aplicaAPENão se aplicaNão se aplica",Mercado_Receita!$J$2:$J$444)</f>
        <v>0</v>
      </c>
      <c r="T12" s="12">
        <f>SUMIF(Mercado_Receita!$S$2:$S$444,"44713BGeraçãoNão se aplicaNão se aplicaTIPO 01Não se aplicaNão se aplica",Mercado_Receita!$J$2:$J$444)+SUMIF(Mercado_Receita!$S$2:$S$444,"44713BGeraçãoNão se aplicaNão se aplicaAPENão se aplicaNão se aplica",Mercado_Receita!$J$2:$J$444)</f>
        <v>0</v>
      </c>
      <c r="U12" s="12">
        <f t="shared" si="0"/>
        <v>0</v>
      </c>
      <c r="V12" s="12"/>
      <c r="W12" s="12"/>
    </row>
    <row r="13" spans="1:30" ht="11.25" customHeight="1" x14ac:dyDescent="0.25">
      <c r="A13" s="119"/>
      <c r="B13" s="119"/>
      <c r="C13" s="119"/>
      <c r="D13" s="119"/>
      <c r="E13" s="13" t="s">
        <v>82</v>
      </c>
      <c r="F13" s="13" t="s">
        <v>25</v>
      </c>
      <c r="G13" s="12" t="s">
        <v>9</v>
      </c>
      <c r="H13" s="12" t="s">
        <v>75</v>
      </c>
      <c r="I13" s="12">
        <f>SUMIF(Mercado_Receita!$S$2:$S$444,"44378BGeraçãoNão se aplicaNão se aplicaTIPO 02Não se aplicaNão se aplica",Mercado_Receita!$J$2:$J$444)+SUMIF(Mercado_Receita!$S$2:$S$444,"44378BGeraçãoNão se aplicaNão se aplicaAPENão se aplicaNão se aplica",Mercado_Receita!$J$2:$J$444)</f>
        <v>0</v>
      </c>
      <c r="J13" s="12">
        <f>SUMIF(Mercado_Receita!$S$2:$S$444,"44409BGeraçãoNão se aplicaNão se aplicaTIPO 02Não se aplicaNão se aplica",Mercado_Receita!$J$2:$J$444)+SUMIF(Mercado_Receita!$S$2:$S$444,"44409BGeraçãoNão se aplicaNão se aplicaAPENão se aplicaNão se aplica",Mercado_Receita!$J$2:$J$444)</f>
        <v>0</v>
      </c>
      <c r="K13" s="12">
        <f>SUMIF(Mercado_Receita!$S$2:$S$444,"44440BGeraçãoNão se aplicaNão se aplicaTIPO 02Não se aplicaNão se aplica",Mercado_Receita!$J$2:$J$444)+SUMIF(Mercado_Receita!$S$2:$S$444,"44440BGeraçãoNão se aplicaNão se aplicaAPENão se aplicaNão se aplica",Mercado_Receita!$J$2:$J$444)</f>
        <v>0</v>
      </c>
      <c r="L13" s="12">
        <f>SUMIF(Mercado_Receita!$S$2:$S$444,"44470BGeraçãoNão se aplicaNão se aplicaTIPO 02Não se aplicaNão se aplica",Mercado_Receita!$J$2:$J$444)+SUMIF(Mercado_Receita!$S$2:$S$444,"44470BGeraçãoNão se aplicaNão se aplicaAPENão se aplicaNão se aplica",Mercado_Receita!$J$2:$J$444)</f>
        <v>0</v>
      </c>
      <c r="M13" s="12">
        <f>SUMIF(Mercado_Receita!$S$2:$S$444,"44501BGeraçãoNão se aplicaNão se aplicaTIPO 02Não se aplicaNão se aplica",Mercado_Receita!$J$2:$J$444)+SUMIF(Mercado_Receita!$S$2:$S$444,"44501BGeraçãoNão se aplicaNão se aplicaAPENão se aplicaNão se aplica",Mercado_Receita!$J$2:$J$444)</f>
        <v>0</v>
      </c>
      <c r="N13" s="12">
        <f>SUMIF(Mercado_Receita!$S$2:$S$444,"44531BGeraçãoNão se aplicaNão se aplicaTIPO 02Não se aplicaNão se aplica",Mercado_Receita!$J$2:$J$444)+SUMIF(Mercado_Receita!$S$2:$S$444,"44531BGeraçãoNão se aplicaNão se aplicaAPENão se aplicaNão se aplica",Mercado_Receita!$J$2:$J$444)</f>
        <v>0</v>
      </c>
      <c r="O13" s="12">
        <f>SUMIF(Mercado_Receita!$S$2:$S$444,"44562BGeraçãoNão se aplicaNão se aplicaTIPO 02Não se aplicaNão se aplica",Mercado_Receita!$J$2:$J$444)+SUMIF(Mercado_Receita!$S$2:$S$444,"44562BGeraçãoNão se aplicaNão se aplicaAPENão se aplicaNão se aplica",Mercado_Receita!$J$2:$J$444)</f>
        <v>0</v>
      </c>
      <c r="P13" s="12">
        <f>SUMIF(Mercado_Receita!$S$2:$S$444,"44593BGeraçãoNão se aplicaNão se aplicaTIPO 02Não se aplicaNão se aplica",Mercado_Receita!$J$2:$J$444)+SUMIF(Mercado_Receita!$S$2:$S$444,"44593BGeraçãoNão se aplicaNão se aplicaAPENão se aplicaNão se aplica",Mercado_Receita!$J$2:$J$444)</f>
        <v>0</v>
      </c>
      <c r="Q13" s="12">
        <f>SUMIF(Mercado_Receita!$S$2:$S$444,"44621BGeraçãoNão se aplicaNão se aplicaTIPO 02Não se aplicaNão se aplica",Mercado_Receita!$J$2:$J$444)+SUMIF(Mercado_Receita!$S$2:$S$444,"44621BGeraçãoNão se aplicaNão se aplicaAPENão se aplicaNão se aplica",Mercado_Receita!$J$2:$J$444)</f>
        <v>0</v>
      </c>
      <c r="R13" s="12">
        <f>SUMIF(Mercado_Receita!$S$2:$S$444,"44652BGeraçãoNão se aplicaNão se aplicaTIPO 02Não se aplicaNão se aplica",Mercado_Receita!$J$2:$J$444)+SUMIF(Mercado_Receita!$S$2:$S$444,"44652BGeraçãoNão se aplicaNão se aplicaAPENão se aplicaNão se aplica",Mercado_Receita!$J$2:$J$444)</f>
        <v>0</v>
      </c>
      <c r="S13" s="12">
        <f>SUMIF(Mercado_Receita!$S$2:$S$444,"44682BGeraçãoNão se aplicaNão se aplicaTIPO 02Não se aplicaNão se aplica",Mercado_Receita!$J$2:$J$444)+SUMIF(Mercado_Receita!$S$2:$S$444,"44682BGeraçãoNão se aplicaNão se aplicaAPENão se aplicaNão se aplica",Mercado_Receita!$J$2:$J$444)</f>
        <v>0</v>
      </c>
      <c r="T13" s="12">
        <f>SUMIF(Mercado_Receita!$S$2:$S$444,"44713BGeraçãoNão se aplicaNão se aplicaTIPO 02Não se aplicaNão se aplica",Mercado_Receita!$J$2:$J$444)+SUMIF(Mercado_Receita!$S$2:$S$444,"44713BGeraçãoNão se aplicaNão se aplicaAPENão se aplicaNão se aplica",Mercado_Receita!$J$2:$J$444)</f>
        <v>0</v>
      </c>
      <c r="U13" s="12">
        <f t="shared" si="0"/>
        <v>0</v>
      </c>
      <c r="V13" s="12"/>
      <c r="W13" s="12"/>
    </row>
    <row r="14" spans="1:30" ht="11.25" customHeight="1" x14ac:dyDescent="0.25">
      <c r="A14" s="118" t="s">
        <v>22</v>
      </c>
      <c r="B14" s="118" t="s">
        <v>49</v>
      </c>
      <c r="C14" s="118" t="s">
        <v>24</v>
      </c>
      <c r="D14" s="118" t="s">
        <v>24</v>
      </c>
      <c r="E14" s="118" t="s">
        <v>25</v>
      </c>
      <c r="F14" s="118" t="s">
        <v>25</v>
      </c>
      <c r="G14" s="12" t="s">
        <v>71</v>
      </c>
      <c r="H14" s="12" t="s">
        <v>70</v>
      </c>
      <c r="I14" s="12">
        <f>SUMIF(Mercado_Receita!$S$2:$S$444,"44378B1BrancaResidencialResidencialNão se aplicaNão se aplicaPonta",Mercado_Receita!$L$2:$L$444)</f>
        <v>0</v>
      </c>
      <c r="J14" s="12">
        <f>SUMIF(Mercado_Receita!$S$2:$S$444,"44409B1BrancaResidencialResidencialNão se aplicaNão se aplicaPonta",Mercado_Receita!$L$2:$L$444)</f>
        <v>0</v>
      </c>
      <c r="K14" s="12">
        <f>SUMIF(Mercado_Receita!$S$2:$S$444,"44440B1BrancaResidencialResidencialNão se aplicaNão se aplicaPonta",Mercado_Receita!$L$2:$L$444)</f>
        <v>0</v>
      </c>
      <c r="L14" s="12">
        <f>SUMIF(Mercado_Receita!$S$2:$S$444,"44470B1BrancaResidencialResidencialNão se aplicaNão se aplicaPonta",Mercado_Receita!$L$2:$L$444)</f>
        <v>0</v>
      </c>
      <c r="M14" s="12">
        <f>SUMIF(Mercado_Receita!$S$2:$S$444,"44501B1BrancaResidencialResidencialNão se aplicaNão se aplicaPonta",Mercado_Receita!$L$2:$L$444)</f>
        <v>0</v>
      </c>
      <c r="N14" s="12">
        <f>SUMIF(Mercado_Receita!$S$2:$S$444,"44531B1BrancaResidencialResidencialNão se aplicaNão se aplicaPonta",Mercado_Receita!$L$2:$L$444)</f>
        <v>0</v>
      </c>
      <c r="O14" s="12">
        <f>SUMIF(Mercado_Receita!$S$2:$S$444,"44562B1BrancaResidencialResidencialNão se aplicaNão se aplicaPonta",Mercado_Receita!$L$2:$L$444)</f>
        <v>0</v>
      </c>
      <c r="P14" s="12">
        <f>SUMIF(Mercado_Receita!$S$2:$S$444,"44593B1BrancaResidencialResidencialNão se aplicaNão se aplicaPonta",Mercado_Receita!$L$2:$L$444)</f>
        <v>0</v>
      </c>
      <c r="Q14" s="12">
        <f>SUMIF(Mercado_Receita!$S$2:$S$444,"44621B1BrancaResidencialResidencialNão se aplicaNão se aplicaPonta",Mercado_Receita!$L$2:$L$444)</f>
        <v>0</v>
      </c>
      <c r="R14" s="12">
        <f>SUMIF(Mercado_Receita!$S$2:$S$444,"44652B1BrancaResidencialResidencialNão se aplicaNão se aplicaPonta",Mercado_Receita!$L$2:$L$444)</f>
        <v>0</v>
      </c>
      <c r="S14" s="12">
        <f>SUMIF(Mercado_Receita!$S$2:$S$444,"44682B1BrancaResidencialResidencialNão se aplicaNão se aplicaPonta",Mercado_Receita!$L$2:$L$444)</f>
        <v>0</v>
      </c>
      <c r="T14" s="12">
        <f>SUMIF(Mercado_Receita!$S$2:$S$444,"44713B1BrancaResidencialResidencialNão se aplicaNão se aplicaPonta",Mercado_Receita!$L$2:$L$444)</f>
        <v>0</v>
      </c>
      <c r="U14" s="12">
        <f t="shared" si="0"/>
        <v>0</v>
      </c>
      <c r="V14" s="12"/>
      <c r="W14" s="12"/>
    </row>
    <row r="15" spans="1:30" ht="11.25" customHeight="1" x14ac:dyDescent="0.25">
      <c r="A15" s="119"/>
      <c r="B15" s="119"/>
      <c r="C15" s="119"/>
      <c r="D15" s="119"/>
      <c r="E15" s="119"/>
      <c r="F15" s="119"/>
      <c r="G15" s="12" t="s">
        <v>83</v>
      </c>
      <c r="H15" s="12" t="s">
        <v>70</v>
      </c>
      <c r="I15" s="12">
        <f>SUMIF(Mercado_Receita!$S$2:$S$444,"44378B1BrancaResidencialResidencialNão se aplicaNão se aplicaIntermediário",Mercado_Receita!$L$2:$L$444)</f>
        <v>0</v>
      </c>
      <c r="J15" s="12">
        <f>SUMIF(Mercado_Receita!$S$2:$S$444,"44409B1BrancaResidencialResidencialNão se aplicaNão se aplicaIntermediário",Mercado_Receita!$L$2:$L$444)</f>
        <v>0</v>
      </c>
      <c r="K15" s="12">
        <f>SUMIF(Mercado_Receita!$S$2:$S$444,"44440B1BrancaResidencialResidencialNão se aplicaNão se aplicaIntermediário",Mercado_Receita!$L$2:$L$444)</f>
        <v>0</v>
      </c>
      <c r="L15" s="12">
        <f>SUMIF(Mercado_Receita!$S$2:$S$444,"44470B1BrancaResidencialResidencialNão se aplicaNão se aplicaIntermediário",Mercado_Receita!$L$2:$L$444)</f>
        <v>0</v>
      </c>
      <c r="M15" s="12">
        <f>SUMIF(Mercado_Receita!$S$2:$S$444,"44501B1BrancaResidencialResidencialNão se aplicaNão se aplicaIntermediário",Mercado_Receita!$L$2:$L$444)</f>
        <v>0</v>
      </c>
      <c r="N15" s="12">
        <f>SUMIF(Mercado_Receita!$S$2:$S$444,"44531B1BrancaResidencialResidencialNão se aplicaNão se aplicaIntermediário",Mercado_Receita!$L$2:$L$444)</f>
        <v>0</v>
      </c>
      <c r="O15" s="12">
        <f>SUMIF(Mercado_Receita!$S$2:$S$444,"44562B1BrancaResidencialResidencialNão se aplicaNão se aplicaIntermediário",Mercado_Receita!$L$2:$L$444)</f>
        <v>0</v>
      </c>
      <c r="P15" s="12">
        <f>SUMIF(Mercado_Receita!$S$2:$S$444,"44593B1BrancaResidencialResidencialNão se aplicaNão se aplicaIntermediário",Mercado_Receita!$L$2:$L$444)</f>
        <v>0</v>
      </c>
      <c r="Q15" s="12">
        <f>SUMIF(Mercado_Receita!$S$2:$S$444,"44621B1BrancaResidencialResidencialNão se aplicaNão se aplicaIntermediário",Mercado_Receita!$L$2:$L$444)</f>
        <v>0</v>
      </c>
      <c r="R15" s="12">
        <f>SUMIF(Mercado_Receita!$S$2:$S$444,"44652B1BrancaResidencialResidencialNão se aplicaNão se aplicaIntermediário",Mercado_Receita!$L$2:$L$444)</f>
        <v>0</v>
      </c>
      <c r="S15" s="12">
        <f>SUMIF(Mercado_Receita!$S$2:$S$444,"44682B1BrancaResidencialResidencialNão se aplicaNão se aplicaIntermediário",Mercado_Receita!$L$2:$L$444)</f>
        <v>0</v>
      </c>
      <c r="T15" s="12">
        <f>SUMIF(Mercado_Receita!$S$2:$S$444,"44713B1BrancaResidencialResidencialNão se aplicaNão se aplicaIntermediário",Mercado_Receita!$L$2:$L$444)</f>
        <v>0</v>
      </c>
      <c r="U15" s="12">
        <f t="shared" si="0"/>
        <v>0</v>
      </c>
      <c r="V15" s="12"/>
      <c r="W15" s="12"/>
    </row>
    <row r="16" spans="1:30" ht="11.25" customHeight="1" x14ac:dyDescent="0.25">
      <c r="A16" s="119"/>
      <c r="B16" s="119"/>
      <c r="C16" s="119"/>
      <c r="D16" s="119"/>
      <c r="E16" s="119"/>
      <c r="F16" s="119"/>
      <c r="G16" s="12" t="s">
        <v>72</v>
      </c>
      <c r="H16" s="12" t="s">
        <v>70</v>
      </c>
      <c r="I16" s="12">
        <f>SUMIF(Mercado_Receita!$S$2:$S$444,"44378B1BrancaResidencialResidencialNão se aplicaNão se aplicaFora ponta",Mercado_Receita!$L$2:$L$444)</f>
        <v>0</v>
      </c>
      <c r="J16" s="12">
        <f>SUMIF(Mercado_Receita!$S$2:$S$444,"44409B1BrancaResidencialResidencialNão se aplicaNão se aplicaFora ponta",Mercado_Receita!$L$2:$L$444)</f>
        <v>0</v>
      </c>
      <c r="K16" s="12">
        <f>SUMIF(Mercado_Receita!$S$2:$S$444,"44440B1BrancaResidencialResidencialNão se aplicaNão se aplicaFora ponta",Mercado_Receita!$L$2:$L$444)</f>
        <v>0</v>
      </c>
      <c r="L16" s="12">
        <f>SUMIF(Mercado_Receita!$S$2:$S$444,"44470B1BrancaResidencialResidencialNão se aplicaNão se aplicaFora ponta",Mercado_Receita!$L$2:$L$444)</f>
        <v>0</v>
      </c>
      <c r="M16" s="12">
        <f>SUMIF(Mercado_Receita!$S$2:$S$444,"44501B1BrancaResidencialResidencialNão se aplicaNão se aplicaFora ponta",Mercado_Receita!$L$2:$L$444)</f>
        <v>0</v>
      </c>
      <c r="N16" s="12">
        <f>SUMIF(Mercado_Receita!$S$2:$S$444,"44531B1BrancaResidencialResidencialNão se aplicaNão se aplicaFora ponta",Mercado_Receita!$L$2:$L$444)</f>
        <v>0</v>
      </c>
      <c r="O16" s="12">
        <f>SUMIF(Mercado_Receita!$S$2:$S$444,"44562B1BrancaResidencialResidencialNão se aplicaNão se aplicaFora ponta",Mercado_Receita!$L$2:$L$444)</f>
        <v>0</v>
      </c>
      <c r="P16" s="12">
        <f>SUMIF(Mercado_Receita!$S$2:$S$444,"44593B1BrancaResidencialResidencialNão se aplicaNão se aplicaFora ponta",Mercado_Receita!$L$2:$L$444)</f>
        <v>0</v>
      </c>
      <c r="Q16" s="12">
        <f>SUMIF(Mercado_Receita!$S$2:$S$444,"44621B1BrancaResidencialResidencialNão se aplicaNão se aplicaFora ponta",Mercado_Receita!$L$2:$L$444)</f>
        <v>0</v>
      </c>
      <c r="R16" s="12">
        <f>SUMIF(Mercado_Receita!$S$2:$S$444,"44652B1BrancaResidencialResidencialNão se aplicaNão se aplicaFora ponta",Mercado_Receita!$L$2:$L$444)</f>
        <v>0</v>
      </c>
      <c r="S16" s="12">
        <f>SUMIF(Mercado_Receita!$S$2:$S$444,"44682B1BrancaResidencialResidencialNão se aplicaNão se aplicaFora ponta",Mercado_Receita!$L$2:$L$444)</f>
        <v>0</v>
      </c>
      <c r="T16" s="12">
        <f>SUMIF(Mercado_Receita!$S$2:$S$444,"44713B1BrancaResidencialResidencialNão se aplicaNão se aplicaFora ponta",Mercado_Receita!$L$2:$L$444)</f>
        <v>0</v>
      </c>
      <c r="U16" s="12">
        <f t="shared" si="0"/>
        <v>0</v>
      </c>
      <c r="V16" s="12"/>
      <c r="W16" s="12"/>
    </row>
    <row r="17" spans="1:23" ht="11.25" customHeight="1" x14ac:dyDescent="0.25">
      <c r="A17" s="119"/>
      <c r="B17" s="118" t="s">
        <v>23</v>
      </c>
      <c r="C17" s="118" t="s">
        <v>24</v>
      </c>
      <c r="D17" s="13" t="s">
        <v>24</v>
      </c>
      <c r="E17" s="13" t="s">
        <v>25</v>
      </c>
      <c r="F17" s="13" t="s">
        <v>25</v>
      </c>
      <c r="G17" s="12" t="s">
        <v>74</v>
      </c>
      <c r="H17" s="12" t="s">
        <v>70</v>
      </c>
      <c r="I17" s="12">
        <f>SUMIF(Mercado_Receita!$S$2:$S$444,"44378B1ConvencionalResidencialResidencialNão se aplicaNão se aplicaPonta",Mercado_Receita!$L$2:$L$444)+SUMIF(Mercado_Receita!$S$2:$S$444,"44378B1ConvencionalResidencialResidencialNão se aplicaNão se aplicaFora ponta",Mercado_Receita!$L$2:$L$444)+SUMIF(Mercado_Receita!$S$2:$S$444,"44378B1ConvencionalResidencialResidencialNão se aplicaNão se aplicaIntermediário",Mercado_Receita!$L$2:$L$444)+SUMIF(Mercado_Receita!$S$2:$S$444,"44378B1ConvencionalResidencialResidencialNão se aplicaNão se aplicaNão se aplica",Mercado_Receita!$L$2:$L$444)</f>
        <v>1912.106</v>
      </c>
      <c r="J17" s="12">
        <f>SUMIF(Mercado_Receita!$S$2:$S$444,"44409B1ConvencionalResidencialResidencialNão se aplicaNão se aplicaPonta",Mercado_Receita!$L$2:$L$444)+SUMIF(Mercado_Receita!$S$2:$S$444,"44409B1ConvencionalResidencialResidencialNão se aplicaNão se aplicaFora ponta",Mercado_Receita!$L$2:$L$444)+SUMIF(Mercado_Receita!$S$2:$S$444,"44409B1ConvencionalResidencialResidencialNão se aplicaNão se aplicaIntermediário",Mercado_Receita!$L$2:$L$444)+SUMIF(Mercado_Receita!$S$2:$S$444,"44409B1ConvencionalResidencialResidencialNão se aplicaNão se aplicaNão se aplica",Mercado_Receita!$L$2:$L$444)</f>
        <v>1813.069</v>
      </c>
      <c r="K17" s="12">
        <f>SUMIF(Mercado_Receita!$S$2:$S$444,"44440B1ConvencionalResidencialResidencialNão se aplicaNão se aplicaPonta",Mercado_Receita!$L$2:$L$444)+SUMIF(Mercado_Receita!$S$2:$S$444,"44440B1ConvencionalResidencialResidencialNão se aplicaNão se aplicaFora ponta",Mercado_Receita!$L$2:$L$444)+SUMIF(Mercado_Receita!$S$2:$S$444,"44440B1ConvencionalResidencialResidencialNão se aplicaNão se aplicaIntermediário",Mercado_Receita!$L$2:$L$444)+SUMIF(Mercado_Receita!$S$2:$S$444,"44440B1ConvencionalResidencialResidencialNão se aplicaNão se aplicaNão se aplica",Mercado_Receita!$L$2:$L$444)</f>
        <v>1622.9649999999999</v>
      </c>
      <c r="L17" s="12">
        <f>SUMIF(Mercado_Receita!$S$2:$S$444,"44470B1ConvencionalResidencialResidencialNão se aplicaNão se aplicaPonta",Mercado_Receita!$L$2:$L$444)+SUMIF(Mercado_Receita!$S$2:$S$444,"44470B1ConvencionalResidencialResidencialNão se aplicaNão se aplicaFora ponta",Mercado_Receita!$L$2:$L$444)+SUMIF(Mercado_Receita!$S$2:$S$444,"44470B1ConvencionalResidencialResidencialNão se aplicaNão se aplicaIntermediário",Mercado_Receita!$L$2:$L$444)+SUMIF(Mercado_Receita!$S$2:$S$444,"44470B1ConvencionalResidencialResidencialNão se aplicaNão se aplicaNão se aplica",Mercado_Receita!$L$2:$L$444)</f>
        <v>1560.4449999999999</v>
      </c>
      <c r="M17" s="12">
        <f>SUMIF(Mercado_Receita!$S$2:$S$444,"44501B1ConvencionalResidencialResidencialNão se aplicaNão se aplicaPonta",Mercado_Receita!$L$2:$L$444)+SUMIF(Mercado_Receita!$S$2:$S$444,"44501B1ConvencionalResidencialResidencialNão se aplicaNão se aplicaFora ponta",Mercado_Receita!$L$2:$L$444)+SUMIF(Mercado_Receita!$S$2:$S$444,"44501B1ConvencionalResidencialResidencialNão se aplicaNão se aplicaIntermediário",Mercado_Receita!$L$2:$L$444)+SUMIF(Mercado_Receita!$S$2:$S$444,"44501B1ConvencionalResidencialResidencialNão se aplicaNão se aplicaNão se aplica",Mercado_Receita!$L$2:$L$444)</f>
        <v>1653.3789999999999</v>
      </c>
      <c r="N17" s="12">
        <f>SUMIF(Mercado_Receita!$S$2:$S$444,"44531B1ConvencionalResidencialResidencialNão se aplicaNão se aplicaPonta",Mercado_Receita!$L$2:$L$444)+SUMIF(Mercado_Receita!$S$2:$S$444,"44531B1ConvencionalResidencialResidencialNão se aplicaNão se aplicaFora ponta",Mercado_Receita!$L$2:$L$444)+SUMIF(Mercado_Receita!$S$2:$S$444,"44531B1ConvencionalResidencialResidencialNão se aplicaNão se aplicaIntermediário",Mercado_Receita!$L$2:$L$444)+SUMIF(Mercado_Receita!$S$2:$S$444,"44531B1ConvencionalResidencialResidencialNão se aplicaNão se aplicaNão se aplica",Mercado_Receita!$L$2:$L$444)</f>
        <v>1660.461</v>
      </c>
      <c r="O17" s="12">
        <f>SUMIF(Mercado_Receita!$S$2:$S$444,"44562B1ConvencionalResidencialResidencialNão se aplicaNão se aplicaPonta",Mercado_Receita!$L$2:$L$444)+SUMIF(Mercado_Receita!$S$2:$S$444,"44562B1ConvencionalResidencialResidencialNão se aplicaNão se aplicaFora ponta",Mercado_Receita!$L$2:$L$444)+SUMIF(Mercado_Receita!$S$2:$S$444,"44562B1ConvencionalResidencialResidencialNão se aplicaNão se aplicaIntermediário",Mercado_Receita!$L$2:$L$444)+SUMIF(Mercado_Receita!$S$2:$S$444,"44562B1ConvencionalResidencialResidencialNão se aplicaNão se aplicaNão se aplica",Mercado_Receita!$L$2:$L$444)</f>
        <v>1853.413</v>
      </c>
      <c r="P17" s="12">
        <f>SUMIF(Mercado_Receita!$S$2:$S$444,"44593B1ConvencionalResidencialResidencialNão se aplicaNão se aplicaPonta",Mercado_Receita!$L$2:$L$444)+SUMIF(Mercado_Receita!$S$2:$S$444,"44593B1ConvencionalResidencialResidencialNão se aplicaNão se aplicaFora ponta",Mercado_Receita!$L$2:$L$444)+SUMIF(Mercado_Receita!$S$2:$S$444,"44593B1ConvencionalResidencialResidencialNão se aplicaNão se aplicaIntermediário",Mercado_Receita!$L$2:$L$444)+SUMIF(Mercado_Receita!$S$2:$S$444,"44593B1ConvencionalResidencialResidencialNão se aplicaNão se aplicaNão se aplica",Mercado_Receita!$L$2:$L$444)</f>
        <v>1839.8340000000001</v>
      </c>
      <c r="Q17" s="12">
        <f>SUMIF(Mercado_Receita!$S$2:$S$444,"44621B1ConvencionalResidencialResidencialNão se aplicaNão se aplicaPonta",Mercado_Receita!$L$2:$L$444)+SUMIF(Mercado_Receita!$S$2:$S$444,"44621B1ConvencionalResidencialResidencialNão se aplicaNão se aplicaFora ponta",Mercado_Receita!$L$2:$L$444)+SUMIF(Mercado_Receita!$S$2:$S$444,"44621B1ConvencionalResidencialResidencialNão se aplicaNão se aplicaIntermediário",Mercado_Receita!$L$2:$L$444)+SUMIF(Mercado_Receita!$S$2:$S$444,"44621B1ConvencionalResidencialResidencialNão se aplicaNão se aplicaNão se aplica",Mercado_Receita!$L$2:$L$444)</f>
        <v>1652.9169999999999</v>
      </c>
      <c r="R17" s="12">
        <f>SUMIF(Mercado_Receita!$S$2:$S$444,"44652B1ConvencionalResidencialResidencialNão se aplicaNão se aplicaPonta",Mercado_Receita!$L$2:$L$444)+SUMIF(Mercado_Receita!$S$2:$S$444,"44652B1ConvencionalResidencialResidencialNão se aplicaNão se aplicaFora ponta",Mercado_Receita!$L$2:$L$444)+SUMIF(Mercado_Receita!$S$2:$S$444,"44652B1ConvencionalResidencialResidencialNão se aplicaNão se aplicaIntermediário",Mercado_Receita!$L$2:$L$444)+SUMIF(Mercado_Receita!$S$2:$S$444,"44652B1ConvencionalResidencialResidencialNão se aplicaNão se aplicaNão se aplica",Mercado_Receita!$L$2:$L$444)</f>
        <v>1535.826</v>
      </c>
      <c r="S17" s="12">
        <f>SUMIF(Mercado_Receita!$S$2:$S$444,"44682B1ConvencionalResidencialResidencialNão se aplicaNão se aplicaPonta",Mercado_Receita!$L$2:$L$444)+SUMIF(Mercado_Receita!$S$2:$S$444,"44682B1ConvencionalResidencialResidencialNão se aplicaNão se aplicaFora ponta",Mercado_Receita!$L$2:$L$444)+SUMIF(Mercado_Receita!$S$2:$S$444,"44682B1ConvencionalResidencialResidencialNão se aplicaNão se aplicaIntermediário",Mercado_Receita!$L$2:$L$444)+SUMIF(Mercado_Receita!$S$2:$S$444,"44682B1ConvencionalResidencialResidencialNão se aplicaNão se aplicaNão se aplica",Mercado_Receita!$L$2:$L$444)</f>
        <v>1581.9730000000002</v>
      </c>
      <c r="T17" s="12">
        <f>SUMIF(Mercado_Receita!$S$2:$S$444,"44713B1ConvencionalResidencialResidencialNão se aplicaNão se aplicaPonta",Mercado_Receita!$L$2:$L$444)+SUMIF(Mercado_Receita!$S$2:$S$444,"44713B1ConvencionalResidencialResidencialNão se aplicaNão se aplicaFora ponta",Mercado_Receita!$L$2:$L$444)+SUMIF(Mercado_Receita!$S$2:$S$444,"44713B1ConvencionalResidencialResidencialNão se aplicaNão se aplicaIntermediário",Mercado_Receita!$L$2:$L$444)+SUMIF(Mercado_Receita!$S$2:$S$444,"44713B1ConvencionalResidencialResidencialNão se aplicaNão se aplicaNão se aplica",Mercado_Receita!$L$2:$L$444)</f>
        <v>1844.4880000000001</v>
      </c>
      <c r="U17" s="12">
        <f t="shared" si="0"/>
        <v>20530.876000000004</v>
      </c>
      <c r="V17" s="12"/>
      <c r="W17" s="12"/>
    </row>
    <row r="18" spans="1:23" ht="11.25" customHeight="1" x14ac:dyDescent="0.25">
      <c r="A18" s="119"/>
      <c r="B18" s="119"/>
      <c r="C18" s="119"/>
      <c r="D18" s="13" t="s">
        <v>28</v>
      </c>
      <c r="E18" s="13" t="s">
        <v>25</v>
      </c>
      <c r="F18" s="13" t="s">
        <v>25</v>
      </c>
      <c r="G18" s="12" t="s">
        <v>74</v>
      </c>
      <c r="H18" s="12" t="s">
        <v>70</v>
      </c>
      <c r="I18" s="12">
        <f>SUMIF(Mercado_Receita!$S$2:$S$444,"44378B1ConvencionalResidencialResidencial baixa renda – faixa 01Não se aplicaNão se aplicaPonta",Mercado_Receita!$L$2:$L$444)+SUMIF(Mercado_Receita!$S$2:$S$444,"44378B1ConvencionalResidencialResidencial baixa renda – faixa 01Não se aplicaNão se aplicaFora ponta",Mercado_Receita!$L$2:$L$444)+SUMIF(Mercado_Receita!$S$2:$S$444,"44378B1ConvencionalResidencialResidencial baixa renda – faixa 01Não se aplicaNão se aplicaIntermediário",Mercado_Receita!$L$2:$L$444)+SUMIF(Mercado_Receita!$S$2:$S$444,"44378B1ConvencionalResidencialResidencial baixa renda – faixa 01Não se aplicaNão se aplicaNão se aplica",Mercado_Receita!$L$2:$L$444)</f>
        <v>8.43</v>
      </c>
      <c r="J18" s="12">
        <f>SUMIF(Mercado_Receita!$S$2:$S$444,"44409B1ConvencionalResidencialResidencial baixa renda – faixa 01Não se aplicaNão se aplicaPonta",Mercado_Receita!$L$2:$L$444)+SUMIF(Mercado_Receita!$S$2:$S$444,"44409B1ConvencionalResidencialResidencial baixa renda – faixa 01Não se aplicaNão se aplicaFora ponta",Mercado_Receita!$L$2:$L$444)+SUMIF(Mercado_Receita!$S$2:$S$444,"44409B1ConvencionalResidencialResidencial baixa renda – faixa 01Não se aplicaNão se aplicaIntermediário",Mercado_Receita!$L$2:$L$444)+SUMIF(Mercado_Receita!$S$2:$S$444,"44409B1ConvencionalResidencialResidencial baixa renda – faixa 01Não se aplicaNão se aplicaNão se aplica",Mercado_Receita!$L$2:$L$444)</f>
        <v>8.6999999999999993</v>
      </c>
      <c r="K18" s="12">
        <f>SUMIF(Mercado_Receita!$S$2:$S$444,"44440B1ConvencionalResidencialResidencial baixa renda – faixa 01Não se aplicaNão se aplicaPonta",Mercado_Receita!$L$2:$L$444)+SUMIF(Mercado_Receita!$S$2:$S$444,"44440B1ConvencionalResidencialResidencial baixa renda – faixa 01Não se aplicaNão se aplicaFora ponta",Mercado_Receita!$L$2:$L$444)+SUMIF(Mercado_Receita!$S$2:$S$444,"44440B1ConvencionalResidencialResidencial baixa renda – faixa 01Não se aplicaNão se aplicaIntermediário",Mercado_Receita!$L$2:$L$444)+SUMIF(Mercado_Receita!$S$2:$S$444,"44440B1ConvencionalResidencialResidencial baixa renda – faixa 01Não se aplicaNão se aplicaNão se aplica",Mercado_Receita!$L$2:$L$444)</f>
        <v>8.76</v>
      </c>
      <c r="L18" s="12">
        <f>SUMIF(Mercado_Receita!$S$2:$S$444,"44470B1ConvencionalResidencialResidencial baixa renda – faixa 01Não se aplicaNão se aplicaPonta",Mercado_Receita!$L$2:$L$444)+SUMIF(Mercado_Receita!$S$2:$S$444,"44470B1ConvencionalResidencialResidencial baixa renda – faixa 01Não se aplicaNão se aplicaFora ponta",Mercado_Receita!$L$2:$L$444)+SUMIF(Mercado_Receita!$S$2:$S$444,"44470B1ConvencionalResidencialResidencial baixa renda – faixa 01Não se aplicaNão se aplicaIntermediário",Mercado_Receita!$L$2:$L$444)+SUMIF(Mercado_Receita!$S$2:$S$444,"44470B1ConvencionalResidencialResidencial baixa renda – faixa 01Não se aplicaNão se aplicaNão se aplica",Mercado_Receita!$L$2:$L$444)</f>
        <v>8.82</v>
      </c>
      <c r="M18" s="12">
        <f>SUMIF(Mercado_Receita!$S$2:$S$444,"44501B1ConvencionalResidencialResidencial baixa renda – faixa 01Não se aplicaNão se aplicaPonta",Mercado_Receita!$L$2:$L$444)+SUMIF(Mercado_Receita!$S$2:$S$444,"44501B1ConvencionalResidencialResidencial baixa renda – faixa 01Não se aplicaNão se aplicaFora ponta",Mercado_Receita!$L$2:$L$444)+SUMIF(Mercado_Receita!$S$2:$S$444,"44501B1ConvencionalResidencialResidencial baixa renda – faixa 01Não se aplicaNão se aplicaIntermediário",Mercado_Receita!$L$2:$L$444)+SUMIF(Mercado_Receita!$S$2:$S$444,"44501B1ConvencionalResidencialResidencial baixa renda – faixa 01Não se aplicaNão se aplicaNão se aplica",Mercado_Receita!$L$2:$L$444)</f>
        <v>8.85</v>
      </c>
      <c r="N18" s="12">
        <f>SUMIF(Mercado_Receita!$S$2:$S$444,"44531B1ConvencionalResidencialResidencial baixa renda – faixa 01Não se aplicaNão se aplicaPonta",Mercado_Receita!$L$2:$L$444)+SUMIF(Mercado_Receita!$S$2:$S$444,"44531B1ConvencionalResidencialResidencial baixa renda – faixa 01Não se aplicaNão se aplicaFora ponta",Mercado_Receita!$L$2:$L$444)+SUMIF(Mercado_Receita!$S$2:$S$444,"44531B1ConvencionalResidencialResidencial baixa renda – faixa 01Não se aplicaNão se aplicaIntermediário",Mercado_Receita!$L$2:$L$444)+SUMIF(Mercado_Receita!$S$2:$S$444,"44531B1ConvencionalResidencialResidencial baixa renda – faixa 01Não se aplicaNão se aplicaNão se aplica",Mercado_Receita!$L$2:$L$444)</f>
        <v>12.42</v>
      </c>
      <c r="O18" s="12">
        <f>SUMIF(Mercado_Receita!$S$2:$S$444,"44562B1ConvencionalResidencialResidencial baixa renda – faixa 01Não se aplicaNão se aplicaPonta",Mercado_Receita!$L$2:$L$444)+SUMIF(Mercado_Receita!$S$2:$S$444,"44562B1ConvencionalResidencialResidencial baixa renda – faixa 01Não se aplicaNão se aplicaFora ponta",Mercado_Receita!$L$2:$L$444)+SUMIF(Mercado_Receita!$S$2:$S$444,"44562B1ConvencionalResidencialResidencial baixa renda – faixa 01Não se aplicaNão se aplicaIntermediário",Mercado_Receita!$L$2:$L$444)+SUMIF(Mercado_Receita!$S$2:$S$444,"44562B1ConvencionalResidencialResidencial baixa renda – faixa 01Não se aplicaNão se aplicaNão se aplica",Mercado_Receita!$L$2:$L$444)</f>
        <v>14.82</v>
      </c>
      <c r="P18" s="12">
        <f>SUMIF(Mercado_Receita!$S$2:$S$444,"44593B1ConvencionalResidencialResidencial baixa renda – faixa 01Não se aplicaNão se aplicaPonta",Mercado_Receita!$L$2:$L$444)+SUMIF(Mercado_Receita!$S$2:$S$444,"44593B1ConvencionalResidencialResidencial baixa renda – faixa 01Não se aplicaNão se aplicaFora ponta",Mercado_Receita!$L$2:$L$444)+SUMIF(Mercado_Receita!$S$2:$S$444,"44593B1ConvencionalResidencialResidencial baixa renda – faixa 01Não se aplicaNão se aplicaIntermediário",Mercado_Receita!$L$2:$L$444)+SUMIF(Mercado_Receita!$S$2:$S$444,"44593B1ConvencionalResidencialResidencial baixa renda – faixa 01Não se aplicaNão se aplicaNão se aplica",Mercado_Receita!$L$2:$L$444)</f>
        <v>16.29</v>
      </c>
      <c r="Q18" s="12">
        <f>SUMIF(Mercado_Receita!$S$2:$S$444,"44621B1ConvencionalResidencialResidencial baixa renda – faixa 01Não se aplicaNão se aplicaPonta",Mercado_Receita!$L$2:$L$444)+SUMIF(Mercado_Receita!$S$2:$S$444,"44621B1ConvencionalResidencialResidencial baixa renda – faixa 01Não se aplicaNão se aplicaFora ponta",Mercado_Receita!$L$2:$L$444)+SUMIF(Mercado_Receita!$S$2:$S$444,"44621B1ConvencionalResidencialResidencial baixa renda – faixa 01Não se aplicaNão se aplicaIntermediário",Mercado_Receita!$L$2:$L$444)+SUMIF(Mercado_Receita!$S$2:$S$444,"44621B1ConvencionalResidencialResidencial baixa renda – faixa 01Não se aplicaNão se aplicaNão se aplica",Mercado_Receita!$L$2:$L$444)</f>
        <v>17.309999999999999</v>
      </c>
      <c r="R18" s="12">
        <f>SUMIF(Mercado_Receita!$S$2:$S$444,"44652B1ConvencionalResidencialResidencial baixa renda – faixa 01Não se aplicaNão se aplicaPonta",Mercado_Receita!$L$2:$L$444)+SUMIF(Mercado_Receita!$S$2:$S$444,"44652B1ConvencionalResidencialResidencial baixa renda – faixa 01Não se aplicaNão se aplicaFora ponta",Mercado_Receita!$L$2:$L$444)+SUMIF(Mercado_Receita!$S$2:$S$444,"44652B1ConvencionalResidencialResidencial baixa renda – faixa 01Não se aplicaNão se aplicaIntermediário",Mercado_Receita!$L$2:$L$444)+SUMIF(Mercado_Receita!$S$2:$S$444,"44652B1ConvencionalResidencialResidencial baixa renda – faixa 01Não se aplicaNão se aplicaNão se aplica",Mercado_Receita!$L$2:$L$444)</f>
        <v>18.989999999999998</v>
      </c>
      <c r="S18" s="12">
        <f>SUMIF(Mercado_Receita!$S$2:$S$444,"44682B1ConvencionalResidencialResidencial baixa renda – faixa 01Não se aplicaNão se aplicaPonta",Mercado_Receita!$L$2:$L$444)+SUMIF(Mercado_Receita!$S$2:$S$444,"44682B1ConvencionalResidencialResidencial baixa renda – faixa 01Não se aplicaNão se aplicaFora ponta",Mercado_Receita!$L$2:$L$444)+SUMIF(Mercado_Receita!$S$2:$S$444,"44682B1ConvencionalResidencialResidencial baixa renda – faixa 01Não se aplicaNão se aplicaIntermediário",Mercado_Receita!$L$2:$L$444)+SUMIF(Mercado_Receita!$S$2:$S$444,"44682B1ConvencionalResidencialResidencial baixa renda – faixa 01Não se aplicaNão se aplicaNão se aplica",Mercado_Receita!$L$2:$L$444)</f>
        <v>19.776</v>
      </c>
      <c r="T18" s="12">
        <f>SUMIF(Mercado_Receita!$S$2:$S$444,"44713B1ConvencionalResidencialResidencial baixa renda – faixa 01Não se aplicaNão se aplicaPonta",Mercado_Receita!$L$2:$L$444)+SUMIF(Mercado_Receita!$S$2:$S$444,"44713B1ConvencionalResidencialResidencial baixa renda – faixa 01Não se aplicaNão se aplicaFora ponta",Mercado_Receita!$L$2:$L$444)+SUMIF(Mercado_Receita!$S$2:$S$444,"44713B1ConvencionalResidencialResidencial baixa renda – faixa 01Não se aplicaNão se aplicaIntermediário",Mercado_Receita!$L$2:$L$444)+SUMIF(Mercado_Receita!$S$2:$S$444,"44713B1ConvencionalResidencialResidencial baixa renda – faixa 01Não se aplicaNão se aplicaNão se aplica",Mercado_Receita!$L$2:$L$444)</f>
        <v>21.84</v>
      </c>
      <c r="U18" s="12">
        <f t="shared" si="0"/>
        <v>165.006</v>
      </c>
      <c r="V18" s="12"/>
      <c r="W18" s="12"/>
    </row>
    <row r="19" spans="1:23" ht="11.25" customHeight="1" x14ac:dyDescent="0.25">
      <c r="A19" s="119"/>
      <c r="B19" s="119"/>
      <c r="C19" s="119"/>
      <c r="D19" s="13" t="s">
        <v>29</v>
      </c>
      <c r="E19" s="13" t="s">
        <v>25</v>
      </c>
      <c r="F19" s="13" t="s">
        <v>25</v>
      </c>
      <c r="G19" s="12" t="s">
        <v>74</v>
      </c>
      <c r="H19" s="12" t="s">
        <v>70</v>
      </c>
      <c r="I19" s="12">
        <f>SUMIF(Mercado_Receita!$S$2:$S$444,"44378B1ConvencionalResidencialResidencial baixa renda – faixa 02Não se aplicaNão se aplicaPonta",Mercado_Receita!$L$2:$L$444)+SUMIF(Mercado_Receita!$S$2:$S$444,"44378B1ConvencionalResidencialResidencial baixa renda – faixa 02Não se aplicaNão se aplicaFora ponta",Mercado_Receita!$L$2:$L$444)+SUMIF(Mercado_Receita!$S$2:$S$444,"44378B1ConvencionalResidencialResidencial baixa renda – faixa 02Não se aplicaNão se aplicaIntermediário",Mercado_Receita!$L$2:$L$444)+SUMIF(Mercado_Receita!$S$2:$S$444,"44378B1ConvencionalResidencialResidencial baixa renda – faixa 02Não se aplicaNão se aplicaNão se aplica",Mercado_Receita!$L$2:$L$444)</f>
        <v>18.091000000000001</v>
      </c>
      <c r="J19" s="12">
        <f>SUMIF(Mercado_Receita!$S$2:$S$444,"44409B1ConvencionalResidencialResidencial baixa renda – faixa 02Não se aplicaNão se aplicaPonta",Mercado_Receita!$L$2:$L$444)+SUMIF(Mercado_Receita!$S$2:$S$444,"44409B1ConvencionalResidencialResidencial baixa renda – faixa 02Não se aplicaNão se aplicaFora ponta",Mercado_Receita!$L$2:$L$444)+SUMIF(Mercado_Receita!$S$2:$S$444,"44409B1ConvencionalResidencialResidencial baixa renda – faixa 02Não se aplicaNão se aplicaIntermediário",Mercado_Receita!$L$2:$L$444)+SUMIF(Mercado_Receita!$S$2:$S$444,"44409B1ConvencionalResidencialResidencial baixa renda – faixa 02Não se aplicaNão se aplicaNão se aplica",Mercado_Receita!$L$2:$L$444)</f>
        <v>18.702000000000002</v>
      </c>
      <c r="K19" s="12">
        <f>SUMIF(Mercado_Receita!$S$2:$S$444,"44440B1ConvencionalResidencialResidencial baixa renda – faixa 02Não se aplicaNão se aplicaPonta",Mercado_Receita!$L$2:$L$444)+SUMIF(Mercado_Receita!$S$2:$S$444,"44440B1ConvencionalResidencialResidencial baixa renda – faixa 02Não se aplicaNão se aplicaFora ponta",Mercado_Receita!$L$2:$L$444)+SUMIF(Mercado_Receita!$S$2:$S$444,"44440B1ConvencionalResidencialResidencial baixa renda – faixa 02Não se aplicaNão se aplicaIntermediário",Mercado_Receita!$L$2:$L$444)+SUMIF(Mercado_Receita!$S$2:$S$444,"44440B1ConvencionalResidencialResidencial baixa renda – faixa 02Não se aplicaNão se aplicaNão se aplica",Mercado_Receita!$L$2:$L$444)</f>
        <v>18.943999999999999</v>
      </c>
      <c r="L19" s="12">
        <f>SUMIF(Mercado_Receita!$S$2:$S$444,"44470B1ConvencionalResidencialResidencial baixa renda – faixa 02Não se aplicaNão se aplicaPonta",Mercado_Receita!$L$2:$L$444)+SUMIF(Mercado_Receita!$S$2:$S$444,"44470B1ConvencionalResidencialResidencial baixa renda – faixa 02Não se aplicaNão se aplicaFora ponta",Mercado_Receita!$L$2:$L$444)+SUMIF(Mercado_Receita!$S$2:$S$444,"44470B1ConvencionalResidencialResidencial baixa renda – faixa 02Não se aplicaNão se aplicaIntermediário",Mercado_Receita!$L$2:$L$444)+SUMIF(Mercado_Receita!$S$2:$S$444,"44470B1ConvencionalResidencialResidencial baixa renda – faixa 02Não se aplicaNão se aplicaNão se aplica",Mercado_Receita!$L$2:$L$444)</f>
        <v>18.806000000000001</v>
      </c>
      <c r="M19" s="12">
        <f>SUMIF(Mercado_Receita!$S$2:$S$444,"44501B1ConvencionalResidencialResidencial baixa renda – faixa 02Não se aplicaNão se aplicaPonta",Mercado_Receita!$L$2:$L$444)+SUMIF(Mercado_Receita!$S$2:$S$444,"44501B1ConvencionalResidencialResidencial baixa renda – faixa 02Não se aplicaNão se aplicaFora ponta",Mercado_Receita!$L$2:$L$444)+SUMIF(Mercado_Receita!$S$2:$S$444,"44501B1ConvencionalResidencialResidencial baixa renda – faixa 02Não se aplicaNão se aplicaIntermediário",Mercado_Receita!$L$2:$L$444)+SUMIF(Mercado_Receita!$S$2:$S$444,"44501B1ConvencionalResidencialResidencial baixa renda – faixa 02Não se aplicaNão se aplicaNão se aplica",Mercado_Receita!$L$2:$L$444)</f>
        <v>19.143999999999998</v>
      </c>
      <c r="N19" s="12">
        <f>SUMIF(Mercado_Receita!$S$2:$S$444,"44531B1ConvencionalResidencialResidencial baixa renda – faixa 02Não se aplicaNão se aplicaPonta",Mercado_Receita!$L$2:$L$444)+SUMIF(Mercado_Receita!$S$2:$S$444,"44531B1ConvencionalResidencialResidencial baixa renda – faixa 02Não se aplicaNão se aplicaFora ponta",Mercado_Receita!$L$2:$L$444)+SUMIF(Mercado_Receita!$S$2:$S$444,"44531B1ConvencionalResidencialResidencial baixa renda – faixa 02Não se aplicaNão se aplicaIntermediário",Mercado_Receita!$L$2:$L$444)+SUMIF(Mercado_Receita!$S$2:$S$444,"44531B1ConvencionalResidencialResidencial baixa renda – faixa 02Não se aplicaNão se aplicaNão se aplica",Mercado_Receita!$L$2:$L$444)</f>
        <v>26.596</v>
      </c>
      <c r="O19" s="12">
        <f>SUMIF(Mercado_Receita!$S$2:$S$444,"44562B1ConvencionalResidencialResidencial baixa renda – faixa 02Não se aplicaNão se aplicaPonta",Mercado_Receita!$L$2:$L$444)+SUMIF(Mercado_Receita!$S$2:$S$444,"44562B1ConvencionalResidencialResidencial baixa renda – faixa 02Não se aplicaNão se aplicaFora ponta",Mercado_Receita!$L$2:$L$444)+SUMIF(Mercado_Receita!$S$2:$S$444,"44562B1ConvencionalResidencialResidencial baixa renda – faixa 02Não se aplicaNão se aplicaIntermediário",Mercado_Receita!$L$2:$L$444)+SUMIF(Mercado_Receita!$S$2:$S$444,"44562B1ConvencionalResidencialResidencial baixa renda – faixa 02Não se aplicaNão se aplicaNão se aplica",Mercado_Receita!$L$2:$L$444)</f>
        <v>31.931000000000001</v>
      </c>
      <c r="P19" s="12">
        <f>SUMIF(Mercado_Receita!$S$2:$S$444,"44593B1ConvencionalResidencialResidencial baixa renda – faixa 02Não se aplicaNão se aplicaPonta",Mercado_Receita!$L$2:$L$444)+SUMIF(Mercado_Receita!$S$2:$S$444,"44593B1ConvencionalResidencialResidencial baixa renda – faixa 02Não se aplicaNão se aplicaFora ponta",Mercado_Receita!$L$2:$L$444)+SUMIF(Mercado_Receita!$S$2:$S$444,"44593B1ConvencionalResidencialResidencial baixa renda – faixa 02Não se aplicaNão se aplicaIntermediário",Mercado_Receita!$L$2:$L$444)+SUMIF(Mercado_Receita!$S$2:$S$444,"44593B1ConvencionalResidencialResidencial baixa renda – faixa 02Não se aplicaNão se aplicaNão se aplica",Mercado_Receita!$L$2:$L$444)</f>
        <v>35.450000000000003</v>
      </c>
      <c r="Q19" s="12">
        <f>SUMIF(Mercado_Receita!$S$2:$S$444,"44621B1ConvencionalResidencialResidencial baixa renda – faixa 02Não se aplicaNão se aplicaPonta",Mercado_Receita!$L$2:$L$444)+SUMIF(Mercado_Receita!$S$2:$S$444,"44621B1ConvencionalResidencialResidencial baixa renda – faixa 02Não se aplicaNão se aplicaFora ponta",Mercado_Receita!$L$2:$L$444)+SUMIF(Mercado_Receita!$S$2:$S$444,"44621B1ConvencionalResidencialResidencial baixa renda – faixa 02Não se aplicaNão se aplicaIntermediário",Mercado_Receita!$L$2:$L$444)+SUMIF(Mercado_Receita!$S$2:$S$444,"44621B1ConvencionalResidencialResidencial baixa renda – faixa 02Não se aplicaNão se aplicaNão se aplica",Mercado_Receita!$L$2:$L$444)</f>
        <v>36.933999999999997</v>
      </c>
      <c r="R19" s="12">
        <f>SUMIF(Mercado_Receita!$S$2:$S$444,"44652B1ConvencionalResidencialResidencial baixa renda – faixa 02Não se aplicaNão se aplicaPonta",Mercado_Receita!$L$2:$L$444)+SUMIF(Mercado_Receita!$S$2:$S$444,"44652B1ConvencionalResidencialResidencial baixa renda – faixa 02Não se aplicaNão se aplicaFora ponta",Mercado_Receita!$L$2:$L$444)+SUMIF(Mercado_Receita!$S$2:$S$444,"44652B1ConvencionalResidencialResidencial baixa renda – faixa 02Não se aplicaNão se aplicaIntermediário",Mercado_Receita!$L$2:$L$444)+SUMIF(Mercado_Receita!$S$2:$S$444,"44652B1ConvencionalResidencialResidencial baixa renda – faixa 02Não se aplicaNão se aplicaNão se aplica",Mercado_Receita!$L$2:$L$444)</f>
        <v>39.765000000000001</v>
      </c>
      <c r="S19" s="12">
        <f>SUMIF(Mercado_Receita!$S$2:$S$444,"44682B1ConvencionalResidencialResidencial baixa renda – faixa 02Não se aplicaNão se aplicaPonta",Mercado_Receita!$L$2:$L$444)+SUMIF(Mercado_Receita!$S$2:$S$444,"44682B1ConvencionalResidencialResidencial baixa renda – faixa 02Não se aplicaNão se aplicaFora ponta",Mercado_Receita!$L$2:$L$444)+SUMIF(Mercado_Receita!$S$2:$S$444,"44682B1ConvencionalResidencialResidencial baixa renda – faixa 02Não se aplicaNão se aplicaIntermediário",Mercado_Receita!$L$2:$L$444)+SUMIF(Mercado_Receita!$S$2:$S$444,"44682B1ConvencionalResidencialResidencial baixa renda – faixa 02Não se aplicaNão se aplicaNão se aplica",Mercado_Receita!$L$2:$L$444)</f>
        <v>40.805999999999997</v>
      </c>
      <c r="T19" s="12">
        <f>SUMIF(Mercado_Receita!$S$2:$S$444,"44713B1ConvencionalResidencialResidencial baixa renda – faixa 02Não se aplicaNão se aplicaPonta",Mercado_Receita!$L$2:$L$444)+SUMIF(Mercado_Receita!$S$2:$S$444,"44713B1ConvencionalResidencialResidencial baixa renda – faixa 02Não se aplicaNão se aplicaFora ponta",Mercado_Receita!$L$2:$L$444)+SUMIF(Mercado_Receita!$S$2:$S$444,"44713B1ConvencionalResidencialResidencial baixa renda – faixa 02Não se aplicaNão se aplicaIntermediário",Mercado_Receita!$L$2:$L$444)+SUMIF(Mercado_Receita!$S$2:$S$444,"44713B1ConvencionalResidencialResidencial baixa renda – faixa 02Não se aplicaNão se aplicaNão se aplica",Mercado_Receita!$L$2:$L$444)</f>
        <v>45.396999999999998</v>
      </c>
      <c r="U19" s="12">
        <f t="shared" si="0"/>
        <v>350.56600000000003</v>
      </c>
      <c r="V19" s="12"/>
      <c r="W19" s="12"/>
    </row>
    <row r="20" spans="1:23" ht="11.25" customHeight="1" x14ac:dyDescent="0.25">
      <c r="A20" s="119"/>
      <c r="B20" s="119"/>
      <c r="C20" s="119"/>
      <c r="D20" s="13" t="s">
        <v>30</v>
      </c>
      <c r="E20" s="13" t="s">
        <v>25</v>
      </c>
      <c r="F20" s="13" t="s">
        <v>25</v>
      </c>
      <c r="G20" s="12" t="s">
        <v>74</v>
      </c>
      <c r="H20" s="12" t="s">
        <v>70</v>
      </c>
      <c r="I20" s="12">
        <f>SUMIF(Mercado_Receita!$S$2:$S$444,"44378B1ConvencionalResidencialResidencial baixa renda – faixa 03Não se aplicaNão se aplicaPonta",Mercado_Receita!$L$2:$L$444)+SUMIF(Mercado_Receita!$S$2:$S$444,"44378B1ConvencionalResidencialResidencial baixa renda – faixa 03Não se aplicaNão se aplicaFora ponta",Mercado_Receita!$L$2:$L$444)+SUMIF(Mercado_Receita!$S$2:$S$444,"44378B1ConvencionalResidencialResidencial baixa renda – faixa 03Não se aplicaNão se aplicaIntermediário",Mercado_Receita!$L$2:$L$444)+SUMIF(Mercado_Receita!$S$2:$S$444,"44378B1ConvencionalResidencialResidencial baixa renda – faixa 03Não se aplicaNão se aplicaNão se aplica",Mercado_Receita!$L$2:$L$444)</f>
        <v>18.306999999999999</v>
      </c>
      <c r="J20" s="12">
        <f>SUMIF(Mercado_Receita!$S$2:$S$444,"44409B1ConvencionalResidencialResidencial baixa renda – faixa 03Não se aplicaNão se aplicaPonta",Mercado_Receita!$L$2:$L$444)+SUMIF(Mercado_Receita!$S$2:$S$444,"44409B1ConvencionalResidencialResidencial baixa renda – faixa 03Não se aplicaNão se aplicaFora ponta",Mercado_Receita!$L$2:$L$444)+SUMIF(Mercado_Receita!$S$2:$S$444,"44409B1ConvencionalResidencialResidencial baixa renda – faixa 03Não se aplicaNão se aplicaIntermediário",Mercado_Receita!$L$2:$L$444)+SUMIF(Mercado_Receita!$S$2:$S$444,"44409B1ConvencionalResidencialResidencial baixa renda – faixa 03Não se aplicaNão se aplicaNão se aplica",Mercado_Receita!$L$2:$L$444)</f>
        <v>19.001999999999999</v>
      </c>
      <c r="K20" s="12">
        <f>SUMIF(Mercado_Receita!$S$2:$S$444,"44440B1ConvencionalResidencialResidencial baixa renda – faixa 03Não se aplicaNão se aplicaPonta",Mercado_Receita!$L$2:$L$444)+SUMIF(Mercado_Receita!$S$2:$S$444,"44440B1ConvencionalResidencialResidencial baixa renda – faixa 03Não se aplicaNão se aplicaFora ponta",Mercado_Receita!$L$2:$L$444)+SUMIF(Mercado_Receita!$S$2:$S$444,"44440B1ConvencionalResidencialResidencial baixa renda – faixa 03Não se aplicaNão se aplicaIntermediário",Mercado_Receita!$L$2:$L$444)+SUMIF(Mercado_Receita!$S$2:$S$444,"44440B1ConvencionalResidencialResidencial baixa renda – faixa 03Não se aplicaNão se aplicaNão se aplica",Mercado_Receita!$L$2:$L$444)</f>
        <v>18.817</v>
      </c>
      <c r="L20" s="12">
        <f>SUMIF(Mercado_Receita!$S$2:$S$444,"44470B1ConvencionalResidencialResidencial baixa renda – faixa 03Não se aplicaNão se aplicaPonta",Mercado_Receita!$L$2:$L$444)+SUMIF(Mercado_Receita!$S$2:$S$444,"44470B1ConvencionalResidencialResidencial baixa renda – faixa 03Não se aplicaNão se aplicaFora ponta",Mercado_Receita!$L$2:$L$444)+SUMIF(Mercado_Receita!$S$2:$S$444,"44470B1ConvencionalResidencialResidencial baixa renda – faixa 03Não se aplicaNão se aplicaIntermediário",Mercado_Receita!$L$2:$L$444)+SUMIF(Mercado_Receita!$S$2:$S$444,"44470B1ConvencionalResidencialResidencial baixa renda – faixa 03Não se aplicaNão se aplicaNão se aplica",Mercado_Receita!$L$2:$L$444)</f>
        <v>17.649000000000001</v>
      </c>
      <c r="M20" s="12">
        <f>SUMIF(Mercado_Receita!$S$2:$S$444,"44501B1ConvencionalResidencialResidencial baixa renda – faixa 03Não se aplicaNão se aplicaPonta",Mercado_Receita!$L$2:$L$444)+SUMIF(Mercado_Receita!$S$2:$S$444,"44501B1ConvencionalResidencialResidencial baixa renda – faixa 03Não se aplicaNão se aplicaFora ponta",Mercado_Receita!$L$2:$L$444)+SUMIF(Mercado_Receita!$S$2:$S$444,"44501B1ConvencionalResidencialResidencial baixa renda – faixa 03Não se aplicaNão se aplicaIntermediário",Mercado_Receita!$L$2:$L$444)+SUMIF(Mercado_Receita!$S$2:$S$444,"44501B1ConvencionalResidencialResidencial baixa renda – faixa 03Não se aplicaNão se aplicaNão se aplica",Mercado_Receita!$L$2:$L$444)</f>
        <v>19.239000000000001</v>
      </c>
      <c r="N20" s="12">
        <f>SUMIF(Mercado_Receita!$S$2:$S$444,"44531B1ConvencionalResidencialResidencial baixa renda – faixa 03Não se aplicaNão se aplicaPonta",Mercado_Receita!$L$2:$L$444)+SUMIF(Mercado_Receita!$S$2:$S$444,"44531B1ConvencionalResidencialResidencial baixa renda – faixa 03Não se aplicaNão se aplicaFora ponta",Mercado_Receita!$L$2:$L$444)+SUMIF(Mercado_Receita!$S$2:$S$444,"44531B1ConvencionalResidencialResidencial baixa renda – faixa 03Não se aplicaNão se aplicaIntermediário",Mercado_Receita!$L$2:$L$444)+SUMIF(Mercado_Receita!$S$2:$S$444,"44531B1ConvencionalResidencialResidencial baixa renda – faixa 03Não se aplicaNão se aplicaNão se aplica",Mercado_Receita!$L$2:$L$444)</f>
        <v>26.501000000000001</v>
      </c>
      <c r="O20" s="12">
        <f>SUMIF(Mercado_Receita!$S$2:$S$444,"44562B1ConvencionalResidencialResidencial baixa renda – faixa 03Não se aplicaNão se aplicaPonta",Mercado_Receita!$L$2:$L$444)+SUMIF(Mercado_Receita!$S$2:$S$444,"44562B1ConvencionalResidencialResidencial baixa renda – faixa 03Não se aplicaNão se aplicaFora ponta",Mercado_Receita!$L$2:$L$444)+SUMIF(Mercado_Receita!$S$2:$S$444,"44562B1ConvencionalResidencialResidencial baixa renda – faixa 03Não se aplicaNão se aplicaIntermediário",Mercado_Receita!$L$2:$L$444)+SUMIF(Mercado_Receita!$S$2:$S$444,"44562B1ConvencionalResidencialResidencial baixa renda – faixa 03Não se aplicaNão se aplicaNão se aplica",Mercado_Receita!$L$2:$L$444)</f>
        <v>32.462000000000003</v>
      </c>
      <c r="P20" s="12">
        <f>SUMIF(Mercado_Receita!$S$2:$S$444,"44593B1ConvencionalResidencialResidencial baixa renda – faixa 03Não se aplicaNão se aplicaPonta",Mercado_Receita!$L$2:$L$444)+SUMIF(Mercado_Receita!$S$2:$S$444,"44593B1ConvencionalResidencialResidencial baixa renda – faixa 03Não se aplicaNão se aplicaFora ponta",Mercado_Receita!$L$2:$L$444)+SUMIF(Mercado_Receita!$S$2:$S$444,"44593B1ConvencionalResidencialResidencial baixa renda – faixa 03Não se aplicaNão se aplicaIntermediário",Mercado_Receita!$L$2:$L$444)+SUMIF(Mercado_Receita!$S$2:$S$444,"44593B1ConvencionalResidencialResidencial baixa renda – faixa 03Não se aplicaNão se aplicaNão se aplica",Mercado_Receita!$L$2:$L$444)</f>
        <v>35.831000000000003</v>
      </c>
      <c r="Q20" s="12">
        <f>SUMIF(Mercado_Receita!$S$2:$S$444,"44621B1ConvencionalResidencialResidencial baixa renda – faixa 03Não se aplicaNão se aplicaPonta",Mercado_Receita!$L$2:$L$444)+SUMIF(Mercado_Receita!$S$2:$S$444,"44621B1ConvencionalResidencialResidencial baixa renda – faixa 03Não se aplicaNão se aplicaFora ponta",Mercado_Receita!$L$2:$L$444)+SUMIF(Mercado_Receita!$S$2:$S$444,"44621B1ConvencionalResidencialResidencial baixa renda – faixa 03Não se aplicaNão se aplicaIntermediário",Mercado_Receita!$L$2:$L$444)+SUMIF(Mercado_Receita!$S$2:$S$444,"44621B1ConvencionalResidencialResidencial baixa renda – faixa 03Não se aplicaNão se aplicaNão se aplica",Mercado_Receita!$L$2:$L$444)</f>
        <v>34.677999999999997</v>
      </c>
      <c r="R20" s="12">
        <f>SUMIF(Mercado_Receita!$S$2:$S$444,"44652B1ConvencionalResidencialResidencial baixa renda – faixa 03Não se aplicaNão se aplicaPonta",Mercado_Receita!$L$2:$L$444)+SUMIF(Mercado_Receita!$S$2:$S$444,"44652B1ConvencionalResidencialResidencial baixa renda – faixa 03Não se aplicaNão se aplicaFora ponta",Mercado_Receita!$L$2:$L$444)+SUMIF(Mercado_Receita!$S$2:$S$444,"44652B1ConvencionalResidencialResidencial baixa renda – faixa 03Não se aplicaNão se aplicaIntermediário",Mercado_Receita!$L$2:$L$444)+SUMIF(Mercado_Receita!$S$2:$S$444,"44652B1ConvencionalResidencialResidencial baixa renda – faixa 03Não se aplicaNão se aplicaNão se aplica",Mercado_Receita!$L$2:$L$444)</f>
        <v>34.430999999999997</v>
      </c>
      <c r="S20" s="12">
        <f>SUMIF(Mercado_Receita!$S$2:$S$444,"44682B1ConvencionalResidencialResidencial baixa renda – faixa 03Não se aplicaNão se aplicaPonta",Mercado_Receita!$L$2:$L$444)+SUMIF(Mercado_Receita!$S$2:$S$444,"44682B1ConvencionalResidencialResidencial baixa renda – faixa 03Não se aplicaNão se aplicaFora ponta",Mercado_Receita!$L$2:$L$444)+SUMIF(Mercado_Receita!$S$2:$S$444,"44682B1ConvencionalResidencialResidencial baixa renda – faixa 03Não se aplicaNão se aplicaIntermediário",Mercado_Receita!$L$2:$L$444)+SUMIF(Mercado_Receita!$S$2:$S$444,"44682B1ConvencionalResidencialResidencial baixa renda – faixa 03Não se aplicaNão se aplicaNão se aplica",Mercado_Receita!$L$2:$L$444)</f>
        <v>37.512</v>
      </c>
      <c r="T20" s="12">
        <f>SUMIF(Mercado_Receita!$S$2:$S$444,"44713B1ConvencionalResidencialResidencial baixa renda – faixa 03Não se aplicaNão se aplicaPonta",Mercado_Receita!$L$2:$L$444)+SUMIF(Mercado_Receita!$S$2:$S$444,"44713B1ConvencionalResidencialResidencial baixa renda – faixa 03Não se aplicaNão se aplicaFora ponta",Mercado_Receita!$L$2:$L$444)+SUMIF(Mercado_Receita!$S$2:$S$444,"44713B1ConvencionalResidencialResidencial baixa renda – faixa 03Não se aplicaNão se aplicaIntermediário",Mercado_Receita!$L$2:$L$444)+SUMIF(Mercado_Receita!$S$2:$S$444,"44713B1ConvencionalResidencialResidencial baixa renda – faixa 03Não se aplicaNão se aplicaNão se aplica",Mercado_Receita!$L$2:$L$444)</f>
        <v>44.207000000000001</v>
      </c>
      <c r="U20" s="12">
        <f t="shared" si="0"/>
        <v>338.63600000000002</v>
      </c>
      <c r="V20" s="12"/>
      <c r="W20" s="12"/>
    </row>
    <row r="21" spans="1:23" ht="11.25" customHeight="1" x14ac:dyDescent="0.25">
      <c r="A21" s="119"/>
      <c r="B21" s="119"/>
      <c r="C21" s="119"/>
      <c r="D21" s="13" t="s">
        <v>31</v>
      </c>
      <c r="E21" s="13" t="s">
        <v>25</v>
      </c>
      <c r="F21" s="13" t="s">
        <v>25</v>
      </c>
      <c r="G21" s="12" t="s">
        <v>74</v>
      </c>
      <c r="H21" s="12" t="s">
        <v>70</v>
      </c>
      <c r="I21" s="12">
        <f>SUMIF(Mercado_Receita!$S$2:$S$444,"44378B1ConvencionalResidencialResidencial baixa renda – faixa 04Não se aplicaNão se aplicaPonta",Mercado_Receita!$L$2:$L$444)+SUMIF(Mercado_Receita!$S$2:$S$444,"44378B1ConvencionalResidencialResidencial baixa renda – faixa 04Não se aplicaNão se aplicaFora ponta",Mercado_Receita!$L$2:$L$444)+SUMIF(Mercado_Receita!$S$2:$S$444,"44378B1ConvencionalResidencialResidencial baixa renda – faixa 04Não se aplicaNão se aplicaIntermediário",Mercado_Receita!$L$2:$L$444)+SUMIF(Mercado_Receita!$S$2:$S$444,"44378B1ConvencionalResidencialResidencial baixa renda – faixa 04Não se aplicaNão se aplicaNão se aplica",Mercado_Receita!$L$2:$L$444)</f>
        <v>6.7889999999999997</v>
      </c>
      <c r="J21" s="12">
        <f>SUMIF(Mercado_Receita!$S$2:$S$444,"44409B1ConvencionalResidencialResidencial baixa renda – faixa 04Não se aplicaNão se aplicaPonta",Mercado_Receita!$L$2:$L$444)+SUMIF(Mercado_Receita!$S$2:$S$444,"44409B1ConvencionalResidencialResidencial baixa renda – faixa 04Não se aplicaNão se aplicaFora ponta",Mercado_Receita!$L$2:$L$444)+SUMIF(Mercado_Receita!$S$2:$S$444,"44409B1ConvencionalResidencialResidencial baixa renda – faixa 04Não se aplicaNão se aplicaIntermediário",Mercado_Receita!$L$2:$L$444)+SUMIF(Mercado_Receita!$S$2:$S$444,"44409B1ConvencionalResidencialResidencial baixa renda – faixa 04Não se aplicaNão se aplicaNão se aplica",Mercado_Receita!$L$2:$L$444)</f>
        <v>5.9269999999999996</v>
      </c>
      <c r="K21" s="12">
        <f>SUMIF(Mercado_Receita!$S$2:$S$444,"44440B1ConvencionalResidencialResidencial baixa renda – faixa 04Não se aplicaNão se aplicaPonta",Mercado_Receita!$L$2:$L$444)+SUMIF(Mercado_Receita!$S$2:$S$444,"44440B1ConvencionalResidencialResidencial baixa renda – faixa 04Não se aplicaNão se aplicaFora ponta",Mercado_Receita!$L$2:$L$444)+SUMIF(Mercado_Receita!$S$2:$S$444,"44440B1ConvencionalResidencialResidencial baixa renda – faixa 04Não se aplicaNão se aplicaIntermediário",Mercado_Receita!$L$2:$L$444)+SUMIF(Mercado_Receita!$S$2:$S$444,"44440B1ConvencionalResidencialResidencial baixa renda – faixa 04Não se aplicaNão se aplicaNão se aplica",Mercado_Receita!$L$2:$L$444)</f>
        <v>4.8440000000000003</v>
      </c>
      <c r="L21" s="12">
        <f>SUMIF(Mercado_Receita!$S$2:$S$444,"44470B1ConvencionalResidencialResidencial baixa renda – faixa 04Não se aplicaNão se aplicaPonta",Mercado_Receita!$L$2:$L$444)+SUMIF(Mercado_Receita!$S$2:$S$444,"44470B1ConvencionalResidencialResidencial baixa renda – faixa 04Não se aplicaNão se aplicaFora ponta",Mercado_Receita!$L$2:$L$444)+SUMIF(Mercado_Receita!$S$2:$S$444,"44470B1ConvencionalResidencialResidencial baixa renda – faixa 04Não se aplicaNão se aplicaIntermediário",Mercado_Receita!$L$2:$L$444)+SUMIF(Mercado_Receita!$S$2:$S$444,"44470B1ConvencionalResidencialResidencial baixa renda – faixa 04Não se aplicaNão se aplicaNão se aplica",Mercado_Receita!$L$2:$L$444)</f>
        <v>4.0940000000000003</v>
      </c>
      <c r="M21" s="12">
        <f>SUMIF(Mercado_Receita!$S$2:$S$444,"44501B1ConvencionalResidencialResidencial baixa renda – faixa 04Não se aplicaNão se aplicaPonta",Mercado_Receita!$L$2:$L$444)+SUMIF(Mercado_Receita!$S$2:$S$444,"44501B1ConvencionalResidencialResidencial baixa renda – faixa 04Não se aplicaNão se aplicaFora ponta",Mercado_Receita!$L$2:$L$444)+SUMIF(Mercado_Receita!$S$2:$S$444,"44501B1ConvencionalResidencialResidencial baixa renda – faixa 04Não se aplicaNão se aplicaIntermediário",Mercado_Receita!$L$2:$L$444)+SUMIF(Mercado_Receita!$S$2:$S$444,"44501B1ConvencionalResidencialResidencial baixa renda – faixa 04Não se aplicaNão se aplicaNão se aplica",Mercado_Receita!$L$2:$L$444)</f>
        <v>5.2089999999999996</v>
      </c>
      <c r="N21" s="12">
        <f>SUMIF(Mercado_Receita!$S$2:$S$444,"44531B1ConvencionalResidencialResidencial baixa renda – faixa 04Não se aplicaNão se aplicaPonta",Mercado_Receita!$L$2:$L$444)+SUMIF(Mercado_Receita!$S$2:$S$444,"44531B1ConvencionalResidencialResidencial baixa renda – faixa 04Não se aplicaNão se aplicaFora ponta",Mercado_Receita!$L$2:$L$444)+SUMIF(Mercado_Receita!$S$2:$S$444,"44531B1ConvencionalResidencialResidencial baixa renda – faixa 04Não se aplicaNão se aplicaIntermediário",Mercado_Receita!$L$2:$L$444)+SUMIF(Mercado_Receita!$S$2:$S$444,"44531B1ConvencionalResidencialResidencial baixa renda – faixa 04Não se aplicaNão se aplicaNão se aplica",Mercado_Receita!$L$2:$L$444)</f>
        <v>8.6460000000000008</v>
      </c>
      <c r="O21" s="12">
        <f>SUMIF(Mercado_Receita!$S$2:$S$444,"44562B1ConvencionalResidencialResidencial baixa renda – faixa 04Não se aplicaNão se aplicaPonta",Mercado_Receita!$L$2:$L$444)+SUMIF(Mercado_Receita!$S$2:$S$444,"44562B1ConvencionalResidencialResidencial baixa renda – faixa 04Não se aplicaNão se aplicaFora ponta",Mercado_Receita!$L$2:$L$444)+SUMIF(Mercado_Receita!$S$2:$S$444,"44562B1ConvencionalResidencialResidencial baixa renda – faixa 04Não se aplicaNão se aplicaIntermediário",Mercado_Receita!$L$2:$L$444)+SUMIF(Mercado_Receita!$S$2:$S$444,"44562B1ConvencionalResidencialResidencial baixa renda – faixa 04Não se aplicaNão se aplicaNão se aplica",Mercado_Receita!$L$2:$L$444)</f>
        <v>12.211</v>
      </c>
      <c r="P21" s="12">
        <f>SUMIF(Mercado_Receita!$S$2:$S$444,"44593B1ConvencionalResidencialResidencial baixa renda – faixa 04Não se aplicaNão se aplicaPonta",Mercado_Receita!$L$2:$L$444)+SUMIF(Mercado_Receita!$S$2:$S$444,"44593B1ConvencionalResidencialResidencial baixa renda – faixa 04Não se aplicaNão se aplicaFora ponta",Mercado_Receita!$L$2:$L$444)+SUMIF(Mercado_Receita!$S$2:$S$444,"44593B1ConvencionalResidencialResidencial baixa renda – faixa 04Não se aplicaNão se aplicaIntermediário",Mercado_Receita!$L$2:$L$444)+SUMIF(Mercado_Receita!$S$2:$S$444,"44593B1ConvencionalResidencialResidencial baixa renda – faixa 04Não se aplicaNão se aplicaNão se aplica",Mercado_Receita!$L$2:$L$444)</f>
        <v>13.118</v>
      </c>
      <c r="Q21" s="12">
        <f>SUMIF(Mercado_Receita!$S$2:$S$444,"44621B1ConvencionalResidencialResidencial baixa renda – faixa 04Não se aplicaNão se aplicaPonta",Mercado_Receita!$L$2:$L$444)+SUMIF(Mercado_Receita!$S$2:$S$444,"44621B1ConvencionalResidencialResidencial baixa renda – faixa 04Não se aplicaNão se aplicaFora ponta",Mercado_Receita!$L$2:$L$444)+SUMIF(Mercado_Receita!$S$2:$S$444,"44621B1ConvencionalResidencialResidencial baixa renda – faixa 04Não se aplicaNão se aplicaIntermediário",Mercado_Receita!$L$2:$L$444)+SUMIF(Mercado_Receita!$S$2:$S$444,"44621B1ConvencionalResidencialResidencial baixa renda – faixa 04Não se aplicaNão se aplicaNão se aplica",Mercado_Receita!$L$2:$L$444)</f>
        <v>11.275</v>
      </c>
      <c r="R21" s="12">
        <f>SUMIF(Mercado_Receita!$S$2:$S$444,"44652B1ConvencionalResidencialResidencial baixa renda – faixa 04Não se aplicaNão se aplicaPonta",Mercado_Receita!$L$2:$L$444)+SUMIF(Mercado_Receita!$S$2:$S$444,"44652B1ConvencionalResidencialResidencial baixa renda – faixa 04Não se aplicaNão se aplicaFora ponta",Mercado_Receita!$L$2:$L$444)+SUMIF(Mercado_Receita!$S$2:$S$444,"44652B1ConvencionalResidencialResidencial baixa renda – faixa 04Não se aplicaNão se aplicaIntermediário",Mercado_Receita!$L$2:$L$444)+SUMIF(Mercado_Receita!$S$2:$S$444,"44652B1ConvencionalResidencialResidencial baixa renda – faixa 04Não se aplicaNão se aplicaNão se aplica",Mercado_Receita!$L$2:$L$444)</f>
        <v>8.8469999999999995</v>
      </c>
      <c r="S21" s="12">
        <f>SUMIF(Mercado_Receita!$S$2:$S$444,"44682B1ConvencionalResidencialResidencial baixa renda – faixa 04Não se aplicaNão se aplicaPonta",Mercado_Receita!$L$2:$L$444)+SUMIF(Mercado_Receita!$S$2:$S$444,"44682B1ConvencionalResidencialResidencial baixa renda – faixa 04Não se aplicaNão se aplicaFora ponta",Mercado_Receita!$L$2:$L$444)+SUMIF(Mercado_Receita!$S$2:$S$444,"44682B1ConvencionalResidencialResidencial baixa renda – faixa 04Não se aplicaNão se aplicaIntermediário",Mercado_Receita!$L$2:$L$444)+SUMIF(Mercado_Receita!$S$2:$S$444,"44682B1ConvencionalResidencialResidencial baixa renda – faixa 04Não se aplicaNão se aplicaNão se aplica",Mercado_Receita!$L$2:$L$444)</f>
        <v>12.205</v>
      </c>
      <c r="T21" s="12">
        <f>SUMIF(Mercado_Receita!$S$2:$S$444,"44713B1ConvencionalResidencialResidencial baixa renda – faixa 04Não se aplicaNão se aplicaPonta",Mercado_Receita!$L$2:$L$444)+SUMIF(Mercado_Receita!$S$2:$S$444,"44713B1ConvencionalResidencialResidencial baixa renda – faixa 04Não se aplicaNão se aplicaFora ponta",Mercado_Receita!$L$2:$L$444)+SUMIF(Mercado_Receita!$S$2:$S$444,"44713B1ConvencionalResidencialResidencial baixa renda – faixa 04Não se aplicaNão se aplicaIntermediário",Mercado_Receita!$L$2:$L$444)+SUMIF(Mercado_Receita!$S$2:$S$444,"44713B1ConvencionalResidencialResidencial baixa renda – faixa 04Não se aplicaNão se aplicaNão se aplica",Mercado_Receita!$L$2:$L$444)</f>
        <v>20.501999999999999</v>
      </c>
      <c r="U21" s="12">
        <f t="shared" si="0"/>
        <v>113.66699999999999</v>
      </c>
      <c r="V21" s="12"/>
      <c r="W21" s="12"/>
    </row>
    <row r="22" spans="1:23" ht="11.25" customHeight="1" x14ac:dyDescent="0.25">
      <c r="A22" s="119"/>
      <c r="B22" s="118" t="s">
        <v>85</v>
      </c>
      <c r="C22" s="118" t="s">
        <v>24</v>
      </c>
      <c r="D22" s="13" t="s">
        <v>24</v>
      </c>
      <c r="E22" s="13" t="s">
        <v>25</v>
      </c>
      <c r="F22" s="13" t="s">
        <v>25</v>
      </c>
      <c r="G22" s="12" t="s">
        <v>74</v>
      </c>
      <c r="H22" s="12" t="s">
        <v>70</v>
      </c>
      <c r="I22" s="12">
        <f>SUMIF(Mercado_Receita!$S$2:$S$444,"44378B1Convencional pré-pagamentoResidencialResidencialNão se aplicaNão se aplicaPonta",Mercado_Receita!$L$2:$L$444)+SUMIF(Mercado_Receita!$S$2:$S$444,"44378B1Convencional pré-pagamentoResidencialResidencialNão se aplicaNão se aplicaFora ponta",Mercado_Receita!$L$2:$L$444)+SUMIF(Mercado_Receita!$S$2:$S$444,"44378B1Convencional pré-pagamentoResidencialResidencialNão se aplicaNão se aplicaIntermediário",Mercado_Receita!$L$2:$L$444)+SUMIF(Mercado_Receita!$S$2:$S$444,"44378B1Convencional pré-pagamentoResidencialResidencialNão se aplicaNão se aplicaNão se aplica",Mercado_Receita!$L$2:$L$444)</f>
        <v>0</v>
      </c>
      <c r="J22" s="12">
        <f>SUMIF(Mercado_Receita!$S$2:$S$444,"44409B1Convencional pré-pagamentoResidencialResidencialNão se aplicaNão se aplicaPonta",Mercado_Receita!$L$2:$L$444)+SUMIF(Mercado_Receita!$S$2:$S$444,"44409B1Convencional pré-pagamentoResidencialResidencialNão se aplicaNão se aplicaFora ponta",Mercado_Receita!$L$2:$L$444)+SUMIF(Mercado_Receita!$S$2:$S$444,"44409B1Convencional pré-pagamentoResidencialResidencialNão se aplicaNão se aplicaIntermediário",Mercado_Receita!$L$2:$L$444)+SUMIF(Mercado_Receita!$S$2:$S$444,"44409B1Convencional pré-pagamentoResidencialResidencialNão se aplicaNão se aplicaNão se aplica",Mercado_Receita!$L$2:$L$444)</f>
        <v>0</v>
      </c>
      <c r="K22" s="12">
        <f>SUMIF(Mercado_Receita!$S$2:$S$444,"44440B1Convencional pré-pagamentoResidencialResidencialNão se aplicaNão se aplicaPonta",Mercado_Receita!$L$2:$L$444)+SUMIF(Mercado_Receita!$S$2:$S$444,"44440B1Convencional pré-pagamentoResidencialResidencialNão se aplicaNão se aplicaFora ponta",Mercado_Receita!$L$2:$L$444)+SUMIF(Mercado_Receita!$S$2:$S$444,"44440B1Convencional pré-pagamentoResidencialResidencialNão se aplicaNão se aplicaIntermediário",Mercado_Receita!$L$2:$L$444)+SUMIF(Mercado_Receita!$S$2:$S$444,"44440B1Convencional pré-pagamentoResidencialResidencialNão se aplicaNão se aplicaNão se aplica",Mercado_Receita!$L$2:$L$444)</f>
        <v>0</v>
      </c>
      <c r="L22" s="12">
        <f>SUMIF(Mercado_Receita!$S$2:$S$444,"44470B1Convencional pré-pagamentoResidencialResidencialNão se aplicaNão se aplicaPonta",Mercado_Receita!$L$2:$L$444)+SUMIF(Mercado_Receita!$S$2:$S$444,"44470B1Convencional pré-pagamentoResidencialResidencialNão se aplicaNão se aplicaFora ponta",Mercado_Receita!$L$2:$L$444)+SUMIF(Mercado_Receita!$S$2:$S$444,"44470B1Convencional pré-pagamentoResidencialResidencialNão se aplicaNão se aplicaIntermediário",Mercado_Receita!$L$2:$L$444)+SUMIF(Mercado_Receita!$S$2:$S$444,"44470B1Convencional pré-pagamentoResidencialResidencialNão se aplicaNão se aplicaNão se aplica",Mercado_Receita!$L$2:$L$444)</f>
        <v>0</v>
      </c>
      <c r="M22" s="12">
        <f>SUMIF(Mercado_Receita!$S$2:$S$444,"44501B1Convencional pré-pagamentoResidencialResidencialNão se aplicaNão se aplicaPonta",Mercado_Receita!$L$2:$L$444)+SUMIF(Mercado_Receita!$S$2:$S$444,"44501B1Convencional pré-pagamentoResidencialResidencialNão se aplicaNão se aplicaFora ponta",Mercado_Receita!$L$2:$L$444)+SUMIF(Mercado_Receita!$S$2:$S$444,"44501B1Convencional pré-pagamentoResidencialResidencialNão se aplicaNão se aplicaIntermediário",Mercado_Receita!$L$2:$L$444)+SUMIF(Mercado_Receita!$S$2:$S$444,"44501B1Convencional pré-pagamentoResidencialResidencialNão se aplicaNão se aplicaNão se aplica",Mercado_Receita!$L$2:$L$444)</f>
        <v>0</v>
      </c>
      <c r="N22" s="12">
        <f>SUMIF(Mercado_Receita!$S$2:$S$444,"44531B1Convencional pré-pagamentoResidencialResidencialNão se aplicaNão se aplicaPonta",Mercado_Receita!$L$2:$L$444)+SUMIF(Mercado_Receita!$S$2:$S$444,"44531B1Convencional pré-pagamentoResidencialResidencialNão se aplicaNão se aplicaFora ponta",Mercado_Receita!$L$2:$L$444)+SUMIF(Mercado_Receita!$S$2:$S$444,"44531B1Convencional pré-pagamentoResidencialResidencialNão se aplicaNão se aplicaIntermediário",Mercado_Receita!$L$2:$L$444)+SUMIF(Mercado_Receita!$S$2:$S$444,"44531B1Convencional pré-pagamentoResidencialResidencialNão se aplicaNão se aplicaNão se aplica",Mercado_Receita!$L$2:$L$444)</f>
        <v>0</v>
      </c>
      <c r="O22" s="12">
        <f>SUMIF(Mercado_Receita!$S$2:$S$444,"44562B1Convencional pré-pagamentoResidencialResidencialNão se aplicaNão se aplicaPonta",Mercado_Receita!$L$2:$L$444)+SUMIF(Mercado_Receita!$S$2:$S$444,"44562B1Convencional pré-pagamentoResidencialResidencialNão se aplicaNão se aplicaFora ponta",Mercado_Receita!$L$2:$L$444)+SUMIF(Mercado_Receita!$S$2:$S$444,"44562B1Convencional pré-pagamentoResidencialResidencialNão se aplicaNão se aplicaIntermediário",Mercado_Receita!$L$2:$L$444)+SUMIF(Mercado_Receita!$S$2:$S$444,"44562B1Convencional pré-pagamentoResidencialResidencialNão se aplicaNão se aplicaNão se aplica",Mercado_Receita!$L$2:$L$444)</f>
        <v>0</v>
      </c>
      <c r="P22" s="12">
        <f>SUMIF(Mercado_Receita!$S$2:$S$444,"44593B1Convencional pré-pagamentoResidencialResidencialNão se aplicaNão se aplicaPonta",Mercado_Receita!$L$2:$L$444)+SUMIF(Mercado_Receita!$S$2:$S$444,"44593B1Convencional pré-pagamentoResidencialResidencialNão se aplicaNão se aplicaFora ponta",Mercado_Receita!$L$2:$L$444)+SUMIF(Mercado_Receita!$S$2:$S$444,"44593B1Convencional pré-pagamentoResidencialResidencialNão se aplicaNão se aplicaIntermediário",Mercado_Receita!$L$2:$L$444)+SUMIF(Mercado_Receita!$S$2:$S$444,"44593B1Convencional pré-pagamentoResidencialResidencialNão se aplicaNão se aplicaNão se aplica",Mercado_Receita!$L$2:$L$444)</f>
        <v>0</v>
      </c>
      <c r="Q22" s="12">
        <f>SUMIF(Mercado_Receita!$S$2:$S$444,"44621B1Convencional pré-pagamentoResidencialResidencialNão se aplicaNão se aplicaPonta",Mercado_Receita!$L$2:$L$444)+SUMIF(Mercado_Receita!$S$2:$S$444,"44621B1Convencional pré-pagamentoResidencialResidencialNão se aplicaNão se aplicaFora ponta",Mercado_Receita!$L$2:$L$444)+SUMIF(Mercado_Receita!$S$2:$S$444,"44621B1Convencional pré-pagamentoResidencialResidencialNão se aplicaNão se aplicaIntermediário",Mercado_Receita!$L$2:$L$444)+SUMIF(Mercado_Receita!$S$2:$S$444,"44621B1Convencional pré-pagamentoResidencialResidencialNão se aplicaNão se aplicaNão se aplica",Mercado_Receita!$L$2:$L$444)</f>
        <v>0</v>
      </c>
      <c r="R22" s="12">
        <f>SUMIF(Mercado_Receita!$S$2:$S$444,"44652B1Convencional pré-pagamentoResidencialResidencialNão se aplicaNão se aplicaPonta",Mercado_Receita!$L$2:$L$444)+SUMIF(Mercado_Receita!$S$2:$S$444,"44652B1Convencional pré-pagamentoResidencialResidencialNão se aplicaNão se aplicaFora ponta",Mercado_Receita!$L$2:$L$444)+SUMIF(Mercado_Receita!$S$2:$S$444,"44652B1Convencional pré-pagamentoResidencialResidencialNão se aplicaNão se aplicaIntermediário",Mercado_Receita!$L$2:$L$444)+SUMIF(Mercado_Receita!$S$2:$S$444,"44652B1Convencional pré-pagamentoResidencialResidencialNão se aplicaNão se aplicaNão se aplica",Mercado_Receita!$L$2:$L$444)</f>
        <v>0</v>
      </c>
      <c r="S22" s="12">
        <f>SUMIF(Mercado_Receita!$S$2:$S$444,"44682B1Convencional pré-pagamentoResidencialResidencialNão se aplicaNão se aplicaPonta",Mercado_Receita!$L$2:$L$444)+SUMIF(Mercado_Receita!$S$2:$S$444,"44682B1Convencional pré-pagamentoResidencialResidencialNão se aplicaNão se aplicaFora ponta",Mercado_Receita!$L$2:$L$444)+SUMIF(Mercado_Receita!$S$2:$S$444,"44682B1Convencional pré-pagamentoResidencialResidencialNão se aplicaNão se aplicaIntermediário",Mercado_Receita!$L$2:$L$444)+SUMIF(Mercado_Receita!$S$2:$S$444,"44682B1Convencional pré-pagamentoResidencialResidencialNão se aplicaNão se aplicaNão se aplica",Mercado_Receita!$L$2:$L$444)</f>
        <v>0</v>
      </c>
      <c r="T22" s="12">
        <f>SUMIF(Mercado_Receita!$S$2:$S$444,"44713B1Convencional pré-pagamentoResidencialResidencialNão se aplicaNão se aplicaPonta",Mercado_Receita!$L$2:$L$444)+SUMIF(Mercado_Receita!$S$2:$S$444,"44713B1Convencional pré-pagamentoResidencialResidencialNão se aplicaNão se aplicaFora ponta",Mercado_Receita!$L$2:$L$444)+SUMIF(Mercado_Receita!$S$2:$S$444,"44713B1Convencional pré-pagamentoResidencialResidencialNão se aplicaNão se aplicaIntermediário",Mercado_Receita!$L$2:$L$444)+SUMIF(Mercado_Receita!$S$2:$S$444,"44713B1Convencional pré-pagamentoResidencialResidencialNão se aplicaNão se aplicaNão se aplica",Mercado_Receita!$L$2:$L$444)</f>
        <v>0</v>
      </c>
      <c r="U22" s="12">
        <f t="shared" si="0"/>
        <v>0</v>
      </c>
      <c r="V22" s="12"/>
      <c r="W22" s="12"/>
    </row>
    <row r="23" spans="1:23" ht="11.25" customHeight="1" x14ac:dyDescent="0.25">
      <c r="A23" s="119"/>
      <c r="B23" s="119"/>
      <c r="C23" s="119"/>
      <c r="D23" s="13" t="s">
        <v>28</v>
      </c>
      <c r="E23" s="13" t="s">
        <v>25</v>
      </c>
      <c r="F23" s="13" t="s">
        <v>25</v>
      </c>
      <c r="G23" s="12" t="s">
        <v>74</v>
      </c>
      <c r="H23" s="12" t="s">
        <v>70</v>
      </c>
      <c r="I23" s="12">
        <f>SUMIF(Mercado_Receita!$S$2:$S$444,"44378B1Convencional pré-pagamentoResidencialResidencial baixa renda – faixa 01Não se aplicaNão se aplicaPonta",Mercado_Receita!$L$2:$L$444)+SUMIF(Mercado_Receita!$S$2:$S$444,"44378B1Convencional pré-pagamentoResidencialResidencial baixa renda – faixa 01Não se aplicaNão se aplicaFora ponta",Mercado_Receita!$L$2:$L$444)+SUMIF(Mercado_Receita!$S$2:$S$444,"44378B1Convencional pré-pagamentoResidencialResidencial baixa renda – faixa 01Não se aplicaNão se aplicaIntermediário",Mercado_Receita!$L$2:$L$444)+SUMIF(Mercado_Receita!$S$2:$S$444,"44378B1Convencional pré-pagamentoResidencialResidencial baixa renda – faixa 01Não se aplicaNão se aplicaNão se aplica",Mercado_Receita!$L$2:$L$444)</f>
        <v>0</v>
      </c>
      <c r="J23" s="12">
        <f>SUMIF(Mercado_Receita!$S$2:$S$444,"44409B1Convencional pré-pagamentoResidencialResidencial baixa renda – faixa 01Não se aplicaNão se aplicaPonta",Mercado_Receita!$L$2:$L$444)+SUMIF(Mercado_Receita!$S$2:$S$444,"44409B1Convencional pré-pagamentoResidencialResidencial baixa renda – faixa 01Não se aplicaNão se aplicaFora ponta",Mercado_Receita!$L$2:$L$444)+SUMIF(Mercado_Receita!$S$2:$S$444,"44409B1Convencional pré-pagamentoResidencialResidencial baixa renda – faixa 01Não se aplicaNão se aplicaIntermediário",Mercado_Receita!$L$2:$L$444)+SUMIF(Mercado_Receita!$S$2:$S$444,"44409B1Convencional pré-pagamentoResidencialResidencial baixa renda – faixa 01Não se aplicaNão se aplicaNão se aplica",Mercado_Receita!$L$2:$L$444)</f>
        <v>0</v>
      </c>
      <c r="K23" s="12">
        <f>SUMIF(Mercado_Receita!$S$2:$S$444,"44440B1Convencional pré-pagamentoResidencialResidencial baixa renda – faixa 01Não se aplicaNão se aplicaPonta",Mercado_Receita!$L$2:$L$444)+SUMIF(Mercado_Receita!$S$2:$S$444,"44440B1Convencional pré-pagamentoResidencialResidencial baixa renda – faixa 01Não se aplicaNão se aplicaFora ponta",Mercado_Receita!$L$2:$L$444)+SUMIF(Mercado_Receita!$S$2:$S$444,"44440B1Convencional pré-pagamentoResidencialResidencial baixa renda – faixa 01Não se aplicaNão se aplicaIntermediário",Mercado_Receita!$L$2:$L$444)+SUMIF(Mercado_Receita!$S$2:$S$444,"44440B1Convencional pré-pagamentoResidencialResidencial baixa renda – faixa 01Não se aplicaNão se aplicaNão se aplica",Mercado_Receita!$L$2:$L$444)</f>
        <v>0</v>
      </c>
      <c r="L23" s="12">
        <f>SUMIF(Mercado_Receita!$S$2:$S$444,"44470B1Convencional pré-pagamentoResidencialResidencial baixa renda – faixa 01Não se aplicaNão se aplicaPonta",Mercado_Receita!$L$2:$L$444)+SUMIF(Mercado_Receita!$S$2:$S$444,"44470B1Convencional pré-pagamentoResidencialResidencial baixa renda – faixa 01Não se aplicaNão se aplicaFora ponta",Mercado_Receita!$L$2:$L$444)+SUMIF(Mercado_Receita!$S$2:$S$444,"44470B1Convencional pré-pagamentoResidencialResidencial baixa renda – faixa 01Não se aplicaNão se aplicaIntermediário",Mercado_Receita!$L$2:$L$444)+SUMIF(Mercado_Receita!$S$2:$S$444,"44470B1Convencional pré-pagamentoResidencialResidencial baixa renda – faixa 01Não se aplicaNão se aplicaNão se aplica",Mercado_Receita!$L$2:$L$444)</f>
        <v>0</v>
      </c>
      <c r="M23" s="12">
        <f>SUMIF(Mercado_Receita!$S$2:$S$444,"44501B1Convencional pré-pagamentoResidencialResidencial baixa renda – faixa 01Não se aplicaNão se aplicaPonta",Mercado_Receita!$L$2:$L$444)+SUMIF(Mercado_Receita!$S$2:$S$444,"44501B1Convencional pré-pagamentoResidencialResidencial baixa renda – faixa 01Não se aplicaNão se aplicaFora ponta",Mercado_Receita!$L$2:$L$444)+SUMIF(Mercado_Receita!$S$2:$S$444,"44501B1Convencional pré-pagamentoResidencialResidencial baixa renda – faixa 01Não se aplicaNão se aplicaIntermediário",Mercado_Receita!$L$2:$L$444)+SUMIF(Mercado_Receita!$S$2:$S$444,"44501B1Convencional pré-pagamentoResidencialResidencial baixa renda – faixa 01Não se aplicaNão se aplicaNão se aplica",Mercado_Receita!$L$2:$L$444)</f>
        <v>0</v>
      </c>
      <c r="N23" s="12">
        <f>SUMIF(Mercado_Receita!$S$2:$S$444,"44531B1Convencional pré-pagamentoResidencialResidencial baixa renda – faixa 01Não se aplicaNão se aplicaPonta",Mercado_Receita!$L$2:$L$444)+SUMIF(Mercado_Receita!$S$2:$S$444,"44531B1Convencional pré-pagamentoResidencialResidencial baixa renda – faixa 01Não se aplicaNão se aplicaFora ponta",Mercado_Receita!$L$2:$L$444)+SUMIF(Mercado_Receita!$S$2:$S$444,"44531B1Convencional pré-pagamentoResidencialResidencial baixa renda – faixa 01Não se aplicaNão se aplicaIntermediário",Mercado_Receita!$L$2:$L$444)+SUMIF(Mercado_Receita!$S$2:$S$444,"44531B1Convencional pré-pagamentoResidencialResidencial baixa renda – faixa 01Não se aplicaNão se aplicaNão se aplica",Mercado_Receita!$L$2:$L$444)</f>
        <v>0</v>
      </c>
      <c r="O23" s="12">
        <f>SUMIF(Mercado_Receita!$S$2:$S$444,"44562B1Convencional pré-pagamentoResidencialResidencial baixa renda – faixa 01Não se aplicaNão se aplicaPonta",Mercado_Receita!$L$2:$L$444)+SUMIF(Mercado_Receita!$S$2:$S$444,"44562B1Convencional pré-pagamentoResidencialResidencial baixa renda – faixa 01Não se aplicaNão se aplicaFora ponta",Mercado_Receita!$L$2:$L$444)+SUMIF(Mercado_Receita!$S$2:$S$444,"44562B1Convencional pré-pagamentoResidencialResidencial baixa renda – faixa 01Não se aplicaNão se aplicaIntermediário",Mercado_Receita!$L$2:$L$444)+SUMIF(Mercado_Receita!$S$2:$S$444,"44562B1Convencional pré-pagamentoResidencialResidencial baixa renda – faixa 01Não se aplicaNão se aplicaNão se aplica",Mercado_Receita!$L$2:$L$444)</f>
        <v>0</v>
      </c>
      <c r="P23" s="12">
        <f>SUMIF(Mercado_Receita!$S$2:$S$444,"44593B1Convencional pré-pagamentoResidencialResidencial baixa renda – faixa 01Não se aplicaNão se aplicaPonta",Mercado_Receita!$L$2:$L$444)+SUMIF(Mercado_Receita!$S$2:$S$444,"44593B1Convencional pré-pagamentoResidencialResidencial baixa renda – faixa 01Não se aplicaNão se aplicaFora ponta",Mercado_Receita!$L$2:$L$444)+SUMIF(Mercado_Receita!$S$2:$S$444,"44593B1Convencional pré-pagamentoResidencialResidencial baixa renda – faixa 01Não se aplicaNão se aplicaIntermediário",Mercado_Receita!$L$2:$L$444)+SUMIF(Mercado_Receita!$S$2:$S$444,"44593B1Convencional pré-pagamentoResidencialResidencial baixa renda – faixa 01Não se aplicaNão se aplicaNão se aplica",Mercado_Receita!$L$2:$L$444)</f>
        <v>0</v>
      </c>
      <c r="Q23" s="12">
        <f>SUMIF(Mercado_Receita!$S$2:$S$444,"44621B1Convencional pré-pagamentoResidencialResidencial baixa renda – faixa 01Não se aplicaNão se aplicaPonta",Mercado_Receita!$L$2:$L$444)+SUMIF(Mercado_Receita!$S$2:$S$444,"44621B1Convencional pré-pagamentoResidencialResidencial baixa renda – faixa 01Não se aplicaNão se aplicaFora ponta",Mercado_Receita!$L$2:$L$444)+SUMIF(Mercado_Receita!$S$2:$S$444,"44621B1Convencional pré-pagamentoResidencialResidencial baixa renda – faixa 01Não se aplicaNão se aplicaIntermediário",Mercado_Receita!$L$2:$L$444)+SUMIF(Mercado_Receita!$S$2:$S$444,"44621B1Convencional pré-pagamentoResidencialResidencial baixa renda – faixa 01Não se aplicaNão se aplicaNão se aplica",Mercado_Receita!$L$2:$L$444)</f>
        <v>0</v>
      </c>
      <c r="R23" s="12">
        <f>SUMIF(Mercado_Receita!$S$2:$S$444,"44652B1Convencional pré-pagamentoResidencialResidencial baixa renda – faixa 01Não se aplicaNão se aplicaPonta",Mercado_Receita!$L$2:$L$444)+SUMIF(Mercado_Receita!$S$2:$S$444,"44652B1Convencional pré-pagamentoResidencialResidencial baixa renda – faixa 01Não se aplicaNão se aplicaFora ponta",Mercado_Receita!$L$2:$L$444)+SUMIF(Mercado_Receita!$S$2:$S$444,"44652B1Convencional pré-pagamentoResidencialResidencial baixa renda – faixa 01Não se aplicaNão se aplicaIntermediário",Mercado_Receita!$L$2:$L$444)+SUMIF(Mercado_Receita!$S$2:$S$444,"44652B1Convencional pré-pagamentoResidencialResidencial baixa renda – faixa 01Não se aplicaNão se aplicaNão se aplica",Mercado_Receita!$L$2:$L$444)</f>
        <v>0</v>
      </c>
      <c r="S23" s="12">
        <f>SUMIF(Mercado_Receita!$S$2:$S$444,"44682B1Convencional pré-pagamentoResidencialResidencial baixa renda – faixa 01Não se aplicaNão se aplicaPonta",Mercado_Receita!$L$2:$L$444)+SUMIF(Mercado_Receita!$S$2:$S$444,"44682B1Convencional pré-pagamentoResidencialResidencial baixa renda – faixa 01Não se aplicaNão se aplicaFora ponta",Mercado_Receita!$L$2:$L$444)+SUMIF(Mercado_Receita!$S$2:$S$444,"44682B1Convencional pré-pagamentoResidencialResidencial baixa renda – faixa 01Não se aplicaNão se aplicaIntermediário",Mercado_Receita!$L$2:$L$444)+SUMIF(Mercado_Receita!$S$2:$S$444,"44682B1Convencional pré-pagamentoResidencialResidencial baixa renda – faixa 01Não se aplicaNão se aplicaNão se aplica",Mercado_Receita!$L$2:$L$444)</f>
        <v>0</v>
      </c>
      <c r="T23" s="12">
        <f>SUMIF(Mercado_Receita!$S$2:$S$444,"44713B1Convencional pré-pagamentoResidencialResidencial baixa renda – faixa 01Não se aplicaNão se aplicaPonta",Mercado_Receita!$L$2:$L$444)+SUMIF(Mercado_Receita!$S$2:$S$444,"44713B1Convencional pré-pagamentoResidencialResidencial baixa renda – faixa 01Não se aplicaNão se aplicaFora ponta",Mercado_Receita!$L$2:$L$444)+SUMIF(Mercado_Receita!$S$2:$S$444,"44713B1Convencional pré-pagamentoResidencialResidencial baixa renda – faixa 01Não se aplicaNão se aplicaIntermediário",Mercado_Receita!$L$2:$L$444)+SUMIF(Mercado_Receita!$S$2:$S$444,"44713B1Convencional pré-pagamentoResidencialResidencial baixa renda – faixa 01Não se aplicaNão se aplicaNão se aplica",Mercado_Receita!$L$2:$L$444)</f>
        <v>0</v>
      </c>
      <c r="U23" s="12">
        <f t="shared" si="0"/>
        <v>0</v>
      </c>
      <c r="V23" s="12"/>
      <c r="W23" s="12"/>
    </row>
    <row r="24" spans="1:23" ht="11.25" customHeight="1" x14ac:dyDescent="0.25">
      <c r="A24" s="119"/>
      <c r="B24" s="119"/>
      <c r="C24" s="119"/>
      <c r="D24" s="13" t="s">
        <v>29</v>
      </c>
      <c r="E24" s="13" t="s">
        <v>25</v>
      </c>
      <c r="F24" s="13" t="s">
        <v>25</v>
      </c>
      <c r="G24" s="12" t="s">
        <v>74</v>
      </c>
      <c r="H24" s="12" t="s">
        <v>70</v>
      </c>
      <c r="I24" s="12">
        <f>SUMIF(Mercado_Receita!$S$2:$S$444,"44378B1Convencional pré-pagamentoResidencialResidencial baixa renda – faixa 02Não se aplicaNão se aplicaPonta",Mercado_Receita!$L$2:$L$444)+SUMIF(Mercado_Receita!$S$2:$S$444,"44378B1Convencional pré-pagamentoResidencialResidencial baixa renda – faixa 02Não se aplicaNão se aplicaFora ponta",Mercado_Receita!$L$2:$L$444)+SUMIF(Mercado_Receita!$S$2:$S$444,"44378B1Convencional pré-pagamentoResidencialResidencial baixa renda – faixa 02Não se aplicaNão se aplicaIntermediário",Mercado_Receita!$L$2:$L$444)+SUMIF(Mercado_Receita!$S$2:$S$444,"44378B1Convencional pré-pagamentoResidencialResidencial baixa renda – faixa 02Não se aplicaNão se aplicaNão se aplica",Mercado_Receita!$L$2:$L$444)</f>
        <v>0</v>
      </c>
      <c r="J24" s="12">
        <f>SUMIF(Mercado_Receita!$S$2:$S$444,"44409B1Convencional pré-pagamentoResidencialResidencial baixa renda – faixa 02Não se aplicaNão se aplicaPonta",Mercado_Receita!$L$2:$L$444)+SUMIF(Mercado_Receita!$S$2:$S$444,"44409B1Convencional pré-pagamentoResidencialResidencial baixa renda – faixa 02Não se aplicaNão se aplicaFora ponta",Mercado_Receita!$L$2:$L$444)+SUMIF(Mercado_Receita!$S$2:$S$444,"44409B1Convencional pré-pagamentoResidencialResidencial baixa renda – faixa 02Não se aplicaNão se aplicaIntermediário",Mercado_Receita!$L$2:$L$444)+SUMIF(Mercado_Receita!$S$2:$S$444,"44409B1Convencional pré-pagamentoResidencialResidencial baixa renda – faixa 02Não se aplicaNão se aplicaNão se aplica",Mercado_Receita!$L$2:$L$444)</f>
        <v>0</v>
      </c>
      <c r="K24" s="12">
        <f>SUMIF(Mercado_Receita!$S$2:$S$444,"44440B1Convencional pré-pagamentoResidencialResidencial baixa renda – faixa 02Não se aplicaNão se aplicaPonta",Mercado_Receita!$L$2:$L$444)+SUMIF(Mercado_Receita!$S$2:$S$444,"44440B1Convencional pré-pagamentoResidencialResidencial baixa renda – faixa 02Não se aplicaNão se aplicaFora ponta",Mercado_Receita!$L$2:$L$444)+SUMIF(Mercado_Receita!$S$2:$S$444,"44440B1Convencional pré-pagamentoResidencialResidencial baixa renda – faixa 02Não se aplicaNão se aplicaIntermediário",Mercado_Receita!$L$2:$L$444)+SUMIF(Mercado_Receita!$S$2:$S$444,"44440B1Convencional pré-pagamentoResidencialResidencial baixa renda – faixa 02Não se aplicaNão se aplicaNão se aplica",Mercado_Receita!$L$2:$L$444)</f>
        <v>0</v>
      </c>
      <c r="L24" s="12">
        <f>SUMIF(Mercado_Receita!$S$2:$S$444,"44470B1Convencional pré-pagamentoResidencialResidencial baixa renda – faixa 02Não se aplicaNão se aplicaPonta",Mercado_Receita!$L$2:$L$444)+SUMIF(Mercado_Receita!$S$2:$S$444,"44470B1Convencional pré-pagamentoResidencialResidencial baixa renda – faixa 02Não se aplicaNão se aplicaFora ponta",Mercado_Receita!$L$2:$L$444)+SUMIF(Mercado_Receita!$S$2:$S$444,"44470B1Convencional pré-pagamentoResidencialResidencial baixa renda – faixa 02Não se aplicaNão se aplicaIntermediário",Mercado_Receita!$L$2:$L$444)+SUMIF(Mercado_Receita!$S$2:$S$444,"44470B1Convencional pré-pagamentoResidencialResidencial baixa renda – faixa 02Não se aplicaNão se aplicaNão se aplica",Mercado_Receita!$L$2:$L$444)</f>
        <v>0</v>
      </c>
      <c r="M24" s="12">
        <f>SUMIF(Mercado_Receita!$S$2:$S$444,"44501B1Convencional pré-pagamentoResidencialResidencial baixa renda – faixa 02Não se aplicaNão se aplicaPonta",Mercado_Receita!$L$2:$L$444)+SUMIF(Mercado_Receita!$S$2:$S$444,"44501B1Convencional pré-pagamentoResidencialResidencial baixa renda – faixa 02Não se aplicaNão se aplicaFora ponta",Mercado_Receita!$L$2:$L$444)+SUMIF(Mercado_Receita!$S$2:$S$444,"44501B1Convencional pré-pagamentoResidencialResidencial baixa renda – faixa 02Não se aplicaNão se aplicaIntermediário",Mercado_Receita!$L$2:$L$444)+SUMIF(Mercado_Receita!$S$2:$S$444,"44501B1Convencional pré-pagamentoResidencialResidencial baixa renda – faixa 02Não se aplicaNão se aplicaNão se aplica",Mercado_Receita!$L$2:$L$444)</f>
        <v>0</v>
      </c>
      <c r="N24" s="12">
        <f>SUMIF(Mercado_Receita!$S$2:$S$444,"44531B1Convencional pré-pagamentoResidencialResidencial baixa renda – faixa 02Não se aplicaNão se aplicaPonta",Mercado_Receita!$L$2:$L$444)+SUMIF(Mercado_Receita!$S$2:$S$444,"44531B1Convencional pré-pagamentoResidencialResidencial baixa renda – faixa 02Não se aplicaNão se aplicaFora ponta",Mercado_Receita!$L$2:$L$444)+SUMIF(Mercado_Receita!$S$2:$S$444,"44531B1Convencional pré-pagamentoResidencialResidencial baixa renda – faixa 02Não se aplicaNão se aplicaIntermediário",Mercado_Receita!$L$2:$L$444)+SUMIF(Mercado_Receita!$S$2:$S$444,"44531B1Convencional pré-pagamentoResidencialResidencial baixa renda – faixa 02Não se aplicaNão se aplicaNão se aplica",Mercado_Receita!$L$2:$L$444)</f>
        <v>0</v>
      </c>
      <c r="O24" s="12">
        <f>SUMIF(Mercado_Receita!$S$2:$S$444,"44562B1Convencional pré-pagamentoResidencialResidencial baixa renda – faixa 02Não se aplicaNão se aplicaPonta",Mercado_Receita!$L$2:$L$444)+SUMIF(Mercado_Receita!$S$2:$S$444,"44562B1Convencional pré-pagamentoResidencialResidencial baixa renda – faixa 02Não se aplicaNão se aplicaFora ponta",Mercado_Receita!$L$2:$L$444)+SUMIF(Mercado_Receita!$S$2:$S$444,"44562B1Convencional pré-pagamentoResidencialResidencial baixa renda – faixa 02Não se aplicaNão se aplicaIntermediário",Mercado_Receita!$L$2:$L$444)+SUMIF(Mercado_Receita!$S$2:$S$444,"44562B1Convencional pré-pagamentoResidencialResidencial baixa renda – faixa 02Não se aplicaNão se aplicaNão se aplica",Mercado_Receita!$L$2:$L$444)</f>
        <v>0</v>
      </c>
      <c r="P24" s="12">
        <f>SUMIF(Mercado_Receita!$S$2:$S$444,"44593B1Convencional pré-pagamentoResidencialResidencial baixa renda – faixa 02Não se aplicaNão se aplicaPonta",Mercado_Receita!$L$2:$L$444)+SUMIF(Mercado_Receita!$S$2:$S$444,"44593B1Convencional pré-pagamentoResidencialResidencial baixa renda – faixa 02Não se aplicaNão se aplicaFora ponta",Mercado_Receita!$L$2:$L$444)+SUMIF(Mercado_Receita!$S$2:$S$444,"44593B1Convencional pré-pagamentoResidencialResidencial baixa renda – faixa 02Não se aplicaNão se aplicaIntermediário",Mercado_Receita!$L$2:$L$444)+SUMIF(Mercado_Receita!$S$2:$S$444,"44593B1Convencional pré-pagamentoResidencialResidencial baixa renda – faixa 02Não se aplicaNão se aplicaNão se aplica",Mercado_Receita!$L$2:$L$444)</f>
        <v>0</v>
      </c>
      <c r="Q24" s="12">
        <f>SUMIF(Mercado_Receita!$S$2:$S$444,"44621B1Convencional pré-pagamentoResidencialResidencial baixa renda – faixa 02Não se aplicaNão se aplicaPonta",Mercado_Receita!$L$2:$L$444)+SUMIF(Mercado_Receita!$S$2:$S$444,"44621B1Convencional pré-pagamentoResidencialResidencial baixa renda – faixa 02Não se aplicaNão se aplicaFora ponta",Mercado_Receita!$L$2:$L$444)+SUMIF(Mercado_Receita!$S$2:$S$444,"44621B1Convencional pré-pagamentoResidencialResidencial baixa renda – faixa 02Não se aplicaNão se aplicaIntermediário",Mercado_Receita!$L$2:$L$444)+SUMIF(Mercado_Receita!$S$2:$S$444,"44621B1Convencional pré-pagamentoResidencialResidencial baixa renda – faixa 02Não se aplicaNão se aplicaNão se aplica",Mercado_Receita!$L$2:$L$444)</f>
        <v>0</v>
      </c>
      <c r="R24" s="12">
        <f>SUMIF(Mercado_Receita!$S$2:$S$444,"44652B1Convencional pré-pagamentoResidencialResidencial baixa renda – faixa 02Não se aplicaNão se aplicaPonta",Mercado_Receita!$L$2:$L$444)+SUMIF(Mercado_Receita!$S$2:$S$444,"44652B1Convencional pré-pagamentoResidencialResidencial baixa renda – faixa 02Não se aplicaNão se aplicaFora ponta",Mercado_Receita!$L$2:$L$444)+SUMIF(Mercado_Receita!$S$2:$S$444,"44652B1Convencional pré-pagamentoResidencialResidencial baixa renda – faixa 02Não se aplicaNão se aplicaIntermediário",Mercado_Receita!$L$2:$L$444)+SUMIF(Mercado_Receita!$S$2:$S$444,"44652B1Convencional pré-pagamentoResidencialResidencial baixa renda – faixa 02Não se aplicaNão se aplicaNão se aplica",Mercado_Receita!$L$2:$L$444)</f>
        <v>0</v>
      </c>
      <c r="S24" s="12">
        <f>SUMIF(Mercado_Receita!$S$2:$S$444,"44682B1Convencional pré-pagamentoResidencialResidencial baixa renda – faixa 02Não se aplicaNão se aplicaPonta",Mercado_Receita!$L$2:$L$444)+SUMIF(Mercado_Receita!$S$2:$S$444,"44682B1Convencional pré-pagamentoResidencialResidencial baixa renda – faixa 02Não se aplicaNão se aplicaFora ponta",Mercado_Receita!$L$2:$L$444)+SUMIF(Mercado_Receita!$S$2:$S$444,"44682B1Convencional pré-pagamentoResidencialResidencial baixa renda – faixa 02Não se aplicaNão se aplicaIntermediário",Mercado_Receita!$L$2:$L$444)+SUMIF(Mercado_Receita!$S$2:$S$444,"44682B1Convencional pré-pagamentoResidencialResidencial baixa renda – faixa 02Não se aplicaNão se aplicaNão se aplica",Mercado_Receita!$L$2:$L$444)</f>
        <v>0</v>
      </c>
      <c r="T24" s="12">
        <f>SUMIF(Mercado_Receita!$S$2:$S$444,"44713B1Convencional pré-pagamentoResidencialResidencial baixa renda – faixa 02Não se aplicaNão se aplicaPonta",Mercado_Receita!$L$2:$L$444)+SUMIF(Mercado_Receita!$S$2:$S$444,"44713B1Convencional pré-pagamentoResidencialResidencial baixa renda – faixa 02Não se aplicaNão se aplicaFora ponta",Mercado_Receita!$L$2:$L$444)+SUMIF(Mercado_Receita!$S$2:$S$444,"44713B1Convencional pré-pagamentoResidencialResidencial baixa renda – faixa 02Não se aplicaNão se aplicaIntermediário",Mercado_Receita!$L$2:$L$444)+SUMIF(Mercado_Receita!$S$2:$S$444,"44713B1Convencional pré-pagamentoResidencialResidencial baixa renda – faixa 02Não se aplicaNão se aplicaNão se aplica",Mercado_Receita!$L$2:$L$444)</f>
        <v>0</v>
      </c>
      <c r="U24" s="12">
        <f t="shared" si="0"/>
        <v>0</v>
      </c>
      <c r="V24" s="12"/>
      <c r="W24" s="12"/>
    </row>
    <row r="25" spans="1:23" ht="11.25" customHeight="1" x14ac:dyDescent="0.25">
      <c r="A25" s="119"/>
      <c r="B25" s="119"/>
      <c r="C25" s="119"/>
      <c r="D25" s="13" t="s">
        <v>30</v>
      </c>
      <c r="E25" s="13" t="s">
        <v>25</v>
      </c>
      <c r="F25" s="13" t="s">
        <v>25</v>
      </c>
      <c r="G25" s="12" t="s">
        <v>74</v>
      </c>
      <c r="H25" s="12" t="s">
        <v>70</v>
      </c>
      <c r="I25" s="12">
        <f>SUMIF(Mercado_Receita!$S$2:$S$444,"44378B1Convencional pré-pagamentoResidencialResidencial baixa renda – faixa 03Não se aplicaNão se aplicaPonta",Mercado_Receita!$L$2:$L$444)+SUMIF(Mercado_Receita!$S$2:$S$444,"44378B1Convencional pré-pagamentoResidencialResidencial baixa renda – faixa 03Não se aplicaNão se aplicaFora ponta",Mercado_Receita!$L$2:$L$444)+SUMIF(Mercado_Receita!$S$2:$S$444,"44378B1Convencional pré-pagamentoResidencialResidencial baixa renda – faixa 03Não se aplicaNão se aplicaIntermediário",Mercado_Receita!$L$2:$L$444)+SUMIF(Mercado_Receita!$S$2:$S$444,"44378B1Convencional pré-pagamentoResidencialResidencial baixa renda – faixa 03Não se aplicaNão se aplicaNão se aplica",Mercado_Receita!$L$2:$L$444)</f>
        <v>0</v>
      </c>
      <c r="J25" s="12">
        <f>SUMIF(Mercado_Receita!$S$2:$S$444,"44409B1Convencional pré-pagamentoResidencialResidencial baixa renda – faixa 03Não se aplicaNão se aplicaPonta",Mercado_Receita!$L$2:$L$444)+SUMIF(Mercado_Receita!$S$2:$S$444,"44409B1Convencional pré-pagamentoResidencialResidencial baixa renda – faixa 03Não se aplicaNão se aplicaFora ponta",Mercado_Receita!$L$2:$L$444)+SUMIF(Mercado_Receita!$S$2:$S$444,"44409B1Convencional pré-pagamentoResidencialResidencial baixa renda – faixa 03Não se aplicaNão se aplicaIntermediário",Mercado_Receita!$L$2:$L$444)+SUMIF(Mercado_Receita!$S$2:$S$444,"44409B1Convencional pré-pagamentoResidencialResidencial baixa renda – faixa 03Não se aplicaNão se aplicaNão se aplica",Mercado_Receita!$L$2:$L$444)</f>
        <v>0</v>
      </c>
      <c r="K25" s="12">
        <f>SUMIF(Mercado_Receita!$S$2:$S$444,"44440B1Convencional pré-pagamentoResidencialResidencial baixa renda – faixa 03Não se aplicaNão se aplicaPonta",Mercado_Receita!$L$2:$L$444)+SUMIF(Mercado_Receita!$S$2:$S$444,"44440B1Convencional pré-pagamentoResidencialResidencial baixa renda – faixa 03Não se aplicaNão se aplicaFora ponta",Mercado_Receita!$L$2:$L$444)+SUMIF(Mercado_Receita!$S$2:$S$444,"44440B1Convencional pré-pagamentoResidencialResidencial baixa renda – faixa 03Não se aplicaNão se aplicaIntermediário",Mercado_Receita!$L$2:$L$444)+SUMIF(Mercado_Receita!$S$2:$S$444,"44440B1Convencional pré-pagamentoResidencialResidencial baixa renda – faixa 03Não se aplicaNão se aplicaNão se aplica",Mercado_Receita!$L$2:$L$444)</f>
        <v>0</v>
      </c>
      <c r="L25" s="12">
        <f>SUMIF(Mercado_Receita!$S$2:$S$444,"44470B1Convencional pré-pagamentoResidencialResidencial baixa renda – faixa 03Não se aplicaNão se aplicaPonta",Mercado_Receita!$L$2:$L$444)+SUMIF(Mercado_Receita!$S$2:$S$444,"44470B1Convencional pré-pagamentoResidencialResidencial baixa renda – faixa 03Não se aplicaNão se aplicaFora ponta",Mercado_Receita!$L$2:$L$444)+SUMIF(Mercado_Receita!$S$2:$S$444,"44470B1Convencional pré-pagamentoResidencialResidencial baixa renda – faixa 03Não se aplicaNão se aplicaIntermediário",Mercado_Receita!$L$2:$L$444)+SUMIF(Mercado_Receita!$S$2:$S$444,"44470B1Convencional pré-pagamentoResidencialResidencial baixa renda – faixa 03Não se aplicaNão se aplicaNão se aplica",Mercado_Receita!$L$2:$L$444)</f>
        <v>0</v>
      </c>
      <c r="M25" s="12">
        <f>SUMIF(Mercado_Receita!$S$2:$S$444,"44501B1Convencional pré-pagamentoResidencialResidencial baixa renda – faixa 03Não se aplicaNão se aplicaPonta",Mercado_Receita!$L$2:$L$444)+SUMIF(Mercado_Receita!$S$2:$S$444,"44501B1Convencional pré-pagamentoResidencialResidencial baixa renda – faixa 03Não se aplicaNão se aplicaFora ponta",Mercado_Receita!$L$2:$L$444)+SUMIF(Mercado_Receita!$S$2:$S$444,"44501B1Convencional pré-pagamentoResidencialResidencial baixa renda – faixa 03Não se aplicaNão se aplicaIntermediário",Mercado_Receita!$L$2:$L$444)+SUMIF(Mercado_Receita!$S$2:$S$444,"44501B1Convencional pré-pagamentoResidencialResidencial baixa renda – faixa 03Não se aplicaNão se aplicaNão se aplica",Mercado_Receita!$L$2:$L$444)</f>
        <v>0</v>
      </c>
      <c r="N25" s="12">
        <f>SUMIF(Mercado_Receita!$S$2:$S$444,"44531B1Convencional pré-pagamentoResidencialResidencial baixa renda – faixa 03Não se aplicaNão se aplicaPonta",Mercado_Receita!$L$2:$L$444)+SUMIF(Mercado_Receita!$S$2:$S$444,"44531B1Convencional pré-pagamentoResidencialResidencial baixa renda – faixa 03Não se aplicaNão se aplicaFora ponta",Mercado_Receita!$L$2:$L$444)+SUMIF(Mercado_Receita!$S$2:$S$444,"44531B1Convencional pré-pagamentoResidencialResidencial baixa renda – faixa 03Não se aplicaNão se aplicaIntermediário",Mercado_Receita!$L$2:$L$444)+SUMIF(Mercado_Receita!$S$2:$S$444,"44531B1Convencional pré-pagamentoResidencialResidencial baixa renda – faixa 03Não se aplicaNão se aplicaNão se aplica",Mercado_Receita!$L$2:$L$444)</f>
        <v>0</v>
      </c>
      <c r="O25" s="12">
        <f>SUMIF(Mercado_Receita!$S$2:$S$444,"44562B1Convencional pré-pagamentoResidencialResidencial baixa renda – faixa 03Não se aplicaNão se aplicaPonta",Mercado_Receita!$L$2:$L$444)+SUMIF(Mercado_Receita!$S$2:$S$444,"44562B1Convencional pré-pagamentoResidencialResidencial baixa renda – faixa 03Não se aplicaNão se aplicaFora ponta",Mercado_Receita!$L$2:$L$444)+SUMIF(Mercado_Receita!$S$2:$S$444,"44562B1Convencional pré-pagamentoResidencialResidencial baixa renda – faixa 03Não se aplicaNão se aplicaIntermediário",Mercado_Receita!$L$2:$L$444)+SUMIF(Mercado_Receita!$S$2:$S$444,"44562B1Convencional pré-pagamentoResidencialResidencial baixa renda – faixa 03Não se aplicaNão se aplicaNão se aplica",Mercado_Receita!$L$2:$L$444)</f>
        <v>0</v>
      </c>
      <c r="P25" s="12">
        <f>SUMIF(Mercado_Receita!$S$2:$S$444,"44593B1Convencional pré-pagamentoResidencialResidencial baixa renda – faixa 03Não se aplicaNão se aplicaPonta",Mercado_Receita!$L$2:$L$444)+SUMIF(Mercado_Receita!$S$2:$S$444,"44593B1Convencional pré-pagamentoResidencialResidencial baixa renda – faixa 03Não se aplicaNão se aplicaFora ponta",Mercado_Receita!$L$2:$L$444)+SUMIF(Mercado_Receita!$S$2:$S$444,"44593B1Convencional pré-pagamentoResidencialResidencial baixa renda – faixa 03Não se aplicaNão se aplicaIntermediário",Mercado_Receita!$L$2:$L$444)+SUMIF(Mercado_Receita!$S$2:$S$444,"44593B1Convencional pré-pagamentoResidencialResidencial baixa renda – faixa 03Não se aplicaNão se aplicaNão se aplica",Mercado_Receita!$L$2:$L$444)</f>
        <v>0</v>
      </c>
      <c r="Q25" s="12">
        <f>SUMIF(Mercado_Receita!$S$2:$S$444,"44621B1Convencional pré-pagamentoResidencialResidencial baixa renda – faixa 03Não se aplicaNão se aplicaPonta",Mercado_Receita!$L$2:$L$444)+SUMIF(Mercado_Receita!$S$2:$S$444,"44621B1Convencional pré-pagamentoResidencialResidencial baixa renda – faixa 03Não se aplicaNão se aplicaFora ponta",Mercado_Receita!$L$2:$L$444)+SUMIF(Mercado_Receita!$S$2:$S$444,"44621B1Convencional pré-pagamentoResidencialResidencial baixa renda – faixa 03Não se aplicaNão se aplicaIntermediário",Mercado_Receita!$L$2:$L$444)+SUMIF(Mercado_Receita!$S$2:$S$444,"44621B1Convencional pré-pagamentoResidencialResidencial baixa renda – faixa 03Não se aplicaNão se aplicaNão se aplica",Mercado_Receita!$L$2:$L$444)</f>
        <v>0</v>
      </c>
      <c r="R25" s="12">
        <f>SUMIF(Mercado_Receita!$S$2:$S$444,"44652B1Convencional pré-pagamentoResidencialResidencial baixa renda – faixa 03Não se aplicaNão se aplicaPonta",Mercado_Receita!$L$2:$L$444)+SUMIF(Mercado_Receita!$S$2:$S$444,"44652B1Convencional pré-pagamentoResidencialResidencial baixa renda – faixa 03Não se aplicaNão se aplicaFora ponta",Mercado_Receita!$L$2:$L$444)+SUMIF(Mercado_Receita!$S$2:$S$444,"44652B1Convencional pré-pagamentoResidencialResidencial baixa renda – faixa 03Não se aplicaNão se aplicaIntermediário",Mercado_Receita!$L$2:$L$444)+SUMIF(Mercado_Receita!$S$2:$S$444,"44652B1Convencional pré-pagamentoResidencialResidencial baixa renda – faixa 03Não se aplicaNão se aplicaNão se aplica",Mercado_Receita!$L$2:$L$444)</f>
        <v>0</v>
      </c>
      <c r="S25" s="12">
        <f>SUMIF(Mercado_Receita!$S$2:$S$444,"44682B1Convencional pré-pagamentoResidencialResidencial baixa renda – faixa 03Não se aplicaNão se aplicaPonta",Mercado_Receita!$L$2:$L$444)+SUMIF(Mercado_Receita!$S$2:$S$444,"44682B1Convencional pré-pagamentoResidencialResidencial baixa renda – faixa 03Não se aplicaNão se aplicaFora ponta",Mercado_Receita!$L$2:$L$444)+SUMIF(Mercado_Receita!$S$2:$S$444,"44682B1Convencional pré-pagamentoResidencialResidencial baixa renda – faixa 03Não se aplicaNão se aplicaIntermediário",Mercado_Receita!$L$2:$L$444)+SUMIF(Mercado_Receita!$S$2:$S$444,"44682B1Convencional pré-pagamentoResidencialResidencial baixa renda – faixa 03Não se aplicaNão se aplicaNão se aplica",Mercado_Receita!$L$2:$L$444)</f>
        <v>0</v>
      </c>
      <c r="T25" s="12">
        <f>SUMIF(Mercado_Receita!$S$2:$S$444,"44713B1Convencional pré-pagamentoResidencialResidencial baixa renda – faixa 03Não se aplicaNão se aplicaPonta",Mercado_Receita!$L$2:$L$444)+SUMIF(Mercado_Receita!$S$2:$S$444,"44713B1Convencional pré-pagamentoResidencialResidencial baixa renda – faixa 03Não se aplicaNão se aplicaFora ponta",Mercado_Receita!$L$2:$L$444)+SUMIF(Mercado_Receita!$S$2:$S$444,"44713B1Convencional pré-pagamentoResidencialResidencial baixa renda – faixa 03Não se aplicaNão se aplicaIntermediário",Mercado_Receita!$L$2:$L$444)+SUMIF(Mercado_Receita!$S$2:$S$444,"44713B1Convencional pré-pagamentoResidencialResidencial baixa renda – faixa 03Não se aplicaNão se aplicaNão se aplica",Mercado_Receita!$L$2:$L$444)</f>
        <v>0</v>
      </c>
      <c r="U25" s="12">
        <f t="shared" si="0"/>
        <v>0</v>
      </c>
      <c r="V25" s="12"/>
      <c r="W25" s="12"/>
    </row>
    <row r="26" spans="1:23" ht="11.25" customHeight="1" x14ac:dyDescent="0.25">
      <c r="A26" s="119"/>
      <c r="B26" s="119"/>
      <c r="C26" s="119"/>
      <c r="D26" s="13" t="s">
        <v>31</v>
      </c>
      <c r="E26" s="13" t="s">
        <v>25</v>
      </c>
      <c r="F26" s="13" t="s">
        <v>25</v>
      </c>
      <c r="G26" s="12" t="s">
        <v>74</v>
      </c>
      <c r="H26" s="12" t="s">
        <v>70</v>
      </c>
      <c r="I26" s="12">
        <f>SUMIF(Mercado_Receita!$S$2:$S$444,"44378B1Convencional pré-pagamentoResidencialResidencial baixa renda – faixa 04Não se aplicaNão se aplicaPonta",Mercado_Receita!$L$2:$L$444)+SUMIF(Mercado_Receita!$S$2:$S$444,"44378B1Convencional pré-pagamentoResidencialResidencial baixa renda – faixa 04Não se aplicaNão se aplicaFora ponta",Mercado_Receita!$L$2:$L$444)+SUMIF(Mercado_Receita!$S$2:$S$444,"44378B1Convencional pré-pagamentoResidencialResidencial baixa renda – faixa 04Não se aplicaNão se aplicaIntermediário",Mercado_Receita!$L$2:$L$444)+SUMIF(Mercado_Receita!$S$2:$S$444,"44378B1Convencional pré-pagamentoResidencialResidencial baixa renda – faixa 04Não se aplicaNão se aplicaNão se aplica",Mercado_Receita!$L$2:$L$444)</f>
        <v>0</v>
      </c>
      <c r="J26" s="12">
        <f>SUMIF(Mercado_Receita!$S$2:$S$444,"44409B1Convencional pré-pagamentoResidencialResidencial baixa renda – faixa 04Não se aplicaNão se aplicaPonta",Mercado_Receita!$L$2:$L$444)+SUMIF(Mercado_Receita!$S$2:$S$444,"44409B1Convencional pré-pagamentoResidencialResidencial baixa renda – faixa 04Não se aplicaNão se aplicaFora ponta",Mercado_Receita!$L$2:$L$444)+SUMIF(Mercado_Receita!$S$2:$S$444,"44409B1Convencional pré-pagamentoResidencialResidencial baixa renda – faixa 04Não se aplicaNão se aplicaIntermediário",Mercado_Receita!$L$2:$L$444)+SUMIF(Mercado_Receita!$S$2:$S$444,"44409B1Convencional pré-pagamentoResidencialResidencial baixa renda – faixa 04Não se aplicaNão se aplicaNão se aplica",Mercado_Receita!$L$2:$L$444)</f>
        <v>0</v>
      </c>
      <c r="K26" s="12">
        <f>SUMIF(Mercado_Receita!$S$2:$S$444,"44440B1Convencional pré-pagamentoResidencialResidencial baixa renda – faixa 04Não se aplicaNão se aplicaPonta",Mercado_Receita!$L$2:$L$444)+SUMIF(Mercado_Receita!$S$2:$S$444,"44440B1Convencional pré-pagamentoResidencialResidencial baixa renda – faixa 04Não se aplicaNão se aplicaFora ponta",Mercado_Receita!$L$2:$L$444)+SUMIF(Mercado_Receita!$S$2:$S$444,"44440B1Convencional pré-pagamentoResidencialResidencial baixa renda – faixa 04Não se aplicaNão se aplicaIntermediário",Mercado_Receita!$L$2:$L$444)+SUMIF(Mercado_Receita!$S$2:$S$444,"44440B1Convencional pré-pagamentoResidencialResidencial baixa renda – faixa 04Não se aplicaNão se aplicaNão se aplica",Mercado_Receita!$L$2:$L$444)</f>
        <v>0</v>
      </c>
      <c r="L26" s="12">
        <f>SUMIF(Mercado_Receita!$S$2:$S$444,"44470B1Convencional pré-pagamentoResidencialResidencial baixa renda – faixa 04Não se aplicaNão se aplicaPonta",Mercado_Receita!$L$2:$L$444)+SUMIF(Mercado_Receita!$S$2:$S$444,"44470B1Convencional pré-pagamentoResidencialResidencial baixa renda – faixa 04Não se aplicaNão se aplicaFora ponta",Mercado_Receita!$L$2:$L$444)+SUMIF(Mercado_Receita!$S$2:$S$444,"44470B1Convencional pré-pagamentoResidencialResidencial baixa renda – faixa 04Não se aplicaNão se aplicaIntermediário",Mercado_Receita!$L$2:$L$444)+SUMIF(Mercado_Receita!$S$2:$S$444,"44470B1Convencional pré-pagamentoResidencialResidencial baixa renda – faixa 04Não se aplicaNão se aplicaNão se aplica",Mercado_Receita!$L$2:$L$444)</f>
        <v>0</v>
      </c>
      <c r="M26" s="12">
        <f>SUMIF(Mercado_Receita!$S$2:$S$444,"44501B1Convencional pré-pagamentoResidencialResidencial baixa renda – faixa 04Não se aplicaNão se aplicaPonta",Mercado_Receita!$L$2:$L$444)+SUMIF(Mercado_Receita!$S$2:$S$444,"44501B1Convencional pré-pagamentoResidencialResidencial baixa renda – faixa 04Não se aplicaNão se aplicaFora ponta",Mercado_Receita!$L$2:$L$444)+SUMIF(Mercado_Receita!$S$2:$S$444,"44501B1Convencional pré-pagamentoResidencialResidencial baixa renda – faixa 04Não se aplicaNão se aplicaIntermediário",Mercado_Receita!$L$2:$L$444)+SUMIF(Mercado_Receita!$S$2:$S$444,"44501B1Convencional pré-pagamentoResidencialResidencial baixa renda – faixa 04Não se aplicaNão se aplicaNão se aplica",Mercado_Receita!$L$2:$L$444)</f>
        <v>0</v>
      </c>
      <c r="N26" s="12">
        <f>SUMIF(Mercado_Receita!$S$2:$S$444,"44531B1Convencional pré-pagamentoResidencialResidencial baixa renda – faixa 04Não se aplicaNão se aplicaPonta",Mercado_Receita!$L$2:$L$444)+SUMIF(Mercado_Receita!$S$2:$S$444,"44531B1Convencional pré-pagamentoResidencialResidencial baixa renda – faixa 04Não se aplicaNão se aplicaFora ponta",Mercado_Receita!$L$2:$L$444)+SUMIF(Mercado_Receita!$S$2:$S$444,"44531B1Convencional pré-pagamentoResidencialResidencial baixa renda – faixa 04Não se aplicaNão se aplicaIntermediário",Mercado_Receita!$L$2:$L$444)+SUMIF(Mercado_Receita!$S$2:$S$444,"44531B1Convencional pré-pagamentoResidencialResidencial baixa renda – faixa 04Não se aplicaNão se aplicaNão se aplica",Mercado_Receita!$L$2:$L$444)</f>
        <v>0</v>
      </c>
      <c r="O26" s="12">
        <f>SUMIF(Mercado_Receita!$S$2:$S$444,"44562B1Convencional pré-pagamentoResidencialResidencial baixa renda – faixa 04Não se aplicaNão se aplicaPonta",Mercado_Receita!$L$2:$L$444)+SUMIF(Mercado_Receita!$S$2:$S$444,"44562B1Convencional pré-pagamentoResidencialResidencial baixa renda – faixa 04Não se aplicaNão se aplicaFora ponta",Mercado_Receita!$L$2:$L$444)+SUMIF(Mercado_Receita!$S$2:$S$444,"44562B1Convencional pré-pagamentoResidencialResidencial baixa renda – faixa 04Não se aplicaNão se aplicaIntermediário",Mercado_Receita!$L$2:$L$444)+SUMIF(Mercado_Receita!$S$2:$S$444,"44562B1Convencional pré-pagamentoResidencialResidencial baixa renda – faixa 04Não se aplicaNão se aplicaNão se aplica",Mercado_Receita!$L$2:$L$444)</f>
        <v>0</v>
      </c>
      <c r="P26" s="12">
        <f>SUMIF(Mercado_Receita!$S$2:$S$444,"44593B1Convencional pré-pagamentoResidencialResidencial baixa renda – faixa 04Não se aplicaNão se aplicaPonta",Mercado_Receita!$L$2:$L$444)+SUMIF(Mercado_Receita!$S$2:$S$444,"44593B1Convencional pré-pagamentoResidencialResidencial baixa renda – faixa 04Não se aplicaNão se aplicaFora ponta",Mercado_Receita!$L$2:$L$444)+SUMIF(Mercado_Receita!$S$2:$S$444,"44593B1Convencional pré-pagamentoResidencialResidencial baixa renda – faixa 04Não se aplicaNão se aplicaIntermediário",Mercado_Receita!$L$2:$L$444)+SUMIF(Mercado_Receita!$S$2:$S$444,"44593B1Convencional pré-pagamentoResidencialResidencial baixa renda – faixa 04Não se aplicaNão se aplicaNão se aplica",Mercado_Receita!$L$2:$L$444)</f>
        <v>0</v>
      </c>
      <c r="Q26" s="12">
        <f>SUMIF(Mercado_Receita!$S$2:$S$444,"44621B1Convencional pré-pagamentoResidencialResidencial baixa renda – faixa 04Não se aplicaNão se aplicaPonta",Mercado_Receita!$L$2:$L$444)+SUMIF(Mercado_Receita!$S$2:$S$444,"44621B1Convencional pré-pagamentoResidencialResidencial baixa renda – faixa 04Não se aplicaNão se aplicaFora ponta",Mercado_Receita!$L$2:$L$444)+SUMIF(Mercado_Receita!$S$2:$S$444,"44621B1Convencional pré-pagamentoResidencialResidencial baixa renda – faixa 04Não se aplicaNão se aplicaIntermediário",Mercado_Receita!$L$2:$L$444)+SUMIF(Mercado_Receita!$S$2:$S$444,"44621B1Convencional pré-pagamentoResidencialResidencial baixa renda – faixa 04Não se aplicaNão se aplicaNão se aplica",Mercado_Receita!$L$2:$L$444)</f>
        <v>0</v>
      </c>
      <c r="R26" s="12">
        <f>SUMIF(Mercado_Receita!$S$2:$S$444,"44652B1Convencional pré-pagamentoResidencialResidencial baixa renda – faixa 04Não se aplicaNão se aplicaPonta",Mercado_Receita!$L$2:$L$444)+SUMIF(Mercado_Receita!$S$2:$S$444,"44652B1Convencional pré-pagamentoResidencialResidencial baixa renda – faixa 04Não se aplicaNão se aplicaFora ponta",Mercado_Receita!$L$2:$L$444)+SUMIF(Mercado_Receita!$S$2:$S$444,"44652B1Convencional pré-pagamentoResidencialResidencial baixa renda – faixa 04Não se aplicaNão se aplicaIntermediário",Mercado_Receita!$L$2:$L$444)+SUMIF(Mercado_Receita!$S$2:$S$444,"44652B1Convencional pré-pagamentoResidencialResidencial baixa renda – faixa 04Não se aplicaNão se aplicaNão se aplica",Mercado_Receita!$L$2:$L$444)</f>
        <v>0</v>
      </c>
      <c r="S26" s="12">
        <f>SUMIF(Mercado_Receita!$S$2:$S$444,"44682B1Convencional pré-pagamentoResidencialResidencial baixa renda – faixa 04Não se aplicaNão se aplicaPonta",Mercado_Receita!$L$2:$L$444)+SUMIF(Mercado_Receita!$S$2:$S$444,"44682B1Convencional pré-pagamentoResidencialResidencial baixa renda – faixa 04Não se aplicaNão se aplicaFora ponta",Mercado_Receita!$L$2:$L$444)+SUMIF(Mercado_Receita!$S$2:$S$444,"44682B1Convencional pré-pagamentoResidencialResidencial baixa renda – faixa 04Não se aplicaNão se aplicaIntermediário",Mercado_Receita!$L$2:$L$444)+SUMIF(Mercado_Receita!$S$2:$S$444,"44682B1Convencional pré-pagamentoResidencialResidencial baixa renda – faixa 04Não se aplicaNão se aplicaNão se aplica",Mercado_Receita!$L$2:$L$444)</f>
        <v>0</v>
      </c>
      <c r="T26" s="12">
        <f>SUMIF(Mercado_Receita!$S$2:$S$444,"44713B1Convencional pré-pagamentoResidencialResidencial baixa renda – faixa 04Não se aplicaNão se aplicaPonta",Mercado_Receita!$L$2:$L$444)+SUMIF(Mercado_Receita!$S$2:$S$444,"44713B1Convencional pré-pagamentoResidencialResidencial baixa renda – faixa 04Não se aplicaNão se aplicaFora ponta",Mercado_Receita!$L$2:$L$444)+SUMIF(Mercado_Receita!$S$2:$S$444,"44713B1Convencional pré-pagamentoResidencialResidencial baixa renda – faixa 04Não se aplicaNão se aplicaIntermediário",Mercado_Receita!$L$2:$L$444)+SUMIF(Mercado_Receita!$S$2:$S$444,"44713B1Convencional pré-pagamentoResidencialResidencial baixa renda – faixa 04Não se aplicaNão se aplicaNão se aplica",Mercado_Receita!$L$2:$L$444)</f>
        <v>0</v>
      </c>
      <c r="U26" s="12">
        <f t="shared" si="0"/>
        <v>0</v>
      </c>
      <c r="V26" s="12"/>
      <c r="W26" s="12"/>
    </row>
    <row r="27" spans="1:23" ht="11.25" customHeight="1" x14ac:dyDescent="0.25">
      <c r="A27" s="118" t="s">
        <v>39</v>
      </c>
      <c r="B27" s="118" t="s">
        <v>49</v>
      </c>
      <c r="C27" s="118" t="s">
        <v>40</v>
      </c>
      <c r="D27" s="118" t="s">
        <v>25</v>
      </c>
      <c r="E27" s="118" t="s">
        <v>25</v>
      </c>
      <c r="F27" s="118" t="s">
        <v>25</v>
      </c>
      <c r="G27" s="12" t="s">
        <v>71</v>
      </c>
      <c r="H27" s="12" t="s">
        <v>70</v>
      </c>
      <c r="I27" s="12">
        <f>SUMIF(Mercado_Receita!$S$2:$S$444,"44378B2BrancaRuralNão se aplicaNão se aplicaNão se aplicaPonta",Mercado_Receita!$L$2:$L$444)</f>
        <v>0</v>
      </c>
      <c r="J27" s="12">
        <f>SUMIF(Mercado_Receita!$S$2:$S$444,"44409B2BrancaRuralNão se aplicaNão se aplicaNão se aplicaPonta",Mercado_Receita!$L$2:$L$444)</f>
        <v>0</v>
      </c>
      <c r="K27" s="12">
        <f>SUMIF(Mercado_Receita!$S$2:$S$444,"44440B2BrancaRuralNão se aplicaNão se aplicaNão se aplicaPonta",Mercado_Receita!$L$2:$L$444)</f>
        <v>0</v>
      </c>
      <c r="L27" s="12">
        <f>SUMIF(Mercado_Receita!$S$2:$S$444,"44470B2BrancaRuralNão se aplicaNão se aplicaNão se aplicaPonta",Mercado_Receita!$L$2:$L$444)</f>
        <v>0</v>
      </c>
      <c r="M27" s="12">
        <f>SUMIF(Mercado_Receita!$S$2:$S$444,"44501B2BrancaRuralNão se aplicaNão se aplicaNão se aplicaPonta",Mercado_Receita!$L$2:$L$444)</f>
        <v>0</v>
      </c>
      <c r="N27" s="12">
        <f>SUMIF(Mercado_Receita!$S$2:$S$444,"44531B2BrancaRuralNão se aplicaNão se aplicaNão se aplicaPonta",Mercado_Receita!$L$2:$L$444)</f>
        <v>0</v>
      </c>
      <c r="O27" s="12">
        <f>SUMIF(Mercado_Receita!$S$2:$S$444,"44562B2BrancaRuralNão se aplicaNão se aplicaNão se aplicaPonta",Mercado_Receita!$L$2:$L$444)</f>
        <v>0</v>
      </c>
      <c r="P27" s="12">
        <f>SUMIF(Mercado_Receita!$S$2:$S$444,"44593B2BrancaRuralNão se aplicaNão se aplicaNão se aplicaPonta",Mercado_Receita!$L$2:$L$444)</f>
        <v>0</v>
      </c>
      <c r="Q27" s="12">
        <f>SUMIF(Mercado_Receita!$S$2:$S$444,"44621B2BrancaRuralNão se aplicaNão se aplicaNão se aplicaPonta",Mercado_Receita!$L$2:$L$444)</f>
        <v>0</v>
      </c>
      <c r="R27" s="12">
        <f>SUMIF(Mercado_Receita!$S$2:$S$444,"44652B2BrancaRuralNão se aplicaNão se aplicaNão se aplicaPonta",Mercado_Receita!$L$2:$L$444)</f>
        <v>0</v>
      </c>
      <c r="S27" s="12">
        <f>SUMIF(Mercado_Receita!$S$2:$S$444,"44682B2BrancaRuralNão se aplicaNão se aplicaNão se aplicaPonta",Mercado_Receita!$L$2:$L$444)</f>
        <v>0</v>
      </c>
      <c r="T27" s="12">
        <f>SUMIF(Mercado_Receita!$S$2:$S$444,"44713B2BrancaRuralNão se aplicaNão se aplicaNão se aplicaPonta",Mercado_Receita!$L$2:$L$444)</f>
        <v>0</v>
      </c>
      <c r="U27" s="12">
        <f t="shared" si="0"/>
        <v>0</v>
      </c>
      <c r="V27" s="12"/>
      <c r="W27" s="12"/>
    </row>
    <row r="28" spans="1:23" ht="11.25" customHeight="1" x14ac:dyDescent="0.25">
      <c r="A28" s="119"/>
      <c r="B28" s="119"/>
      <c r="C28" s="119"/>
      <c r="D28" s="119"/>
      <c r="E28" s="119"/>
      <c r="F28" s="119"/>
      <c r="G28" s="12" t="s">
        <v>83</v>
      </c>
      <c r="H28" s="12" t="s">
        <v>70</v>
      </c>
      <c r="I28" s="12">
        <f>SUMIF(Mercado_Receita!$S$2:$S$444,"44378B2BrancaRuralNão se aplicaNão se aplicaNão se aplicaIntermediário",Mercado_Receita!$L$2:$L$444)</f>
        <v>0</v>
      </c>
      <c r="J28" s="12">
        <f>SUMIF(Mercado_Receita!$S$2:$S$444,"44409B2BrancaRuralNão se aplicaNão se aplicaNão se aplicaIntermediário",Mercado_Receita!$L$2:$L$444)</f>
        <v>0</v>
      </c>
      <c r="K28" s="12">
        <f>SUMIF(Mercado_Receita!$S$2:$S$444,"44440B2BrancaRuralNão se aplicaNão se aplicaNão se aplicaIntermediário",Mercado_Receita!$L$2:$L$444)</f>
        <v>0</v>
      </c>
      <c r="L28" s="12">
        <f>SUMIF(Mercado_Receita!$S$2:$S$444,"44470B2BrancaRuralNão se aplicaNão se aplicaNão se aplicaIntermediário",Mercado_Receita!$L$2:$L$444)</f>
        <v>0</v>
      </c>
      <c r="M28" s="12">
        <f>SUMIF(Mercado_Receita!$S$2:$S$444,"44501B2BrancaRuralNão se aplicaNão se aplicaNão se aplicaIntermediário",Mercado_Receita!$L$2:$L$444)</f>
        <v>0</v>
      </c>
      <c r="N28" s="12">
        <f>SUMIF(Mercado_Receita!$S$2:$S$444,"44531B2BrancaRuralNão se aplicaNão se aplicaNão se aplicaIntermediário",Mercado_Receita!$L$2:$L$444)</f>
        <v>0</v>
      </c>
      <c r="O28" s="12">
        <f>SUMIF(Mercado_Receita!$S$2:$S$444,"44562B2BrancaRuralNão se aplicaNão se aplicaNão se aplicaIntermediário",Mercado_Receita!$L$2:$L$444)</f>
        <v>0</v>
      </c>
      <c r="P28" s="12">
        <f>SUMIF(Mercado_Receita!$S$2:$S$444,"44593B2BrancaRuralNão se aplicaNão se aplicaNão se aplicaIntermediário",Mercado_Receita!$L$2:$L$444)</f>
        <v>0</v>
      </c>
      <c r="Q28" s="12">
        <f>SUMIF(Mercado_Receita!$S$2:$S$444,"44621B2BrancaRuralNão se aplicaNão se aplicaNão se aplicaIntermediário",Mercado_Receita!$L$2:$L$444)</f>
        <v>0</v>
      </c>
      <c r="R28" s="12">
        <f>SUMIF(Mercado_Receita!$S$2:$S$444,"44652B2BrancaRuralNão se aplicaNão se aplicaNão se aplicaIntermediário",Mercado_Receita!$L$2:$L$444)</f>
        <v>0</v>
      </c>
      <c r="S28" s="12">
        <f>SUMIF(Mercado_Receita!$S$2:$S$444,"44682B2BrancaRuralNão se aplicaNão se aplicaNão se aplicaIntermediário",Mercado_Receita!$L$2:$L$444)</f>
        <v>0</v>
      </c>
      <c r="T28" s="12">
        <f>SUMIF(Mercado_Receita!$S$2:$S$444,"44713B2BrancaRuralNão se aplicaNão se aplicaNão se aplicaIntermediário",Mercado_Receita!$L$2:$L$444)</f>
        <v>0</v>
      </c>
      <c r="U28" s="12">
        <f t="shared" si="0"/>
        <v>0</v>
      </c>
      <c r="V28" s="12"/>
      <c r="W28" s="12"/>
    </row>
    <row r="29" spans="1:23" ht="11.25" customHeight="1" x14ac:dyDescent="0.25">
      <c r="A29" s="119"/>
      <c r="B29" s="119"/>
      <c r="C29" s="119"/>
      <c r="D29" s="119"/>
      <c r="E29" s="119"/>
      <c r="F29" s="119"/>
      <c r="G29" s="12" t="s">
        <v>72</v>
      </c>
      <c r="H29" s="12" t="s">
        <v>70</v>
      </c>
      <c r="I29" s="12">
        <f>SUMIF(Mercado_Receita!$S$2:$S$444,"44378B2BrancaRuralNão se aplicaNão se aplicaNão se aplicaFora ponta",Mercado_Receita!$L$2:$L$444)</f>
        <v>0</v>
      </c>
      <c r="J29" s="12">
        <f>SUMIF(Mercado_Receita!$S$2:$S$444,"44409B2BrancaRuralNão se aplicaNão se aplicaNão se aplicaFora ponta",Mercado_Receita!$L$2:$L$444)</f>
        <v>0</v>
      </c>
      <c r="K29" s="12">
        <f>SUMIF(Mercado_Receita!$S$2:$S$444,"44440B2BrancaRuralNão se aplicaNão se aplicaNão se aplicaFora ponta",Mercado_Receita!$L$2:$L$444)</f>
        <v>0</v>
      </c>
      <c r="L29" s="12">
        <f>SUMIF(Mercado_Receita!$S$2:$S$444,"44470B2BrancaRuralNão se aplicaNão se aplicaNão se aplicaFora ponta",Mercado_Receita!$L$2:$L$444)</f>
        <v>0</v>
      </c>
      <c r="M29" s="12">
        <f>SUMIF(Mercado_Receita!$S$2:$S$444,"44501B2BrancaRuralNão se aplicaNão se aplicaNão se aplicaFora ponta",Mercado_Receita!$L$2:$L$444)</f>
        <v>0</v>
      </c>
      <c r="N29" s="12">
        <f>SUMIF(Mercado_Receita!$S$2:$S$444,"44531B2BrancaRuralNão se aplicaNão se aplicaNão se aplicaFora ponta",Mercado_Receita!$L$2:$L$444)</f>
        <v>0</v>
      </c>
      <c r="O29" s="12">
        <f>SUMIF(Mercado_Receita!$S$2:$S$444,"44562B2BrancaRuralNão se aplicaNão se aplicaNão se aplicaFora ponta",Mercado_Receita!$L$2:$L$444)</f>
        <v>0</v>
      </c>
      <c r="P29" s="12">
        <f>SUMIF(Mercado_Receita!$S$2:$S$444,"44593B2BrancaRuralNão se aplicaNão se aplicaNão se aplicaFora ponta",Mercado_Receita!$L$2:$L$444)</f>
        <v>0</v>
      </c>
      <c r="Q29" s="12">
        <f>SUMIF(Mercado_Receita!$S$2:$S$444,"44621B2BrancaRuralNão se aplicaNão se aplicaNão se aplicaFora ponta",Mercado_Receita!$L$2:$L$444)</f>
        <v>0</v>
      </c>
      <c r="R29" s="12">
        <f>SUMIF(Mercado_Receita!$S$2:$S$444,"44652B2BrancaRuralNão se aplicaNão se aplicaNão se aplicaFora ponta",Mercado_Receita!$L$2:$L$444)</f>
        <v>0</v>
      </c>
      <c r="S29" s="12">
        <f>SUMIF(Mercado_Receita!$S$2:$S$444,"44682B2BrancaRuralNão se aplicaNão se aplicaNão se aplicaFora ponta",Mercado_Receita!$L$2:$L$444)</f>
        <v>0</v>
      </c>
      <c r="T29" s="12">
        <f>SUMIF(Mercado_Receita!$S$2:$S$444,"44713B2BrancaRuralNão se aplicaNão se aplicaNão se aplicaFora ponta",Mercado_Receita!$L$2:$L$444)</f>
        <v>0</v>
      </c>
      <c r="U29" s="12">
        <f t="shared" si="0"/>
        <v>0</v>
      </c>
      <c r="V29" s="12"/>
      <c r="W29" s="12"/>
    </row>
    <row r="30" spans="1:23" ht="11.25" customHeight="1" x14ac:dyDescent="0.25">
      <c r="A30" s="119"/>
      <c r="B30" s="13" t="s">
        <v>23</v>
      </c>
      <c r="C30" s="13" t="s">
        <v>40</v>
      </c>
      <c r="D30" s="13" t="s">
        <v>25</v>
      </c>
      <c r="E30" s="13" t="s">
        <v>25</v>
      </c>
      <c r="F30" s="13" t="s">
        <v>25</v>
      </c>
      <c r="G30" s="12" t="s">
        <v>74</v>
      </c>
      <c r="H30" s="12" t="s">
        <v>70</v>
      </c>
      <c r="I30" s="12">
        <f>SUMIF(Mercado_Receita!$S$2:$S$444,"44378B2ConvencionalRuralNão se aplicaNão se aplicaNão se aplicaPonta",Mercado_Receita!$L$2:$L$444)+SUMIF(Mercado_Receita!$S$2:$S$444,"44378B2ConvencionalRuralNão se aplicaNão se aplicaNão se aplicaFora ponta",Mercado_Receita!$L$2:$L$444)+SUMIF(Mercado_Receita!$S$2:$S$444,"44378B2ConvencionalRuralNão se aplicaNão se aplicaNão se aplicaIntermediário",Mercado_Receita!$L$2:$L$444)+SUMIF(Mercado_Receita!$S$2:$S$444,"44378B2ConvencionalRuralNão se aplicaNão se aplicaNão se aplicaNão se aplica",Mercado_Receita!$L$2:$L$444)</f>
        <v>3.9630000000000001</v>
      </c>
      <c r="J30" s="12">
        <f>SUMIF(Mercado_Receita!$S$2:$S$444,"44409B2ConvencionalRuralNão se aplicaNão se aplicaNão se aplicaPonta",Mercado_Receita!$L$2:$L$444)+SUMIF(Mercado_Receita!$S$2:$S$444,"44409B2ConvencionalRuralNão se aplicaNão se aplicaNão se aplicaFora ponta",Mercado_Receita!$L$2:$L$444)+SUMIF(Mercado_Receita!$S$2:$S$444,"44409B2ConvencionalRuralNão se aplicaNão se aplicaNão se aplicaIntermediário",Mercado_Receita!$L$2:$L$444)+SUMIF(Mercado_Receita!$S$2:$S$444,"44409B2ConvencionalRuralNão se aplicaNão se aplicaNão se aplicaNão se aplica",Mercado_Receita!$L$2:$L$444)</f>
        <v>4.1479999999999997</v>
      </c>
      <c r="K30" s="12">
        <f>SUMIF(Mercado_Receita!$S$2:$S$444,"44440B2ConvencionalRuralNão se aplicaNão se aplicaNão se aplicaPonta",Mercado_Receita!$L$2:$L$444)+SUMIF(Mercado_Receita!$S$2:$S$444,"44440B2ConvencionalRuralNão se aplicaNão se aplicaNão se aplicaFora ponta",Mercado_Receita!$L$2:$L$444)+SUMIF(Mercado_Receita!$S$2:$S$444,"44440B2ConvencionalRuralNão se aplicaNão se aplicaNão se aplicaIntermediário",Mercado_Receita!$L$2:$L$444)+SUMIF(Mercado_Receita!$S$2:$S$444,"44440B2ConvencionalRuralNão se aplicaNão se aplicaNão se aplicaNão se aplica",Mercado_Receita!$L$2:$L$444)</f>
        <v>4.1529999999999996</v>
      </c>
      <c r="L30" s="12">
        <f>SUMIF(Mercado_Receita!$S$2:$S$444,"44470B2ConvencionalRuralNão se aplicaNão se aplicaNão se aplicaPonta",Mercado_Receita!$L$2:$L$444)+SUMIF(Mercado_Receita!$S$2:$S$444,"44470B2ConvencionalRuralNão se aplicaNão se aplicaNão se aplicaFora ponta",Mercado_Receita!$L$2:$L$444)+SUMIF(Mercado_Receita!$S$2:$S$444,"44470B2ConvencionalRuralNão se aplicaNão se aplicaNão se aplicaIntermediário",Mercado_Receita!$L$2:$L$444)+SUMIF(Mercado_Receita!$S$2:$S$444,"44470B2ConvencionalRuralNão se aplicaNão se aplicaNão se aplicaNão se aplica",Mercado_Receita!$L$2:$L$444)</f>
        <v>4.0789999999999997</v>
      </c>
      <c r="M30" s="12">
        <f>SUMIF(Mercado_Receita!$S$2:$S$444,"44501B2ConvencionalRuralNão se aplicaNão se aplicaNão se aplicaPonta",Mercado_Receita!$L$2:$L$444)+SUMIF(Mercado_Receita!$S$2:$S$444,"44501B2ConvencionalRuralNão se aplicaNão se aplicaNão se aplicaFora ponta",Mercado_Receita!$L$2:$L$444)+SUMIF(Mercado_Receita!$S$2:$S$444,"44501B2ConvencionalRuralNão se aplicaNão se aplicaNão se aplicaIntermediário",Mercado_Receita!$L$2:$L$444)+SUMIF(Mercado_Receita!$S$2:$S$444,"44501B2ConvencionalRuralNão se aplicaNão se aplicaNão se aplicaNão se aplica",Mercado_Receita!$L$2:$L$444)</f>
        <v>4.3499999999999996</v>
      </c>
      <c r="N30" s="12">
        <f>SUMIF(Mercado_Receita!$S$2:$S$444,"44531B2ConvencionalRuralNão se aplicaNão se aplicaNão se aplicaPonta",Mercado_Receita!$L$2:$L$444)+SUMIF(Mercado_Receita!$S$2:$S$444,"44531B2ConvencionalRuralNão se aplicaNão se aplicaNão se aplicaFora ponta",Mercado_Receita!$L$2:$L$444)+SUMIF(Mercado_Receita!$S$2:$S$444,"44531B2ConvencionalRuralNão se aplicaNão se aplicaNão se aplicaIntermediário",Mercado_Receita!$L$2:$L$444)+SUMIF(Mercado_Receita!$S$2:$S$444,"44531B2ConvencionalRuralNão se aplicaNão se aplicaNão se aplicaNão se aplica",Mercado_Receita!$L$2:$L$444)</f>
        <v>4.3620000000000001</v>
      </c>
      <c r="O30" s="12">
        <f>SUMIF(Mercado_Receita!$S$2:$S$444,"44562B2ConvencionalRuralNão se aplicaNão se aplicaNão se aplicaPonta",Mercado_Receita!$L$2:$L$444)+SUMIF(Mercado_Receita!$S$2:$S$444,"44562B2ConvencionalRuralNão se aplicaNão se aplicaNão se aplicaFora ponta",Mercado_Receita!$L$2:$L$444)+SUMIF(Mercado_Receita!$S$2:$S$444,"44562B2ConvencionalRuralNão se aplicaNão se aplicaNão se aplicaIntermediário",Mercado_Receita!$L$2:$L$444)+SUMIF(Mercado_Receita!$S$2:$S$444,"44562B2ConvencionalRuralNão se aplicaNão se aplicaNão se aplicaNão se aplica",Mercado_Receita!$L$2:$L$444)</f>
        <v>3.2549999999999999</v>
      </c>
      <c r="P30" s="12">
        <f>SUMIF(Mercado_Receita!$S$2:$S$444,"44593B2ConvencionalRuralNão se aplicaNão se aplicaNão se aplicaPonta",Mercado_Receita!$L$2:$L$444)+SUMIF(Mercado_Receita!$S$2:$S$444,"44593B2ConvencionalRuralNão se aplicaNão se aplicaNão se aplicaFora ponta",Mercado_Receita!$L$2:$L$444)+SUMIF(Mercado_Receita!$S$2:$S$444,"44593B2ConvencionalRuralNão se aplicaNão se aplicaNão se aplicaIntermediário",Mercado_Receita!$L$2:$L$444)+SUMIF(Mercado_Receita!$S$2:$S$444,"44593B2ConvencionalRuralNão se aplicaNão se aplicaNão se aplicaNão se aplica",Mercado_Receita!$L$2:$L$444)</f>
        <v>3.8050000000000002</v>
      </c>
      <c r="Q30" s="12">
        <f>SUMIF(Mercado_Receita!$S$2:$S$444,"44621B2ConvencionalRuralNão se aplicaNão se aplicaNão se aplicaPonta",Mercado_Receita!$L$2:$L$444)+SUMIF(Mercado_Receita!$S$2:$S$444,"44621B2ConvencionalRuralNão se aplicaNão se aplicaNão se aplicaFora ponta",Mercado_Receita!$L$2:$L$444)+SUMIF(Mercado_Receita!$S$2:$S$444,"44621B2ConvencionalRuralNão se aplicaNão se aplicaNão se aplicaIntermediário",Mercado_Receita!$L$2:$L$444)+SUMIF(Mercado_Receita!$S$2:$S$444,"44621B2ConvencionalRuralNão se aplicaNão se aplicaNão se aplicaNão se aplica",Mercado_Receita!$L$2:$L$444)</f>
        <v>3.3180000000000001</v>
      </c>
      <c r="R30" s="12">
        <f>SUMIF(Mercado_Receita!$S$2:$S$444,"44652B2ConvencionalRuralNão se aplicaNão se aplicaNão se aplicaPonta",Mercado_Receita!$L$2:$L$444)+SUMIF(Mercado_Receita!$S$2:$S$444,"44652B2ConvencionalRuralNão se aplicaNão se aplicaNão se aplicaFora ponta",Mercado_Receita!$L$2:$L$444)+SUMIF(Mercado_Receita!$S$2:$S$444,"44652B2ConvencionalRuralNão se aplicaNão se aplicaNão se aplicaIntermediário",Mercado_Receita!$L$2:$L$444)+SUMIF(Mercado_Receita!$S$2:$S$444,"44652B2ConvencionalRuralNão se aplicaNão se aplicaNão se aplicaNão se aplica",Mercado_Receita!$L$2:$L$444)</f>
        <v>3.1970000000000001</v>
      </c>
      <c r="S30" s="12">
        <f>SUMIF(Mercado_Receita!$S$2:$S$444,"44682B2ConvencionalRuralNão se aplicaNão se aplicaNão se aplicaPonta",Mercado_Receita!$L$2:$L$444)+SUMIF(Mercado_Receita!$S$2:$S$444,"44682B2ConvencionalRuralNão se aplicaNão se aplicaNão se aplicaFora ponta",Mercado_Receita!$L$2:$L$444)+SUMIF(Mercado_Receita!$S$2:$S$444,"44682B2ConvencionalRuralNão se aplicaNão se aplicaNão se aplicaIntermediário",Mercado_Receita!$L$2:$L$444)+SUMIF(Mercado_Receita!$S$2:$S$444,"44682B2ConvencionalRuralNão se aplicaNão se aplicaNão se aplicaNão se aplica",Mercado_Receita!$L$2:$L$444)</f>
        <v>3.2269999999999999</v>
      </c>
      <c r="T30" s="12">
        <f>SUMIF(Mercado_Receita!$S$2:$S$444,"44713B2ConvencionalRuralNão se aplicaNão se aplicaNão se aplicaPonta",Mercado_Receita!$L$2:$L$444)+SUMIF(Mercado_Receita!$S$2:$S$444,"44713B2ConvencionalRuralNão se aplicaNão se aplicaNão se aplicaFora ponta",Mercado_Receita!$L$2:$L$444)+SUMIF(Mercado_Receita!$S$2:$S$444,"44713B2ConvencionalRuralNão se aplicaNão se aplicaNão se aplicaIntermediário",Mercado_Receita!$L$2:$L$444)+SUMIF(Mercado_Receita!$S$2:$S$444,"44713B2ConvencionalRuralNão se aplicaNão se aplicaNão se aplicaNão se aplica",Mercado_Receita!$L$2:$L$444)</f>
        <v>3.6150000000000002</v>
      </c>
      <c r="U30" s="12">
        <f t="shared" si="0"/>
        <v>45.472000000000001</v>
      </c>
      <c r="V30" s="12"/>
      <c r="W30" s="12"/>
    </row>
    <row r="31" spans="1:23" ht="11.25" customHeight="1" x14ac:dyDescent="0.25">
      <c r="A31" s="119"/>
      <c r="B31" s="118" t="s">
        <v>49</v>
      </c>
      <c r="C31" s="118" t="s">
        <v>40</v>
      </c>
      <c r="D31" s="118" t="s">
        <v>86</v>
      </c>
      <c r="E31" s="118" t="s">
        <v>25</v>
      </c>
      <c r="F31" s="118" t="s">
        <v>25</v>
      </c>
      <c r="G31" s="12" t="s">
        <v>71</v>
      </c>
      <c r="H31" s="12" t="s">
        <v>70</v>
      </c>
      <c r="I31" s="12">
        <f>SUMIF(Mercado_Receita!$S$2:$S$444,"44378B2BrancaRuralCooperativa de eletrificação ruralNão se aplicaNão se aplicaPonta",Mercado_Receita!$L$2:$L$444)</f>
        <v>0</v>
      </c>
      <c r="J31" s="12">
        <f>SUMIF(Mercado_Receita!$S$2:$S$444,"44409B2BrancaRuralCooperativa de eletrificação ruralNão se aplicaNão se aplicaPonta",Mercado_Receita!$L$2:$L$444)</f>
        <v>0</v>
      </c>
      <c r="K31" s="12">
        <f>SUMIF(Mercado_Receita!$S$2:$S$444,"44440B2BrancaRuralCooperativa de eletrificação ruralNão se aplicaNão se aplicaPonta",Mercado_Receita!$L$2:$L$444)</f>
        <v>0</v>
      </c>
      <c r="L31" s="12">
        <f>SUMIF(Mercado_Receita!$S$2:$S$444,"44470B2BrancaRuralCooperativa de eletrificação ruralNão se aplicaNão se aplicaPonta",Mercado_Receita!$L$2:$L$444)</f>
        <v>0</v>
      </c>
      <c r="M31" s="12">
        <f>SUMIF(Mercado_Receita!$S$2:$S$444,"44501B2BrancaRuralCooperativa de eletrificação ruralNão se aplicaNão se aplicaPonta",Mercado_Receita!$L$2:$L$444)</f>
        <v>0</v>
      </c>
      <c r="N31" s="12">
        <f>SUMIF(Mercado_Receita!$S$2:$S$444,"44531B2BrancaRuralCooperativa de eletrificação ruralNão se aplicaNão se aplicaPonta",Mercado_Receita!$L$2:$L$444)</f>
        <v>0</v>
      </c>
      <c r="O31" s="12">
        <f>SUMIF(Mercado_Receita!$S$2:$S$444,"44562B2BrancaRuralCooperativa de eletrificação ruralNão se aplicaNão se aplicaPonta",Mercado_Receita!$L$2:$L$444)</f>
        <v>0</v>
      </c>
      <c r="P31" s="12">
        <f>SUMIF(Mercado_Receita!$S$2:$S$444,"44593B2BrancaRuralCooperativa de eletrificação ruralNão se aplicaNão se aplicaPonta",Mercado_Receita!$L$2:$L$444)</f>
        <v>0</v>
      </c>
      <c r="Q31" s="12">
        <f>SUMIF(Mercado_Receita!$S$2:$S$444,"44621B2BrancaRuralCooperativa de eletrificação ruralNão se aplicaNão se aplicaPonta",Mercado_Receita!$L$2:$L$444)</f>
        <v>0</v>
      </c>
      <c r="R31" s="12">
        <f>SUMIF(Mercado_Receita!$S$2:$S$444,"44652B2BrancaRuralCooperativa de eletrificação ruralNão se aplicaNão se aplicaPonta",Mercado_Receita!$L$2:$L$444)</f>
        <v>0</v>
      </c>
      <c r="S31" s="12">
        <f>SUMIF(Mercado_Receita!$S$2:$S$444,"44682B2BrancaRuralCooperativa de eletrificação ruralNão se aplicaNão se aplicaPonta",Mercado_Receita!$L$2:$L$444)</f>
        <v>0</v>
      </c>
      <c r="T31" s="12">
        <f>SUMIF(Mercado_Receita!$S$2:$S$444,"44713B2BrancaRuralCooperativa de eletrificação ruralNão se aplicaNão se aplicaPonta",Mercado_Receita!$L$2:$L$444)</f>
        <v>0</v>
      </c>
      <c r="U31" s="12">
        <f t="shared" si="0"/>
        <v>0</v>
      </c>
      <c r="V31" s="12"/>
      <c r="W31" s="12"/>
    </row>
    <row r="32" spans="1:23" ht="11.25" customHeight="1" x14ac:dyDescent="0.25">
      <c r="A32" s="119"/>
      <c r="B32" s="119"/>
      <c r="C32" s="119"/>
      <c r="D32" s="119"/>
      <c r="E32" s="119"/>
      <c r="F32" s="119"/>
      <c r="G32" s="12" t="s">
        <v>83</v>
      </c>
      <c r="H32" s="12" t="s">
        <v>70</v>
      </c>
      <c r="I32" s="12">
        <f>SUMIF(Mercado_Receita!$S$2:$S$444,"44378B2BrancaRuralCooperativa de eletrificação ruralNão se aplicaNão se aplicaIntermediário",Mercado_Receita!$L$2:$L$444)</f>
        <v>0</v>
      </c>
      <c r="J32" s="12">
        <f>SUMIF(Mercado_Receita!$S$2:$S$444,"44409B2BrancaRuralCooperativa de eletrificação ruralNão se aplicaNão se aplicaIntermediário",Mercado_Receita!$L$2:$L$444)</f>
        <v>0</v>
      </c>
      <c r="K32" s="12">
        <f>SUMIF(Mercado_Receita!$S$2:$S$444,"44440B2BrancaRuralCooperativa de eletrificação ruralNão se aplicaNão se aplicaIntermediário",Mercado_Receita!$L$2:$L$444)</f>
        <v>0</v>
      </c>
      <c r="L32" s="12">
        <f>SUMIF(Mercado_Receita!$S$2:$S$444,"44470B2BrancaRuralCooperativa de eletrificação ruralNão se aplicaNão se aplicaIntermediário",Mercado_Receita!$L$2:$L$444)</f>
        <v>0</v>
      </c>
      <c r="M32" s="12">
        <f>SUMIF(Mercado_Receita!$S$2:$S$444,"44501B2BrancaRuralCooperativa de eletrificação ruralNão se aplicaNão se aplicaIntermediário",Mercado_Receita!$L$2:$L$444)</f>
        <v>0</v>
      </c>
      <c r="N32" s="12">
        <f>SUMIF(Mercado_Receita!$S$2:$S$444,"44531B2BrancaRuralCooperativa de eletrificação ruralNão se aplicaNão se aplicaIntermediário",Mercado_Receita!$L$2:$L$444)</f>
        <v>0</v>
      </c>
      <c r="O32" s="12">
        <f>SUMIF(Mercado_Receita!$S$2:$S$444,"44562B2BrancaRuralCooperativa de eletrificação ruralNão se aplicaNão se aplicaIntermediário",Mercado_Receita!$L$2:$L$444)</f>
        <v>0</v>
      </c>
      <c r="P32" s="12">
        <f>SUMIF(Mercado_Receita!$S$2:$S$444,"44593B2BrancaRuralCooperativa de eletrificação ruralNão se aplicaNão se aplicaIntermediário",Mercado_Receita!$L$2:$L$444)</f>
        <v>0</v>
      </c>
      <c r="Q32" s="12">
        <f>SUMIF(Mercado_Receita!$S$2:$S$444,"44621B2BrancaRuralCooperativa de eletrificação ruralNão se aplicaNão se aplicaIntermediário",Mercado_Receita!$L$2:$L$444)</f>
        <v>0</v>
      </c>
      <c r="R32" s="12">
        <f>SUMIF(Mercado_Receita!$S$2:$S$444,"44652B2BrancaRuralCooperativa de eletrificação ruralNão se aplicaNão se aplicaIntermediário",Mercado_Receita!$L$2:$L$444)</f>
        <v>0</v>
      </c>
      <c r="S32" s="12">
        <f>SUMIF(Mercado_Receita!$S$2:$S$444,"44682B2BrancaRuralCooperativa de eletrificação ruralNão se aplicaNão se aplicaIntermediário",Mercado_Receita!$L$2:$L$444)</f>
        <v>0</v>
      </c>
      <c r="T32" s="12">
        <f>SUMIF(Mercado_Receita!$S$2:$S$444,"44713B2BrancaRuralCooperativa de eletrificação ruralNão se aplicaNão se aplicaIntermediário",Mercado_Receita!$L$2:$L$444)</f>
        <v>0</v>
      </c>
      <c r="U32" s="12">
        <f t="shared" si="0"/>
        <v>0</v>
      </c>
      <c r="V32" s="12"/>
      <c r="W32" s="12"/>
    </row>
    <row r="33" spans="1:23" ht="11.25" customHeight="1" x14ac:dyDescent="0.25">
      <c r="A33" s="119"/>
      <c r="B33" s="119"/>
      <c r="C33" s="119"/>
      <c r="D33" s="119"/>
      <c r="E33" s="119"/>
      <c r="F33" s="119"/>
      <c r="G33" s="12" t="s">
        <v>72</v>
      </c>
      <c r="H33" s="12" t="s">
        <v>70</v>
      </c>
      <c r="I33" s="12">
        <f>SUMIF(Mercado_Receita!$S$2:$S$444,"44378B2BrancaRuralCooperativa de eletrificação ruralNão se aplicaNão se aplicaFora ponta",Mercado_Receita!$L$2:$L$444)</f>
        <v>0</v>
      </c>
      <c r="J33" s="12">
        <f>SUMIF(Mercado_Receita!$S$2:$S$444,"44409B2BrancaRuralCooperativa de eletrificação ruralNão se aplicaNão se aplicaFora ponta",Mercado_Receita!$L$2:$L$444)</f>
        <v>0</v>
      </c>
      <c r="K33" s="12">
        <f>SUMIF(Mercado_Receita!$S$2:$S$444,"44440B2BrancaRuralCooperativa de eletrificação ruralNão se aplicaNão se aplicaFora ponta",Mercado_Receita!$L$2:$L$444)</f>
        <v>0</v>
      </c>
      <c r="L33" s="12">
        <f>SUMIF(Mercado_Receita!$S$2:$S$444,"44470B2BrancaRuralCooperativa de eletrificação ruralNão se aplicaNão se aplicaFora ponta",Mercado_Receita!$L$2:$L$444)</f>
        <v>0</v>
      </c>
      <c r="M33" s="12">
        <f>SUMIF(Mercado_Receita!$S$2:$S$444,"44501B2BrancaRuralCooperativa de eletrificação ruralNão se aplicaNão se aplicaFora ponta",Mercado_Receita!$L$2:$L$444)</f>
        <v>0</v>
      </c>
      <c r="N33" s="12">
        <f>SUMIF(Mercado_Receita!$S$2:$S$444,"44531B2BrancaRuralCooperativa de eletrificação ruralNão se aplicaNão se aplicaFora ponta",Mercado_Receita!$L$2:$L$444)</f>
        <v>0</v>
      </c>
      <c r="O33" s="12">
        <f>SUMIF(Mercado_Receita!$S$2:$S$444,"44562B2BrancaRuralCooperativa de eletrificação ruralNão se aplicaNão se aplicaFora ponta",Mercado_Receita!$L$2:$L$444)</f>
        <v>0</v>
      </c>
      <c r="P33" s="12">
        <f>SUMIF(Mercado_Receita!$S$2:$S$444,"44593B2BrancaRuralCooperativa de eletrificação ruralNão se aplicaNão se aplicaFora ponta",Mercado_Receita!$L$2:$L$444)</f>
        <v>0</v>
      </c>
      <c r="Q33" s="12">
        <f>SUMIF(Mercado_Receita!$S$2:$S$444,"44621B2BrancaRuralCooperativa de eletrificação ruralNão se aplicaNão se aplicaFora ponta",Mercado_Receita!$L$2:$L$444)</f>
        <v>0</v>
      </c>
      <c r="R33" s="12">
        <f>SUMIF(Mercado_Receita!$S$2:$S$444,"44652B2BrancaRuralCooperativa de eletrificação ruralNão se aplicaNão se aplicaFora ponta",Mercado_Receita!$L$2:$L$444)</f>
        <v>0</v>
      </c>
      <c r="S33" s="12">
        <f>SUMIF(Mercado_Receita!$S$2:$S$444,"44682B2BrancaRuralCooperativa de eletrificação ruralNão se aplicaNão se aplicaFora ponta",Mercado_Receita!$L$2:$L$444)</f>
        <v>0</v>
      </c>
      <c r="T33" s="12">
        <f>SUMIF(Mercado_Receita!$S$2:$S$444,"44713B2BrancaRuralCooperativa de eletrificação ruralNão se aplicaNão se aplicaFora ponta",Mercado_Receita!$L$2:$L$444)</f>
        <v>0</v>
      </c>
      <c r="U33" s="12">
        <f t="shared" si="0"/>
        <v>0</v>
      </c>
      <c r="V33" s="12"/>
      <c r="W33" s="12"/>
    </row>
    <row r="34" spans="1:23" ht="11.25" customHeight="1" x14ac:dyDescent="0.25">
      <c r="A34" s="119"/>
      <c r="B34" s="13" t="s">
        <v>23</v>
      </c>
      <c r="C34" s="13" t="s">
        <v>40</v>
      </c>
      <c r="D34" s="13" t="s">
        <v>86</v>
      </c>
      <c r="E34" s="13" t="s">
        <v>25</v>
      </c>
      <c r="F34" s="13" t="s">
        <v>25</v>
      </c>
      <c r="G34" s="12" t="s">
        <v>74</v>
      </c>
      <c r="H34" s="12" t="s">
        <v>70</v>
      </c>
      <c r="I34" s="12">
        <f>SUMIF(Mercado_Receita!$S$2:$S$444,"44378B2ConvencionalRuralCooperativa de eletrificação ruralNão se aplicaNão se aplicaPonta",Mercado_Receita!$L$2:$L$444)+SUMIF(Mercado_Receita!$S$2:$S$444,"44378B2ConvencionalRuralCooperativa de eletrificação ruralNão se aplicaNão se aplicaFora ponta",Mercado_Receita!$L$2:$L$444)+SUMIF(Mercado_Receita!$S$2:$S$444,"44378B2ConvencionalRuralCooperativa de eletrificação ruralNão se aplicaNão se aplicaIntermediário",Mercado_Receita!$L$2:$L$444)+SUMIF(Mercado_Receita!$S$2:$S$444,"44378B2ConvencionalRuralCooperativa de eletrificação ruralNão se aplicaNão se aplicaNão se aplica",Mercado_Receita!$L$2:$L$444)</f>
        <v>0</v>
      </c>
      <c r="J34" s="12">
        <f>SUMIF(Mercado_Receita!$S$2:$S$444,"44409B2ConvencionalRuralCooperativa de eletrificação ruralNão se aplicaNão se aplicaPonta",Mercado_Receita!$L$2:$L$444)+SUMIF(Mercado_Receita!$S$2:$S$444,"44409B2ConvencionalRuralCooperativa de eletrificação ruralNão se aplicaNão se aplicaFora ponta",Mercado_Receita!$L$2:$L$444)+SUMIF(Mercado_Receita!$S$2:$S$444,"44409B2ConvencionalRuralCooperativa de eletrificação ruralNão se aplicaNão se aplicaIntermediário",Mercado_Receita!$L$2:$L$444)+SUMIF(Mercado_Receita!$S$2:$S$444,"44409B2ConvencionalRuralCooperativa de eletrificação ruralNão se aplicaNão se aplicaNão se aplica",Mercado_Receita!$L$2:$L$444)</f>
        <v>0</v>
      </c>
      <c r="K34" s="12">
        <f>SUMIF(Mercado_Receita!$S$2:$S$444,"44440B2ConvencionalRuralCooperativa de eletrificação ruralNão se aplicaNão se aplicaPonta",Mercado_Receita!$L$2:$L$444)+SUMIF(Mercado_Receita!$S$2:$S$444,"44440B2ConvencionalRuralCooperativa de eletrificação ruralNão se aplicaNão se aplicaFora ponta",Mercado_Receita!$L$2:$L$444)+SUMIF(Mercado_Receita!$S$2:$S$444,"44440B2ConvencionalRuralCooperativa de eletrificação ruralNão se aplicaNão se aplicaIntermediário",Mercado_Receita!$L$2:$L$444)+SUMIF(Mercado_Receita!$S$2:$S$444,"44440B2ConvencionalRuralCooperativa de eletrificação ruralNão se aplicaNão se aplicaNão se aplica",Mercado_Receita!$L$2:$L$444)</f>
        <v>0</v>
      </c>
      <c r="L34" s="12">
        <f>SUMIF(Mercado_Receita!$S$2:$S$444,"44470B2ConvencionalRuralCooperativa de eletrificação ruralNão se aplicaNão se aplicaPonta",Mercado_Receita!$L$2:$L$444)+SUMIF(Mercado_Receita!$S$2:$S$444,"44470B2ConvencionalRuralCooperativa de eletrificação ruralNão se aplicaNão se aplicaFora ponta",Mercado_Receita!$L$2:$L$444)+SUMIF(Mercado_Receita!$S$2:$S$444,"44470B2ConvencionalRuralCooperativa de eletrificação ruralNão se aplicaNão se aplicaIntermediário",Mercado_Receita!$L$2:$L$444)+SUMIF(Mercado_Receita!$S$2:$S$444,"44470B2ConvencionalRuralCooperativa de eletrificação ruralNão se aplicaNão se aplicaNão se aplica",Mercado_Receita!$L$2:$L$444)</f>
        <v>0</v>
      </c>
      <c r="M34" s="12">
        <f>SUMIF(Mercado_Receita!$S$2:$S$444,"44501B2ConvencionalRuralCooperativa de eletrificação ruralNão se aplicaNão se aplicaPonta",Mercado_Receita!$L$2:$L$444)+SUMIF(Mercado_Receita!$S$2:$S$444,"44501B2ConvencionalRuralCooperativa de eletrificação ruralNão se aplicaNão se aplicaFora ponta",Mercado_Receita!$L$2:$L$444)+SUMIF(Mercado_Receita!$S$2:$S$444,"44501B2ConvencionalRuralCooperativa de eletrificação ruralNão se aplicaNão se aplicaIntermediário",Mercado_Receita!$L$2:$L$444)+SUMIF(Mercado_Receita!$S$2:$S$444,"44501B2ConvencionalRuralCooperativa de eletrificação ruralNão se aplicaNão se aplicaNão se aplica",Mercado_Receita!$L$2:$L$444)</f>
        <v>0</v>
      </c>
      <c r="N34" s="12">
        <f>SUMIF(Mercado_Receita!$S$2:$S$444,"44531B2ConvencionalRuralCooperativa de eletrificação ruralNão se aplicaNão se aplicaPonta",Mercado_Receita!$L$2:$L$444)+SUMIF(Mercado_Receita!$S$2:$S$444,"44531B2ConvencionalRuralCooperativa de eletrificação ruralNão se aplicaNão se aplicaFora ponta",Mercado_Receita!$L$2:$L$444)+SUMIF(Mercado_Receita!$S$2:$S$444,"44531B2ConvencionalRuralCooperativa de eletrificação ruralNão se aplicaNão se aplicaIntermediário",Mercado_Receita!$L$2:$L$444)+SUMIF(Mercado_Receita!$S$2:$S$444,"44531B2ConvencionalRuralCooperativa de eletrificação ruralNão se aplicaNão se aplicaNão se aplica",Mercado_Receita!$L$2:$L$444)</f>
        <v>0</v>
      </c>
      <c r="O34" s="12">
        <f>SUMIF(Mercado_Receita!$S$2:$S$444,"44562B2ConvencionalRuralCooperativa de eletrificação ruralNão se aplicaNão se aplicaPonta",Mercado_Receita!$L$2:$L$444)+SUMIF(Mercado_Receita!$S$2:$S$444,"44562B2ConvencionalRuralCooperativa de eletrificação ruralNão se aplicaNão se aplicaFora ponta",Mercado_Receita!$L$2:$L$444)+SUMIF(Mercado_Receita!$S$2:$S$444,"44562B2ConvencionalRuralCooperativa de eletrificação ruralNão se aplicaNão se aplicaIntermediário",Mercado_Receita!$L$2:$L$444)+SUMIF(Mercado_Receita!$S$2:$S$444,"44562B2ConvencionalRuralCooperativa de eletrificação ruralNão se aplicaNão se aplicaNão se aplica",Mercado_Receita!$L$2:$L$444)</f>
        <v>0</v>
      </c>
      <c r="P34" s="12">
        <f>SUMIF(Mercado_Receita!$S$2:$S$444,"44593B2ConvencionalRuralCooperativa de eletrificação ruralNão se aplicaNão se aplicaPonta",Mercado_Receita!$L$2:$L$444)+SUMIF(Mercado_Receita!$S$2:$S$444,"44593B2ConvencionalRuralCooperativa de eletrificação ruralNão se aplicaNão se aplicaFora ponta",Mercado_Receita!$L$2:$L$444)+SUMIF(Mercado_Receita!$S$2:$S$444,"44593B2ConvencionalRuralCooperativa de eletrificação ruralNão se aplicaNão se aplicaIntermediário",Mercado_Receita!$L$2:$L$444)+SUMIF(Mercado_Receita!$S$2:$S$444,"44593B2ConvencionalRuralCooperativa de eletrificação ruralNão se aplicaNão se aplicaNão se aplica",Mercado_Receita!$L$2:$L$444)</f>
        <v>0</v>
      </c>
      <c r="Q34" s="12">
        <f>SUMIF(Mercado_Receita!$S$2:$S$444,"44621B2ConvencionalRuralCooperativa de eletrificação ruralNão se aplicaNão se aplicaPonta",Mercado_Receita!$L$2:$L$444)+SUMIF(Mercado_Receita!$S$2:$S$444,"44621B2ConvencionalRuralCooperativa de eletrificação ruralNão se aplicaNão se aplicaFora ponta",Mercado_Receita!$L$2:$L$444)+SUMIF(Mercado_Receita!$S$2:$S$444,"44621B2ConvencionalRuralCooperativa de eletrificação ruralNão se aplicaNão se aplicaIntermediário",Mercado_Receita!$L$2:$L$444)+SUMIF(Mercado_Receita!$S$2:$S$444,"44621B2ConvencionalRuralCooperativa de eletrificação ruralNão se aplicaNão se aplicaNão se aplica",Mercado_Receita!$L$2:$L$444)</f>
        <v>0</v>
      </c>
      <c r="R34" s="12">
        <f>SUMIF(Mercado_Receita!$S$2:$S$444,"44652B2ConvencionalRuralCooperativa de eletrificação ruralNão se aplicaNão se aplicaPonta",Mercado_Receita!$L$2:$L$444)+SUMIF(Mercado_Receita!$S$2:$S$444,"44652B2ConvencionalRuralCooperativa de eletrificação ruralNão se aplicaNão se aplicaFora ponta",Mercado_Receita!$L$2:$L$444)+SUMIF(Mercado_Receita!$S$2:$S$444,"44652B2ConvencionalRuralCooperativa de eletrificação ruralNão se aplicaNão se aplicaIntermediário",Mercado_Receita!$L$2:$L$444)+SUMIF(Mercado_Receita!$S$2:$S$444,"44652B2ConvencionalRuralCooperativa de eletrificação ruralNão se aplicaNão se aplicaNão se aplica",Mercado_Receita!$L$2:$L$444)</f>
        <v>0</v>
      </c>
      <c r="S34" s="12">
        <f>SUMIF(Mercado_Receita!$S$2:$S$444,"44682B2ConvencionalRuralCooperativa de eletrificação ruralNão se aplicaNão se aplicaPonta",Mercado_Receita!$L$2:$L$444)+SUMIF(Mercado_Receita!$S$2:$S$444,"44682B2ConvencionalRuralCooperativa de eletrificação ruralNão se aplicaNão se aplicaFora ponta",Mercado_Receita!$L$2:$L$444)+SUMIF(Mercado_Receita!$S$2:$S$444,"44682B2ConvencionalRuralCooperativa de eletrificação ruralNão se aplicaNão se aplicaIntermediário",Mercado_Receita!$L$2:$L$444)+SUMIF(Mercado_Receita!$S$2:$S$444,"44682B2ConvencionalRuralCooperativa de eletrificação ruralNão se aplicaNão se aplicaNão se aplica",Mercado_Receita!$L$2:$L$444)</f>
        <v>0</v>
      </c>
      <c r="T34" s="12">
        <f>SUMIF(Mercado_Receita!$S$2:$S$444,"44713B2ConvencionalRuralCooperativa de eletrificação ruralNão se aplicaNão se aplicaPonta",Mercado_Receita!$L$2:$L$444)+SUMIF(Mercado_Receita!$S$2:$S$444,"44713B2ConvencionalRuralCooperativa de eletrificação ruralNão se aplicaNão se aplicaFora ponta",Mercado_Receita!$L$2:$L$444)+SUMIF(Mercado_Receita!$S$2:$S$444,"44713B2ConvencionalRuralCooperativa de eletrificação ruralNão se aplicaNão se aplicaIntermediário",Mercado_Receita!$L$2:$L$444)+SUMIF(Mercado_Receita!$S$2:$S$444,"44713B2ConvencionalRuralCooperativa de eletrificação ruralNão se aplicaNão se aplicaNão se aplica",Mercado_Receita!$L$2:$L$444)</f>
        <v>0</v>
      </c>
      <c r="U34" s="12">
        <f t="shared" si="0"/>
        <v>0</v>
      </c>
      <c r="V34" s="12"/>
      <c r="W34" s="12"/>
    </row>
    <row r="35" spans="1:23" ht="11.25" customHeight="1" x14ac:dyDescent="0.25">
      <c r="A35" s="119"/>
      <c r="B35" s="118" t="s">
        <v>49</v>
      </c>
      <c r="C35" s="118" t="s">
        <v>40</v>
      </c>
      <c r="D35" s="118" t="s">
        <v>87</v>
      </c>
      <c r="E35" s="118" t="s">
        <v>25</v>
      </c>
      <c r="F35" s="118" t="s">
        <v>25</v>
      </c>
      <c r="G35" s="12" t="s">
        <v>71</v>
      </c>
      <c r="H35" s="12" t="s">
        <v>70</v>
      </c>
      <c r="I35" s="12">
        <f>SUMIF(Mercado_Receita!$S$2:$S$444,"44378B2BrancaRuralServiço público de irrigação ruralNão se aplicaNão se aplicaPonta",Mercado_Receita!$L$2:$L$444)</f>
        <v>0</v>
      </c>
      <c r="J35" s="12">
        <f>SUMIF(Mercado_Receita!$S$2:$S$444,"44409B2BrancaRuralServiço público de irrigação ruralNão se aplicaNão se aplicaPonta",Mercado_Receita!$L$2:$L$444)</f>
        <v>0</v>
      </c>
      <c r="K35" s="12">
        <f>SUMIF(Mercado_Receita!$S$2:$S$444,"44440B2BrancaRuralServiço público de irrigação ruralNão se aplicaNão se aplicaPonta",Mercado_Receita!$L$2:$L$444)</f>
        <v>0</v>
      </c>
      <c r="L35" s="12">
        <f>SUMIF(Mercado_Receita!$S$2:$S$444,"44470B2BrancaRuralServiço público de irrigação ruralNão se aplicaNão se aplicaPonta",Mercado_Receita!$L$2:$L$444)</f>
        <v>0</v>
      </c>
      <c r="M35" s="12">
        <f>SUMIF(Mercado_Receita!$S$2:$S$444,"44501B2BrancaRuralServiço público de irrigação ruralNão se aplicaNão se aplicaPonta",Mercado_Receita!$L$2:$L$444)</f>
        <v>0</v>
      </c>
      <c r="N35" s="12">
        <f>SUMIF(Mercado_Receita!$S$2:$S$444,"44531B2BrancaRuralServiço público de irrigação ruralNão se aplicaNão se aplicaPonta",Mercado_Receita!$L$2:$L$444)</f>
        <v>0</v>
      </c>
      <c r="O35" s="12">
        <f>SUMIF(Mercado_Receita!$S$2:$S$444,"44562B2BrancaRuralServiço público de irrigação ruralNão se aplicaNão se aplicaPonta",Mercado_Receita!$L$2:$L$444)</f>
        <v>0</v>
      </c>
      <c r="P35" s="12">
        <f>SUMIF(Mercado_Receita!$S$2:$S$444,"44593B2BrancaRuralServiço público de irrigação ruralNão se aplicaNão se aplicaPonta",Mercado_Receita!$L$2:$L$444)</f>
        <v>0</v>
      </c>
      <c r="Q35" s="12">
        <f>SUMIF(Mercado_Receita!$S$2:$S$444,"44621B2BrancaRuralServiço público de irrigação ruralNão se aplicaNão se aplicaPonta",Mercado_Receita!$L$2:$L$444)</f>
        <v>0</v>
      </c>
      <c r="R35" s="12">
        <f>SUMIF(Mercado_Receita!$S$2:$S$444,"44652B2BrancaRuralServiço público de irrigação ruralNão se aplicaNão se aplicaPonta",Mercado_Receita!$L$2:$L$444)</f>
        <v>0</v>
      </c>
      <c r="S35" s="12">
        <f>SUMIF(Mercado_Receita!$S$2:$S$444,"44682B2BrancaRuralServiço público de irrigação ruralNão se aplicaNão se aplicaPonta",Mercado_Receita!$L$2:$L$444)</f>
        <v>0</v>
      </c>
      <c r="T35" s="12">
        <f>SUMIF(Mercado_Receita!$S$2:$S$444,"44713B2BrancaRuralServiço público de irrigação ruralNão se aplicaNão se aplicaPonta",Mercado_Receita!$L$2:$L$444)</f>
        <v>0</v>
      </c>
      <c r="U35" s="12">
        <f t="shared" si="0"/>
        <v>0</v>
      </c>
      <c r="V35" s="12"/>
      <c r="W35" s="12"/>
    </row>
    <row r="36" spans="1:23" ht="11.25" customHeight="1" x14ac:dyDescent="0.25">
      <c r="A36" s="119"/>
      <c r="B36" s="119"/>
      <c r="C36" s="119"/>
      <c r="D36" s="119"/>
      <c r="E36" s="119"/>
      <c r="F36" s="119"/>
      <c r="G36" s="12" t="s">
        <v>83</v>
      </c>
      <c r="H36" s="12" t="s">
        <v>70</v>
      </c>
      <c r="I36" s="12">
        <f>SUMIF(Mercado_Receita!$S$2:$S$444,"44378B2BrancaRuralServiço público de irrigação ruralNão se aplicaNão se aplicaIntermediário",Mercado_Receita!$L$2:$L$444)</f>
        <v>0</v>
      </c>
      <c r="J36" s="12">
        <f>SUMIF(Mercado_Receita!$S$2:$S$444,"44409B2BrancaRuralServiço público de irrigação ruralNão se aplicaNão se aplicaIntermediário",Mercado_Receita!$L$2:$L$444)</f>
        <v>0</v>
      </c>
      <c r="K36" s="12">
        <f>SUMIF(Mercado_Receita!$S$2:$S$444,"44440B2BrancaRuralServiço público de irrigação ruralNão se aplicaNão se aplicaIntermediário",Mercado_Receita!$L$2:$L$444)</f>
        <v>0</v>
      </c>
      <c r="L36" s="12">
        <f>SUMIF(Mercado_Receita!$S$2:$S$444,"44470B2BrancaRuralServiço público de irrigação ruralNão se aplicaNão se aplicaIntermediário",Mercado_Receita!$L$2:$L$444)</f>
        <v>0</v>
      </c>
      <c r="M36" s="12">
        <f>SUMIF(Mercado_Receita!$S$2:$S$444,"44501B2BrancaRuralServiço público de irrigação ruralNão se aplicaNão se aplicaIntermediário",Mercado_Receita!$L$2:$L$444)</f>
        <v>0</v>
      </c>
      <c r="N36" s="12">
        <f>SUMIF(Mercado_Receita!$S$2:$S$444,"44531B2BrancaRuralServiço público de irrigação ruralNão se aplicaNão se aplicaIntermediário",Mercado_Receita!$L$2:$L$444)</f>
        <v>0</v>
      </c>
      <c r="O36" s="12">
        <f>SUMIF(Mercado_Receita!$S$2:$S$444,"44562B2BrancaRuralServiço público de irrigação ruralNão se aplicaNão se aplicaIntermediário",Mercado_Receita!$L$2:$L$444)</f>
        <v>0</v>
      </c>
      <c r="P36" s="12">
        <f>SUMIF(Mercado_Receita!$S$2:$S$444,"44593B2BrancaRuralServiço público de irrigação ruralNão se aplicaNão se aplicaIntermediário",Mercado_Receita!$L$2:$L$444)</f>
        <v>0</v>
      </c>
      <c r="Q36" s="12">
        <f>SUMIF(Mercado_Receita!$S$2:$S$444,"44621B2BrancaRuralServiço público de irrigação ruralNão se aplicaNão se aplicaIntermediário",Mercado_Receita!$L$2:$L$444)</f>
        <v>0</v>
      </c>
      <c r="R36" s="12">
        <f>SUMIF(Mercado_Receita!$S$2:$S$444,"44652B2BrancaRuralServiço público de irrigação ruralNão se aplicaNão se aplicaIntermediário",Mercado_Receita!$L$2:$L$444)</f>
        <v>0</v>
      </c>
      <c r="S36" s="12">
        <f>SUMIF(Mercado_Receita!$S$2:$S$444,"44682B2BrancaRuralServiço público de irrigação ruralNão se aplicaNão se aplicaIntermediário",Mercado_Receita!$L$2:$L$444)</f>
        <v>0</v>
      </c>
      <c r="T36" s="12">
        <f>SUMIF(Mercado_Receita!$S$2:$S$444,"44713B2BrancaRuralServiço público de irrigação ruralNão se aplicaNão se aplicaIntermediário",Mercado_Receita!$L$2:$L$444)</f>
        <v>0</v>
      </c>
      <c r="U36" s="12">
        <f t="shared" si="0"/>
        <v>0</v>
      </c>
      <c r="V36" s="12"/>
      <c r="W36" s="12"/>
    </row>
    <row r="37" spans="1:23" ht="11.25" customHeight="1" x14ac:dyDescent="0.25">
      <c r="A37" s="119"/>
      <c r="B37" s="119"/>
      <c r="C37" s="119"/>
      <c r="D37" s="119"/>
      <c r="E37" s="119"/>
      <c r="F37" s="119"/>
      <c r="G37" s="12" t="s">
        <v>72</v>
      </c>
      <c r="H37" s="12" t="s">
        <v>70</v>
      </c>
      <c r="I37" s="12">
        <f>SUMIF(Mercado_Receita!$S$2:$S$444,"44378B2BrancaRuralServiço público de irrigação ruralNão se aplicaNão se aplicaFora ponta",Mercado_Receita!$L$2:$L$444)</f>
        <v>0</v>
      </c>
      <c r="J37" s="12">
        <f>SUMIF(Mercado_Receita!$S$2:$S$444,"44409B2BrancaRuralServiço público de irrigação ruralNão se aplicaNão se aplicaFora ponta",Mercado_Receita!$L$2:$L$444)</f>
        <v>0</v>
      </c>
      <c r="K37" s="12">
        <f>SUMIF(Mercado_Receita!$S$2:$S$444,"44440B2BrancaRuralServiço público de irrigação ruralNão se aplicaNão se aplicaFora ponta",Mercado_Receita!$L$2:$L$444)</f>
        <v>0</v>
      </c>
      <c r="L37" s="12">
        <f>SUMIF(Mercado_Receita!$S$2:$S$444,"44470B2BrancaRuralServiço público de irrigação ruralNão se aplicaNão se aplicaFora ponta",Mercado_Receita!$L$2:$L$444)</f>
        <v>0</v>
      </c>
      <c r="M37" s="12">
        <f>SUMIF(Mercado_Receita!$S$2:$S$444,"44501B2BrancaRuralServiço público de irrigação ruralNão se aplicaNão se aplicaFora ponta",Mercado_Receita!$L$2:$L$444)</f>
        <v>0</v>
      </c>
      <c r="N37" s="12">
        <f>SUMIF(Mercado_Receita!$S$2:$S$444,"44531B2BrancaRuralServiço público de irrigação ruralNão se aplicaNão se aplicaFora ponta",Mercado_Receita!$L$2:$L$444)</f>
        <v>0</v>
      </c>
      <c r="O37" s="12">
        <f>SUMIF(Mercado_Receita!$S$2:$S$444,"44562B2BrancaRuralServiço público de irrigação ruralNão se aplicaNão se aplicaFora ponta",Mercado_Receita!$L$2:$L$444)</f>
        <v>0</v>
      </c>
      <c r="P37" s="12">
        <f>SUMIF(Mercado_Receita!$S$2:$S$444,"44593B2BrancaRuralServiço público de irrigação ruralNão se aplicaNão se aplicaFora ponta",Mercado_Receita!$L$2:$L$444)</f>
        <v>0</v>
      </c>
      <c r="Q37" s="12">
        <f>SUMIF(Mercado_Receita!$S$2:$S$444,"44621B2BrancaRuralServiço público de irrigação ruralNão se aplicaNão se aplicaFora ponta",Mercado_Receita!$L$2:$L$444)</f>
        <v>0</v>
      </c>
      <c r="R37" s="12">
        <f>SUMIF(Mercado_Receita!$S$2:$S$444,"44652B2BrancaRuralServiço público de irrigação ruralNão se aplicaNão se aplicaFora ponta",Mercado_Receita!$L$2:$L$444)</f>
        <v>0</v>
      </c>
      <c r="S37" s="12">
        <f>SUMIF(Mercado_Receita!$S$2:$S$444,"44682B2BrancaRuralServiço público de irrigação ruralNão se aplicaNão se aplicaFora ponta",Mercado_Receita!$L$2:$L$444)</f>
        <v>0</v>
      </c>
      <c r="T37" s="12">
        <f>SUMIF(Mercado_Receita!$S$2:$S$444,"44713B2BrancaRuralServiço público de irrigação ruralNão se aplicaNão se aplicaFora ponta",Mercado_Receita!$L$2:$L$444)</f>
        <v>0</v>
      </c>
      <c r="U37" s="12">
        <f t="shared" si="0"/>
        <v>0</v>
      </c>
      <c r="V37" s="12"/>
      <c r="W37" s="12"/>
    </row>
    <row r="38" spans="1:23" ht="11.25" customHeight="1" x14ac:dyDescent="0.25">
      <c r="A38" s="119"/>
      <c r="B38" s="13" t="s">
        <v>23</v>
      </c>
      <c r="C38" s="13" t="s">
        <v>40</v>
      </c>
      <c r="D38" s="13" t="s">
        <v>87</v>
      </c>
      <c r="E38" s="13" t="s">
        <v>25</v>
      </c>
      <c r="F38" s="13" t="s">
        <v>25</v>
      </c>
      <c r="G38" s="12" t="s">
        <v>74</v>
      </c>
      <c r="H38" s="12" t="s">
        <v>70</v>
      </c>
      <c r="I38" s="12">
        <f>SUMIF(Mercado_Receita!$S$2:$S$444,"44378B2ConvencionalRuralServiço público de irrigação ruralNão se aplicaNão se aplicaPonta",Mercado_Receita!$L$2:$L$444)+SUMIF(Mercado_Receita!$S$2:$S$444,"44378B2ConvencionalRuralServiço público de irrigação ruralNão se aplicaNão se aplicaFora ponta",Mercado_Receita!$L$2:$L$444)+SUMIF(Mercado_Receita!$S$2:$S$444,"44378B2ConvencionalRuralServiço público de irrigação ruralNão se aplicaNão se aplicaIntermediário",Mercado_Receita!$L$2:$L$444)+SUMIF(Mercado_Receita!$S$2:$S$444,"44378B2ConvencionalRuralServiço público de irrigação ruralNão se aplicaNão se aplicaNão se aplica",Mercado_Receita!$L$2:$L$444)</f>
        <v>0</v>
      </c>
      <c r="J38" s="12">
        <f>SUMIF(Mercado_Receita!$S$2:$S$444,"44409B2ConvencionalRuralServiço público de irrigação ruralNão se aplicaNão se aplicaPonta",Mercado_Receita!$L$2:$L$444)+SUMIF(Mercado_Receita!$S$2:$S$444,"44409B2ConvencionalRuralServiço público de irrigação ruralNão se aplicaNão se aplicaFora ponta",Mercado_Receita!$L$2:$L$444)+SUMIF(Mercado_Receita!$S$2:$S$444,"44409B2ConvencionalRuralServiço público de irrigação ruralNão se aplicaNão se aplicaIntermediário",Mercado_Receita!$L$2:$L$444)+SUMIF(Mercado_Receita!$S$2:$S$444,"44409B2ConvencionalRuralServiço público de irrigação ruralNão se aplicaNão se aplicaNão se aplica",Mercado_Receita!$L$2:$L$444)</f>
        <v>0</v>
      </c>
      <c r="K38" s="12">
        <f>SUMIF(Mercado_Receita!$S$2:$S$444,"44440B2ConvencionalRuralServiço público de irrigação ruralNão se aplicaNão se aplicaPonta",Mercado_Receita!$L$2:$L$444)+SUMIF(Mercado_Receita!$S$2:$S$444,"44440B2ConvencionalRuralServiço público de irrigação ruralNão se aplicaNão se aplicaFora ponta",Mercado_Receita!$L$2:$L$444)+SUMIF(Mercado_Receita!$S$2:$S$444,"44440B2ConvencionalRuralServiço público de irrigação ruralNão se aplicaNão se aplicaIntermediário",Mercado_Receita!$L$2:$L$444)+SUMIF(Mercado_Receita!$S$2:$S$444,"44440B2ConvencionalRuralServiço público de irrigação ruralNão se aplicaNão se aplicaNão se aplica",Mercado_Receita!$L$2:$L$444)</f>
        <v>0</v>
      </c>
      <c r="L38" s="12">
        <f>SUMIF(Mercado_Receita!$S$2:$S$444,"44470B2ConvencionalRuralServiço público de irrigação ruralNão se aplicaNão se aplicaPonta",Mercado_Receita!$L$2:$L$444)+SUMIF(Mercado_Receita!$S$2:$S$444,"44470B2ConvencionalRuralServiço público de irrigação ruralNão se aplicaNão se aplicaFora ponta",Mercado_Receita!$L$2:$L$444)+SUMIF(Mercado_Receita!$S$2:$S$444,"44470B2ConvencionalRuralServiço público de irrigação ruralNão se aplicaNão se aplicaIntermediário",Mercado_Receita!$L$2:$L$444)+SUMIF(Mercado_Receita!$S$2:$S$444,"44470B2ConvencionalRuralServiço público de irrigação ruralNão se aplicaNão se aplicaNão se aplica",Mercado_Receita!$L$2:$L$444)</f>
        <v>0</v>
      </c>
      <c r="M38" s="12">
        <f>SUMIF(Mercado_Receita!$S$2:$S$444,"44501B2ConvencionalRuralServiço público de irrigação ruralNão se aplicaNão se aplicaPonta",Mercado_Receita!$L$2:$L$444)+SUMIF(Mercado_Receita!$S$2:$S$444,"44501B2ConvencionalRuralServiço público de irrigação ruralNão se aplicaNão se aplicaFora ponta",Mercado_Receita!$L$2:$L$444)+SUMIF(Mercado_Receita!$S$2:$S$444,"44501B2ConvencionalRuralServiço público de irrigação ruralNão se aplicaNão se aplicaIntermediário",Mercado_Receita!$L$2:$L$444)+SUMIF(Mercado_Receita!$S$2:$S$444,"44501B2ConvencionalRuralServiço público de irrigação ruralNão se aplicaNão se aplicaNão se aplica",Mercado_Receita!$L$2:$L$444)</f>
        <v>0</v>
      </c>
      <c r="N38" s="12">
        <f>SUMIF(Mercado_Receita!$S$2:$S$444,"44531B2ConvencionalRuralServiço público de irrigação ruralNão se aplicaNão se aplicaPonta",Mercado_Receita!$L$2:$L$444)+SUMIF(Mercado_Receita!$S$2:$S$444,"44531B2ConvencionalRuralServiço público de irrigação ruralNão se aplicaNão se aplicaFora ponta",Mercado_Receita!$L$2:$L$444)+SUMIF(Mercado_Receita!$S$2:$S$444,"44531B2ConvencionalRuralServiço público de irrigação ruralNão se aplicaNão se aplicaIntermediário",Mercado_Receita!$L$2:$L$444)+SUMIF(Mercado_Receita!$S$2:$S$444,"44531B2ConvencionalRuralServiço público de irrigação ruralNão se aplicaNão se aplicaNão se aplica",Mercado_Receita!$L$2:$L$444)</f>
        <v>0</v>
      </c>
      <c r="O38" s="12">
        <f>SUMIF(Mercado_Receita!$S$2:$S$444,"44562B2ConvencionalRuralServiço público de irrigação ruralNão se aplicaNão se aplicaPonta",Mercado_Receita!$L$2:$L$444)+SUMIF(Mercado_Receita!$S$2:$S$444,"44562B2ConvencionalRuralServiço público de irrigação ruralNão se aplicaNão se aplicaFora ponta",Mercado_Receita!$L$2:$L$444)+SUMIF(Mercado_Receita!$S$2:$S$444,"44562B2ConvencionalRuralServiço público de irrigação ruralNão se aplicaNão se aplicaIntermediário",Mercado_Receita!$L$2:$L$444)+SUMIF(Mercado_Receita!$S$2:$S$444,"44562B2ConvencionalRuralServiço público de irrigação ruralNão se aplicaNão se aplicaNão se aplica",Mercado_Receita!$L$2:$L$444)</f>
        <v>0</v>
      </c>
      <c r="P38" s="12">
        <f>SUMIF(Mercado_Receita!$S$2:$S$444,"44593B2ConvencionalRuralServiço público de irrigação ruralNão se aplicaNão se aplicaPonta",Mercado_Receita!$L$2:$L$444)+SUMIF(Mercado_Receita!$S$2:$S$444,"44593B2ConvencionalRuralServiço público de irrigação ruralNão se aplicaNão se aplicaFora ponta",Mercado_Receita!$L$2:$L$444)+SUMIF(Mercado_Receita!$S$2:$S$444,"44593B2ConvencionalRuralServiço público de irrigação ruralNão se aplicaNão se aplicaIntermediário",Mercado_Receita!$L$2:$L$444)+SUMIF(Mercado_Receita!$S$2:$S$444,"44593B2ConvencionalRuralServiço público de irrigação ruralNão se aplicaNão se aplicaNão se aplica",Mercado_Receita!$L$2:$L$444)</f>
        <v>0</v>
      </c>
      <c r="Q38" s="12">
        <f>SUMIF(Mercado_Receita!$S$2:$S$444,"44621B2ConvencionalRuralServiço público de irrigação ruralNão se aplicaNão se aplicaPonta",Mercado_Receita!$L$2:$L$444)+SUMIF(Mercado_Receita!$S$2:$S$444,"44621B2ConvencionalRuralServiço público de irrigação ruralNão se aplicaNão se aplicaFora ponta",Mercado_Receita!$L$2:$L$444)+SUMIF(Mercado_Receita!$S$2:$S$444,"44621B2ConvencionalRuralServiço público de irrigação ruralNão se aplicaNão se aplicaIntermediário",Mercado_Receita!$L$2:$L$444)+SUMIF(Mercado_Receita!$S$2:$S$444,"44621B2ConvencionalRuralServiço público de irrigação ruralNão se aplicaNão se aplicaNão se aplica",Mercado_Receita!$L$2:$L$444)</f>
        <v>0</v>
      </c>
      <c r="R38" s="12">
        <f>SUMIF(Mercado_Receita!$S$2:$S$444,"44652B2ConvencionalRuralServiço público de irrigação ruralNão se aplicaNão se aplicaPonta",Mercado_Receita!$L$2:$L$444)+SUMIF(Mercado_Receita!$S$2:$S$444,"44652B2ConvencionalRuralServiço público de irrigação ruralNão se aplicaNão se aplicaFora ponta",Mercado_Receita!$L$2:$L$444)+SUMIF(Mercado_Receita!$S$2:$S$444,"44652B2ConvencionalRuralServiço público de irrigação ruralNão se aplicaNão se aplicaIntermediário",Mercado_Receita!$L$2:$L$444)+SUMIF(Mercado_Receita!$S$2:$S$444,"44652B2ConvencionalRuralServiço público de irrigação ruralNão se aplicaNão se aplicaNão se aplica",Mercado_Receita!$L$2:$L$444)</f>
        <v>0</v>
      </c>
      <c r="S38" s="12">
        <f>SUMIF(Mercado_Receita!$S$2:$S$444,"44682B2ConvencionalRuralServiço público de irrigação ruralNão se aplicaNão se aplicaPonta",Mercado_Receita!$L$2:$L$444)+SUMIF(Mercado_Receita!$S$2:$S$444,"44682B2ConvencionalRuralServiço público de irrigação ruralNão se aplicaNão se aplicaFora ponta",Mercado_Receita!$L$2:$L$444)+SUMIF(Mercado_Receita!$S$2:$S$444,"44682B2ConvencionalRuralServiço público de irrigação ruralNão se aplicaNão se aplicaIntermediário",Mercado_Receita!$L$2:$L$444)+SUMIF(Mercado_Receita!$S$2:$S$444,"44682B2ConvencionalRuralServiço público de irrigação ruralNão se aplicaNão se aplicaNão se aplica",Mercado_Receita!$L$2:$L$444)</f>
        <v>0</v>
      </c>
      <c r="T38" s="12">
        <f>SUMIF(Mercado_Receita!$S$2:$S$444,"44713B2ConvencionalRuralServiço público de irrigação ruralNão se aplicaNão se aplicaPonta",Mercado_Receita!$L$2:$L$444)+SUMIF(Mercado_Receita!$S$2:$S$444,"44713B2ConvencionalRuralServiço público de irrigação ruralNão se aplicaNão se aplicaFora ponta",Mercado_Receita!$L$2:$L$444)+SUMIF(Mercado_Receita!$S$2:$S$444,"44713B2ConvencionalRuralServiço público de irrigação ruralNão se aplicaNão se aplicaIntermediário",Mercado_Receita!$L$2:$L$444)+SUMIF(Mercado_Receita!$S$2:$S$444,"44713B2ConvencionalRuralServiço público de irrigação ruralNão se aplicaNão se aplicaNão se aplica",Mercado_Receita!$L$2:$L$444)</f>
        <v>0</v>
      </c>
      <c r="U38" s="12">
        <f t="shared" si="0"/>
        <v>0</v>
      </c>
      <c r="V38" s="12"/>
      <c r="W38" s="12"/>
    </row>
    <row r="39" spans="1:23" ht="11.25" customHeight="1" x14ac:dyDescent="0.25">
      <c r="A39" s="119"/>
      <c r="B39" s="118" t="s">
        <v>85</v>
      </c>
      <c r="C39" s="118" t="s">
        <v>40</v>
      </c>
      <c r="D39" s="13" t="s">
        <v>25</v>
      </c>
      <c r="E39" s="13" t="s">
        <v>25</v>
      </c>
      <c r="F39" s="13" t="s">
        <v>25</v>
      </c>
      <c r="G39" s="12" t="s">
        <v>74</v>
      </c>
      <c r="H39" s="12" t="s">
        <v>70</v>
      </c>
      <c r="I39" s="12">
        <f>SUMIF(Mercado_Receita!$S$2:$S$444,"44378B2Convencional pré-pagamentoRuralNão se aplicaNão se aplicaNão se aplicaPonta",Mercado_Receita!$L$2:$L$444)+SUMIF(Mercado_Receita!$S$2:$S$444,"44378B2Convencional pré-pagamentoRuralNão se aplicaNão se aplicaNão se aplicaFora ponta",Mercado_Receita!$L$2:$L$444)+SUMIF(Mercado_Receita!$S$2:$S$444,"44378B2Convencional pré-pagamentoRuralNão se aplicaNão se aplicaNão se aplicaIntermediário",Mercado_Receita!$L$2:$L$444)+SUMIF(Mercado_Receita!$S$2:$S$444,"44378B2Convencional pré-pagamentoRuralNão se aplicaNão se aplicaNão se aplicaNão se aplica",Mercado_Receita!$L$2:$L$444)</f>
        <v>0</v>
      </c>
      <c r="J39" s="12">
        <f>SUMIF(Mercado_Receita!$S$2:$S$444,"44409B2Convencional pré-pagamentoRuralNão se aplicaNão se aplicaNão se aplicaPonta",Mercado_Receita!$L$2:$L$444)+SUMIF(Mercado_Receita!$S$2:$S$444,"44409B2Convencional pré-pagamentoRuralNão se aplicaNão se aplicaNão se aplicaFora ponta",Mercado_Receita!$L$2:$L$444)+SUMIF(Mercado_Receita!$S$2:$S$444,"44409B2Convencional pré-pagamentoRuralNão se aplicaNão se aplicaNão se aplicaIntermediário",Mercado_Receita!$L$2:$L$444)+SUMIF(Mercado_Receita!$S$2:$S$444,"44409B2Convencional pré-pagamentoRuralNão se aplicaNão se aplicaNão se aplicaNão se aplica",Mercado_Receita!$L$2:$L$444)</f>
        <v>0</v>
      </c>
      <c r="K39" s="12">
        <f>SUMIF(Mercado_Receita!$S$2:$S$444,"44440B2Convencional pré-pagamentoRuralNão se aplicaNão se aplicaNão se aplicaPonta",Mercado_Receita!$L$2:$L$444)+SUMIF(Mercado_Receita!$S$2:$S$444,"44440B2Convencional pré-pagamentoRuralNão se aplicaNão se aplicaNão se aplicaFora ponta",Mercado_Receita!$L$2:$L$444)+SUMIF(Mercado_Receita!$S$2:$S$444,"44440B2Convencional pré-pagamentoRuralNão se aplicaNão se aplicaNão se aplicaIntermediário",Mercado_Receita!$L$2:$L$444)+SUMIF(Mercado_Receita!$S$2:$S$444,"44440B2Convencional pré-pagamentoRuralNão se aplicaNão se aplicaNão se aplicaNão se aplica",Mercado_Receita!$L$2:$L$444)</f>
        <v>0</v>
      </c>
      <c r="L39" s="12">
        <f>SUMIF(Mercado_Receita!$S$2:$S$444,"44470B2Convencional pré-pagamentoRuralNão se aplicaNão se aplicaNão se aplicaPonta",Mercado_Receita!$L$2:$L$444)+SUMIF(Mercado_Receita!$S$2:$S$444,"44470B2Convencional pré-pagamentoRuralNão se aplicaNão se aplicaNão se aplicaFora ponta",Mercado_Receita!$L$2:$L$444)+SUMIF(Mercado_Receita!$S$2:$S$444,"44470B2Convencional pré-pagamentoRuralNão se aplicaNão se aplicaNão se aplicaIntermediário",Mercado_Receita!$L$2:$L$444)+SUMIF(Mercado_Receita!$S$2:$S$444,"44470B2Convencional pré-pagamentoRuralNão se aplicaNão se aplicaNão se aplicaNão se aplica",Mercado_Receita!$L$2:$L$444)</f>
        <v>0</v>
      </c>
      <c r="M39" s="12">
        <f>SUMIF(Mercado_Receita!$S$2:$S$444,"44501B2Convencional pré-pagamentoRuralNão se aplicaNão se aplicaNão se aplicaPonta",Mercado_Receita!$L$2:$L$444)+SUMIF(Mercado_Receita!$S$2:$S$444,"44501B2Convencional pré-pagamentoRuralNão se aplicaNão se aplicaNão se aplicaFora ponta",Mercado_Receita!$L$2:$L$444)+SUMIF(Mercado_Receita!$S$2:$S$444,"44501B2Convencional pré-pagamentoRuralNão se aplicaNão se aplicaNão se aplicaIntermediário",Mercado_Receita!$L$2:$L$444)+SUMIF(Mercado_Receita!$S$2:$S$444,"44501B2Convencional pré-pagamentoRuralNão se aplicaNão se aplicaNão se aplicaNão se aplica",Mercado_Receita!$L$2:$L$444)</f>
        <v>0</v>
      </c>
      <c r="N39" s="12">
        <f>SUMIF(Mercado_Receita!$S$2:$S$444,"44531B2Convencional pré-pagamentoRuralNão se aplicaNão se aplicaNão se aplicaPonta",Mercado_Receita!$L$2:$L$444)+SUMIF(Mercado_Receita!$S$2:$S$444,"44531B2Convencional pré-pagamentoRuralNão se aplicaNão se aplicaNão se aplicaFora ponta",Mercado_Receita!$L$2:$L$444)+SUMIF(Mercado_Receita!$S$2:$S$444,"44531B2Convencional pré-pagamentoRuralNão se aplicaNão se aplicaNão se aplicaIntermediário",Mercado_Receita!$L$2:$L$444)+SUMIF(Mercado_Receita!$S$2:$S$444,"44531B2Convencional pré-pagamentoRuralNão se aplicaNão se aplicaNão se aplicaNão se aplica",Mercado_Receita!$L$2:$L$444)</f>
        <v>0</v>
      </c>
      <c r="O39" s="12">
        <f>SUMIF(Mercado_Receita!$S$2:$S$444,"44562B2Convencional pré-pagamentoRuralNão se aplicaNão se aplicaNão se aplicaPonta",Mercado_Receita!$L$2:$L$444)+SUMIF(Mercado_Receita!$S$2:$S$444,"44562B2Convencional pré-pagamentoRuralNão se aplicaNão se aplicaNão se aplicaFora ponta",Mercado_Receita!$L$2:$L$444)+SUMIF(Mercado_Receita!$S$2:$S$444,"44562B2Convencional pré-pagamentoRuralNão se aplicaNão se aplicaNão se aplicaIntermediário",Mercado_Receita!$L$2:$L$444)+SUMIF(Mercado_Receita!$S$2:$S$444,"44562B2Convencional pré-pagamentoRuralNão se aplicaNão se aplicaNão se aplicaNão se aplica",Mercado_Receita!$L$2:$L$444)</f>
        <v>0</v>
      </c>
      <c r="P39" s="12">
        <f>SUMIF(Mercado_Receita!$S$2:$S$444,"44593B2Convencional pré-pagamentoRuralNão se aplicaNão se aplicaNão se aplicaPonta",Mercado_Receita!$L$2:$L$444)+SUMIF(Mercado_Receita!$S$2:$S$444,"44593B2Convencional pré-pagamentoRuralNão se aplicaNão se aplicaNão se aplicaFora ponta",Mercado_Receita!$L$2:$L$444)+SUMIF(Mercado_Receita!$S$2:$S$444,"44593B2Convencional pré-pagamentoRuralNão se aplicaNão se aplicaNão se aplicaIntermediário",Mercado_Receita!$L$2:$L$444)+SUMIF(Mercado_Receita!$S$2:$S$444,"44593B2Convencional pré-pagamentoRuralNão se aplicaNão se aplicaNão se aplicaNão se aplica",Mercado_Receita!$L$2:$L$444)</f>
        <v>0</v>
      </c>
      <c r="Q39" s="12">
        <f>SUMIF(Mercado_Receita!$S$2:$S$444,"44621B2Convencional pré-pagamentoRuralNão se aplicaNão se aplicaNão se aplicaPonta",Mercado_Receita!$L$2:$L$444)+SUMIF(Mercado_Receita!$S$2:$S$444,"44621B2Convencional pré-pagamentoRuralNão se aplicaNão se aplicaNão se aplicaFora ponta",Mercado_Receita!$L$2:$L$444)+SUMIF(Mercado_Receita!$S$2:$S$444,"44621B2Convencional pré-pagamentoRuralNão se aplicaNão se aplicaNão se aplicaIntermediário",Mercado_Receita!$L$2:$L$444)+SUMIF(Mercado_Receita!$S$2:$S$444,"44621B2Convencional pré-pagamentoRuralNão se aplicaNão se aplicaNão se aplicaNão se aplica",Mercado_Receita!$L$2:$L$444)</f>
        <v>0</v>
      </c>
      <c r="R39" s="12">
        <f>SUMIF(Mercado_Receita!$S$2:$S$444,"44652B2Convencional pré-pagamentoRuralNão se aplicaNão se aplicaNão se aplicaPonta",Mercado_Receita!$L$2:$L$444)+SUMIF(Mercado_Receita!$S$2:$S$444,"44652B2Convencional pré-pagamentoRuralNão se aplicaNão se aplicaNão se aplicaFora ponta",Mercado_Receita!$L$2:$L$444)+SUMIF(Mercado_Receita!$S$2:$S$444,"44652B2Convencional pré-pagamentoRuralNão se aplicaNão se aplicaNão se aplicaIntermediário",Mercado_Receita!$L$2:$L$444)+SUMIF(Mercado_Receita!$S$2:$S$444,"44652B2Convencional pré-pagamentoRuralNão se aplicaNão se aplicaNão se aplicaNão se aplica",Mercado_Receita!$L$2:$L$444)</f>
        <v>0</v>
      </c>
      <c r="S39" s="12">
        <f>SUMIF(Mercado_Receita!$S$2:$S$444,"44682B2Convencional pré-pagamentoRuralNão se aplicaNão se aplicaNão se aplicaPonta",Mercado_Receita!$L$2:$L$444)+SUMIF(Mercado_Receita!$S$2:$S$444,"44682B2Convencional pré-pagamentoRuralNão se aplicaNão se aplicaNão se aplicaFora ponta",Mercado_Receita!$L$2:$L$444)+SUMIF(Mercado_Receita!$S$2:$S$444,"44682B2Convencional pré-pagamentoRuralNão se aplicaNão se aplicaNão se aplicaIntermediário",Mercado_Receita!$L$2:$L$444)+SUMIF(Mercado_Receita!$S$2:$S$444,"44682B2Convencional pré-pagamentoRuralNão se aplicaNão se aplicaNão se aplicaNão se aplica",Mercado_Receita!$L$2:$L$444)</f>
        <v>0</v>
      </c>
      <c r="T39" s="12">
        <f>SUMIF(Mercado_Receita!$S$2:$S$444,"44713B2Convencional pré-pagamentoRuralNão se aplicaNão se aplicaNão se aplicaPonta",Mercado_Receita!$L$2:$L$444)+SUMIF(Mercado_Receita!$S$2:$S$444,"44713B2Convencional pré-pagamentoRuralNão se aplicaNão se aplicaNão se aplicaFora ponta",Mercado_Receita!$L$2:$L$444)+SUMIF(Mercado_Receita!$S$2:$S$444,"44713B2Convencional pré-pagamentoRuralNão se aplicaNão se aplicaNão se aplicaIntermediário",Mercado_Receita!$L$2:$L$444)+SUMIF(Mercado_Receita!$S$2:$S$444,"44713B2Convencional pré-pagamentoRuralNão se aplicaNão se aplicaNão se aplicaNão se aplica",Mercado_Receita!$L$2:$L$444)</f>
        <v>0</v>
      </c>
      <c r="U39" s="12">
        <f t="shared" si="0"/>
        <v>0</v>
      </c>
      <c r="V39" s="12"/>
      <c r="W39" s="12"/>
    </row>
    <row r="40" spans="1:23" ht="11.25" customHeight="1" x14ac:dyDescent="0.25">
      <c r="A40" s="119"/>
      <c r="B40" s="119"/>
      <c r="C40" s="119"/>
      <c r="D40" s="13" t="s">
        <v>86</v>
      </c>
      <c r="E40" s="13" t="s">
        <v>25</v>
      </c>
      <c r="F40" s="13" t="s">
        <v>25</v>
      </c>
      <c r="G40" s="12" t="s">
        <v>74</v>
      </c>
      <c r="H40" s="12" t="s">
        <v>70</v>
      </c>
      <c r="I40" s="12">
        <f>SUMIF(Mercado_Receita!$S$2:$S$444,"44378B2Convencional pré-pagamentoRuralCooperativa de eletrificação ruralNão se aplicaNão se aplicaPonta",Mercado_Receita!$L$2:$L$444)+SUMIF(Mercado_Receita!$S$2:$S$444,"44378B2Convencional pré-pagamentoRuralCooperativa de eletrificação ruralNão se aplicaNão se aplicaFora ponta",Mercado_Receita!$L$2:$L$444)+SUMIF(Mercado_Receita!$S$2:$S$444,"44378B2Convencional pré-pagamentoRuralCooperativa de eletrificação ruralNão se aplicaNão se aplicaIntermediário",Mercado_Receita!$L$2:$L$444)+SUMIF(Mercado_Receita!$S$2:$S$444,"44378B2Convencional pré-pagamentoRuralCooperativa de eletrificação ruralNão se aplicaNão se aplicaNão se aplica",Mercado_Receita!$L$2:$L$444)</f>
        <v>0</v>
      </c>
      <c r="J40" s="12">
        <f>SUMIF(Mercado_Receita!$S$2:$S$444,"44409B2Convencional pré-pagamentoRuralCooperativa de eletrificação ruralNão se aplicaNão se aplicaPonta",Mercado_Receita!$L$2:$L$444)+SUMIF(Mercado_Receita!$S$2:$S$444,"44409B2Convencional pré-pagamentoRuralCooperativa de eletrificação ruralNão se aplicaNão se aplicaFora ponta",Mercado_Receita!$L$2:$L$444)+SUMIF(Mercado_Receita!$S$2:$S$444,"44409B2Convencional pré-pagamentoRuralCooperativa de eletrificação ruralNão se aplicaNão se aplicaIntermediário",Mercado_Receita!$L$2:$L$444)+SUMIF(Mercado_Receita!$S$2:$S$444,"44409B2Convencional pré-pagamentoRuralCooperativa de eletrificação ruralNão se aplicaNão se aplicaNão se aplica",Mercado_Receita!$L$2:$L$444)</f>
        <v>0</v>
      </c>
      <c r="K40" s="12">
        <f>SUMIF(Mercado_Receita!$S$2:$S$444,"44440B2Convencional pré-pagamentoRuralCooperativa de eletrificação ruralNão se aplicaNão se aplicaPonta",Mercado_Receita!$L$2:$L$444)+SUMIF(Mercado_Receita!$S$2:$S$444,"44440B2Convencional pré-pagamentoRuralCooperativa de eletrificação ruralNão se aplicaNão se aplicaFora ponta",Mercado_Receita!$L$2:$L$444)+SUMIF(Mercado_Receita!$S$2:$S$444,"44440B2Convencional pré-pagamentoRuralCooperativa de eletrificação ruralNão se aplicaNão se aplicaIntermediário",Mercado_Receita!$L$2:$L$444)+SUMIF(Mercado_Receita!$S$2:$S$444,"44440B2Convencional pré-pagamentoRuralCooperativa de eletrificação ruralNão se aplicaNão se aplicaNão se aplica",Mercado_Receita!$L$2:$L$444)</f>
        <v>0</v>
      </c>
      <c r="L40" s="12">
        <f>SUMIF(Mercado_Receita!$S$2:$S$444,"44470B2Convencional pré-pagamentoRuralCooperativa de eletrificação ruralNão se aplicaNão se aplicaPonta",Mercado_Receita!$L$2:$L$444)+SUMIF(Mercado_Receita!$S$2:$S$444,"44470B2Convencional pré-pagamentoRuralCooperativa de eletrificação ruralNão se aplicaNão se aplicaFora ponta",Mercado_Receita!$L$2:$L$444)+SUMIF(Mercado_Receita!$S$2:$S$444,"44470B2Convencional pré-pagamentoRuralCooperativa de eletrificação ruralNão se aplicaNão se aplicaIntermediário",Mercado_Receita!$L$2:$L$444)+SUMIF(Mercado_Receita!$S$2:$S$444,"44470B2Convencional pré-pagamentoRuralCooperativa de eletrificação ruralNão se aplicaNão se aplicaNão se aplica",Mercado_Receita!$L$2:$L$444)</f>
        <v>0</v>
      </c>
      <c r="M40" s="12">
        <f>SUMIF(Mercado_Receita!$S$2:$S$444,"44501B2Convencional pré-pagamentoRuralCooperativa de eletrificação ruralNão se aplicaNão se aplicaPonta",Mercado_Receita!$L$2:$L$444)+SUMIF(Mercado_Receita!$S$2:$S$444,"44501B2Convencional pré-pagamentoRuralCooperativa de eletrificação ruralNão se aplicaNão se aplicaFora ponta",Mercado_Receita!$L$2:$L$444)+SUMIF(Mercado_Receita!$S$2:$S$444,"44501B2Convencional pré-pagamentoRuralCooperativa de eletrificação ruralNão se aplicaNão se aplicaIntermediário",Mercado_Receita!$L$2:$L$444)+SUMIF(Mercado_Receita!$S$2:$S$444,"44501B2Convencional pré-pagamentoRuralCooperativa de eletrificação ruralNão se aplicaNão se aplicaNão se aplica",Mercado_Receita!$L$2:$L$444)</f>
        <v>0</v>
      </c>
      <c r="N40" s="12">
        <f>SUMIF(Mercado_Receita!$S$2:$S$444,"44531B2Convencional pré-pagamentoRuralCooperativa de eletrificação ruralNão se aplicaNão se aplicaPonta",Mercado_Receita!$L$2:$L$444)+SUMIF(Mercado_Receita!$S$2:$S$444,"44531B2Convencional pré-pagamentoRuralCooperativa de eletrificação ruralNão se aplicaNão se aplicaFora ponta",Mercado_Receita!$L$2:$L$444)+SUMIF(Mercado_Receita!$S$2:$S$444,"44531B2Convencional pré-pagamentoRuralCooperativa de eletrificação ruralNão se aplicaNão se aplicaIntermediário",Mercado_Receita!$L$2:$L$444)+SUMIF(Mercado_Receita!$S$2:$S$444,"44531B2Convencional pré-pagamentoRuralCooperativa de eletrificação ruralNão se aplicaNão se aplicaNão se aplica",Mercado_Receita!$L$2:$L$444)</f>
        <v>0</v>
      </c>
      <c r="O40" s="12">
        <f>SUMIF(Mercado_Receita!$S$2:$S$444,"44562B2Convencional pré-pagamentoRuralCooperativa de eletrificação ruralNão se aplicaNão se aplicaPonta",Mercado_Receita!$L$2:$L$444)+SUMIF(Mercado_Receita!$S$2:$S$444,"44562B2Convencional pré-pagamentoRuralCooperativa de eletrificação ruralNão se aplicaNão se aplicaFora ponta",Mercado_Receita!$L$2:$L$444)+SUMIF(Mercado_Receita!$S$2:$S$444,"44562B2Convencional pré-pagamentoRuralCooperativa de eletrificação ruralNão se aplicaNão se aplicaIntermediário",Mercado_Receita!$L$2:$L$444)+SUMIF(Mercado_Receita!$S$2:$S$444,"44562B2Convencional pré-pagamentoRuralCooperativa de eletrificação ruralNão se aplicaNão se aplicaNão se aplica",Mercado_Receita!$L$2:$L$444)</f>
        <v>0</v>
      </c>
      <c r="P40" s="12">
        <f>SUMIF(Mercado_Receita!$S$2:$S$444,"44593B2Convencional pré-pagamentoRuralCooperativa de eletrificação ruralNão se aplicaNão se aplicaPonta",Mercado_Receita!$L$2:$L$444)+SUMIF(Mercado_Receita!$S$2:$S$444,"44593B2Convencional pré-pagamentoRuralCooperativa de eletrificação ruralNão se aplicaNão se aplicaFora ponta",Mercado_Receita!$L$2:$L$444)+SUMIF(Mercado_Receita!$S$2:$S$444,"44593B2Convencional pré-pagamentoRuralCooperativa de eletrificação ruralNão se aplicaNão se aplicaIntermediário",Mercado_Receita!$L$2:$L$444)+SUMIF(Mercado_Receita!$S$2:$S$444,"44593B2Convencional pré-pagamentoRuralCooperativa de eletrificação ruralNão se aplicaNão se aplicaNão se aplica",Mercado_Receita!$L$2:$L$444)</f>
        <v>0</v>
      </c>
      <c r="Q40" s="12">
        <f>SUMIF(Mercado_Receita!$S$2:$S$444,"44621B2Convencional pré-pagamentoRuralCooperativa de eletrificação ruralNão se aplicaNão se aplicaPonta",Mercado_Receita!$L$2:$L$444)+SUMIF(Mercado_Receita!$S$2:$S$444,"44621B2Convencional pré-pagamentoRuralCooperativa de eletrificação ruralNão se aplicaNão se aplicaFora ponta",Mercado_Receita!$L$2:$L$444)+SUMIF(Mercado_Receita!$S$2:$S$444,"44621B2Convencional pré-pagamentoRuralCooperativa de eletrificação ruralNão se aplicaNão se aplicaIntermediário",Mercado_Receita!$L$2:$L$444)+SUMIF(Mercado_Receita!$S$2:$S$444,"44621B2Convencional pré-pagamentoRuralCooperativa de eletrificação ruralNão se aplicaNão se aplicaNão se aplica",Mercado_Receita!$L$2:$L$444)</f>
        <v>0</v>
      </c>
      <c r="R40" s="12">
        <f>SUMIF(Mercado_Receita!$S$2:$S$444,"44652B2Convencional pré-pagamentoRuralCooperativa de eletrificação ruralNão se aplicaNão se aplicaPonta",Mercado_Receita!$L$2:$L$444)+SUMIF(Mercado_Receita!$S$2:$S$444,"44652B2Convencional pré-pagamentoRuralCooperativa de eletrificação ruralNão se aplicaNão se aplicaFora ponta",Mercado_Receita!$L$2:$L$444)+SUMIF(Mercado_Receita!$S$2:$S$444,"44652B2Convencional pré-pagamentoRuralCooperativa de eletrificação ruralNão se aplicaNão se aplicaIntermediário",Mercado_Receita!$L$2:$L$444)+SUMIF(Mercado_Receita!$S$2:$S$444,"44652B2Convencional pré-pagamentoRuralCooperativa de eletrificação ruralNão se aplicaNão se aplicaNão se aplica",Mercado_Receita!$L$2:$L$444)</f>
        <v>0</v>
      </c>
      <c r="S40" s="12">
        <f>SUMIF(Mercado_Receita!$S$2:$S$444,"44682B2Convencional pré-pagamentoRuralCooperativa de eletrificação ruralNão se aplicaNão se aplicaPonta",Mercado_Receita!$L$2:$L$444)+SUMIF(Mercado_Receita!$S$2:$S$444,"44682B2Convencional pré-pagamentoRuralCooperativa de eletrificação ruralNão se aplicaNão se aplicaFora ponta",Mercado_Receita!$L$2:$L$444)+SUMIF(Mercado_Receita!$S$2:$S$444,"44682B2Convencional pré-pagamentoRuralCooperativa de eletrificação ruralNão se aplicaNão se aplicaIntermediário",Mercado_Receita!$L$2:$L$444)+SUMIF(Mercado_Receita!$S$2:$S$444,"44682B2Convencional pré-pagamentoRuralCooperativa de eletrificação ruralNão se aplicaNão se aplicaNão se aplica",Mercado_Receita!$L$2:$L$444)</f>
        <v>0</v>
      </c>
      <c r="T40" s="12">
        <f>SUMIF(Mercado_Receita!$S$2:$S$444,"44713B2Convencional pré-pagamentoRuralCooperativa de eletrificação ruralNão se aplicaNão se aplicaPonta",Mercado_Receita!$L$2:$L$444)+SUMIF(Mercado_Receita!$S$2:$S$444,"44713B2Convencional pré-pagamentoRuralCooperativa de eletrificação ruralNão se aplicaNão se aplicaFora ponta",Mercado_Receita!$L$2:$L$444)+SUMIF(Mercado_Receita!$S$2:$S$444,"44713B2Convencional pré-pagamentoRuralCooperativa de eletrificação ruralNão se aplicaNão se aplicaIntermediário",Mercado_Receita!$L$2:$L$444)+SUMIF(Mercado_Receita!$S$2:$S$444,"44713B2Convencional pré-pagamentoRuralCooperativa de eletrificação ruralNão se aplicaNão se aplicaNão se aplica",Mercado_Receita!$L$2:$L$444)</f>
        <v>0</v>
      </c>
      <c r="U40" s="12">
        <f t="shared" si="0"/>
        <v>0</v>
      </c>
      <c r="V40" s="12"/>
      <c r="W40" s="12"/>
    </row>
    <row r="41" spans="1:23" ht="11.25" customHeight="1" x14ac:dyDescent="0.25">
      <c r="A41" s="119"/>
      <c r="B41" s="119"/>
      <c r="C41" s="119"/>
      <c r="D41" s="13" t="s">
        <v>87</v>
      </c>
      <c r="E41" s="13" t="s">
        <v>25</v>
      </c>
      <c r="F41" s="13" t="s">
        <v>25</v>
      </c>
      <c r="G41" s="12" t="s">
        <v>74</v>
      </c>
      <c r="H41" s="12" t="s">
        <v>70</v>
      </c>
      <c r="I41" s="12">
        <f>SUMIF(Mercado_Receita!$S$2:$S$444,"44378B2Convencional pré-pagamentoRuralServiço público de irrigação ruralNão se aplicaNão se aplicaPonta",Mercado_Receita!$L$2:$L$444)+SUMIF(Mercado_Receita!$S$2:$S$444,"44378B2Convencional pré-pagamentoRuralServiço público de irrigação ruralNão se aplicaNão se aplicaFora ponta",Mercado_Receita!$L$2:$L$444)+SUMIF(Mercado_Receita!$S$2:$S$444,"44378B2Convencional pré-pagamentoRuralServiço público de irrigação ruralNão se aplicaNão se aplicaIntermediário",Mercado_Receita!$L$2:$L$444)+SUMIF(Mercado_Receita!$S$2:$S$444,"44378B2Convencional pré-pagamentoRuralServiço público de irrigação ruralNão se aplicaNão se aplicaNão se aplica",Mercado_Receita!$L$2:$L$444)</f>
        <v>0</v>
      </c>
      <c r="J41" s="12">
        <f>SUMIF(Mercado_Receita!$S$2:$S$444,"44409B2Convencional pré-pagamentoRuralServiço público de irrigação ruralNão se aplicaNão se aplicaPonta",Mercado_Receita!$L$2:$L$444)+SUMIF(Mercado_Receita!$S$2:$S$444,"44409B2Convencional pré-pagamentoRuralServiço público de irrigação ruralNão se aplicaNão se aplicaFora ponta",Mercado_Receita!$L$2:$L$444)+SUMIF(Mercado_Receita!$S$2:$S$444,"44409B2Convencional pré-pagamentoRuralServiço público de irrigação ruralNão se aplicaNão se aplicaIntermediário",Mercado_Receita!$L$2:$L$444)+SUMIF(Mercado_Receita!$S$2:$S$444,"44409B2Convencional pré-pagamentoRuralServiço público de irrigação ruralNão se aplicaNão se aplicaNão se aplica",Mercado_Receita!$L$2:$L$444)</f>
        <v>0</v>
      </c>
      <c r="K41" s="12">
        <f>SUMIF(Mercado_Receita!$S$2:$S$444,"44440B2Convencional pré-pagamentoRuralServiço público de irrigação ruralNão se aplicaNão se aplicaPonta",Mercado_Receita!$L$2:$L$444)+SUMIF(Mercado_Receita!$S$2:$S$444,"44440B2Convencional pré-pagamentoRuralServiço público de irrigação ruralNão se aplicaNão se aplicaFora ponta",Mercado_Receita!$L$2:$L$444)+SUMIF(Mercado_Receita!$S$2:$S$444,"44440B2Convencional pré-pagamentoRuralServiço público de irrigação ruralNão se aplicaNão se aplicaIntermediário",Mercado_Receita!$L$2:$L$444)+SUMIF(Mercado_Receita!$S$2:$S$444,"44440B2Convencional pré-pagamentoRuralServiço público de irrigação ruralNão se aplicaNão se aplicaNão se aplica",Mercado_Receita!$L$2:$L$444)</f>
        <v>0</v>
      </c>
      <c r="L41" s="12">
        <f>SUMIF(Mercado_Receita!$S$2:$S$444,"44470B2Convencional pré-pagamentoRuralServiço público de irrigação ruralNão se aplicaNão se aplicaPonta",Mercado_Receita!$L$2:$L$444)+SUMIF(Mercado_Receita!$S$2:$S$444,"44470B2Convencional pré-pagamentoRuralServiço público de irrigação ruralNão se aplicaNão se aplicaFora ponta",Mercado_Receita!$L$2:$L$444)+SUMIF(Mercado_Receita!$S$2:$S$444,"44470B2Convencional pré-pagamentoRuralServiço público de irrigação ruralNão se aplicaNão se aplicaIntermediário",Mercado_Receita!$L$2:$L$444)+SUMIF(Mercado_Receita!$S$2:$S$444,"44470B2Convencional pré-pagamentoRuralServiço público de irrigação ruralNão se aplicaNão se aplicaNão se aplica",Mercado_Receita!$L$2:$L$444)</f>
        <v>0</v>
      </c>
      <c r="M41" s="12">
        <f>SUMIF(Mercado_Receita!$S$2:$S$444,"44501B2Convencional pré-pagamentoRuralServiço público de irrigação ruralNão se aplicaNão se aplicaPonta",Mercado_Receita!$L$2:$L$444)+SUMIF(Mercado_Receita!$S$2:$S$444,"44501B2Convencional pré-pagamentoRuralServiço público de irrigação ruralNão se aplicaNão se aplicaFora ponta",Mercado_Receita!$L$2:$L$444)+SUMIF(Mercado_Receita!$S$2:$S$444,"44501B2Convencional pré-pagamentoRuralServiço público de irrigação ruralNão se aplicaNão se aplicaIntermediário",Mercado_Receita!$L$2:$L$444)+SUMIF(Mercado_Receita!$S$2:$S$444,"44501B2Convencional pré-pagamentoRuralServiço público de irrigação ruralNão se aplicaNão se aplicaNão se aplica",Mercado_Receita!$L$2:$L$444)</f>
        <v>0</v>
      </c>
      <c r="N41" s="12">
        <f>SUMIF(Mercado_Receita!$S$2:$S$444,"44531B2Convencional pré-pagamentoRuralServiço público de irrigação ruralNão se aplicaNão se aplicaPonta",Mercado_Receita!$L$2:$L$444)+SUMIF(Mercado_Receita!$S$2:$S$444,"44531B2Convencional pré-pagamentoRuralServiço público de irrigação ruralNão se aplicaNão se aplicaFora ponta",Mercado_Receita!$L$2:$L$444)+SUMIF(Mercado_Receita!$S$2:$S$444,"44531B2Convencional pré-pagamentoRuralServiço público de irrigação ruralNão se aplicaNão se aplicaIntermediário",Mercado_Receita!$L$2:$L$444)+SUMIF(Mercado_Receita!$S$2:$S$444,"44531B2Convencional pré-pagamentoRuralServiço público de irrigação ruralNão se aplicaNão se aplicaNão se aplica",Mercado_Receita!$L$2:$L$444)</f>
        <v>0</v>
      </c>
      <c r="O41" s="12">
        <f>SUMIF(Mercado_Receita!$S$2:$S$444,"44562B2Convencional pré-pagamentoRuralServiço público de irrigação ruralNão se aplicaNão se aplicaPonta",Mercado_Receita!$L$2:$L$444)+SUMIF(Mercado_Receita!$S$2:$S$444,"44562B2Convencional pré-pagamentoRuralServiço público de irrigação ruralNão se aplicaNão se aplicaFora ponta",Mercado_Receita!$L$2:$L$444)+SUMIF(Mercado_Receita!$S$2:$S$444,"44562B2Convencional pré-pagamentoRuralServiço público de irrigação ruralNão se aplicaNão se aplicaIntermediário",Mercado_Receita!$L$2:$L$444)+SUMIF(Mercado_Receita!$S$2:$S$444,"44562B2Convencional pré-pagamentoRuralServiço público de irrigação ruralNão se aplicaNão se aplicaNão se aplica",Mercado_Receita!$L$2:$L$444)</f>
        <v>0</v>
      </c>
      <c r="P41" s="12">
        <f>SUMIF(Mercado_Receita!$S$2:$S$444,"44593B2Convencional pré-pagamentoRuralServiço público de irrigação ruralNão se aplicaNão se aplicaPonta",Mercado_Receita!$L$2:$L$444)+SUMIF(Mercado_Receita!$S$2:$S$444,"44593B2Convencional pré-pagamentoRuralServiço público de irrigação ruralNão se aplicaNão se aplicaFora ponta",Mercado_Receita!$L$2:$L$444)+SUMIF(Mercado_Receita!$S$2:$S$444,"44593B2Convencional pré-pagamentoRuralServiço público de irrigação ruralNão se aplicaNão se aplicaIntermediário",Mercado_Receita!$L$2:$L$444)+SUMIF(Mercado_Receita!$S$2:$S$444,"44593B2Convencional pré-pagamentoRuralServiço público de irrigação ruralNão se aplicaNão se aplicaNão se aplica",Mercado_Receita!$L$2:$L$444)</f>
        <v>0</v>
      </c>
      <c r="Q41" s="12">
        <f>SUMIF(Mercado_Receita!$S$2:$S$444,"44621B2Convencional pré-pagamentoRuralServiço público de irrigação ruralNão se aplicaNão se aplicaPonta",Mercado_Receita!$L$2:$L$444)+SUMIF(Mercado_Receita!$S$2:$S$444,"44621B2Convencional pré-pagamentoRuralServiço público de irrigação ruralNão se aplicaNão se aplicaFora ponta",Mercado_Receita!$L$2:$L$444)+SUMIF(Mercado_Receita!$S$2:$S$444,"44621B2Convencional pré-pagamentoRuralServiço público de irrigação ruralNão se aplicaNão se aplicaIntermediário",Mercado_Receita!$L$2:$L$444)+SUMIF(Mercado_Receita!$S$2:$S$444,"44621B2Convencional pré-pagamentoRuralServiço público de irrigação ruralNão se aplicaNão se aplicaNão se aplica",Mercado_Receita!$L$2:$L$444)</f>
        <v>0</v>
      </c>
      <c r="R41" s="12">
        <f>SUMIF(Mercado_Receita!$S$2:$S$444,"44652B2Convencional pré-pagamentoRuralServiço público de irrigação ruralNão se aplicaNão se aplicaPonta",Mercado_Receita!$L$2:$L$444)+SUMIF(Mercado_Receita!$S$2:$S$444,"44652B2Convencional pré-pagamentoRuralServiço público de irrigação ruralNão se aplicaNão se aplicaFora ponta",Mercado_Receita!$L$2:$L$444)+SUMIF(Mercado_Receita!$S$2:$S$444,"44652B2Convencional pré-pagamentoRuralServiço público de irrigação ruralNão se aplicaNão se aplicaIntermediário",Mercado_Receita!$L$2:$L$444)+SUMIF(Mercado_Receita!$S$2:$S$444,"44652B2Convencional pré-pagamentoRuralServiço público de irrigação ruralNão se aplicaNão se aplicaNão se aplica",Mercado_Receita!$L$2:$L$444)</f>
        <v>0</v>
      </c>
      <c r="S41" s="12">
        <f>SUMIF(Mercado_Receita!$S$2:$S$444,"44682B2Convencional pré-pagamentoRuralServiço público de irrigação ruralNão se aplicaNão se aplicaPonta",Mercado_Receita!$L$2:$L$444)+SUMIF(Mercado_Receita!$S$2:$S$444,"44682B2Convencional pré-pagamentoRuralServiço público de irrigação ruralNão se aplicaNão se aplicaFora ponta",Mercado_Receita!$L$2:$L$444)+SUMIF(Mercado_Receita!$S$2:$S$444,"44682B2Convencional pré-pagamentoRuralServiço público de irrigação ruralNão se aplicaNão se aplicaIntermediário",Mercado_Receita!$L$2:$L$444)+SUMIF(Mercado_Receita!$S$2:$S$444,"44682B2Convencional pré-pagamentoRuralServiço público de irrigação ruralNão se aplicaNão se aplicaNão se aplica",Mercado_Receita!$L$2:$L$444)</f>
        <v>0</v>
      </c>
      <c r="T41" s="12">
        <f>SUMIF(Mercado_Receita!$S$2:$S$444,"44713B2Convencional pré-pagamentoRuralServiço público de irrigação ruralNão se aplicaNão se aplicaPonta",Mercado_Receita!$L$2:$L$444)+SUMIF(Mercado_Receita!$S$2:$S$444,"44713B2Convencional pré-pagamentoRuralServiço público de irrigação ruralNão se aplicaNão se aplicaFora ponta",Mercado_Receita!$L$2:$L$444)+SUMIF(Mercado_Receita!$S$2:$S$444,"44713B2Convencional pré-pagamentoRuralServiço público de irrigação ruralNão se aplicaNão se aplicaIntermediário",Mercado_Receita!$L$2:$L$444)+SUMIF(Mercado_Receita!$S$2:$S$444,"44713B2Convencional pré-pagamentoRuralServiço público de irrigação ruralNão se aplicaNão se aplicaNão se aplica",Mercado_Receita!$L$2:$L$444)</f>
        <v>0</v>
      </c>
      <c r="U41" s="12">
        <f t="shared" si="0"/>
        <v>0</v>
      </c>
      <c r="V41" s="12"/>
      <c r="W41" s="12"/>
    </row>
    <row r="42" spans="1:23" ht="11.25" customHeight="1" x14ac:dyDescent="0.25">
      <c r="A42" s="118" t="s">
        <v>32</v>
      </c>
      <c r="B42" s="118" t="s">
        <v>49</v>
      </c>
      <c r="C42" s="118" t="s">
        <v>25</v>
      </c>
      <c r="D42" s="118" t="s">
        <v>25</v>
      </c>
      <c r="E42" s="118" t="s">
        <v>25</v>
      </c>
      <c r="F42" s="118" t="s">
        <v>25</v>
      </c>
      <c r="G42" s="12" t="s">
        <v>71</v>
      </c>
      <c r="H42" s="12" t="s">
        <v>70</v>
      </c>
      <c r="I42" s="12">
        <f>SUMIF(Mercado_Receita!$S$2:$S$444,"44378B3BrancaNão se aplicaNão se aplicaNão se aplicaNão se aplicaPonta",Mercado_Receita!$L$2:$L$444)</f>
        <v>0</v>
      </c>
      <c r="J42" s="12">
        <f>SUMIF(Mercado_Receita!$S$2:$S$444,"44409B3BrancaNão se aplicaNão se aplicaNão se aplicaNão se aplicaPonta",Mercado_Receita!$L$2:$L$444)</f>
        <v>0</v>
      </c>
      <c r="K42" s="12">
        <f>SUMIF(Mercado_Receita!$S$2:$S$444,"44440B3BrancaNão se aplicaNão se aplicaNão se aplicaNão se aplicaPonta",Mercado_Receita!$L$2:$L$444)</f>
        <v>0</v>
      </c>
      <c r="L42" s="12">
        <f>SUMIF(Mercado_Receita!$S$2:$S$444,"44470B3BrancaNão se aplicaNão se aplicaNão se aplicaNão se aplicaPonta",Mercado_Receita!$L$2:$L$444)</f>
        <v>0</v>
      </c>
      <c r="M42" s="12">
        <f>SUMIF(Mercado_Receita!$S$2:$S$444,"44501B3BrancaNão se aplicaNão se aplicaNão se aplicaNão se aplicaPonta",Mercado_Receita!$L$2:$L$444)</f>
        <v>0</v>
      </c>
      <c r="N42" s="12">
        <f>SUMIF(Mercado_Receita!$S$2:$S$444,"44531B3BrancaNão se aplicaNão se aplicaNão se aplicaNão se aplicaPonta",Mercado_Receita!$L$2:$L$444)</f>
        <v>0</v>
      </c>
      <c r="O42" s="12">
        <f>SUMIF(Mercado_Receita!$S$2:$S$444,"44562B3BrancaNão se aplicaNão se aplicaNão se aplicaNão se aplicaPonta",Mercado_Receita!$L$2:$L$444)</f>
        <v>0</v>
      </c>
      <c r="P42" s="12">
        <f>SUMIF(Mercado_Receita!$S$2:$S$444,"44593B3BrancaNão se aplicaNão se aplicaNão se aplicaNão se aplicaPonta",Mercado_Receita!$L$2:$L$444)</f>
        <v>0</v>
      </c>
      <c r="Q42" s="12">
        <f>SUMIF(Mercado_Receita!$S$2:$S$444,"44621B3BrancaNão se aplicaNão se aplicaNão se aplicaNão se aplicaPonta",Mercado_Receita!$L$2:$L$444)</f>
        <v>2.8000000000000001E-2</v>
      </c>
      <c r="R42" s="12">
        <f>SUMIF(Mercado_Receita!$S$2:$S$444,"44652B3BrancaNão se aplicaNão se aplicaNão se aplicaNão se aplicaPonta",Mercado_Receita!$L$2:$L$444)</f>
        <v>5.8999999999999997E-2</v>
      </c>
      <c r="S42" s="12">
        <f>SUMIF(Mercado_Receita!$S$2:$S$444,"44682B3BrancaNão se aplicaNão se aplicaNão se aplicaNão se aplicaPonta",Mercado_Receita!$L$2:$L$444)</f>
        <v>6.2E-2</v>
      </c>
      <c r="T42" s="12">
        <f>SUMIF(Mercado_Receita!$S$2:$S$444,"44713B3BrancaNão se aplicaNão se aplicaNão se aplicaNão se aplicaPonta",Mercado_Receita!$L$2:$L$444)</f>
        <v>6.7000000000000004E-2</v>
      </c>
      <c r="U42" s="12">
        <f t="shared" si="0"/>
        <v>0.216</v>
      </c>
      <c r="V42" s="12"/>
      <c r="W42" s="12"/>
    </row>
    <row r="43" spans="1:23" ht="11.25" customHeight="1" x14ac:dyDescent="0.25">
      <c r="A43" s="119"/>
      <c r="B43" s="119"/>
      <c r="C43" s="119"/>
      <c r="D43" s="119"/>
      <c r="E43" s="119"/>
      <c r="F43" s="119"/>
      <c r="G43" s="12" t="s">
        <v>83</v>
      </c>
      <c r="H43" s="12" t="s">
        <v>70</v>
      </c>
      <c r="I43" s="12">
        <f>SUMIF(Mercado_Receita!$S$2:$S$444,"44378B3BrancaNão se aplicaNão se aplicaNão se aplicaNão se aplicaIntermediário",Mercado_Receita!$L$2:$L$444)</f>
        <v>0</v>
      </c>
      <c r="J43" s="12">
        <f>SUMIF(Mercado_Receita!$S$2:$S$444,"44409B3BrancaNão se aplicaNão se aplicaNão se aplicaNão se aplicaIntermediário",Mercado_Receita!$L$2:$L$444)</f>
        <v>0</v>
      </c>
      <c r="K43" s="12">
        <f>SUMIF(Mercado_Receita!$S$2:$S$444,"44440B3BrancaNão se aplicaNão se aplicaNão se aplicaNão se aplicaIntermediário",Mercado_Receita!$L$2:$L$444)</f>
        <v>0</v>
      </c>
      <c r="L43" s="12">
        <f>SUMIF(Mercado_Receita!$S$2:$S$444,"44470B3BrancaNão se aplicaNão se aplicaNão se aplicaNão se aplicaIntermediário",Mercado_Receita!$L$2:$L$444)</f>
        <v>0</v>
      </c>
      <c r="M43" s="12">
        <f>SUMIF(Mercado_Receita!$S$2:$S$444,"44501B3BrancaNão se aplicaNão se aplicaNão se aplicaNão se aplicaIntermediário",Mercado_Receita!$L$2:$L$444)</f>
        <v>0</v>
      </c>
      <c r="N43" s="12">
        <f>SUMIF(Mercado_Receita!$S$2:$S$444,"44531B3BrancaNão se aplicaNão se aplicaNão se aplicaNão se aplicaIntermediário",Mercado_Receita!$L$2:$L$444)</f>
        <v>0</v>
      </c>
      <c r="O43" s="12">
        <f>SUMIF(Mercado_Receita!$S$2:$S$444,"44562B3BrancaNão se aplicaNão se aplicaNão se aplicaNão se aplicaIntermediário",Mercado_Receita!$L$2:$L$444)</f>
        <v>0</v>
      </c>
      <c r="P43" s="12">
        <f>SUMIF(Mercado_Receita!$S$2:$S$444,"44593B3BrancaNão se aplicaNão se aplicaNão se aplicaNão se aplicaIntermediário",Mercado_Receita!$L$2:$L$444)</f>
        <v>0</v>
      </c>
      <c r="Q43" s="12">
        <f>SUMIF(Mercado_Receita!$S$2:$S$444,"44621B3BrancaNão se aplicaNão se aplicaNão se aplicaNão se aplicaIntermediário",Mercado_Receita!$L$2:$L$444)</f>
        <v>3.7999999999999999E-2</v>
      </c>
      <c r="R43" s="12">
        <f>SUMIF(Mercado_Receita!$S$2:$S$444,"44652B3BrancaNão se aplicaNão se aplicaNão se aplicaNão se aplicaIntermediário",Mercado_Receita!$L$2:$L$444)</f>
        <v>7.3999999999999996E-2</v>
      </c>
      <c r="S43" s="12">
        <f>SUMIF(Mercado_Receita!$S$2:$S$444,"44682B3BrancaNão se aplicaNão se aplicaNão se aplicaNão se aplicaIntermediário",Mercado_Receita!$L$2:$L$444)</f>
        <v>6.2E-2</v>
      </c>
      <c r="T43" s="12">
        <f>SUMIF(Mercado_Receita!$S$2:$S$444,"44713B3BrancaNão se aplicaNão se aplicaNão se aplicaNão se aplicaIntermediário",Mercado_Receita!$L$2:$L$444)</f>
        <v>6.6000000000000003E-2</v>
      </c>
      <c r="U43" s="12">
        <f t="shared" si="0"/>
        <v>0.24</v>
      </c>
      <c r="V43" s="12"/>
      <c r="W43" s="12"/>
    </row>
    <row r="44" spans="1:23" ht="11.25" customHeight="1" x14ac:dyDescent="0.25">
      <c r="A44" s="119"/>
      <c r="B44" s="119"/>
      <c r="C44" s="119"/>
      <c r="D44" s="119"/>
      <c r="E44" s="119"/>
      <c r="F44" s="119"/>
      <c r="G44" s="12" t="s">
        <v>72</v>
      </c>
      <c r="H44" s="12" t="s">
        <v>70</v>
      </c>
      <c r="I44" s="12">
        <f>SUMIF(Mercado_Receita!$S$2:$S$444,"44378B3BrancaNão se aplicaNão se aplicaNão se aplicaNão se aplicaFora ponta",Mercado_Receita!$L$2:$L$444)</f>
        <v>0</v>
      </c>
      <c r="J44" s="12">
        <f>SUMIF(Mercado_Receita!$S$2:$S$444,"44409B3BrancaNão se aplicaNão se aplicaNão se aplicaNão se aplicaFora ponta",Mercado_Receita!$L$2:$L$444)</f>
        <v>0</v>
      </c>
      <c r="K44" s="12">
        <f>SUMIF(Mercado_Receita!$S$2:$S$444,"44440B3BrancaNão se aplicaNão se aplicaNão se aplicaNão se aplicaFora ponta",Mercado_Receita!$L$2:$L$444)</f>
        <v>0</v>
      </c>
      <c r="L44" s="12">
        <f>SUMIF(Mercado_Receita!$S$2:$S$444,"44470B3BrancaNão se aplicaNão se aplicaNão se aplicaNão se aplicaFora ponta",Mercado_Receita!$L$2:$L$444)</f>
        <v>0</v>
      </c>
      <c r="M44" s="12">
        <f>SUMIF(Mercado_Receita!$S$2:$S$444,"44501B3BrancaNão se aplicaNão se aplicaNão se aplicaNão se aplicaFora ponta",Mercado_Receita!$L$2:$L$444)</f>
        <v>0</v>
      </c>
      <c r="N44" s="12">
        <f>SUMIF(Mercado_Receita!$S$2:$S$444,"44531B3BrancaNão se aplicaNão se aplicaNão se aplicaNão se aplicaFora ponta",Mercado_Receita!$L$2:$L$444)</f>
        <v>0</v>
      </c>
      <c r="O44" s="12">
        <f>SUMIF(Mercado_Receita!$S$2:$S$444,"44562B3BrancaNão se aplicaNão se aplicaNão se aplicaNão se aplicaFora ponta",Mercado_Receita!$L$2:$L$444)</f>
        <v>0</v>
      </c>
      <c r="P44" s="12">
        <f>SUMIF(Mercado_Receita!$S$2:$S$444,"44593B3BrancaNão se aplicaNão se aplicaNão se aplicaNão se aplicaFora ponta",Mercado_Receita!$L$2:$L$444)</f>
        <v>0</v>
      </c>
      <c r="Q44" s="12">
        <f>SUMIF(Mercado_Receita!$S$2:$S$444,"44621B3BrancaNão se aplicaNão se aplicaNão se aplicaNão se aplicaFora ponta",Mercado_Receita!$L$2:$L$444)</f>
        <v>0.64600000000000002</v>
      </c>
      <c r="R44" s="12">
        <f>SUMIF(Mercado_Receita!$S$2:$S$444,"44652B3BrancaNão se aplicaNão se aplicaNão se aplicaNão se aplicaFora ponta",Mercado_Receita!$L$2:$L$444)</f>
        <v>1.329</v>
      </c>
      <c r="S44" s="12">
        <f>SUMIF(Mercado_Receita!$S$2:$S$444,"44682B3BrancaNão se aplicaNão se aplicaNão se aplicaNão se aplicaFora ponta",Mercado_Receita!$L$2:$L$444)</f>
        <v>0.85499999999999998</v>
      </c>
      <c r="T44" s="12">
        <f>SUMIF(Mercado_Receita!$S$2:$S$444,"44713B3BrancaNão se aplicaNão se aplicaNão se aplicaNão se aplicaFora ponta",Mercado_Receita!$L$2:$L$444)</f>
        <v>0.91200000000000003</v>
      </c>
      <c r="U44" s="12">
        <f t="shared" si="0"/>
        <v>3.742</v>
      </c>
      <c r="V44" s="12"/>
      <c r="W44" s="12"/>
    </row>
    <row r="45" spans="1:23" ht="11.25" customHeight="1" x14ac:dyDescent="0.25">
      <c r="A45" s="119"/>
      <c r="B45" s="13" t="s">
        <v>23</v>
      </c>
      <c r="C45" s="13" t="s">
        <v>25</v>
      </c>
      <c r="D45" s="13" t="s">
        <v>25</v>
      </c>
      <c r="E45" s="13" t="s">
        <v>25</v>
      </c>
      <c r="F45" s="13" t="s">
        <v>25</v>
      </c>
      <c r="G45" s="12" t="s">
        <v>74</v>
      </c>
      <c r="H45" s="12" t="s">
        <v>70</v>
      </c>
      <c r="I45" s="12">
        <f>SUMIF(Mercado_Receita!$S$2:$S$444,"44378B3ConvencionalNão se aplicaNão se aplicaNão se aplicaNão se aplicaPonta",Mercado_Receita!$L$2:$L$444)+SUMIF(Mercado_Receita!$S$2:$S$444,"44378B3ConvencionalNão se aplicaNão se aplicaNão se aplicaNão se aplicaFora ponta",Mercado_Receita!$L$2:$L$444)+SUMIF(Mercado_Receita!$S$2:$S$444,"44378B3ConvencionalNão se aplicaNão se aplicaNão se aplicaNão se aplicaIntermediário",Mercado_Receita!$L$2:$L$444)+SUMIF(Mercado_Receita!$S$2:$S$444,"44378B3ConvencionalNão se aplicaNão se aplicaNão se aplicaNão se aplicaNão se aplica",Mercado_Receita!$L$2:$L$444)</f>
        <v>1009.38</v>
      </c>
      <c r="J45" s="12">
        <f>SUMIF(Mercado_Receita!$S$2:$S$444,"44409B3ConvencionalNão se aplicaNão se aplicaNão se aplicaNão se aplicaPonta",Mercado_Receita!$L$2:$L$444)+SUMIF(Mercado_Receita!$S$2:$S$444,"44409B3ConvencionalNão se aplicaNão se aplicaNão se aplicaNão se aplicaFora ponta",Mercado_Receita!$L$2:$L$444)+SUMIF(Mercado_Receita!$S$2:$S$444,"44409B3ConvencionalNão se aplicaNão se aplicaNão se aplicaNão se aplicaIntermediário",Mercado_Receita!$L$2:$L$444)+SUMIF(Mercado_Receita!$S$2:$S$444,"44409B3ConvencionalNão se aplicaNão se aplicaNão se aplicaNão se aplicaNão se aplica",Mercado_Receita!$L$2:$L$444)</f>
        <v>1006.038</v>
      </c>
      <c r="K45" s="12">
        <f>SUMIF(Mercado_Receita!$S$2:$S$444,"44440B3ConvencionalNão se aplicaNão se aplicaNão se aplicaNão se aplicaPonta",Mercado_Receita!$L$2:$L$444)+SUMIF(Mercado_Receita!$S$2:$S$444,"44440B3ConvencionalNão se aplicaNão se aplicaNão se aplicaNão se aplicaFora ponta",Mercado_Receita!$L$2:$L$444)+SUMIF(Mercado_Receita!$S$2:$S$444,"44440B3ConvencionalNão se aplicaNão se aplicaNão se aplicaNão se aplicaIntermediário",Mercado_Receita!$L$2:$L$444)+SUMIF(Mercado_Receita!$S$2:$S$444,"44440B3ConvencionalNão se aplicaNão se aplicaNão se aplicaNão se aplicaNão se aplica",Mercado_Receita!$L$2:$L$444)</f>
        <v>939.15200000000004</v>
      </c>
      <c r="L45" s="12">
        <f>SUMIF(Mercado_Receita!$S$2:$S$444,"44470B3ConvencionalNão se aplicaNão se aplicaNão se aplicaNão se aplicaPonta",Mercado_Receita!$L$2:$L$444)+SUMIF(Mercado_Receita!$S$2:$S$444,"44470B3ConvencionalNão se aplicaNão se aplicaNão se aplicaNão se aplicaFora ponta",Mercado_Receita!$L$2:$L$444)+SUMIF(Mercado_Receita!$S$2:$S$444,"44470B3ConvencionalNão se aplicaNão se aplicaNão se aplicaNão se aplicaIntermediário",Mercado_Receita!$L$2:$L$444)+SUMIF(Mercado_Receita!$S$2:$S$444,"44470B3ConvencionalNão se aplicaNão se aplicaNão se aplicaNão se aplicaNão se aplica",Mercado_Receita!$L$2:$L$444)</f>
        <v>917.36500000000001</v>
      </c>
      <c r="M45" s="12">
        <f>SUMIF(Mercado_Receita!$S$2:$S$444,"44501B3ConvencionalNão se aplicaNão se aplicaNão se aplicaNão se aplicaPonta",Mercado_Receita!$L$2:$L$444)+SUMIF(Mercado_Receita!$S$2:$S$444,"44501B3ConvencionalNão se aplicaNão se aplicaNão se aplicaNão se aplicaFora ponta",Mercado_Receita!$L$2:$L$444)+SUMIF(Mercado_Receita!$S$2:$S$444,"44501B3ConvencionalNão se aplicaNão se aplicaNão se aplicaNão se aplicaIntermediário",Mercado_Receita!$L$2:$L$444)+SUMIF(Mercado_Receita!$S$2:$S$444,"44501B3ConvencionalNão se aplicaNão se aplicaNão se aplicaNão se aplicaNão se aplica",Mercado_Receita!$L$2:$L$444)</f>
        <v>1019.528</v>
      </c>
      <c r="N45" s="12">
        <f>SUMIF(Mercado_Receita!$S$2:$S$444,"44531B3ConvencionalNão se aplicaNão se aplicaNão se aplicaNão se aplicaPonta",Mercado_Receita!$L$2:$L$444)+SUMIF(Mercado_Receita!$S$2:$S$444,"44531B3ConvencionalNão se aplicaNão se aplicaNão se aplicaNão se aplicaFora ponta",Mercado_Receita!$L$2:$L$444)+SUMIF(Mercado_Receita!$S$2:$S$444,"44531B3ConvencionalNão se aplicaNão se aplicaNão se aplicaNão se aplicaIntermediário",Mercado_Receita!$L$2:$L$444)+SUMIF(Mercado_Receita!$S$2:$S$444,"44531B3ConvencionalNão se aplicaNão se aplicaNão se aplicaNão se aplicaNão se aplica",Mercado_Receita!$L$2:$L$444)</f>
        <v>1104.1780000000001</v>
      </c>
      <c r="O45" s="12">
        <f>SUMIF(Mercado_Receita!$S$2:$S$444,"44562B3ConvencionalNão se aplicaNão se aplicaNão se aplicaNão se aplicaPonta",Mercado_Receita!$L$2:$L$444)+SUMIF(Mercado_Receita!$S$2:$S$444,"44562B3ConvencionalNão se aplicaNão se aplicaNão se aplicaNão se aplicaFora ponta",Mercado_Receita!$L$2:$L$444)+SUMIF(Mercado_Receita!$S$2:$S$444,"44562B3ConvencionalNão se aplicaNão se aplicaNão se aplicaNão se aplicaIntermediário",Mercado_Receita!$L$2:$L$444)+SUMIF(Mercado_Receita!$S$2:$S$444,"44562B3ConvencionalNão se aplicaNão se aplicaNão se aplicaNão se aplicaNão se aplica",Mercado_Receita!$L$2:$L$444)</f>
        <v>1155.5310000000002</v>
      </c>
      <c r="P45" s="12">
        <f>SUMIF(Mercado_Receita!$S$2:$S$444,"44593B3ConvencionalNão se aplicaNão se aplicaNão se aplicaNão se aplicaPonta",Mercado_Receita!$L$2:$L$444)+SUMIF(Mercado_Receita!$S$2:$S$444,"44593B3ConvencionalNão se aplicaNão se aplicaNão se aplicaNão se aplicaFora ponta",Mercado_Receita!$L$2:$L$444)+SUMIF(Mercado_Receita!$S$2:$S$444,"44593B3ConvencionalNão se aplicaNão se aplicaNão se aplicaNão se aplicaIntermediário",Mercado_Receita!$L$2:$L$444)+SUMIF(Mercado_Receita!$S$2:$S$444,"44593B3ConvencionalNão se aplicaNão se aplicaNão se aplicaNão se aplicaNão se aplica",Mercado_Receita!$L$2:$L$444)</f>
        <v>1171.7360000000001</v>
      </c>
      <c r="Q45" s="12">
        <f>SUMIF(Mercado_Receita!$S$2:$S$444,"44621B3ConvencionalNão se aplicaNão se aplicaNão se aplicaNão se aplicaPonta",Mercado_Receita!$L$2:$L$444)+SUMIF(Mercado_Receita!$S$2:$S$444,"44621B3ConvencionalNão se aplicaNão se aplicaNão se aplicaNão se aplicaFora ponta",Mercado_Receita!$L$2:$L$444)+SUMIF(Mercado_Receita!$S$2:$S$444,"44621B3ConvencionalNão se aplicaNão se aplicaNão se aplicaNão se aplicaIntermediário",Mercado_Receita!$L$2:$L$444)+SUMIF(Mercado_Receita!$S$2:$S$444,"44621B3ConvencionalNão se aplicaNão se aplicaNão se aplicaNão se aplicaNão se aplica",Mercado_Receita!$L$2:$L$444)</f>
        <v>1080.7030000000002</v>
      </c>
      <c r="R45" s="12">
        <f>SUMIF(Mercado_Receita!$S$2:$S$444,"44652B3ConvencionalNão se aplicaNão se aplicaNão se aplicaNão se aplicaPonta",Mercado_Receita!$L$2:$L$444)+SUMIF(Mercado_Receita!$S$2:$S$444,"44652B3ConvencionalNão se aplicaNão se aplicaNão se aplicaNão se aplicaFora ponta",Mercado_Receita!$L$2:$L$444)+SUMIF(Mercado_Receita!$S$2:$S$444,"44652B3ConvencionalNão se aplicaNão se aplicaNão se aplicaNão se aplicaIntermediário",Mercado_Receita!$L$2:$L$444)+SUMIF(Mercado_Receita!$S$2:$S$444,"44652B3ConvencionalNão se aplicaNão se aplicaNão se aplicaNão se aplicaNão se aplica",Mercado_Receita!$L$2:$L$444)</f>
        <v>981.80200000000013</v>
      </c>
      <c r="S45" s="12">
        <f>SUMIF(Mercado_Receita!$S$2:$S$444,"44682B3ConvencionalNão se aplicaNão se aplicaNão se aplicaNão se aplicaPonta",Mercado_Receita!$L$2:$L$444)+SUMIF(Mercado_Receita!$S$2:$S$444,"44682B3ConvencionalNão se aplicaNão se aplicaNão se aplicaNão se aplicaFora ponta",Mercado_Receita!$L$2:$L$444)+SUMIF(Mercado_Receita!$S$2:$S$444,"44682B3ConvencionalNão se aplicaNão se aplicaNão se aplicaNão se aplicaIntermediário",Mercado_Receita!$L$2:$L$444)+SUMIF(Mercado_Receita!$S$2:$S$444,"44682B3ConvencionalNão se aplicaNão se aplicaNão se aplicaNão se aplicaNão se aplica",Mercado_Receita!$L$2:$L$444)</f>
        <v>971.75000000000011</v>
      </c>
      <c r="T45" s="12">
        <f>SUMIF(Mercado_Receita!$S$2:$S$444,"44713B3ConvencionalNão se aplicaNão se aplicaNão se aplicaNão se aplicaPonta",Mercado_Receita!$L$2:$L$444)+SUMIF(Mercado_Receita!$S$2:$S$444,"44713B3ConvencionalNão se aplicaNão se aplicaNão se aplicaNão se aplicaFora ponta",Mercado_Receita!$L$2:$L$444)+SUMIF(Mercado_Receita!$S$2:$S$444,"44713B3ConvencionalNão se aplicaNão se aplicaNão se aplicaNão se aplicaIntermediário",Mercado_Receita!$L$2:$L$444)+SUMIF(Mercado_Receita!$S$2:$S$444,"44713B3ConvencionalNão se aplicaNão se aplicaNão se aplicaNão se aplicaNão se aplica",Mercado_Receita!$L$2:$L$444)</f>
        <v>1041.7629999999999</v>
      </c>
      <c r="U45" s="12">
        <f t="shared" si="0"/>
        <v>12398.925999999999</v>
      </c>
      <c r="V45" s="12"/>
      <c r="W45" s="12"/>
    </row>
    <row r="46" spans="1:23" ht="11.25" customHeight="1" x14ac:dyDescent="0.25">
      <c r="A46" s="119"/>
      <c r="B46" s="13" t="s">
        <v>85</v>
      </c>
      <c r="C46" s="13" t="s">
        <v>25</v>
      </c>
      <c r="D46" s="13" t="s">
        <v>25</v>
      </c>
      <c r="E46" s="13" t="s">
        <v>25</v>
      </c>
      <c r="F46" s="13" t="s">
        <v>25</v>
      </c>
      <c r="G46" s="12" t="s">
        <v>74</v>
      </c>
      <c r="H46" s="12" t="s">
        <v>70</v>
      </c>
      <c r="I46" s="12">
        <f>SUMIF(Mercado_Receita!$S$2:$S$444,"44378B3Convencional pré-pagamentoNão se aplicaNão se aplicaNão se aplicaNão se aplicaPonta",Mercado_Receita!$L$2:$L$444)+SUMIF(Mercado_Receita!$S$2:$S$444,"44378B3Convencional pré-pagamentoNão se aplicaNão se aplicaNão se aplicaNão se aplicaFora ponta",Mercado_Receita!$L$2:$L$444)+SUMIF(Mercado_Receita!$S$2:$S$444,"44378B3Convencional pré-pagamentoNão se aplicaNão se aplicaNão se aplicaNão se aplicaIntermediário",Mercado_Receita!$L$2:$L$444)+SUMIF(Mercado_Receita!$S$2:$S$444,"44378B3Convencional pré-pagamentoNão se aplicaNão se aplicaNão se aplicaNão se aplicaNão se aplica",Mercado_Receita!$L$2:$L$444)</f>
        <v>0</v>
      </c>
      <c r="J46" s="12">
        <f>SUMIF(Mercado_Receita!$S$2:$S$444,"44409B3Convencional pré-pagamentoNão se aplicaNão se aplicaNão se aplicaNão se aplicaPonta",Mercado_Receita!$L$2:$L$444)+SUMIF(Mercado_Receita!$S$2:$S$444,"44409B3Convencional pré-pagamentoNão se aplicaNão se aplicaNão se aplicaNão se aplicaFora ponta",Mercado_Receita!$L$2:$L$444)+SUMIF(Mercado_Receita!$S$2:$S$444,"44409B3Convencional pré-pagamentoNão se aplicaNão se aplicaNão se aplicaNão se aplicaIntermediário",Mercado_Receita!$L$2:$L$444)+SUMIF(Mercado_Receita!$S$2:$S$444,"44409B3Convencional pré-pagamentoNão se aplicaNão se aplicaNão se aplicaNão se aplicaNão se aplica",Mercado_Receita!$L$2:$L$444)</f>
        <v>0</v>
      </c>
      <c r="K46" s="12">
        <f>SUMIF(Mercado_Receita!$S$2:$S$444,"44440B3Convencional pré-pagamentoNão se aplicaNão se aplicaNão se aplicaNão se aplicaPonta",Mercado_Receita!$L$2:$L$444)+SUMIF(Mercado_Receita!$S$2:$S$444,"44440B3Convencional pré-pagamentoNão se aplicaNão se aplicaNão se aplicaNão se aplicaFora ponta",Mercado_Receita!$L$2:$L$444)+SUMIF(Mercado_Receita!$S$2:$S$444,"44440B3Convencional pré-pagamentoNão se aplicaNão se aplicaNão se aplicaNão se aplicaIntermediário",Mercado_Receita!$L$2:$L$444)+SUMIF(Mercado_Receita!$S$2:$S$444,"44440B3Convencional pré-pagamentoNão se aplicaNão se aplicaNão se aplicaNão se aplicaNão se aplica",Mercado_Receita!$L$2:$L$444)</f>
        <v>0</v>
      </c>
      <c r="L46" s="12">
        <f>SUMIF(Mercado_Receita!$S$2:$S$444,"44470B3Convencional pré-pagamentoNão se aplicaNão se aplicaNão se aplicaNão se aplicaPonta",Mercado_Receita!$L$2:$L$444)+SUMIF(Mercado_Receita!$S$2:$S$444,"44470B3Convencional pré-pagamentoNão se aplicaNão se aplicaNão se aplicaNão se aplicaFora ponta",Mercado_Receita!$L$2:$L$444)+SUMIF(Mercado_Receita!$S$2:$S$444,"44470B3Convencional pré-pagamentoNão se aplicaNão se aplicaNão se aplicaNão se aplicaIntermediário",Mercado_Receita!$L$2:$L$444)+SUMIF(Mercado_Receita!$S$2:$S$444,"44470B3Convencional pré-pagamentoNão se aplicaNão se aplicaNão se aplicaNão se aplicaNão se aplica",Mercado_Receita!$L$2:$L$444)</f>
        <v>0</v>
      </c>
      <c r="M46" s="12">
        <f>SUMIF(Mercado_Receita!$S$2:$S$444,"44501B3Convencional pré-pagamentoNão se aplicaNão se aplicaNão se aplicaNão se aplicaPonta",Mercado_Receita!$L$2:$L$444)+SUMIF(Mercado_Receita!$S$2:$S$444,"44501B3Convencional pré-pagamentoNão se aplicaNão se aplicaNão se aplicaNão se aplicaFora ponta",Mercado_Receita!$L$2:$L$444)+SUMIF(Mercado_Receita!$S$2:$S$444,"44501B3Convencional pré-pagamentoNão se aplicaNão se aplicaNão se aplicaNão se aplicaIntermediário",Mercado_Receita!$L$2:$L$444)+SUMIF(Mercado_Receita!$S$2:$S$444,"44501B3Convencional pré-pagamentoNão se aplicaNão se aplicaNão se aplicaNão se aplicaNão se aplica",Mercado_Receita!$L$2:$L$444)</f>
        <v>0</v>
      </c>
      <c r="N46" s="12">
        <f>SUMIF(Mercado_Receita!$S$2:$S$444,"44531B3Convencional pré-pagamentoNão se aplicaNão se aplicaNão se aplicaNão se aplicaPonta",Mercado_Receita!$L$2:$L$444)+SUMIF(Mercado_Receita!$S$2:$S$444,"44531B3Convencional pré-pagamentoNão se aplicaNão se aplicaNão se aplicaNão se aplicaFora ponta",Mercado_Receita!$L$2:$L$444)+SUMIF(Mercado_Receita!$S$2:$S$444,"44531B3Convencional pré-pagamentoNão se aplicaNão se aplicaNão se aplicaNão se aplicaIntermediário",Mercado_Receita!$L$2:$L$444)+SUMIF(Mercado_Receita!$S$2:$S$444,"44531B3Convencional pré-pagamentoNão se aplicaNão se aplicaNão se aplicaNão se aplicaNão se aplica",Mercado_Receita!$L$2:$L$444)</f>
        <v>0</v>
      </c>
      <c r="O46" s="12">
        <f>SUMIF(Mercado_Receita!$S$2:$S$444,"44562B3Convencional pré-pagamentoNão se aplicaNão se aplicaNão se aplicaNão se aplicaPonta",Mercado_Receita!$L$2:$L$444)+SUMIF(Mercado_Receita!$S$2:$S$444,"44562B3Convencional pré-pagamentoNão se aplicaNão se aplicaNão se aplicaNão se aplicaFora ponta",Mercado_Receita!$L$2:$L$444)+SUMIF(Mercado_Receita!$S$2:$S$444,"44562B3Convencional pré-pagamentoNão se aplicaNão se aplicaNão se aplicaNão se aplicaIntermediário",Mercado_Receita!$L$2:$L$444)+SUMIF(Mercado_Receita!$S$2:$S$444,"44562B3Convencional pré-pagamentoNão se aplicaNão se aplicaNão se aplicaNão se aplicaNão se aplica",Mercado_Receita!$L$2:$L$444)</f>
        <v>0</v>
      </c>
      <c r="P46" s="12">
        <f>SUMIF(Mercado_Receita!$S$2:$S$444,"44593B3Convencional pré-pagamentoNão se aplicaNão se aplicaNão se aplicaNão se aplicaPonta",Mercado_Receita!$L$2:$L$444)+SUMIF(Mercado_Receita!$S$2:$S$444,"44593B3Convencional pré-pagamentoNão se aplicaNão se aplicaNão se aplicaNão se aplicaFora ponta",Mercado_Receita!$L$2:$L$444)+SUMIF(Mercado_Receita!$S$2:$S$444,"44593B3Convencional pré-pagamentoNão se aplicaNão se aplicaNão se aplicaNão se aplicaIntermediário",Mercado_Receita!$L$2:$L$444)+SUMIF(Mercado_Receita!$S$2:$S$444,"44593B3Convencional pré-pagamentoNão se aplicaNão se aplicaNão se aplicaNão se aplicaNão se aplica",Mercado_Receita!$L$2:$L$444)</f>
        <v>0</v>
      </c>
      <c r="Q46" s="12">
        <f>SUMIF(Mercado_Receita!$S$2:$S$444,"44621B3Convencional pré-pagamentoNão se aplicaNão se aplicaNão se aplicaNão se aplicaPonta",Mercado_Receita!$L$2:$L$444)+SUMIF(Mercado_Receita!$S$2:$S$444,"44621B3Convencional pré-pagamentoNão se aplicaNão se aplicaNão se aplicaNão se aplicaFora ponta",Mercado_Receita!$L$2:$L$444)+SUMIF(Mercado_Receita!$S$2:$S$444,"44621B3Convencional pré-pagamentoNão se aplicaNão se aplicaNão se aplicaNão se aplicaIntermediário",Mercado_Receita!$L$2:$L$444)+SUMIF(Mercado_Receita!$S$2:$S$444,"44621B3Convencional pré-pagamentoNão se aplicaNão se aplicaNão se aplicaNão se aplicaNão se aplica",Mercado_Receita!$L$2:$L$444)</f>
        <v>0</v>
      </c>
      <c r="R46" s="12">
        <f>SUMIF(Mercado_Receita!$S$2:$S$444,"44652B3Convencional pré-pagamentoNão se aplicaNão se aplicaNão se aplicaNão se aplicaPonta",Mercado_Receita!$L$2:$L$444)+SUMIF(Mercado_Receita!$S$2:$S$444,"44652B3Convencional pré-pagamentoNão se aplicaNão se aplicaNão se aplicaNão se aplicaFora ponta",Mercado_Receita!$L$2:$L$444)+SUMIF(Mercado_Receita!$S$2:$S$444,"44652B3Convencional pré-pagamentoNão se aplicaNão se aplicaNão se aplicaNão se aplicaIntermediário",Mercado_Receita!$L$2:$L$444)+SUMIF(Mercado_Receita!$S$2:$S$444,"44652B3Convencional pré-pagamentoNão se aplicaNão se aplicaNão se aplicaNão se aplicaNão se aplica",Mercado_Receita!$L$2:$L$444)</f>
        <v>0</v>
      </c>
      <c r="S46" s="12">
        <f>SUMIF(Mercado_Receita!$S$2:$S$444,"44682B3Convencional pré-pagamentoNão se aplicaNão se aplicaNão se aplicaNão se aplicaPonta",Mercado_Receita!$L$2:$L$444)+SUMIF(Mercado_Receita!$S$2:$S$444,"44682B3Convencional pré-pagamentoNão se aplicaNão se aplicaNão se aplicaNão se aplicaFora ponta",Mercado_Receita!$L$2:$L$444)+SUMIF(Mercado_Receita!$S$2:$S$444,"44682B3Convencional pré-pagamentoNão se aplicaNão se aplicaNão se aplicaNão se aplicaIntermediário",Mercado_Receita!$L$2:$L$444)+SUMIF(Mercado_Receita!$S$2:$S$444,"44682B3Convencional pré-pagamentoNão se aplicaNão se aplicaNão se aplicaNão se aplicaNão se aplica",Mercado_Receita!$L$2:$L$444)</f>
        <v>0</v>
      </c>
      <c r="T46" s="12">
        <f>SUMIF(Mercado_Receita!$S$2:$S$444,"44713B3Convencional pré-pagamentoNão se aplicaNão se aplicaNão se aplicaNão se aplicaPonta",Mercado_Receita!$L$2:$L$444)+SUMIF(Mercado_Receita!$S$2:$S$444,"44713B3Convencional pré-pagamentoNão se aplicaNão se aplicaNão se aplicaNão se aplicaFora ponta",Mercado_Receita!$L$2:$L$444)+SUMIF(Mercado_Receita!$S$2:$S$444,"44713B3Convencional pré-pagamentoNão se aplicaNão se aplicaNão se aplicaNão se aplicaIntermediário",Mercado_Receita!$L$2:$L$444)+SUMIF(Mercado_Receita!$S$2:$S$444,"44713B3Convencional pré-pagamentoNão se aplicaNão se aplicaNão se aplicaNão se aplicaNão se aplica",Mercado_Receita!$L$2:$L$444)</f>
        <v>0</v>
      </c>
      <c r="U46" s="12">
        <f t="shared" si="0"/>
        <v>0</v>
      </c>
      <c r="V46" s="12"/>
      <c r="W46" s="12"/>
    </row>
    <row r="47" spans="1:23" ht="11.25" customHeight="1" x14ac:dyDescent="0.25">
      <c r="A47" s="118" t="s">
        <v>42</v>
      </c>
      <c r="B47" s="118" t="s">
        <v>23</v>
      </c>
      <c r="C47" s="118" t="s">
        <v>43</v>
      </c>
      <c r="D47" s="13" t="s">
        <v>44</v>
      </c>
      <c r="E47" s="13" t="s">
        <v>25</v>
      </c>
      <c r="F47" s="13" t="s">
        <v>25</v>
      </c>
      <c r="G47" s="12" t="s">
        <v>74</v>
      </c>
      <c r="H47" s="12" t="s">
        <v>70</v>
      </c>
      <c r="I47" s="12">
        <f>SUMIF(Mercado_Receita!$S$2:$S$444,"44378B4ConvencionalIluminação públicaIluminação pública – B4aNão se aplicaNão se aplicaPonta",Mercado_Receita!$L$2:$L$444)+SUMIF(Mercado_Receita!$S$2:$S$444,"44378B4ConvencionalIluminação públicaIluminação pública – B4aNão se aplicaNão se aplicaFora ponta",Mercado_Receita!$L$2:$L$444)+SUMIF(Mercado_Receita!$S$2:$S$444,"44378B4ConvencionalIluminação públicaIluminação pública – B4aNão se aplicaNão se aplicaIntermediário",Mercado_Receita!$L$2:$L$444)+SUMIF(Mercado_Receita!$S$2:$S$444,"44378B4ConvencionalIluminação públicaIluminação pública – B4aNão se aplicaNão se aplicaNão se aplica",Mercado_Receita!$L$2:$L$444)</f>
        <v>361.29700000000003</v>
      </c>
      <c r="J47" s="12">
        <f>SUMIF(Mercado_Receita!$S$2:$S$444,"44409B4ConvencionalIluminação públicaIluminação pública – B4aNão se aplicaNão se aplicaPonta",Mercado_Receita!$L$2:$L$444)+SUMIF(Mercado_Receita!$S$2:$S$444,"44409B4ConvencionalIluminação públicaIluminação pública – B4aNão se aplicaNão se aplicaFora ponta",Mercado_Receita!$L$2:$L$444)+SUMIF(Mercado_Receita!$S$2:$S$444,"44409B4ConvencionalIluminação públicaIluminação pública – B4aNão se aplicaNão se aplicaIntermediário",Mercado_Receita!$L$2:$L$444)+SUMIF(Mercado_Receita!$S$2:$S$444,"44409B4ConvencionalIluminação públicaIluminação pública – B4aNão se aplicaNão se aplicaNão se aplica",Mercado_Receita!$L$2:$L$444)</f>
        <v>323.56400000000002</v>
      </c>
      <c r="K47" s="12">
        <f>SUMIF(Mercado_Receita!$S$2:$S$444,"44440B4ConvencionalIluminação públicaIluminação pública – B4aNão se aplicaNão se aplicaPonta",Mercado_Receita!$L$2:$L$444)+SUMIF(Mercado_Receita!$S$2:$S$444,"44440B4ConvencionalIluminação públicaIluminação pública – B4aNão se aplicaNão se aplicaFora ponta",Mercado_Receita!$L$2:$L$444)+SUMIF(Mercado_Receita!$S$2:$S$444,"44440B4ConvencionalIluminação públicaIluminação pública – B4aNão se aplicaNão se aplicaIntermediário",Mercado_Receita!$L$2:$L$444)+SUMIF(Mercado_Receita!$S$2:$S$444,"44440B4ConvencionalIluminação públicaIluminação pública – B4aNão se aplicaNão se aplicaNão se aplica",Mercado_Receita!$L$2:$L$444)</f>
        <v>293.35199999999998</v>
      </c>
      <c r="L47" s="12">
        <f>SUMIF(Mercado_Receita!$S$2:$S$444,"44470B4ConvencionalIluminação públicaIluminação pública – B4aNão se aplicaNão se aplicaPonta",Mercado_Receita!$L$2:$L$444)+SUMIF(Mercado_Receita!$S$2:$S$444,"44470B4ConvencionalIluminação públicaIluminação pública – B4aNão se aplicaNão se aplicaFora ponta",Mercado_Receita!$L$2:$L$444)+SUMIF(Mercado_Receita!$S$2:$S$444,"44470B4ConvencionalIluminação públicaIluminação pública – B4aNão se aplicaNão se aplicaIntermediário",Mercado_Receita!$L$2:$L$444)+SUMIF(Mercado_Receita!$S$2:$S$444,"44470B4ConvencionalIluminação públicaIluminação pública – B4aNão se aplicaNão se aplicaNão se aplica",Mercado_Receita!$L$2:$L$444)</f>
        <v>281.81599999999997</v>
      </c>
      <c r="M47" s="12">
        <f>SUMIF(Mercado_Receita!$S$2:$S$444,"44501B4ConvencionalIluminação públicaIluminação pública – B4aNão se aplicaNão se aplicaPonta",Mercado_Receita!$L$2:$L$444)+SUMIF(Mercado_Receita!$S$2:$S$444,"44501B4ConvencionalIluminação públicaIluminação pública – B4aNão se aplicaNão se aplicaFora ponta",Mercado_Receita!$L$2:$L$444)+SUMIF(Mercado_Receita!$S$2:$S$444,"44501B4ConvencionalIluminação públicaIluminação pública – B4aNão se aplicaNão se aplicaIntermediário",Mercado_Receita!$L$2:$L$444)+SUMIF(Mercado_Receita!$S$2:$S$444,"44501B4ConvencionalIluminação públicaIluminação pública – B4aNão se aplicaNão se aplicaNão se aplica",Mercado_Receita!$L$2:$L$444)</f>
        <v>258.72500000000002</v>
      </c>
      <c r="N47" s="12">
        <f>SUMIF(Mercado_Receita!$S$2:$S$444,"44531B4ConvencionalIluminação públicaIluminação pública – B4aNão se aplicaNão se aplicaPonta",Mercado_Receita!$L$2:$L$444)+SUMIF(Mercado_Receita!$S$2:$S$444,"44531B4ConvencionalIluminação públicaIluminação pública – B4aNão se aplicaNão se aplicaFora ponta",Mercado_Receita!$L$2:$L$444)+SUMIF(Mercado_Receita!$S$2:$S$444,"44531B4ConvencionalIluminação públicaIluminação pública – B4aNão se aplicaNão se aplicaIntermediário",Mercado_Receita!$L$2:$L$444)+SUMIF(Mercado_Receita!$S$2:$S$444,"44531B4ConvencionalIluminação públicaIluminação pública – B4aNão se aplicaNão se aplicaNão se aplica",Mercado_Receita!$L$2:$L$444)</f>
        <v>265.32</v>
      </c>
      <c r="O47" s="12">
        <f>SUMIF(Mercado_Receita!$S$2:$S$444,"44562B4ConvencionalIluminação públicaIluminação pública – B4aNão se aplicaNão se aplicaPonta",Mercado_Receita!$L$2:$L$444)+SUMIF(Mercado_Receita!$S$2:$S$444,"44562B4ConvencionalIluminação públicaIluminação pública – B4aNão se aplicaNão se aplicaFora ponta",Mercado_Receita!$L$2:$L$444)+SUMIF(Mercado_Receita!$S$2:$S$444,"44562B4ConvencionalIluminação públicaIluminação pública – B4aNão se aplicaNão se aplicaIntermediário",Mercado_Receita!$L$2:$L$444)+SUMIF(Mercado_Receita!$S$2:$S$444,"44562B4ConvencionalIluminação públicaIluminação pública – B4aNão se aplicaNão se aplicaNão se aplica",Mercado_Receita!$L$2:$L$444)</f>
        <v>260.32100000000003</v>
      </c>
      <c r="P47" s="12">
        <f>SUMIF(Mercado_Receita!$S$2:$S$444,"44593B4ConvencionalIluminação públicaIluminação pública – B4aNão se aplicaNão se aplicaPonta",Mercado_Receita!$L$2:$L$444)+SUMIF(Mercado_Receita!$S$2:$S$444,"44593B4ConvencionalIluminação públicaIluminação pública – B4aNão se aplicaNão se aplicaFora ponta",Mercado_Receita!$L$2:$L$444)+SUMIF(Mercado_Receita!$S$2:$S$444,"44593B4ConvencionalIluminação públicaIluminação pública – B4aNão se aplicaNão se aplicaIntermediário",Mercado_Receita!$L$2:$L$444)+SUMIF(Mercado_Receita!$S$2:$S$444,"44593B4ConvencionalIluminação públicaIluminação pública – B4aNão se aplicaNão se aplicaNão se aplica",Mercado_Receita!$L$2:$L$444)</f>
        <v>249.749</v>
      </c>
      <c r="Q47" s="12">
        <f>SUMIF(Mercado_Receita!$S$2:$S$444,"44621B4ConvencionalIluminação públicaIluminação pública – B4aNão se aplicaNão se aplicaPonta",Mercado_Receita!$L$2:$L$444)+SUMIF(Mercado_Receita!$S$2:$S$444,"44621B4ConvencionalIluminação públicaIluminação pública – B4aNão se aplicaNão se aplicaFora ponta",Mercado_Receita!$L$2:$L$444)+SUMIF(Mercado_Receita!$S$2:$S$444,"44621B4ConvencionalIluminação públicaIluminação pública – B4aNão se aplicaNão se aplicaIntermediário",Mercado_Receita!$L$2:$L$444)+SUMIF(Mercado_Receita!$S$2:$S$444,"44621B4ConvencionalIluminação públicaIluminação pública – B4aNão se aplicaNão se aplicaNão se aplica",Mercado_Receita!$L$2:$L$444)</f>
        <v>298.02699999999999</v>
      </c>
      <c r="R47" s="12">
        <f>SUMIF(Mercado_Receita!$S$2:$S$444,"44652B4ConvencionalIluminação públicaIluminação pública – B4aNão se aplicaNão se aplicaPonta",Mercado_Receita!$L$2:$L$444)+SUMIF(Mercado_Receita!$S$2:$S$444,"44652B4ConvencionalIluminação públicaIluminação pública – B4aNão se aplicaNão se aplicaFora ponta",Mercado_Receita!$L$2:$L$444)+SUMIF(Mercado_Receita!$S$2:$S$444,"44652B4ConvencionalIluminação públicaIluminação pública – B4aNão se aplicaNão se aplicaIntermediário",Mercado_Receita!$L$2:$L$444)+SUMIF(Mercado_Receita!$S$2:$S$444,"44652B4ConvencionalIluminação públicaIluminação pública – B4aNão se aplicaNão se aplicaNão se aplica",Mercado_Receita!$L$2:$L$444)</f>
        <v>310.37</v>
      </c>
      <c r="S47" s="12">
        <f>SUMIF(Mercado_Receita!$S$2:$S$444,"44682B4ConvencionalIluminação públicaIluminação pública – B4aNão se aplicaNão se aplicaPonta",Mercado_Receita!$L$2:$L$444)+SUMIF(Mercado_Receita!$S$2:$S$444,"44682B4ConvencionalIluminação públicaIluminação pública – B4aNão se aplicaNão se aplicaFora ponta",Mercado_Receita!$L$2:$L$444)+SUMIF(Mercado_Receita!$S$2:$S$444,"44682B4ConvencionalIluminação públicaIluminação pública – B4aNão se aplicaNão se aplicaIntermediário",Mercado_Receita!$L$2:$L$444)+SUMIF(Mercado_Receita!$S$2:$S$444,"44682B4ConvencionalIluminação públicaIluminação pública – B4aNão se aplicaNão se aplicaNão se aplica",Mercado_Receita!$L$2:$L$444)</f>
        <v>338.00400000000002</v>
      </c>
      <c r="T47" s="12">
        <f>SUMIF(Mercado_Receita!$S$2:$S$444,"44713B4ConvencionalIluminação públicaIluminação pública – B4aNão se aplicaNão se aplicaPonta",Mercado_Receita!$L$2:$L$444)+SUMIF(Mercado_Receita!$S$2:$S$444,"44713B4ConvencionalIluminação públicaIluminação pública – B4aNão se aplicaNão se aplicaFora ponta",Mercado_Receita!$L$2:$L$444)+SUMIF(Mercado_Receita!$S$2:$S$444,"44713B4ConvencionalIluminação públicaIluminação pública – B4aNão se aplicaNão se aplicaIntermediário",Mercado_Receita!$L$2:$L$444)+SUMIF(Mercado_Receita!$S$2:$S$444,"44713B4ConvencionalIluminação públicaIluminação pública – B4aNão se aplicaNão se aplicaNão se aplica",Mercado_Receita!$L$2:$L$444)</f>
        <v>335.22500000000002</v>
      </c>
      <c r="U47" s="12">
        <f t="shared" si="0"/>
        <v>3575.7699999999995</v>
      </c>
      <c r="V47" s="12"/>
      <c r="W47" s="12"/>
    </row>
    <row r="48" spans="1:23" ht="11.25" customHeight="1" x14ac:dyDescent="0.25">
      <c r="A48" s="119"/>
      <c r="B48" s="119"/>
      <c r="C48" s="119"/>
      <c r="D48" s="12" t="s">
        <v>88</v>
      </c>
      <c r="E48" s="12" t="s">
        <v>25</v>
      </c>
      <c r="F48" s="12" t="s">
        <v>25</v>
      </c>
      <c r="G48" s="12" t="s">
        <v>74</v>
      </c>
      <c r="H48" s="12" t="s">
        <v>70</v>
      </c>
      <c r="I48" s="12">
        <f>SUMIF(Mercado_Receita!$S$2:$S$444,"44378B4ConvencionalIluminação públicaIluminação pública – B4bNão se aplicaNão se aplicaPonta",Mercado_Receita!$L$2:$L$444)+SUMIF(Mercado_Receita!$S$2:$S$444,"44378B4ConvencionalIluminação públicaIluminação pública – B4bNão se aplicaNão se aplicaFora ponta",Mercado_Receita!$L$2:$L$444)+SUMIF(Mercado_Receita!$S$2:$S$444,"44378B4ConvencionalIluminação públicaIluminação pública – B4bNão se aplicaNão se aplicaIntermediário",Mercado_Receita!$L$2:$L$444)+SUMIF(Mercado_Receita!$S$2:$S$444,"44378B4ConvencionalIluminação públicaIluminação pública – B4bNão se aplicaNão se aplicaNão se aplica",Mercado_Receita!$L$2:$L$444)</f>
        <v>0</v>
      </c>
      <c r="J48" s="12">
        <f>SUMIF(Mercado_Receita!$S$2:$S$444,"44409B4ConvencionalIluminação públicaIluminação pública – B4bNão se aplicaNão se aplicaPonta",Mercado_Receita!$L$2:$L$444)+SUMIF(Mercado_Receita!$S$2:$S$444,"44409B4ConvencionalIluminação públicaIluminação pública – B4bNão se aplicaNão se aplicaFora ponta",Mercado_Receita!$L$2:$L$444)+SUMIF(Mercado_Receita!$S$2:$S$444,"44409B4ConvencionalIluminação públicaIluminação pública – B4bNão se aplicaNão se aplicaIntermediário",Mercado_Receita!$L$2:$L$444)+SUMIF(Mercado_Receita!$S$2:$S$444,"44409B4ConvencionalIluminação públicaIluminação pública – B4bNão se aplicaNão se aplicaNão se aplica",Mercado_Receita!$L$2:$L$444)</f>
        <v>0</v>
      </c>
      <c r="K48" s="12">
        <f>SUMIF(Mercado_Receita!$S$2:$S$444,"44440B4ConvencionalIluminação públicaIluminação pública – B4bNão se aplicaNão se aplicaPonta",Mercado_Receita!$L$2:$L$444)+SUMIF(Mercado_Receita!$S$2:$S$444,"44440B4ConvencionalIluminação públicaIluminação pública – B4bNão se aplicaNão se aplicaFora ponta",Mercado_Receita!$L$2:$L$444)+SUMIF(Mercado_Receita!$S$2:$S$444,"44440B4ConvencionalIluminação públicaIluminação pública – B4bNão se aplicaNão se aplicaIntermediário",Mercado_Receita!$L$2:$L$444)+SUMIF(Mercado_Receita!$S$2:$S$444,"44440B4ConvencionalIluminação públicaIluminação pública – B4bNão se aplicaNão se aplicaNão se aplica",Mercado_Receita!$L$2:$L$444)</f>
        <v>0</v>
      </c>
      <c r="L48" s="12">
        <f>SUMIF(Mercado_Receita!$S$2:$S$444,"44470B4ConvencionalIluminação públicaIluminação pública – B4bNão se aplicaNão se aplicaPonta",Mercado_Receita!$L$2:$L$444)+SUMIF(Mercado_Receita!$S$2:$S$444,"44470B4ConvencionalIluminação públicaIluminação pública – B4bNão se aplicaNão se aplicaFora ponta",Mercado_Receita!$L$2:$L$444)+SUMIF(Mercado_Receita!$S$2:$S$444,"44470B4ConvencionalIluminação públicaIluminação pública – B4bNão se aplicaNão se aplicaIntermediário",Mercado_Receita!$L$2:$L$444)+SUMIF(Mercado_Receita!$S$2:$S$444,"44470B4ConvencionalIluminação públicaIluminação pública – B4bNão se aplicaNão se aplicaNão se aplica",Mercado_Receita!$L$2:$L$444)</f>
        <v>0</v>
      </c>
      <c r="M48" s="12">
        <f>SUMIF(Mercado_Receita!$S$2:$S$444,"44501B4ConvencionalIluminação públicaIluminação pública – B4bNão se aplicaNão se aplicaPonta",Mercado_Receita!$L$2:$L$444)+SUMIF(Mercado_Receita!$S$2:$S$444,"44501B4ConvencionalIluminação públicaIluminação pública – B4bNão se aplicaNão se aplicaFora ponta",Mercado_Receita!$L$2:$L$444)+SUMIF(Mercado_Receita!$S$2:$S$444,"44501B4ConvencionalIluminação públicaIluminação pública – B4bNão se aplicaNão se aplicaIntermediário",Mercado_Receita!$L$2:$L$444)+SUMIF(Mercado_Receita!$S$2:$S$444,"44501B4ConvencionalIluminação públicaIluminação pública – B4bNão se aplicaNão se aplicaNão se aplica",Mercado_Receita!$L$2:$L$444)</f>
        <v>0</v>
      </c>
      <c r="N48" s="12">
        <f>SUMIF(Mercado_Receita!$S$2:$S$444,"44531B4ConvencionalIluminação públicaIluminação pública – B4bNão se aplicaNão se aplicaPonta",Mercado_Receita!$L$2:$L$444)+SUMIF(Mercado_Receita!$S$2:$S$444,"44531B4ConvencionalIluminação públicaIluminação pública – B4bNão se aplicaNão se aplicaFora ponta",Mercado_Receita!$L$2:$L$444)+SUMIF(Mercado_Receita!$S$2:$S$444,"44531B4ConvencionalIluminação públicaIluminação pública – B4bNão se aplicaNão se aplicaIntermediário",Mercado_Receita!$L$2:$L$444)+SUMIF(Mercado_Receita!$S$2:$S$444,"44531B4ConvencionalIluminação públicaIluminação pública – B4bNão se aplicaNão se aplicaNão se aplica",Mercado_Receita!$L$2:$L$444)</f>
        <v>0</v>
      </c>
      <c r="O48" s="12">
        <f>SUMIF(Mercado_Receita!$S$2:$S$444,"44562B4ConvencionalIluminação públicaIluminação pública – B4bNão se aplicaNão se aplicaPonta",Mercado_Receita!$L$2:$L$444)+SUMIF(Mercado_Receita!$S$2:$S$444,"44562B4ConvencionalIluminação públicaIluminação pública – B4bNão se aplicaNão se aplicaFora ponta",Mercado_Receita!$L$2:$L$444)+SUMIF(Mercado_Receita!$S$2:$S$444,"44562B4ConvencionalIluminação públicaIluminação pública – B4bNão se aplicaNão se aplicaIntermediário",Mercado_Receita!$L$2:$L$444)+SUMIF(Mercado_Receita!$S$2:$S$444,"44562B4ConvencionalIluminação públicaIluminação pública – B4bNão se aplicaNão se aplicaNão se aplica",Mercado_Receita!$L$2:$L$444)</f>
        <v>0</v>
      </c>
      <c r="P48" s="12">
        <f>SUMIF(Mercado_Receita!$S$2:$S$444,"44593B4ConvencionalIluminação públicaIluminação pública – B4bNão se aplicaNão se aplicaPonta",Mercado_Receita!$L$2:$L$444)+SUMIF(Mercado_Receita!$S$2:$S$444,"44593B4ConvencionalIluminação públicaIluminação pública – B4bNão se aplicaNão se aplicaFora ponta",Mercado_Receita!$L$2:$L$444)+SUMIF(Mercado_Receita!$S$2:$S$444,"44593B4ConvencionalIluminação públicaIluminação pública – B4bNão se aplicaNão se aplicaIntermediário",Mercado_Receita!$L$2:$L$444)+SUMIF(Mercado_Receita!$S$2:$S$444,"44593B4ConvencionalIluminação públicaIluminação pública – B4bNão se aplicaNão se aplicaNão se aplica",Mercado_Receita!$L$2:$L$444)</f>
        <v>0</v>
      </c>
      <c r="Q48" s="12">
        <f>SUMIF(Mercado_Receita!$S$2:$S$444,"44621B4ConvencionalIluminação públicaIluminação pública – B4bNão se aplicaNão se aplicaPonta",Mercado_Receita!$L$2:$L$444)+SUMIF(Mercado_Receita!$S$2:$S$444,"44621B4ConvencionalIluminação públicaIluminação pública – B4bNão se aplicaNão se aplicaFora ponta",Mercado_Receita!$L$2:$L$444)+SUMIF(Mercado_Receita!$S$2:$S$444,"44621B4ConvencionalIluminação públicaIluminação pública – B4bNão se aplicaNão se aplicaIntermediário",Mercado_Receita!$L$2:$L$444)+SUMIF(Mercado_Receita!$S$2:$S$444,"44621B4ConvencionalIluminação públicaIluminação pública – B4bNão se aplicaNão se aplicaNão se aplica",Mercado_Receita!$L$2:$L$444)</f>
        <v>0</v>
      </c>
      <c r="R48" s="12">
        <f>SUMIF(Mercado_Receita!$S$2:$S$444,"44652B4ConvencionalIluminação públicaIluminação pública – B4bNão se aplicaNão se aplicaPonta",Mercado_Receita!$L$2:$L$444)+SUMIF(Mercado_Receita!$S$2:$S$444,"44652B4ConvencionalIluminação públicaIluminação pública – B4bNão se aplicaNão se aplicaFora ponta",Mercado_Receita!$L$2:$L$444)+SUMIF(Mercado_Receita!$S$2:$S$444,"44652B4ConvencionalIluminação públicaIluminação pública – B4bNão se aplicaNão se aplicaIntermediário",Mercado_Receita!$L$2:$L$444)+SUMIF(Mercado_Receita!$S$2:$S$444,"44652B4ConvencionalIluminação públicaIluminação pública – B4bNão se aplicaNão se aplicaNão se aplica",Mercado_Receita!$L$2:$L$444)</f>
        <v>0</v>
      </c>
      <c r="S48" s="12">
        <f>SUMIF(Mercado_Receita!$S$2:$S$444,"44682B4ConvencionalIluminação públicaIluminação pública – B4bNão se aplicaNão se aplicaPonta",Mercado_Receita!$L$2:$L$444)+SUMIF(Mercado_Receita!$S$2:$S$444,"44682B4ConvencionalIluminação públicaIluminação pública – B4bNão se aplicaNão se aplicaFora ponta",Mercado_Receita!$L$2:$L$444)+SUMIF(Mercado_Receita!$S$2:$S$444,"44682B4ConvencionalIluminação públicaIluminação pública – B4bNão se aplicaNão se aplicaIntermediário",Mercado_Receita!$L$2:$L$444)+SUMIF(Mercado_Receita!$S$2:$S$444,"44682B4ConvencionalIluminação públicaIluminação pública – B4bNão se aplicaNão se aplicaNão se aplica",Mercado_Receita!$L$2:$L$444)</f>
        <v>0</v>
      </c>
      <c r="T48" s="12">
        <f>SUMIF(Mercado_Receita!$S$2:$S$444,"44713B4ConvencionalIluminação públicaIluminação pública – B4bNão se aplicaNão se aplicaPonta",Mercado_Receita!$L$2:$L$444)+SUMIF(Mercado_Receita!$S$2:$S$444,"44713B4ConvencionalIluminação públicaIluminação pública – B4bNão se aplicaNão se aplicaFora ponta",Mercado_Receita!$L$2:$L$444)+SUMIF(Mercado_Receita!$S$2:$S$444,"44713B4ConvencionalIluminação públicaIluminação pública – B4bNão se aplicaNão se aplicaIntermediário",Mercado_Receita!$L$2:$L$444)+SUMIF(Mercado_Receita!$S$2:$S$444,"44713B4ConvencionalIluminação públicaIluminação pública – B4bNão se aplicaNão se aplicaNão se aplica",Mercado_Receita!$L$2:$L$444)</f>
        <v>0</v>
      </c>
      <c r="U48" s="12">
        <f t="shared" si="0"/>
        <v>0</v>
      </c>
      <c r="V48" s="12"/>
      <c r="W48" s="12"/>
    </row>
    <row r="49" spans="1:23" ht="11.25" customHeight="1" x14ac:dyDescent="0.25">
      <c r="A49" s="120" t="s">
        <v>407</v>
      </c>
      <c r="B49" s="121"/>
      <c r="C49" s="121"/>
      <c r="D49" s="121"/>
      <c r="E49" s="121"/>
      <c r="F49" s="121"/>
      <c r="G49" s="121"/>
      <c r="H49" s="121"/>
      <c r="I49" s="121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"/>
      <c r="W49" s="12"/>
    </row>
  </sheetData>
  <mergeCells count="55">
    <mergeCell ref="A2:A11"/>
    <mergeCell ref="F2:F4"/>
    <mergeCell ref="E2:E4"/>
    <mergeCell ref="D2:D5"/>
    <mergeCell ref="C2:C5"/>
    <mergeCell ref="B2:B5"/>
    <mergeCell ref="F7:F9"/>
    <mergeCell ref="E7:E9"/>
    <mergeCell ref="F10:F11"/>
    <mergeCell ref="E10:E11"/>
    <mergeCell ref="D7:D11"/>
    <mergeCell ref="C7:C11"/>
    <mergeCell ref="B7:B11"/>
    <mergeCell ref="D12:D13"/>
    <mergeCell ref="C12:C13"/>
    <mergeCell ref="B12:B13"/>
    <mergeCell ref="A12:A13"/>
    <mergeCell ref="F14:F16"/>
    <mergeCell ref="E14:E16"/>
    <mergeCell ref="D14:D16"/>
    <mergeCell ref="C14:C16"/>
    <mergeCell ref="B14:B16"/>
    <mergeCell ref="F27:F29"/>
    <mergeCell ref="E27:E29"/>
    <mergeCell ref="D27:D29"/>
    <mergeCell ref="C27:C29"/>
    <mergeCell ref="B27:B29"/>
    <mergeCell ref="C17:C21"/>
    <mergeCell ref="B17:B21"/>
    <mergeCell ref="C22:C26"/>
    <mergeCell ref="B22:B26"/>
    <mergeCell ref="A14:A26"/>
    <mergeCell ref="C31:C33"/>
    <mergeCell ref="B31:B33"/>
    <mergeCell ref="F35:F37"/>
    <mergeCell ref="E35:E37"/>
    <mergeCell ref="D35:D37"/>
    <mergeCell ref="C35:C37"/>
    <mergeCell ref="B35:B37"/>
    <mergeCell ref="A47:A48"/>
    <mergeCell ref="B47:B48"/>
    <mergeCell ref="C47:C48"/>
    <mergeCell ref="A49:U49"/>
    <mergeCell ref="C39:C41"/>
    <mergeCell ref="B39:B41"/>
    <mergeCell ref="A27:A41"/>
    <mergeCell ref="F42:F44"/>
    <mergeCell ref="E42:E44"/>
    <mergeCell ref="D42:D44"/>
    <mergeCell ref="C42:C44"/>
    <mergeCell ref="B42:B44"/>
    <mergeCell ref="A42:A46"/>
    <mergeCell ref="F31:F33"/>
    <mergeCell ref="E31:E33"/>
    <mergeCell ref="D31:D33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2F607-6735-4F93-B9A9-A96B12FB795F}">
  <dimension ref="A1:AD40"/>
  <sheetViews>
    <sheetView showGridLines="0" workbookViewId="0">
      <selection sqref="A1:W40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60</v>
      </c>
      <c r="B1" s="10" t="s">
        <v>61</v>
      </c>
      <c r="C1" s="10" t="s">
        <v>62</v>
      </c>
      <c r="D1" s="10" t="s">
        <v>63</v>
      </c>
      <c r="E1" s="10" t="s">
        <v>64</v>
      </c>
      <c r="F1" s="10" t="s">
        <v>65</v>
      </c>
      <c r="G1" s="10" t="s">
        <v>66</v>
      </c>
      <c r="H1" s="10" t="s">
        <v>67</v>
      </c>
      <c r="I1" s="11">
        <v>44378</v>
      </c>
      <c r="J1" s="11">
        <v>44409</v>
      </c>
      <c r="K1" s="11">
        <v>44440</v>
      </c>
      <c r="L1" s="11">
        <v>44470</v>
      </c>
      <c r="M1" s="11">
        <v>44501</v>
      </c>
      <c r="N1" s="11">
        <v>44531</v>
      </c>
      <c r="O1" s="11">
        <v>44562</v>
      </c>
      <c r="P1" s="11">
        <v>44593</v>
      </c>
      <c r="Q1" s="11">
        <v>44621</v>
      </c>
      <c r="R1" s="11">
        <v>44652</v>
      </c>
      <c r="S1" s="11">
        <v>44682</v>
      </c>
      <c r="T1" s="11">
        <v>44713</v>
      </c>
      <c r="U1" s="10" t="s">
        <v>68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18" t="s">
        <v>34</v>
      </c>
      <c r="B2" s="118" t="s">
        <v>69</v>
      </c>
      <c r="C2" s="118" t="s">
        <v>25</v>
      </c>
      <c r="D2" s="118" t="s">
        <v>25</v>
      </c>
      <c r="E2" s="118" t="s">
        <v>25</v>
      </c>
      <c r="F2" s="118" t="s">
        <v>25</v>
      </c>
      <c r="G2" s="12" t="s">
        <v>71</v>
      </c>
      <c r="H2" s="12" t="s">
        <v>70</v>
      </c>
      <c r="I2" s="12">
        <f>SUMIF(Mercado_Receita!$T$2:$T$444,"44378A4Energia horáriaNão se aplicaNão se aplicaNão se aplicaNão se aplicaPonta",Mercado_Receita!$N$2:$N$444)</f>
        <v>189.22699999999998</v>
      </c>
      <c r="J2" s="12">
        <f>SUMIF(Mercado_Receita!$T$2:$T$444,"44409A4Energia horáriaNão se aplicaNão se aplicaNão se aplicaNão se aplicaPonta",Mercado_Receita!$N$2:$N$444)</f>
        <v>195.03100000000001</v>
      </c>
      <c r="K2" s="12">
        <f>SUMIF(Mercado_Receita!$T$2:$T$444,"44440A4Energia horáriaNão se aplicaNão se aplicaNão se aplicaNão se aplicaPonta",Mercado_Receita!$N$2:$N$444)</f>
        <v>184.21099999999998</v>
      </c>
      <c r="L2" s="12">
        <f>SUMIF(Mercado_Receita!$T$2:$T$444,"44470A4Energia horáriaNão se aplicaNão se aplicaNão se aplicaNão se aplicaPonta",Mercado_Receita!$N$2:$N$444)</f>
        <v>186.18299999999999</v>
      </c>
      <c r="M2" s="12">
        <f>SUMIF(Mercado_Receita!$T$2:$T$444,"44501A4Energia horáriaNão se aplicaNão se aplicaNão se aplicaNão se aplicaPonta",Mercado_Receita!$N$2:$N$444)</f>
        <v>188.84200000000001</v>
      </c>
      <c r="N2" s="12">
        <f>SUMIF(Mercado_Receita!$T$2:$T$444,"44531A4Energia horáriaNão se aplicaNão se aplicaNão se aplicaNão se aplicaPonta",Mercado_Receita!$N$2:$N$444)</f>
        <v>209.041</v>
      </c>
      <c r="O2" s="12">
        <f>SUMIF(Mercado_Receita!$T$2:$T$444,"44562A4Energia horáriaNão se aplicaNão se aplicaNão se aplicaNão se aplicaPonta",Mercado_Receita!$N$2:$N$444)</f>
        <v>190.17600000000002</v>
      </c>
      <c r="P2" s="12">
        <f>SUMIF(Mercado_Receita!$T$2:$T$444,"44593A4Energia horáriaNão se aplicaNão se aplicaNão se aplicaNão se aplicaPonta",Mercado_Receita!$N$2:$N$444)</f>
        <v>169.816</v>
      </c>
      <c r="Q2" s="12">
        <f>SUMIF(Mercado_Receita!$T$2:$T$444,"44621A4Energia horáriaNão se aplicaNão se aplicaNão se aplicaNão se aplicaPonta",Mercado_Receita!$N$2:$N$444)</f>
        <v>169.38499999999999</v>
      </c>
      <c r="R2" s="12">
        <f>SUMIF(Mercado_Receita!$T$2:$T$444,"44652A4Energia horáriaNão se aplicaNão se aplicaNão se aplicaNão se aplicaPonta",Mercado_Receita!$N$2:$N$444)</f>
        <v>158.45300000000003</v>
      </c>
      <c r="S2" s="12">
        <f>SUMIF(Mercado_Receita!$T$2:$T$444,"44682A4Energia horáriaNão se aplicaNão se aplicaNão se aplicaNão se aplicaPonta",Mercado_Receita!$N$2:$N$444)</f>
        <v>163.51100000000002</v>
      </c>
      <c r="T2" s="12">
        <f>SUMIF(Mercado_Receita!$T$2:$T$444,"44713A4Energia horáriaNão se aplicaNão se aplicaNão se aplicaNão se aplicaPonta",Mercado_Receita!$N$2:$N$444)</f>
        <v>152.39400000000001</v>
      </c>
      <c r="U2" s="12">
        <f t="shared" ref="U2:U39" si="0">SUM(I2:T2)</f>
        <v>2156.2699999999995</v>
      </c>
      <c r="V2" s="12"/>
      <c r="W2" s="12"/>
    </row>
    <row r="3" spans="1:30" ht="11.25" customHeight="1" x14ac:dyDescent="0.25">
      <c r="A3" s="119"/>
      <c r="B3" s="119"/>
      <c r="C3" s="119"/>
      <c r="D3" s="119"/>
      <c r="E3" s="119"/>
      <c r="F3" s="119"/>
      <c r="G3" s="12" t="s">
        <v>72</v>
      </c>
      <c r="H3" s="12" t="s">
        <v>70</v>
      </c>
      <c r="I3" s="12">
        <f>SUMIF(Mercado_Receita!$T$2:$T$444,"44378A4Energia horáriaNão se aplicaNão se aplicaNão se aplicaNão se aplicaFora ponta",Mercado_Receita!$N$2:$N$444)</f>
        <v>2045.164</v>
      </c>
      <c r="J3" s="12">
        <f>SUMIF(Mercado_Receita!$T$2:$T$444,"44409A4Energia horáriaNão se aplicaNão se aplicaNão se aplicaNão se aplicaFora ponta",Mercado_Receita!$N$2:$N$444)</f>
        <v>2080.0499999999997</v>
      </c>
      <c r="K3" s="12">
        <f>SUMIF(Mercado_Receita!$T$2:$T$444,"44440A4Energia horáriaNão se aplicaNão se aplicaNão se aplicaNão se aplicaFora ponta",Mercado_Receita!$N$2:$N$444)</f>
        <v>2007.627</v>
      </c>
      <c r="L3" s="12">
        <f>SUMIF(Mercado_Receita!$T$2:$T$444,"44470A4Energia horáriaNão se aplicaNão se aplicaNão se aplicaNão se aplicaFora ponta",Mercado_Receita!$N$2:$N$444)</f>
        <v>2120.1849999999999</v>
      </c>
      <c r="M3" s="12">
        <f>SUMIF(Mercado_Receita!$T$2:$T$444,"44501A4Energia horáriaNão se aplicaNão se aplicaNão se aplicaNão se aplicaFora ponta",Mercado_Receita!$N$2:$N$444)</f>
        <v>2130.4850000000001</v>
      </c>
      <c r="N3" s="12">
        <f>SUMIF(Mercado_Receita!$T$2:$T$444,"44531A4Energia horáriaNão se aplicaNão se aplicaNão se aplicaNão se aplicaFora ponta",Mercado_Receita!$N$2:$N$444)</f>
        <v>2124.9209999999998</v>
      </c>
      <c r="O3" s="12">
        <f>SUMIF(Mercado_Receita!$T$2:$T$444,"44562A4Energia horáriaNão se aplicaNão se aplicaNão se aplicaNão se aplicaFora ponta",Mercado_Receita!$N$2:$N$444)</f>
        <v>2077.1869999999999</v>
      </c>
      <c r="P3" s="12">
        <f>SUMIF(Mercado_Receita!$T$2:$T$444,"44593A4Energia horáriaNão se aplicaNão se aplicaNão se aplicaNão se aplicaFora ponta",Mercado_Receita!$N$2:$N$444)</f>
        <v>1735.9829999999999</v>
      </c>
      <c r="Q3" s="12">
        <f>SUMIF(Mercado_Receita!$T$2:$T$444,"44621A4Energia horáriaNão se aplicaNão se aplicaNão se aplicaNão se aplicaFora ponta",Mercado_Receita!$N$2:$N$444)</f>
        <v>1787.415</v>
      </c>
      <c r="R3" s="12">
        <f>SUMIF(Mercado_Receita!$T$2:$T$444,"44652A4Energia horáriaNão se aplicaNão se aplicaNão se aplicaNão se aplicaFora ponta",Mercado_Receita!$N$2:$N$444)</f>
        <v>1828.7719999999999</v>
      </c>
      <c r="S3" s="12">
        <f>SUMIF(Mercado_Receita!$T$2:$T$444,"44682A4Energia horáriaNão se aplicaNão se aplicaNão se aplicaNão se aplicaFora ponta",Mercado_Receita!$N$2:$N$444)</f>
        <v>1717.8770000000002</v>
      </c>
      <c r="T3" s="12">
        <f>SUMIF(Mercado_Receita!$T$2:$T$444,"44713A4Energia horáriaNão se aplicaNão se aplicaNão se aplicaNão se aplicaFora ponta",Mercado_Receita!$N$2:$N$444)</f>
        <v>1701.107</v>
      </c>
      <c r="U3" s="12">
        <f t="shared" si="0"/>
        <v>23356.773000000001</v>
      </c>
      <c r="V3" s="12"/>
      <c r="W3" s="12"/>
    </row>
    <row r="4" spans="1:30" ht="11.25" customHeight="1" x14ac:dyDescent="0.25">
      <c r="A4" s="119"/>
      <c r="B4" s="13" t="s">
        <v>73</v>
      </c>
      <c r="C4" s="13" t="s">
        <v>25</v>
      </c>
      <c r="D4" s="13" t="s">
        <v>25</v>
      </c>
      <c r="E4" s="13" t="s">
        <v>25</v>
      </c>
      <c r="F4" s="13" t="s">
        <v>25</v>
      </c>
      <c r="G4" s="12" t="s">
        <v>74</v>
      </c>
      <c r="H4" s="12" t="s">
        <v>70</v>
      </c>
      <c r="I4" s="12">
        <f>SUMIF(Mercado_Receita!$T$2:$T$444,"44378A4Energia convencionalNão se aplicaNão se aplicaNão se aplicaNão se aplicaNão se aplica",Mercado_Receita!$N$2:$N$444)</f>
        <v>0</v>
      </c>
      <c r="J4" s="12">
        <f>SUMIF(Mercado_Receita!$T$2:$T$444,"44409A4Energia convencionalNão se aplicaNão se aplicaNão se aplicaNão se aplicaNão se aplica",Mercado_Receita!$N$2:$N$444)</f>
        <v>0</v>
      </c>
      <c r="K4" s="12">
        <f>SUMIF(Mercado_Receita!$T$2:$T$444,"44440A4Energia convencionalNão se aplicaNão se aplicaNão se aplicaNão se aplicaNão se aplica",Mercado_Receita!$N$2:$N$444)</f>
        <v>0</v>
      </c>
      <c r="L4" s="12">
        <f>SUMIF(Mercado_Receita!$T$2:$T$444,"44470A4Energia convencionalNão se aplicaNão se aplicaNão se aplicaNão se aplicaNão se aplica",Mercado_Receita!$N$2:$N$444)</f>
        <v>0</v>
      </c>
      <c r="M4" s="12">
        <f>SUMIF(Mercado_Receita!$T$2:$T$444,"44501A4Energia convencionalNão se aplicaNão se aplicaNão se aplicaNão se aplicaNão se aplica",Mercado_Receita!$N$2:$N$444)</f>
        <v>0</v>
      </c>
      <c r="N4" s="12">
        <f>SUMIF(Mercado_Receita!$T$2:$T$444,"44531A4Energia convencionalNão se aplicaNão se aplicaNão se aplicaNão se aplicaNão se aplica",Mercado_Receita!$N$2:$N$444)</f>
        <v>0</v>
      </c>
      <c r="O4" s="12">
        <f>SUMIF(Mercado_Receita!$T$2:$T$444,"44562A4Energia convencionalNão se aplicaNão se aplicaNão se aplicaNão se aplicaNão se aplica",Mercado_Receita!$N$2:$N$444)</f>
        <v>0</v>
      </c>
      <c r="P4" s="12">
        <f>SUMIF(Mercado_Receita!$T$2:$T$444,"44593A4Energia convencionalNão se aplicaNão se aplicaNão se aplicaNão se aplicaNão se aplica",Mercado_Receita!$N$2:$N$444)</f>
        <v>0</v>
      </c>
      <c r="Q4" s="12">
        <f>SUMIF(Mercado_Receita!$T$2:$T$444,"44621A4Energia convencionalNão se aplicaNão se aplicaNão se aplicaNão se aplicaNão se aplica",Mercado_Receita!$N$2:$N$444)</f>
        <v>0</v>
      </c>
      <c r="R4" s="12">
        <f>SUMIF(Mercado_Receita!$T$2:$T$444,"44652A4Energia convencionalNão se aplicaNão se aplicaNão se aplicaNão se aplicaNão se aplica",Mercado_Receita!$N$2:$N$444)</f>
        <v>0</v>
      </c>
      <c r="S4" s="12">
        <f>SUMIF(Mercado_Receita!$T$2:$T$444,"44682A4Energia convencionalNão se aplicaNão se aplicaNão se aplicaNão se aplicaNão se aplica",Mercado_Receita!$N$2:$N$444)</f>
        <v>0</v>
      </c>
      <c r="T4" s="12">
        <f>SUMIF(Mercado_Receita!$T$2:$T$444,"44713A4Energia convencionalNão se aplicaNão se aplicaNão se aplicaNão se aplicaNão se aplica",Mercado_Receita!$N$2:$N$444)</f>
        <v>0</v>
      </c>
      <c r="U4" s="12">
        <f t="shared" si="0"/>
        <v>0</v>
      </c>
      <c r="V4" s="12"/>
      <c r="W4" s="12"/>
    </row>
    <row r="5" spans="1:30" ht="11.25" customHeight="1" x14ac:dyDescent="0.25">
      <c r="A5" s="118" t="s">
        <v>22</v>
      </c>
      <c r="B5" s="118" t="s">
        <v>69</v>
      </c>
      <c r="C5" s="118" t="s">
        <v>24</v>
      </c>
      <c r="D5" s="118" t="s">
        <v>24</v>
      </c>
      <c r="E5" s="118" t="s">
        <v>25</v>
      </c>
      <c r="F5" s="118" t="s">
        <v>25</v>
      </c>
      <c r="G5" s="12" t="s">
        <v>71</v>
      </c>
      <c r="H5" s="12" t="s">
        <v>70</v>
      </c>
      <c r="I5" s="12">
        <f>SUMIF(Mercado_Receita!$T$2:$T$444,"44378B1Energia horáriaResidencialResidencialNão se aplicaNão se aplicaPonta",Mercado_Receita!$N$2:$N$444)</f>
        <v>0</v>
      </c>
      <c r="J5" s="12">
        <f>SUMIF(Mercado_Receita!$T$2:$T$444,"44409B1Energia horáriaResidencialResidencialNão se aplicaNão se aplicaPonta",Mercado_Receita!$N$2:$N$444)</f>
        <v>0</v>
      </c>
      <c r="K5" s="12">
        <f>SUMIF(Mercado_Receita!$T$2:$T$444,"44440B1Energia horáriaResidencialResidencialNão se aplicaNão se aplicaPonta",Mercado_Receita!$N$2:$N$444)</f>
        <v>0</v>
      </c>
      <c r="L5" s="12">
        <f>SUMIF(Mercado_Receita!$T$2:$T$444,"44470B1Energia horáriaResidencialResidencialNão se aplicaNão se aplicaPonta",Mercado_Receita!$N$2:$N$444)</f>
        <v>0</v>
      </c>
      <c r="M5" s="12">
        <f>SUMIF(Mercado_Receita!$T$2:$T$444,"44501B1Energia horáriaResidencialResidencialNão se aplicaNão se aplicaPonta",Mercado_Receita!$N$2:$N$444)</f>
        <v>0</v>
      </c>
      <c r="N5" s="12">
        <f>SUMIF(Mercado_Receita!$T$2:$T$444,"44531B1Energia horáriaResidencialResidencialNão se aplicaNão se aplicaPonta",Mercado_Receita!$N$2:$N$444)</f>
        <v>0</v>
      </c>
      <c r="O5" s="12">
        <f>SUMIF(Mercado_Receita!$T$2:$T$444,"44562B1Energia horáriaResidencialResidencialNão se aplicaNão se aplicaPonta",Mercado_Receita!$N$2:$N$444)</f>
        <v>0</v>
      </c>
      <c r="P5" s="12">
        <f>SUMIF(Mercado_Receita!$T$2:$T$444,"44593B1Energia horáriaResidencialResidencialNão se aplicaNão se aplicaPonta",Mercado_Receita!$N$2:$N$444)</f>
        <v>0</v>
      </c>
      <c r="Q5" s="12">
        <f>SUMIF(Mercado_Receita!$T$2:$T$444,"44621B1Energia horáriaResidencialResidencialNão se aplicaNão se aplicaPonta",Mercado_Receita!$N$2:$N$444)</f>
        <v>0</v>
      </c>
      <c r="R5" s="12">
        <f>SUMIF(Mercado_Receita!$T$2:$T$444,"44652B1Energia horáriaResidencialResidencialNão se aplicaNão se aplicaPonta",Mercado_Receita!$N$2:$N$444)</f>
        <v>0</v>
      </c>
      <c r="S5" s="12">
        <f>SUMIF(Mercado_Receita!$T$2:$T$444,"44682B1Energia horáriaResidencialResidencialNão se aplicaNão se aplicaPonta",Mercado_Receita!$N$2:$N$444)</f>
        <v>0</v>
      </c>
      <c r="T5" s="12">
        <f>SUMIF(Mercado_Receita!$T$2:$T$444,"44713B1Energia horáriaResidencialResidencialNão se aplicaNão se aplicaPonta",Mercado_Receita!$N$2:$N$444)</f>
        <v>0</v>
      </c>
      <c r="U5" s="12">
        <f t="shared" si="0"/>
        <v>0</v>
      </c>
      <c r="V5" s="12"/>
      <c r="W5" s="12"/>
    </row>
    <row r="6" spans="1:30" ht="11.25" customHeight="1" x14ac:dyDescent="0.25">
      <c r="A6" s="119"/>
      <c r="B6" s="119"/>
      <c r="C6" s="119"/>
      <c r="D6" s="119"/>
      <c r="E6" s="119"/>
      <c r="F6" s="119"/>
      <c r="G6" s="12" t="s">
        <v>83</v>
      </c>
      <c r="H6" s="12" t="s">
        <v>70</v>
      </c>
      <c r="I6" s="12">
        <f>SUMIF(Mercado_Receita!$T$2:$T$444,"44378B1Energia horáriaResidencialResidencialNão se aplicaNão se aplicaIntermediário",Mercado_Receita!$N$2:$N$444)</f>
        <v>0</v>
      </c>
      <c r="J6" s="12">
        <f>SUMIF(Mercado_Receita!$T$2:$T$444,"44409B1Energia horáriaResidencialResidencialNão se aplicaNão se aplicaIntermediário",Mercado_Receita!$N$2:$N$444)</f>
        <v>0</v>
      </c>
      <c r="K6" s="12">
        <f>SUMIF(Mercado_Receita!$T$2:$T$444,"44440B1Energia horáriaResidencialResidencialNão se aplicaNão se aplicaIntermediário",Mercado_Receita!$N$2:$N$444)</f>
        <v>0</v>
      </c>
      <c r="L6" s="12">
        <f>SUMIF(Mercado_Receita!$T$2:$T$444,"44470B1Energia horáriaResidencialResidencialNão se aplicaNão se aplicaIntermediário",Mercado_Receita!$N$2:$N$444)</f>
        <v>0</v>
      </c>
      <c r="M6" s="12">
        <f>SUMIF(Mercado_Receita!$T$2:$T$444,"44501B1Energia horáriaResidencialResidencialNão se aplicaNão se aplicaIntermediário",Mercado_Receita!$N$2:$N$444)</f>
        <v>0</v>
      </c>
      <c r="N6" s="12">
        <f>SUMIF(Mercado_Receita!$T$2:$T$444,"44531B1Energia horáriaResidencialResidencialNão se aplicaNão se aplicaIntermediário",Mercado_Receita!$N$2:$N$444)</f>
        <v>0</v>
      </c>
      <c r="O6" s="12">
        <f>SUMIF(Mercado_Receita!$T$2:$T$444,"44562B1Energia horáriaResidencialResidencialNão se aplicaNão se aplicaIntermediário",Mercado_Receita!$N$2:$N$444)</f>
        <v>0</v>
      </c>
      <c r="P6" s="12">
        <f>SUMIF(Mercado_Receita!$T$2:$T$444,"44593B1Energia horáriaResidencialResidencialNão se aplicaNão se aplicaIntermediário",Mercado_Receita!$N$2:$N$444)</f>
        <v>0</v>
      </c>
      <c r="Q6" s="12">
        <f>SUMIF(Mercado_Receita!$T$2:$T$444,"44621B1Energia horáriaResidencialResidencialNão se aplicaNão se aplicaIntermediário",Mercado_Receita!$N$2:$N$444)</f>
        <v>0</v>
      </c>
      <c r="R6" s="12">
        <f>SUMIF(Mercado_Receita!$T$2:$T$444,"44652B1Energia horáriaResidencialResidencialNão se aplicaNão se aplicaIntermediário",Mercado_Receita!$N$2:$N$444)</f>
        <v>0</v>
      </c>
      <c r="S6" s="12">
        <f>SUMIF(Mercado_Receita!$T$2:$T$444,"44682B1Energia horáriaResidencialResidencialNão se aplicaNão se aplicaIntermediário",Mercado_Receita!$N$2:$N$444)</f>
        <v>0</v>
      </c>
      <c r="T6" s="12">
        <f>SUMIF(Mercado_Receita!$T$2:$T$444,"44713B1Energia horáriaResidencialResidencialNão se aplicaNão se aplicaIntermediário",Mercado_Receita!$N$2:$N$444)</f>
        <v>0</v>
      </c>
      <c r="U6" s="12">
        <f t="shared" si="0"/>
        <v>0</v>
      </c>
      <c r="V6" s="12"/>
      <c r="W6" s="12"/>
    </row>
    <row r="7" spans="1:30" ht="11.25" customHeight="1" x14ac:dyDescent="0.25">
      <c r="A7" s="119"/>
      <c r="B7" s="119"/>
      <c r="C7" s="119"/>
      <c r="D7" s="119"/>
      <c r="E7" s="119"/>
      <c r="F7" s="119"/>
      <c r="G7" s="12" t="s">
        <v>72</v>
      </c>
      <c r="H7" s="12" t="s">
        <v>70</v>
      </c>
      <c r="I7" s="12">
        <f>SUMIF(Mercado_Receita!$T$2:$T$444,"44378B1Energia horáriaResidencialResidencialNão se aplicaNão se aplicaFora ponta",Mercado_Receita!$N$2:$N$444)</f>
        <v>0</v>
      </c>
      <c r="J7" s="12">
        <f>SUMIF(Mercado_Receita!$T$2:$T$444,"44409B1Energia horáriaResidencialResidencialNão se aplicaNão se aplicaFora ponta",Mercado_Receita!$N$2:$N$444)</f>
        <v>0</v>
      </c>
      <c r="K7" s="12">
        <f>SUMIF(Mercado_Receita!$T$2:$T$444,"44440B1Energia horáriaResidencialResidencialNão se aplicaNão se aplicaFora ponta",Mercado_Receita!$N$2:$N$444)</f>
        <v>0</v>
      </c>
      <c r="L7" s="12">
        <f>SUMIF(Mercado_Receita!$T$2:$T$444,"44470B1Energia horáriaResidencialResidencialNão se aplicaNão se aplicaFora ponta",Mercado_Receita!$N$2:$N$444)</f>
        <v>0</v>
      </c>
      <c r="M7" s="12">
        <f>SUMIF(Mercado_Receita!$T$2:$T$444,"44501B1Energia horáriaResidencialResidencialNão se aplicaNão se aplicaFora ponta",Mercado_Receita!$N$2:$N$444)</f>
        <v>0</v>
      </c>
      <c r="N7" s="12">
        <f>SUMIF(Mercado_Receita!$T$2:$T$444,"44531B1Energia horáriaResidencialResidencialNão se aplicaNão se aplicaFora ponta",Mercado_Receita!$N$2:$N$444)</f>
        <v>0</v>
      </c>
      <c r="O7" s="12">
        <f>SUMIF(Mercado_Receita!$T$2:$T$444,"44562B1Energia horáriaResidencialResidencialNão se aplicaNão se aplicaFora ponta",Mercado_Receita!$N$2:$N$444)</f>
        <v>0</v>
      </c>
      <c r="P7" s="12">
        <f>SUMIF(Mercado_Receita!$T$2:$T$444,"44593B1Energia horáriaResidencialResidencialNão se aplicaNão se aplicaFora ponta",Mercado_Receita!$N$2:$N$444)</f>
        <v>0</v>
      </c>
      <c r="Q7" s="12">
        <f>SUMIF(Mercado_Receita!$T$2:$T$444,"44621B1Energia horáriaResidencialResidencialNão se aplicaNão se aplicaFora ponta",Mercado_Receita!$N$2:$N$444)</f>
        <v>0</v>
      </c>
      <c r="R7" s="12">
        <f>SUMIF(Mercado_Receita!$T$2:$T$444,"44652B1Energia horáriaResidencialResidencialNão se aplicaNão se aplicaFora ponta",Mercado_Receita!$N$2:$N$444)</f>
        <v>0</v>
      </c>
      <c r="S7" s="12">
        <f>SUMIF(Mercado_Receita!$T$2:$T$444,"44682B1Energia horáriaResidencialResidencialNão se aplicaNão se aplicaFora ponta",Mercado_Receita!$N$2:$N$444)</f>
        <v>0</v>
      </c>
      <c r="T7" s="12">
        <f>SUMIF(Mercado_Receita!$T$2:$T$444,"44713B1Energia horáriaResidencialResidencialNão se aplicaNão se aplicaFora ponta",Mercado_Receita!$N$2:$N$444)</f>
        <v>0</v>
      </c>
      <c r="U7" s="12">
        <f t="shared" si="0"/>
        <v>0</v>
      </c>
      <c r="V7" s="12"/>
      <c r="W7" s="12"/>
    </row>
    <row r="8" spans="1:30" ht="11.25" customHeight="1" x14ac:dyDescent="0.25">
      <c r="A8" s="119"/>
      <c r="B8" s="118" t="s">
        <v>73</v>
      </c>
      <c r="C8" s="118" t="s">
        <v>24</v>
      </c>
      <c r="D8" s="13" t="s">
        <v>24</v>
      </c>
      <c r="E8" s="13" t="s">
        <v>25</v>
      </c>
      <c r="F8" s="13" t="s">
        <v>25</v>
      </c>
      <c r="G8" s="12" t="s">
        <v>74</v>
      </c>
      <c r="H8" s="12" t="s">
        <v>70</v>
      </c>
      <c r="I8" s="12">
        <f>SUMIF(Mercado_Receita!$T$2:$T$444,"44378B1Energia convencionalResidencialResidencialNão se aplicaNão se aplicaNão se aplica",Mercado_Receita!$N$2:$N$444)</f>
        <v>1912.106</v>
      </c>
      <c r="J8" s="12">
        <f>SUMIF(Mercado_Receita!$T$2:$T$444,"44409B1Energia convencionalResidencialResidencialNão se aplicaNão se aplicaNão se aplica",Mercado_Receita!$N$2:$N$444)</f>
        <v>1813.069</v>
      </c>
      <c r="K8" s="12">
        <f>SUMIF(Mercado_Receita!$T$2:$T$444,"44440B1Energia convencionalResidencialResidencialNão se aplicaNão se aplicaNão se aplica",Mercado_Receita!$N$2:$N$444)</f>
        <v>1622.9649999999999</v>
      </c>
      <c r="L8" s="12">
        <f>SUMIF(Mercado_Receita!$T$2:$T$444,"44470B1Energia convencionalResidencialResidencialNão se aplicaNão se aplicaNão se aplica",Mercado_Receita!$N$2:$N$444)</f>
        <v>1560.4449999999999</v>
      </c>
      <c r="M8" s="12">
        <f>SUMIF(Mercado_Receita!$T$2:$T$444,"44501B1Energia convencionalResidencialResidencialNão se aplicaNão se aplicaNão se aplica",Mercado_Receita!$N$2:$N$444)</f>
        <v>1653.3789999999999</v>
      </c>
      <c r="N8" s="12">
        <f>SUMIF(Mercado_Receita!$T$2:$T$444,"44531B1Energia convencionalResidencialResidencialNão se aplicaNão se aplicaNão se aplica",Mercado_Receita!$N$2:$N$444)</f>
        <v>1660.461</v>
      </c>
      <c r="O8" s="12">
        <f>SUMIF(Mercado_Receita!$T$2:$T$444,"44562B1Energia convencionalResidencialResidencialNão se aplicaNão se aplicaNão se aplica",Mercado_Receita!$N$2:$N$444)</f>
        <v>1853.413</v>
      </c>
      <c r="P8" s="12">
        <f>SUMIF(Mercado_Receita!$T$2:$T$444,"44593B1Energia convencionalResidencialResidencialNão se aplicaNão se aplicaNão se aplica",Mercado_Receita!$N$2:$N$444)</f>
        <v>1839.8340000000001</v>
      </c>
      <c r="Q8" s="12">
        <f>SUMIF(Mercado_Receita!$T$2:$T$444,"44621B1Energia convencionalResidencialResidencialNão se aplicaNão se aplicaNão se aplica",Mercado_Receita!$N$2:$N$444)</f>
        <v>1652.9169999999999</v>
      </c>
      <c r="R8" s="12">
        <f>SUMIF(Mercado_Receita!$T$2:$T$444,"44652B1Energia convencionalResidencialResidencialNão se aplicaNão se aplicaNão se aplica",Mercado_Receita!$N$2:$N$444)</f>
        <v>1535.826</v>
      </c>
      <c r="S8" s="12">
        <f>SUMIF(Mercado_Receita!$T$2:$T$444,"44682B1Energia convencionalResidencialResidencialNão se aplicaNão se aplicaNão se aplica",Mercado_Receita!$N$2:$N$444)</f>
        <v>1581.9730000000002</v>
      </c>
      <c r="T8" s="12">
        <f>SUMIF(Mercado_Receita!$T$2:$T$444,"44713B1Energia convencionalResidencialResidencialNão se aplicaNão se aplicaNão se aplica",Mercado_Receita!$N$2:$N$444)</f>
        <v>1844.4880000000001</v>
      </c>
      <c r="U8" s="12">
        <f t="shared" si="0"/>
        <v>20530.876000000004</v>
      </c>
      <c r="V8" s="12"/>
      <c r="W8" s="12"/>
    </row>
    <row r="9" spans="1:30" ht="11.25" customHeight="1" x14ac:dyDescent="0.25">
      <c r="A9" s="119"/>
      <c r="B9" s="119"/>
      <c r="C9" s="119"/>
      <c r="D9" s="13" t="s">
        <v>28</v>
      </c>
      <c r="E9" s="13" t="s">
        <v>25</v>
      </c>
      <c r="F9" s="13" t="s">
        <v>25</v>
      </c>
      <c r="G9" s="12" t="s">
        <v>74</v>
      </c>
      <c r="H9" s="12" t="s">
        <v>70</v>
      </c>
      <c r="I9" s="12">
        <f>SUMIF(Mercado_Receita!$T$2:$T$444,"44378B1Energia convencionalResidencialResidencial baixa renda – faixa 01Não se aplicaNão se aplicaNão se aplica",Mercado_Receita!$N$2:$N$444)</f>
        <v>8.43</v>
      </c>
      <c r="J9" s="12">
        <f>SUMIF(Mercado_Receita!$T$2:$T$444,"44409B1Energia convencionalResidencialResidencial baixa renda – faixa 01Não se aplicaNão se aplicaNão se aplica",Mercado_Receita!$N$2:$N$444)</f>
        <v>8.6999999999999993</v>
      </c>
      <c r="K9" s="12">
        <f>SUMIF(Mercado_Receita!$T$2:$T$444,"44440B1Energia convencionalResidencialResidencial baixa renda – faixa 01Não se aplicaNão se aplicaNão se aplica",Mercado_Receita!$N$2:$N$444)</f>
        <v>8.76</v>
      </c>
      <c r="L9" s="12">
        <f>SUMIF(Mercado_Receita!$T$2:$T$444,"44470B1Energia convencionalResidencialResidencial baixa renda – faixa 01Não se aplicaNão se aplicaNão se aplica",Mercado_Receita!$N$2:$N$444)</f>
        <v>8.82</v>
      </c>
      <c r="M9" s="12">
        <f>SUMIF(Mercado_Receita!$T$2:$T$444,"44501B1Energia convencionalResidencialResidencial baixa renda – faixa 01Não se aplicaNão se aplicaNão se aplica",Mercado_Receita!$N$2:$N$444)</f>
        <v>8.85</v>
      </c>
      <c r="N9" s="12">
        <f>SUMIF(Mercado_Receita!$T$2:$T$444,"44531B1Energia convencionalResidencialResidencial baixa renda – faixa 01Não se aplicaNão se aplicaNão se aplica",Mercado_Receita!$N$2:$N$444)</f>
        <v>12.42</v>
      </c>
      <c r="O9" s="12">
        <f>SUMIF(Mercado_Receita!$T$2:$T$444,"44562B1Energia convencionalResidencialResidencial baixa renda – faixa 01Não se aplicaNão se aplicaNão se aplica",Mercado_Receita!$N$2:$N$444)</f>
        <v>14.82</v>
      </c>
      <c r="P9" s="12">
        <f>SUMIF(Mercado_Receita!$T$2:$T$444,"44593B1Energia convencionalResidencialResidencial baixa renda – faixa 01Não se aplicaNão se aplicaNão se aplica",Mercado_Receita!$N$2:$N$444)</f>
        <v>16.29</v>
      </c>
      <c r="Q9" s="12">
        <f>SUMIF(Mercado_Receita!$T$2:$T$444,"44621B1Energia convencionalResidencialResidencial baixa renda – faixa 01Não se aplicaNão se aplicaNão se aplica",Mercado_Receita!$N$2:$N$444)</f>
        <v>17.309999999999999</v>
      </c>
      <c r="R9" s="12">
        <f>SUMIF(Mercado_Receita!$T$2:$T$444,"44652B1Energia convencionalResidencialResidencial baixa renda – faixa 01Não se aplicaNão se aplicaNão se aplica",Mercado_Receita!$N$2:$N$444)</f>
        <v>18.989999999999998</v>
      </c>
      <c r="S9" s="12">
        <f>SUMIF(Mercado_Receita!$T$2:$T$444,"44682B1Energia convencionalResidencialResidencial baixa renda – faixa 01Não se aplicaNão se aplicaNão se aplica",Mercado_Receita!$N$2:$N$444)</f>
        <v>19.776</v>
      </c>
      <c r="T9" s="12">
        <f>SUMIF(Mercado_Receita!$T$2:$T$444,"44713B1Energia convencionalResidencialResidencial baixa renda – faixa 01Não se aplicaNão se aplicaNão se aplica",Mercado_Receita!$N$2:$N$444)</f>
        <v>21.84</v>
      </c>
      <c r="U9" s="12">
        <f t="shared" si="0"/>
        <v>165.006</v>
      </c>
      <c r="V9" s="12"/>
      <c r="W9" s="12"/>
    </row>
    <row r="10" spans="1:30" ht="11.25" customHeight="1" x14ac:dyDescent="0.25">
      <c r="A10" s="119"/>
      <c r="B10" s="119"/>
      <c r="C10" s="119"/>
      <c r="D10" s="13" t="s">
        <v>29</v>
      </c>
      <c r="E10" s="13" t="s">
        <v>25</v>
      </c>
      <c r="F10" s="13" t="s">
        <v>25</v>
      </c>
      <c r="G10" s="12" t="s">
        <v>74</v>
      </c>
      <c r="H10" s="12" t="s">
        <v>70</v>
      </c>
      <c r="I10" s="12">
        <f>SUMIF(Mercado_Receita!$T$2:$T$444,"44378B1Energia convencionalResidencialResidencial baixa renda – faixa 02Não se aplicaNão se aplicaNão se aplica",Mercado_Receita!$N$2:$N$444)</f>
        <v>18.091000000000001</v>
      </c>
      <c r="J10" s="12">
        <f>SUMIF(Mercado_Receita!$T$2:$T$444,"44409B1Energia convencionalResidencialResidencial baixa renda – faixa 02Não se aplicaNão se aplicaNão se aplica",Mercado_Receita!$N$2:$N$444)</f>
        <v>18.702000000000002</v>
      </c>
      <c r="K10" s="12">
        <f>SUMIF(Mercado_Receita!$T$2:$T$444,"44440B1Energia convencionalResidencialResidencial baixa renda – faixa 02Não se aplicaNão se aplicaNão se aplica",Mercado_Receita!$N$2:$N$444)</f>
        <v>18.943999999999999</v>
      </c>
      <c r="L10" s="12">
        <f>SUMIF(Mercado_Receita!$T$2:$T$444,"44470B1Energia convencionalResidencialResidencial baixa renda – faixa 02Não se aplicaNão se aplicaNão se aplica",Mercado_Receita!$N$2:$N$444)</f>
        <v>18.806000000000001</v>
      </c>
      <c r="M10" s="12">
        <f>SUMIF(Mercado_Receita!$T$2:$T$444,"44501B1Energia convencionalResidencialResidencial baixa renda – faixa 02Não se aplicaNão se aplicaNão se aplica",Mercado_Receita!$N$2:$N$444)</f>
        <v>19.143999999999998</v>
      </c>
      <c r="N10" s="12">
        <f>SUMIF(Mercado_Receita!$T$2:$T$444,"44531B1Energia convencionalResidencialResidencial baixa renda – faixa 02Não se aplicaNão se aplicaNão se aplica",Mercado_Receita!$N$2:$N$444)</f>
        <v>26.596</v>
      </c>
      <c r="O10" s="12">
        <f>SUMIF(Mercado_Receita!$T$2:$T$444,"44562B1Energia convencionalResidencialResidencial baixa renda – faixa 02Não se aplicaNão se aplicaNão se aplica",Mercado_Receita!$N$2:$N$444)</f>
        <v>31.931000000000001</v>
      </c>
      <c r="P10" s="12">
        <f>SUMIF(Mercado_Receita!$T$2:$T$444,"44593B1Energia convencionalResidencialResidencial baixa renda – faixa 02Não se aplicaNão se aplicaNão se aplica",Mercado_Receita!$N$2:$N$444)</f>
        <v>35.450000000000003</v>
      </c>
      <c r="Q10" s="12">
        <f>SUMIF(Mercado_Receita!$T$2:$T$444,"44621B1Energia convencionalResidencialResidencial baixa renda – faixa 02Não se aplicaNão se aplicaNão se aplica",Mercado_Receita!$N$2:$N$444)</f>
        <v>36.933999999999997</v>
      </c>
      <c r="R10" s="12">
        <f>SUMIF(Mercado_Receita!$T$2:$T$444,"44652B1Energia convencionalResidencialResidencial baixa renda – faixa 02Não se aplicaNão se aplicaNão se aplica",Mercado_Receita!$N$2:$N$444)</f>
        <v>39.765000000000001</v>
      </c>
      <c r="S10" s="12">
        <f>SUMIF(Mercado_Receita!$T$2:$T$444,"44682B1Energia convencionalResidencialResidencial baixa renda – faixa 02Não se aplicaNão se aplicaNão se aplica",Mercado_Receita!$N$2:$N$444)</f>
        <v>40.805999999999997</v>
      </c>
      <c r="T10" s="12">
        <f>SUMIF(Mercado_Receita!$T$2:$T$444,"44713B1Energia convencionalResidencialResidencial baixa renda – faixa 02Não se aplicaNão se aplicaNão se aplica",Mercado_Receita!$N$2:$N$444)</f>
        <v>45.396999999999998</v>
      </c>
      <c r="U10" s="12">
        <f t="shared" si="0"/>
        <v>350.56600000000003</v>
      </c>
      <c r="V10" s="12"/>
      <c r="W10" s="12"/>
    </row>
    <row r="11" spans="1:30" ht="11.25" customHeight="1" x14ac:dyDescent="0.25">
      <c r="A11" s="119"/>
      <c r="B11" s="119"/>
      <c r="C11" s="119"/>
      <c r="D11" s="13" t="s">
        <v>30</v>
      </c>
      <c r="E11" s="13" t="s">
        <v>25</v>
      </c>
      <c r="F11" s="13" t="s">
        <v>25</v>
      </c>
      <c r="G11" s="12" t="s">
        <v>74</v>
      </c>
      <c r="H11" s="12" t="s">
        <v>70</v>
      </c>
      <c r="I11" s="12">
        <f>SUMIF(Mercado_Receita!$T$2:$T$444,"44378B1Energia convencionalResidencialResidencial baixa renda – faixa 03Não se aplicaNão se aplicaNão se aplica",Mercado_Receita!$N$2:$N$444)</f>
        <v>18.306999999999999</v>
      </c>
      <c r="J11" s="12">
        <f>SUMIF(Mercado_Receita!$T$2:$T$444,"44409B1Energia convencionalResidencialResidencial baixa renda – faixa 03Não se aplicaNão se aplicaNão se aplica",Mercado_Receita!$N$2:$N$444)</f>
        <v>19.001999999999999</v>
      </c>
      <c r="K11" s="12">
        <f>SUMIF(Mercado_Receita!$T$2:$T$444,"44440B1Energia convencionalResidencialResidencial baixa renda – faixa 03Não se aplicaNão se aplicaNão se aplica",Mercado_Receita!$N$2:$N$444)</f>
        <v>18.817</v>
      </c>
      <c r="L11" s="12">
        <f>SUMIF(Mercado_Receita!$T$2:$T$444,"44470B1Energia convencionalResidencialResidencial baixa renda – faixa 03Não se aplicaNão se aplicaNão se aplica",Mercado_Receita!$N$2:$N$444)</f>
        <v>17.649000000000001</v>
      </c>
      <c r="M11" s="12">
        <f>SUMIF(Mercado_Receita!$T$2:$T$444,"44501B1Energia convencionalResidencialResidencial baixa renda – faixa 03Não se aplicaNão se aplicaNão se aplica",Mercado_Receita!$N$2:$N$444)</f>
        <v>19.239000000000001</v>
      </c>
      <c r="N11" s="12">
        <f>SUMIF(Mercado_Receita!$T$2:$T$444,"44531B1Energia convencionalResidencialResidencial baixa renda – faixa 03Não se aplicaNão se aplicaNão se aplica",Mercado_Receita!$N$2:$N$444)</f>
        <v>26.501000000000001</v>
      </c>
      <c r="O11" s="12">
        <f>SUMIF(Mercado_Receita!$T$2:$T$444,"44562B1Energia convencionalResidencialResidencial baixa renda – faixa 03Não se aplicaNão se aplicaNão se aplica",Mercado_Receita!$N$2:$N$444)</f>
        <v>32.462000000000003</v>
      </c>
      <c r="P11" s="12">
        <f>SUMIF(Mercado_Receita!$T$2:$T$444,"44593B1Energia convencionalResidencialResidencial baixa renda – faixa 03Não se aplicaNão se aplicaNão se aplica",Mercado_Receita!$N$2:$N$444)</f>
        <v>35.831000000000003</v>
      </c>
      <c r="Q11" s="12">
        <f>SUMIF(Mercado_Receita!$T$2:$T$444,"44621B1Energia convencionalResidencialResidencial baixa renda – faixa 03Não se aplicaNão se aplicaNão se aplica",Mercado_Receita!$N$2:$N$444)</f>
        <v>34.677999999999997</v>
      </c>
      <c r="R11" s="12">
        <f>SUMIF(Mercado_Receita!$T$2:$T$444,"44652B1Energia convencionalResidencialResidencial baixa renda – faixa 03Não se aplicaNão se aplicaNão se aplica",Mercado_Receita!$N$2:$N$444)</f>
        <v>34.430999999999997</v>
      </c>
      <c r="S11" s="12">
        <f>SUMIF(Mercado_Receita!$T$2:$T$444,"44682B1Energia convencionalResidencialResidencial baixa renda – faixa 03Não se aplicaNão se aplicaNão se aplica",Mercado_Receita!$N$2:$N$444)</f>
        <v>37.512</v>
      </c>
      <c r="T11" s="12">
        <f>SUMIF(Mercado_Receita!$T$2:$T$444,"44713B1Energia convencionalResidencialResidencial baixa renda – faixa 03Não se aplicaNão se aplicaNão se aplica",Mercado_Receita!$N$2:$N$444)</f>
        <v>44.207000000000001</v>
      </c>
      <c r="U11" s="12">
        <f t="shared" si="0"/>
        <v>338.63600000000002</v>
      </c>
      <c r="V11" s="12"/>
      <c r="W11" s="12"/>
    </row>
    <row r="12" spans="1:30" ht="11.25" customHeight="1" x14ac:dyDescent="0.25">
      <c r="A12" s="119"/>
      <c r="B12" s="119"/>
      <c r="C12" s="119"/>
      <c r="D12" s="13" t="s">
        <v>31</v>
      </c>
      <c r="E12" s="13" t="s">
        <v>25</v>
      </c>
      <c r="F12" s="13" t="s">
        <v>25</v>
      </c>
      <c r="G12" s="12" t="s">
        <v>74</v>
      </c>
      <c r="H12" s="12" t="s">
        <v>70</v>
      </c>
      <c r="I12" s="12">
        <f>SUMIF(Mercado_Receita!$T$2:$T$444,"44378B1Energia convencionalResidencialResidencial baixa renda – faixa 04Não se aplicaNão se aplicaNão se aplica",Mercado_Receita!$N$2:$N$444)</f>
        <v>6.7889999999999997</v>
      </c>
      <c r="J12" s="12">
        <f>SUMIF(Mercado_Receita!$T$2:$T$444,"44409B1Energia convencionalResidencialResidencial baixa renda – faixa 04Não se aplicaNão se aplicaNão se aplica",Mercado_Receita!$N$2:$N$444)</f>
        <v>5.9269999999999996</v>
      </c>
      <c r="K12" s="12">
        <f>SUMIF(Mercado_Receita!$T$2:$T$444,"44440B1Energia convencionalResidencialResidencial baixa renda – faixa 04Não se aplicaNão se aplicaNão se aplica",Mercado_Receita!$N$2:$N$444)</f>
        <v>4.8440000000000003</v>
      </c>
      <c r="L12" s="12">
        <f>SUMIF(Mercado_Receita!$T$2:$T$444,"44470B1Energia convencionalResidencialResidencial baixa renda – faixa 04Não se aplicaNão se aplicaNão se aplica",Mercado_Receita!$N$2:$N$444)</f>
        <v>4.0940000000000003</v>
      </c>
      <c r="M12" s="12">
        <f>SUMIF(Mercado_Receita!$T$2:$T$444,"44501B1Energia convencionalResidencialResidencial baixa renda – faixa 04Não se aplicaNão se aplicaNão se aplica",Mercado_Receita!$N$2:$N$444)</f>
        <v>5.2089999999999996</v>
      </c>
      <c r="N12" s="12">
        <f>SUMIF(Mercado_Receita!$T$2:$T$444,"44531B1Energia convencionalResidencialResidencial baixa renda – faixa 04Não se aplicaNão se aplicaNão se aplica",Mercado_Receita!$N$2:$N$444)</f>
        <v>8.6460000000000008</v>
      </c>
      <c r="O12" s="12">
        <f>SUMIF(Mercado_Receita!$T$2:$T$444,"44562B1Energia convencionalResidencialResidencial baixa renda – faixa 04Não se aplicaNão se aplicaNão se aplica",Mercado_Receita!$N$2:$N$444)</f>
        <v>12.211</v>
      </c>
      <c r="P12" s="12">
        <f>SUMIF(Mercado_Receita!$T$2:$T$444,"44593B1Energia convencionalResidencialResidencial baixa renda – faixa 04Não se aplicaNão se aplicaNão se aplica",Mercado_Receita!$N$2:$N$444)</f>
        <v>13.118</v>
      </c>
      <c r="Q12" s="12">
        <f>SUMIF(Mercado_Receita!$T$2:$T$444,"44621B1Energia convencionalResidencialResidencial baixa renda – faixa 04Não se aplicaNão se aplicaNão se aplica",Mercado_Receita!$N$2:$N$444)</f>
        <v>11.275</v>
      </c>
      <c r="R12" s="12">
        <f>SUMIF(Mercado_Receita!$T$2:$T$444,"44652B1Energia convencionalResidencialResidencial baixa renda – faixa 04Não se aplicaNão se aplicaNão se aplica",Mercado_Receita!$N$2:$N$444)</f>
        <v>8.8469999999999995</v>
      </c>
      <c r="S12" s="12">
        <f>SUMIF(Mercado_Receita!$T$2:$T$444,"44682B1Energia convencionalResidencialResidencial baixa renda – faixa 04Não se aplicaNão se aplicaNão se aplica",Mercado_Receita!$N$2:$N$444)</f>
        <v>12.205</v>
      </c>
      <c r="T12" s="12">
        <f>SUMIF(Mercado_Receita!$T$2:$T$444,"44713B1Energia convencionalResidencialResidencial baixa renda – faixa 04Não se aplicaNão se aplicaNão se aplica",Mercado_Receita!$N$2:$N$444)</f>
        <v>20.501999999999999</v>
      </c>
      <c r="U12" s="12">
        <f t="shared" si="0"/>
        <v>113.66699999999999</v>
      </c>
      <c r="V12" s="12"/>
      <c r="W12" s="12"/>
    </row>
    <row r="13" spans="1:30" ht="11.25" customHeight="1" x14ac:dyDescent="0.25">
      <c r="A13" s="119"/>
      <c r="B13" s="118" t="s">
        <v>84</v>
      </c>
      <c r="C13" s="118" t="s">
        <v>24</v>
      </c>
      <c r="D13" s="13" t="s">
        <v>24</v>
      </c>
      <c r="E13" s="13" t="s">
        <v>25</v>
      </c>
      <c r="F13" s="13" t="s">
        <v>25</v>
      </c>
      <c r="G13" s="12" t="s">
        <v>74</v>
      </c>
      <c r="H13" s="12" t="s">
        <v>70</v>
      </c>
      <c r="I13" s="12">
        <f>SUMIF(Mercado_Receita!$T$2:$T$444,"44378B1Energia convencional pré-pagamentoResidencialResidencialNão se aplicaNão se aplicaNão se aplica",Mercado_Receita!$N$2:$N$444)</f>
        <v>0</v>
      </c>
      <c r="J13" s="12">
        <f>SUMIF(Mercado_Receita!$T$2:$T$444,"44409B1Energia convencional pré-pagamentoResidencialResidencialNão se aplicaNão se aplicaNão se aplica",Mercado_Receita!$N$2:$N$444)</f>
        <v>0</v>
      </c>
      <c r="K13" s="12">
        <f>SUMIF(Mercado_Receita!$T$2:$T$444,"44440B1Energia convencional pré-pagamentoResidencialResidencialNão se aplicaNão se aplicaNão se aplica",Mercado_Receita!$N$2:$N$444)</f>
        <v>0</v>
      </c>
      <c r="L13" s="12">
        <f>SUMIF(Mercado_Receita!$T$2:$T$444,"44470B1Energia convencional pré-pagamentoResidencialResidencialNão se aplicaNão se aplicaNão se aplica",Mercado_Receita!$N$2:$N$444)</f>
        <v>0</v>
      </c>
      <c r="M13" s="12">
        <f>SUMIF(Mercado_Receita!$T$2:$T$444,"44501B1Energia convencional pré-pagamentoResidencialResidencialNão se aplicaNão se aplicaNão se aplica",Mercado_Receita!$N$2:$N$444)</f>
        <v>0</v>
      </c>
      <c r="N13" s="12">
        <f>SUMIF(Mercado_Receita!$T$2:$T$444,"44531B1Energia convencional pré-pagamentoResidencialResidencialNão se aplicaNão se aplicaNão se aplica",Mercado_Receita!$N$2:$N$444)</f>
        <v>0</v>
      </c>
      <c r="O13" s="12">
        <f>SUMIF(Mercado_Receita!$T$2:$T$444,"44562B1Energia convencional pré-pagamentoResidencialResidencialNão se aplicaNão se aplicaNão se aplica",Mercado_Receita!$N$2:$N$444)</f>
        <v>0</v>
      </c>
      <c r="P13" s="12">
        <f>SUMIF(Mercado_Receita!$T$2:$T$444,"44593B1Energia convencional pré-pagamentoResidencialResidencialNão se aplicaNão se aplicaNão se aplica",Mercado_Receita!$N$2:$N$444)</f>
        <v>0</v>
      </c>
      <c r="Q13" s="12">
        <f>SUMIF(Mercado_Receita!$T$2:$T$444,"44621B1Energia convencional pré-pagamentoResidencialResidencialNão se aplicaNão se aplicaNão se aplica",Mercado_Receita!$N$2:$N$444)</f>
        <v>0</v>
      </c>
      <c r="R13" s="12">
        <f>SUMIF(Mercado_Receita!$T$2:$T$444,"44652B1Energia convencional pré-pagamentoResidencialResidencialNão se aplicaNão se aplicaNão se aplica",Mercado_Receita!$N$2:$N$444)</f>
        <v>0</v>
      </c>
      <c r="S13" s="12">
        <f>SUMIF(Mercado_Receita!$T$2:$T$444,"44682B1Energia convencional pré-pagamentoResidencialResidencialNão se aplicaNão se aplicaNão se aplica",Mercado_Receita!$N$2:$N$444)</f>
        <v>0</v>
      </c>
      <c r="T13" s="12">
        <f>SUMIF(Mercado_Receita!$T$2:$T$444,"44713B1Energia convencional pré-pagamentoResidencialResidencialNão se aplicaNão se aplicaNão se aplica",Mercado_Receita!$N$2:$N$444)</f>
        <v>0</v>
      </c>
      <c r="U13" s="12">
        <f t="shared" si="0"/>
        <v>0</v>
      </c>
      <c r="V13" s="12"/>
      <c r="W13" s="12"/>
    </row>
    <row r="14" spans="1:30" ht="11.25" customHeight="1" x14ac:dyDescent="0.25">
      <c r="A14" s="119"/>
      <c r="B14" s="119"/>
      <c r="C14" s="119"/>
      <c r="D14" s="13" t="s">
        <v>28</v>
      </c>
      <c r="E14" s="13" t="s">
        <v>25</v>
      </c>
      <c r="F14" s="13" t="s">
        <v>25</v>
      </c>
      <c r="G14" s="12" t="s">
        <v>74</v>
      </c>
      <c r="H14" s="12" t="s">
        <v>70</v>
      </c>
      <c r="I14" s="12">
        <f>SUMIF(Mercado_Receita!$T$2:$T$444,"44378B1Energia convencional pré-pagamentoResidencialResidencial baixa renda – faixa 01Não se aplicaNão se aplicaNão se aplica",Mercado_Receita!$N$2:$N$444)</f>
        <v>0</v>
      </c>
      <c r="J14" s="12">
        <f>SUMIF(Mercado_Receita!$T$2:$T$444,"44409B1Energia convencional pré-pagamentoResidencialResidencial baixa renda – faixa 01Não se aplicaNão se aplicaNão se aplica",Mercado_Receita!$N$2:$N$444)</f>
        <v>0</v>
      </c>
      <c r="K14" s="12">
        <f>SUMIF(Mercado_Receita!$T$2:$T$444,"44440B1Energia convencional pré-pagamentoResidencialResidencial baixa renda – faixa 01Não se aplicaNão se aplicaNão se aplica",Mercado_Receita!$N$2:$N$444)</f>
        <v>0</v>
      </c>
      <c r="L14" s="12">
        <f>SUMIF(Mercado_Receita!$T$2:$T$444,"44470B1Energia convencional pré-pagamentoResidencialResidencial baixa renda – faixa 01Não se aplicaNão se aplicaNão se aplica",Mercado_Receita!$N$2:$N$444)</f>
        <v>0</v>
      </c>
      <c r="M14" s="12">
        <f>SUMIF(Mercado_Receita!$T$2:$T$444,"44501B1Energia convencional pré-pagamentoResidencialResidencial baixa renda – faixa 01Não se aplicaNão se aplicaNão se aplica",Mercado_Receita!$N$2:$N$444)</f>
        <v>0</v>
      </c>
      <c r="N14" s="12">
        <f>SUMIF(Mercado_Receita!$T$2:$T$444,"44531B1Energia convencional pré-pagamentoResidencialResidencial baixa renda – faixa 01Não se aplicaNão se aplicaNão se aplica",Mercado_Receita!$N$2:$N$444)</f>
        <v>0</v>
      </c>
      <c r="O14" s="12">
        <f>SUMIF(Mercado_Receita!$T$2:$T$444,"44562B1Energia convencional pré-pagamentoResidencialResidencial baixa renda – faixa 01Não se aplicaNão se aplicaNão se aplica",Mercado_Receita!$N$2:$N$444)</f>
        <v>0</v>
      </c>
      <c r="P14" s="12">
        <f>SUMIF(Mercado_Receita!$T$2:$T$444,"44593B1Energia convencional pré-pagamentoResidencialResidencial baixa renda – faixa 01Não se aplicaNão se aplicaNão se aplica",Mercado_Receita!$N$2:$N$444)</f>
        <v>0</v>
      </c>
      <c r="Q14" s="12">
        <f>SUMIF(Mercado_Receita!$T$2:$T$444,"44621B1Energia convencional pré-pagamentoResidencialResidencial baixa renda – faixa 01Não se aplicaNão se aplicaNão se aplica",Mercado_Receita!$N$2:$N$444)</f>
        <v>0</v>
      </c>
      <c r="R14" s="12">
        <f>SUMIF(Mercado_Receita!$T$2:$T$444,"44652B1Energia convencional pré-pagamentoResidencialResidencial baixa renda – faixa 01Não se aplicaNão se aplicaNão se aplica",Mercado_Receita!$N$2:$N$444)</f>
        <v>0</v>
      </c>
      <c r="S14" s="12">
        <f>SUMIF(Mercado_Receita!$T$2:$T$444,"44682B1Energia convencional pré-pagamentoResidencialResidencial baixa renda – faixa 01Não se aplicaNão se aplicaNão se aplica",Mercado_Receita!$N$2:$N$444)</f>
        <v>0</v>
      </c>
      <c r="T14" s="12">
        <f>SUMIF(Mercado_Receita!$T$2:$T$444,"44713B1Energia convencional pré-pagamentoResidencialResidencial baixa renda – faixa 01Não se aplicaNão se aplicaNão se aplica",Mercado_Receita!$N$2:$N$444)</f>
        <v>0</v>
      </c>
      <c r="U14" s="12">
        <f t="shared" si="0"/>
        <v>0</v>
      </c>
      <c r="V14" s="12"/>
      <c r="W14" s="12"/>
    </row>
    <row r="15" spans="1:30" ht="11.25" customHeight="1" x14ac:dyDescent="0.25">
      <c r="A15" s="119"/>
      <c r="B15" s="119"/>
      <c r="C15" s="119"/>
      <c r="D15" s="13" t="s">
        <v>29</v>
      </c>
      <c r="E15" s="13" t="s">
        <v>25</v>
      </c>
      <c r="F15" s="13" t="s">
        <v>25</v>
      </c>
      <c r="G15" s="12" t="s">
        <v>74</v>
      </c>
      <c r="H15" s="12" t="s">
        <v>70</v>
      </c>
      <c r="I15" s="12">
        <f>SUMIF(Mercado_Receita!$T$2:$T$444,"44378B1Energia convencional pré-pagamentoResidencialResidencial baixa renda – faixa 02Não se aplicaNão se aplicaNão se aplica",Mercado_Receita!$N$2:$N$444)</f>
        <v>0</v>
      </c>
      <c r="J15" s="12">
        <f>SUMIF(Mercado_Receita!$T$2:$T$444,"44409B1Energia convencional pré-pagamentoResidencialResidencial baixa renda – faixa 02Não se aplicaNão se aplicaNão se aplica",Mercado_Receita!$N$2:$N$444)</f>
        <v>0</v>
      </c>
      <c r="K15" s="12">
        <f>SUMIF(Mercado_Receita!$T$2:$T$444,"44440B1Energia convencional pré-pagamentoResidencialResidencial baixa renda – faixa 02Não se aplicaNão se aplicaNão se aplica",Mercado_Receita!$N$2:$N$444)</f>
        <v>0</v>
      </c>
      <c r="L15" s="12">
        <f>SUMIF(Mercado_Receita!$T$2:$T$444,"44470B1Energia convencional pré-pagamentoResidencialResidencial baixa renda – faixa 02Não se aplicaNão se aplicaNão se aplica",Mercado_Receita!$N$2:$N$444)</f>
        <v>0</v>
      </c>
      <c r="M15" s="12">
        <f>SUMIF(Mercado_Receita!$T$2:$T$444,"44501B1Energia convencional pré-pagamentoResidencialResidencial baixa renda – faixa 02Não se aplicaNão se aplicaNão se aplica",Mercado_Receita!$N$2:$N$444)</f>
        <v>0</v>
      </c>
      <c r="N15" s="12">
        <f>SUMIF(Mercado_Receita!$T$2:$T$444,"44531B1Energia convencional pré-pagamentoResidencialResidencial baixa renda – faixa 02Não se aplicaNão se aplicaNão se aplica",Mercado_Receita!$N$2:$N$444)</f>
        <v>0</v>
      </c>
      <c r="O15" s="12">
        <f>SUMIF(Mercado_Receita!$T$2:$T$444,"44562B1Energia convencional pré-pagamentoResidencialResidencial baixa renda – faixa 02Não se aplicaNão se aplicaNão se aplica",Mercado_Receita!$N$2:$N$444)</f>
        <v>0</v>
      </c>
      <c r="P15" s="12">
        <f>SUMIF(Mercado_Receita!$T$2:$T$444,"44593B1Energia convencional pré-pagamentoResidencialResidencial baixa renda – faixa 02Não se aplicaNão se aplicaNão se aplica",Mercado_Receita!$N$2:$N$444)</f>
        <v>0</v>
      </c>
      <c r="Q15" s="12">
        <f>SUMIF(Mercado_Receita!$T$2:$T$444,"44621B1Energia convencional pré-pagamentoResidencialResidencial baixa renda – faixa 02Não se aplicaNão se aplicaNão se aplica",Mercado_Receita!$N$2:$N$444)</f>
        <v>0</v>
      </c>
      <c r="R15" s="12">
        <f>SUMIF(Mercado_Receita!$T$2:$T$444,"44652B1Energia convencional pré-pagamentoResidencialResidencial baixa renda – faixa 02Não se aplicaNão se aplicaNão se aplica",Mercado_Receita!$N$2:$N$444)</f>
        <v>0</v>
      </c>
      <c r="S15" s="12">
        <f>SUMIF(Mercado_Receita!$T$2:$T$444,"44682B1Energia convencional pré-pagamentoResidencialResidencial baixa renda – faixa 02Não se aplicaNão se aplicaNão se aplica",Mercado_Receita!$N$2:$N$444)</f>
        <v>0</v>
      </c>
      <c r="T15" s="12">
        <f>SUMIF(Mercado_Receita!$T$2:$T$444,"44713B1Energia convencional pré-pagamentoResidencialResidencial baixa renda – faixa 02Não se aplicaNão se aplicaNão se aplica",Mercado_Receita!$N$2:$N$444)</f>
        <v>0</v>
      </c>
      <c r="U15" s="12">
        <f t="shared" si="0"/>
        <v>0</v>
      </c>
      <c r="V15" s="12"/>
      <c r="W15" s="12"/>
    </row>
    <row r="16" spans="1:30" ht="11.25" customHeight="1" x14ac:dyDescent="0.25">
      <c r="A16" s="119"/>
      <c r="B16" s="119"/>
      <c r="C16" s="119"/>
      <c r="D16" s="13" t="s">
        <v>30</v>
      </c>
      <c r="E16" s="13" t="s">
        <v>25</v>
      </c>
      <c r="F16" s="13" t="s">
        <v>25</v>
      </c>
      <c r="G16" s="12" t="s">
        <v>74</v>
      </c>
      <c r="H16" s="12" t="s">
        <v>70</v>
      </c>
      <c r="I16" s="12">
        <f>SUMIF(Mercado_Receita!$T$2:$T$444,"44378B1Energia convencional pré-pagamentoResidencialResidencial baixa renda – faixa 03Não se aplicaNão se aplicaNão se aplica",Mercado_Receita!$N$2:$N$444)</f>
        <v>0</v>
      </c>
      <c r="J16" s="12">
        <f>SUMIF(Mercado_Receita!$T$2:$T$444,"44409B1Energia convencional pré-pagamentoResidencialResidencial baixa renda – faixa 03Não se aplicaNão se aplicaNão se aplica",Mercado_Receita!$N$2:$N$444)</f>
        <v>0</v>
      </c>
      <c r="K16" s="12">
        <f>SUMIF(Mercado_Receita!$T$2:$T$444,"44440B1Energia convencional pré-pagamentoResidencialResidencial baixa renda – faixa 03Não se aplicaNão se aplicaNão se aplica",Mercado_Receita!$N$2:$N$444)</f>
        <v>0</v>
      </c>
      <c r="L16" s="12">
        <f>SUMIF(Mercado_Receita!$T$2:$T$444,"44470B1Energia convencional pré-pagamentoResidencialResidencial baixa renda – faixa 03Não se aplicaNão se aplicaNão se aplica",Mercado_Receita!$N$2:$N$444)</f>
        <v>0</v>
      </c>
      <c r="M16" s="12">
        <f>SUMIF(Mercado_Receita!$T$2:$T$444,"44501B1Energia convencional pré-pagamentoResidencialResidencial baixa renda – faixa 03Não se aplicaNão se aplicaNão se aplica",Mercado_Receita!$N$2:$N$444)</f>
        <v>0</v>
      </c>
      <c r="N16" s="12">
        <f>SUMIF(Mercado_Receita!$T$2:$T$444,"44531B1Energia convencional pré-pagamentoResidencialResidencial baixa renda – faixa 03Não se aplicaNão se aplicaNão se aplica",Mercado_Receita!$N$2:$N$444)</f>
        <v>0</v>
      </c>
      <c r="O16" s="12">
        <f>SUMIF(Mercado_Receita!$T$2:$T$444,"44562B1Energia convencional pré-pagamentoResidencialResidencial baixa renda – faixa 03Não se aplicaNão se aplicaNão se aplica",Mercado_Receita!$N$2:$N$444)</f>
        <v>0</v>
      </c>
      <c r="P16" s="12">
        <f>SUMIF(Mercado_Receita!$T$2:$T$444,"44593B1Energia convencional pré-pagamentoResidencialResidencial baixa renda – faixa 03Não se aplicaNão se aplicaNão se aplica",Mercado_Receita!$N$2:$N$444)</f>
        <v>0</v>
      </c>
      <c r="Q16" s="12">
        <f>SUMIF(Mercado_Receita!$T$2:$T$444,"44621B1Energia convencional pré-pagamentoResidencialResidencial baixa renda – faixa 03Não se aplicaNão se aplicaNão se aplica",Mercado_Receita!$N$2:$N$444)</f>
        <v>0</v>
      </c>
      <c r="R16" s="12">
        <f>SUMIF(Mercado_Receita!$T$2:$T$444,"44652B1Energia convencional pré-pagamentoResidencialResidencial baixa renda – faixa 03Não se aplicaNão se aplicaNão se aplica",Mercado_Receita!$N$2:$N$444)</f>
        <v>0</v>
      </c>
      <c r="S16" s="12">
        <f>SUMIF(Mercado_Receita!$T$2:$T$444,"44682B1Energia convencional pré-pagamentoResidencialResidencial baixa renda – faixa 03Não se aplicaNão se aplicaNão se aplica",Mercado_Receita!$N$2:$N$444)</f>
        <v>0</v>
      </c>
      <c r="T16" s="12">
        <f>SUMIF(Mercado_Receita!$T$2:$T$444,"44713B1Energia convencional pré-pagamentoResidencialResidencial baixa renda – faixa 03Não se aplicaNão se aplicaNão se aplica",Mercado_Receita!$N$2:$N$444)</f>
        <v>0</v>
      </c>
      <c r="U16" s="12">
        <f t="shared" si="0"/>
        <v>0</v>
      </c>
      <c r="V16" s="12"/>
      <c r="W16" s="12"/>
    </row>
    <row r="17" spans="1:23" ht="11.25" customHeight="1" x14ac:dyDescent="0.25">
      <c r="A17" s="119"/>
      <c r="B17" s="119"/>
      <c r="C17" s="119"/>
      <c r="D17" s="13" t="s">
        <v>31</v>
      </c>
      <c r="E17" s="13" t="s">
        <v>25</v>
      </c>
      <c r="F17" s="13" t="s">
        <v>25</v>
      </c>
      <c r="G17" s="12" t="s">
        <v>74</v>
      </c>
      <c r="H17" s="12" t="s">
        <v>70</v>
      </c>
      <c r="I17" s="12">
        <f>SUMIF(Mercado_Receita!$T$2:$T$444,"44378B1Energia convencional pré-pagamentoResidencialResidencial baixa renda – faixa 04Não se aplicaNão se aplicaNão se aplica",Mercado_Receita!$N$2:$N$444)</f>
        <v>0</v>
      </c>
      <c r="J17" s="12">
        <f>SUMIF(Mercado_Receita!$T$2:$T$444,"44409B1Energia convencional pré-pagamentoResidencialResidencial baixa renda – faixa 04Não se aplicaNão se aplicaNão se aplica",Mercado_Receita!$N$2:$N$444)</f>
        <v>0</v>
      </c>
      <c r="K17" s="12">
        <f>SUMIF(Mercado_Receita!$T$2:$T$444,"44440B1Energia convencional pré-pagamentoResidencialResidencial baixa renda – faixa 04Não se aplicaNão se aplicaNão se aplica",Mercado_Receita!$N$2:$N$444)</f>
        <v>0</v>
      </c>
      <c r="L17" s="12">
        <f>SUMIF(Mercado_Receita!$T$2:$T$444,"44470B1Energia convencional pré-pagamentoResidencialResidencial baixa renda – faixa 04Não se aplicaNão se aplicaNão se aplica",Mercado_Receita!$N$2:$N$444)</f>
        <v>0</v>
      </c>
      <c r="M17" s="12">
        <f>SUMIF(Mercado_Receita!$T$2:$T$444,"44501B1Energia convencional pré-pagamentoResidencialResidencial baixa renda – faixa 04Não se aplicaNão se aplicaNão se aplica",Mercado_Receita!$N$2:$N$444)</f>
        <v>0</v>
      </c>
      <c r="N17" s="12">
        <f>SUMIF(Mercado_Receita!$T$2:$T$444,"44531B1Energia convencional pré-pagamentoResidencialResidencial baixa renda – faixa 04Não se aplicaNão se aplicaNão se aplica",Mercado_Receita!$N$2:$N$444)</f>
        <v>0</v>
      </c>
      <c r="O17" s="12">
        <f>SUMIF(Mercado_Receita!$T$2:$T$444,"44562B1Energia convencional pré-pagamentoResidencialResidencial baixa renda – faixa 04Não se aplicaNão se aplicaNão se aplica",Mercado_Receita!$N$2:$N$444)</f>
        <v>0</v>
      </c>
      <c r="P17" s="12">
        <f>SUMIF(Mercado_Receita!$T$2:$T$444,"44593B1Energia convencional pré-pagamentoResidencialResidencial baixa renda – faixa 04Não se aplicaNão se aplicaNão se aplica",Mercado_Receita!$N$2:$N$444)</f>
        <v>0</v>
      </c>
      <c r="Q17" s="12">
        <f>SUMIF(Mercado_Receita!$T$2:$T$444,"44621B1Energia convencional pré-pagamentoResidencialResidencial baixa renda – faixa 04Não se aplicaNão se aplicaNão se aplica",Mercado_Receita!$N$2:$N$444)</f>
        <v>0</v>
      </c>
      <c r="R17" s="12">
        <f>SUMIF(Mercado_Receita!$T$2:$T$444,"44652B1Energia convencional pré-pagamentoResidencialResidencial baixa renda – faixa 04Não se aplicaNão se aplicaNão se aplica",Mercado_Receita!$N$2:$N$444)</f>
        <v>0</v>
      </c>
      <c r="S17" s="12">
        <f>SUMIF(Mercado_Receita!$T$2:$T$444,"44682B1Energia convencional pré-pagamentoResidencialResidencial baixa renda – faixa 04Não se aplicaNão se aplicaNão se aplica",Mercado_Receita!$N$2:$N$444)</f>
        <v>0</v>
      </c>
      <c r="T17" s="12">
        <f>SUMIF(Mercado_Receita!$T$2:$T$444,"44713B1Energia convencional pré-pagamentoResidencialResidencial baixa renda – faixa 04Não se aplicaNão se aplicaNão se aplica",Mercado_Receita!$N$2:$N$444)</f>
        <v>0</v>
      </c>
      <c r="U17" s="12">
        <f t="shared" si="0"/>
        <v>0</v>
      </c>
      <c r="V17" s="12"/>
      <c r="W17" s="12"/>
    </row>
    <row r="18" spans="1:23" ht="11.25" customHeight="1" x14ac:dyDescent="0.25">
      <c r="A18" s="118" t="s">
        <v>39</v>
      </c>
      <c r="B18" s="118" t="s">
        <v>69</v>
      </c>
      <c r="C18" s="118" t="s">
        <v>40</v>
      </c>
      <c r="D18" s="118" t="s">
        <v>25</v>
      </c>
      <c r="E18" s="118" t="s">
        <v>25</v>
      </c>
      <c r="F18" s="118" t="s">
        <v>25</v>
      </c>
      <c r="G18" s="12" t="s">
        <v>71</v>
      </c>
      <c r="H18" s="12" t="s">
        <v>70</v>
      </c>
      <c r="I18" s="12">
        <f>SUMIF(Mercado_Receita!$T$2:$T$444,"44378B2Energia horáriaRuralNão se aplicaNão se aplicaNão se aplicaPonta",Mercado_Receita!$N$2:$N$444)</f>
        <v>0</v>
      </c>
      <c r="J18" s="12">
        <f>SUMIF(Mercado_Receita!$T$2:$T$444,"44409B2Energia horáriaRuralNão se aplicaNão se aplicaNão se aplicaPonta",Mercado_Receita!$N$2:$N$444)</f>
        <v>0</v>
      </c>
      <c r="K18" s="12">
        <f>SUMIF(Mercado_Receita!$T$2:$T$444,"44440B2Energia horáriaRuralNão se aplicaNão se aplicaNão se aplicaPonta",Mercado_Receita!$N$2:$N$444)</f>
        <v>0</v>
      </c>
      <c r="L18" s="12">
        <f>SUMIF(Mercado_Receita!$T$2:$T$444,"44470B2Energia horáriaRuralNão se aplicaNão se aplicaNão se aplicaPonta",Mercado_Receita!$N$2:$N$444)</f>
        <v>0</v>
      </c>
      <c r="M18" s="12">
        <f>SUMIF(Mercado_Receita!$T$2:$T$444,"44501B2Energia horáriaRuralNão se aplicaNão se aplicaNão se aplicaPonta",Mercado_Receita!$N$2:$N$444)</f>
        <v>0</v>
      </c>
      <c r="N18" s="12">
        <f>SUMIF(Mercado_Receita!$T$2:$T$444,"44531B2Energia horáriaRuralNão se aplicaNão se aplicaNão se aplicaPonta",Mercado_Receita!$N$2:$N$444)</f>
        <v>0</v>
      </c>
      <c r="O18" s="12">
        <f>SUMIF(Mercado_Receita!$T$2:$T$444,"44562B2Energia horáriaRuralNão se aplicaNão se aplicaNão se aplicaPonta",Mercado_Receita!$N$2:$N$444)</f>
        <v>0</v>
      </c>
      <c r="P18" s="12">
        <f>SUMIF(Mercado_Receita!$T$2:$T$444,"44593B2Energia horáriaRuralNão se aplicaNão se aplicaNão se aplicaPonta",Mercado_Receita!$N$2:$N$444)</f>
        <v>0</v>
      </c>
      <c r="Q18" s="12">
        <f>SUMIF(Mercado_Receita!$T$2:$T$444,"44621B2Energia horáriaRuralNão se aplicaNão se aplicaNão se aplicaPonta",Mercado_Receita!$N$2:$N$444)</f>
        <v>0</v>
      </c>
      <c r="R18" s="12">
        <f>SUMIF(Mercado_Receita!$T$2:$T$444,"44652B2Energia horáriaRuralNão se aplicaNão se aplicaNão se aplicaPonta",Mercado_Receita!$N$2:$N$444)</f>
        <v>0</v>
      </c>
      <c r="S18" s="12">
        <f>SUMIF(Mercado_Receita!$T$2:$T$444,"44682B2Energia horáriaRuralNão se aplicaNão se aplicaNão se aplicaPonta",Mercado_Receita!$N$2:$N$444)</f>
        <v>0</v>
      </c>
      <c r="T18" s="12">
        <f>SUMIF(Mercado_Receita!$T$2:$T$444,"44713B2Energia horáriaRuralNão se aplicaNão se aplicaNão se aplicaPonta",Mercado_Receita!$N$2:$N$444)</f>
        <v>0</v>
      </c>
      <c r="U18" s="12">
        <f t="shared" si="0"/>
        <v>0</v>
      </c>
      <c r="V18" s="12"/>
      <c r="W18" s="12"/>
    </row>
    <row r="19" spans="1:23" ht="11.25" customHeight="1" x14ac:dyDescent="0.25">
      <c r="A19" s="119"/>
      <c r="B19" s="119"/>
      <c r="C19" s="119"/>
      <c r="D19" s="119"/>
      <c r="E19" s="119"/>
      <c r="F19" s="119"/>
      <c r="G19" s="12" t="s">
        <v>83</v>
      </c>
      <c r="H19" s="12" t="s">
        <v>70</v>
      </c>
      <c r="I19" s="12">
        <f>SUMIF(Mercado_Receita!$T$2:$T$444,"44378B2Energia horáriaRuralNão se aplicaNão se aplicaNão se aplicaIntermediário",Mercado_Receita!$N$2:$N$444)</f>
        <v>0</v>
      </c>
      <c r="J19" s="12">
        <f>SUMIF(Mercado_Receita!$T$2:$T$444,"44409B2Energia horáriaRuralNão se aplicaNão se aplicaNão se aplicaIntermediário",Mercado_Receita!$N$2:$N$444)</f>
        <v>0</v>
      </c>
      <c r="K19" s="12">
        <f>SUMIF(Mercado_Receita!$T$2:$T$444,"44440B2Energia horáriaRuralNão se aplicaNão se aplicaNão se aplicaIntermediário",Mercado_Receita!$N$2:$N$444)</f>
        <v>0</v>
      </c>
      <c r="L19" s="12">
        <f>SUMIF(Mercado_Receita!$T$2:$T$444,"44470B2Energia horáriaRuralNão se aplicaNão se aplicaNão se aplicaIntermediário",Mercado_Receita!$N$2:$N$444)</f>
        <v>0</v>
      </c>
      <c r="M19" s="12">
        <f>SUMIF(Mercado_Receita!$T$2:$T$444,"44501B2Energia horáriaRuralNão se aplicaNão se aplicaNão se aplicaIntermediário",Mercado_Receita!$N$2:$N$444)</f>
        <v>0</v>
      </c>
      <c r="N19" s="12">
        <f>SUMIF(Mercado_Receita!$T$2:$T$444,"44531B2Energia horáriaRuralNão se aplicaNão se aplicaNão se aplicaIntermediário",Mercado_Receita!$N$2:$N$444)</f>
        <v>0</v>
      </c>
      <c r="O19" s="12">
        <f>SUMIF(Mercado_Receita!$T$2:$T$444,"44562B2Energia horáriaRuralNão se aplicaNão se aplicaNão se aplicaIntermediário",Mercado_Receita!$N$2:$N$444)</f>
        <v>0</v>
      </c>
      <c r="P19" s="12">
        <f>SUMIF(Mercado_Receita!$T$2:$T$444,"44593B2Energia horáriaRuralNão se aplicaNão se aplicaNão se aplicaIntermediário",Mercado_Receita!$N$2:$N$444)</f>
        <v>0</v>
      </c>
      <c r="Q19" s="12">
        <f>SUMIF(Mercado_Receita!$T$2:$T$444,"44621B2Energia horáriaRuralNão se aplicaNão se aplicaNão se aplicaIntermediário",Mercado_Receita!$N$2:$N$444)</f>
        <v>0</v>
      </c>
      <c r="R19" s="12">
        <f>SUMIF(Mercado_Receita!$T$2:$T$444,"44652B2Energia horáriaRuralNão se aplicaNão se aplicaNão se aplicaIntermediário",Mercado_Receita!$N$2:$N$444)</f>
        <v>0</v>
      </c>
      <c r="S19" s="12">
        <f>SUMIF(Mercado_Receita!$T$2:$T$444,"44682B2Energia horáriaRuralNão se aplicaNão se aplicaNão se aplicaIntermediário",Mercado_Receita!$N$2:$N$444)</f>
        <v>0</v>
      </c>
      <c r="T19" s="12">
        <f>SUMIF(Mercado_Receita!$T$2:$T$444,"44713B2Energia horáriaRuralNão se aplicaNão se aplicaNão se aplicaIntermediário",Mercado_Receita!$N$2:$N$444)</f>
        <v>0</v>
      </c>
      <c r="U19" s="12">
        <f t="shared" si="0"/>
        <v>0</v>
      </c>
      <c r="V19" s="12"/>
      <c r="W19" s="12"/>
    </row>
    <row r="20" spans="1:23" ht="11.25" customHeight="1" x14ac:dyDescent="0.25">
      <c r="A20" s="119"/>
      <c r="B20" s="119"/>
      <c r="C20" s="119"/>
      <c r="D20" s="119"/>
      <c r="E20" s="119"/>
      <c r="F20" s="119"/>
      <c r="G20" s="12" t="s">
        <v>72</v>
      </c>
      <c r="H20" s="12" t="s">
        <v>70</v>
      </c>
      <c r="I20" s="12">
        <f>SUMIF(Mercado_Receita!$T$2:$T$444,"44378B2Energia horáriaRuralNão se aplicaNão se aplicaNão se aplicaFora ponta",Mercado_Receita!$N$2:$N$444)</f>
        <v>0</v>
      </c>
      <c r="J20" s="12">
        <f>SUMIF(Mercado_Receita!$T$2:$T$444,"44409B2Energia horáriaRuralNão se aplicaNão se aplicaNão se aplicaFora ponta",Mercado_Receita!$N$2:$N$444)</f>
        <v>0</v>
      </c>
      <c r="K20" s="12">
        <f>SUMIF(Mercado_Receita!$T$2:$T$444,"44440B2Energia horáriaRuralNão se aplicaNão se aplicaNão se aplicaFora ponta",Mercado_Receita!$N$2:$N$444)</f>
        <v>0</v>
      </c>
      <c r="L20" s="12">
        <f>SUMIF(Mercado_Receita!$T$2:$T$444,"44470B2Energia horáriaRuralNão se aplicaNão se aplicaNão se aplicaFora ponta",Mercado_Receita!$N$2:$N$444)</f>
        <v>0</v>
      </c>
      <c r="M20" s="12">
        <f>SUMIF(Mercado_Receita!$T$2:$T$444,"44501B2Energia horáriaRuralNão se aplicaNão se aplicaNão se aplicaFora ponta",Mercado_Receita!$N$2:$N$444)</f>
        <v>0</v>
      </c>
      <c r="N20" s="12">
        <f>SUMIF(Mercado_Receita!$T$2:$T$444,"44531B2Energia horáriaRuralNão se aplicaNão se aplicaNão se aplicaFora ponta",Mercado_Receita!$N$2:$N$444)</f>
        <v>0</v>
      </c>
      <c r="O20" s="12">
        <f>SUMIF(Mercado_Receita!$T$2:$T$444,"44562B2Energia horáriaRuralNão se aplicaNão se aplicaNão se aplicaFora ponta",Mercado_Receita!$N$2:$N$444)</f>
        <v>0</v>
      </c>
      <c r="P20" s="12">
        <f>SUMIF(Mercado_Receita!$T$2:$T$444,"44593B2Energia horáriaRuralNão se aplicaNão se aplicaNão se aplicaFora ponta",Mercado_Receita!$N$2:$N$444)</f>
        <v>0</v>
      </c>
      <c r="Q20" s="12">
        <f>SUMIF(Mercado_Receita!$T$2:$T$444,"44621B2Energia horáriaRuralNão se aplicaNão se aplicaNão se aplicaFora ponta",Mercado_Receita!$N$2:$N$444)</f>
        <v>0</v>
      </c>
      <c r="R20" s="12">
        <f>SUMIF(Mercado_Receita!$T$2:$T$444,"44652B2Energia horáriaRuralNão se aplicaNão se aplicaNão se aplicaFora ponta",Mercado_Receita!$N$2:$N$444)</f>
        <v>0</v>
      </c>
      <c r="S20" s="12">
        <f>SUMIF(Mercado_Receita!$T$2:$T$444,"44682B2Energia horáriaRuralNão se aplicaNão se aplicaNão se aplicaFora ponta",Mercado_Receita!$N$2:$N$444)</f>
        <v>0</v>
      </c>
      <c r="T20" s="12">
        <f>SUMIF(Mercado_Receita!$T$2:$T$444,"44713B2Energia horáriaRuralNão se aplicaNão se aplicaNão se aplicaFora ponta",Mercado_Receita!$N$2:$N$444)</f>
        <v>0</v>
      </c>
      <c r="U20" s="12">
        <f t="shared" si="0"/>
        <v>0</v>
      </c>
      <c r="V20" s="12"/>
      <c r="W20" s="12"/>
    </row>
    <row r="21" spans="1:23" ht="11.25" customHeight="1" x14ac:dyDescent="0.25">
      <c r="A21" s="119"/>
      <c r="B21" s="13" t="s">
        <v>73</v>
      </c>
      <c r="C21" s="13" t="s">
        <v>40</v>
      </c>
      <c r="D21" s="13" t="s">
        <v>25</v>
      </c>
      <c r="E21" s="13" t="s">
        <v>25</v>
      </c>
      <c r="F21" s="13" t="s">
        <v>25</v>
      </c>
      <c r="G21" s="12" t="s">
        <v>74</v>
      </c>
      <c r="H21" s="12" t="s">
        <v>70</v>
      </c>
      <c r="I21" s="12">
        <f>SUMIF(Mercado_Receita!$T$2:$T$444,"44378B2Energia convencionalRuralNão se aplicaNão se aplicaNão se aplicaNão se aplica",Mercado_Receita!$N$2:$N$444)</f>
        <v>3.9630000000000001</v>
      </c>
      <c r="J21" s="12">
        <f>SUMIF(Mercado_Receita!$T$2:$T$444,"44409B2Energia convencionalRuralNão se aplicaNão se aplicaNão se aplicaNão se aplica",Mercado_Receita!$N$2:$N$444)</f>
        <v>4.1479999999999997</v>
      </c>
      <c r="K21" s="12">
        <f>SUMIF(Mercado_Receita!$T$2:$T$444,"44440B2Energia convencionalRuralNão se aplicaNão se aplicaNão se aplicaNão se aplica",Mercado_Receita!$N$2:$N$444)</f>
        <v>4.1529999999999996</v>
      </c>
      <c r="L21" s="12">
        <f>SUMIF(Mercado_Receita!$T$2:$T$444,"44470B2Energia convencionalRuralNão se aplicaNão se aplicaNão se aplicaNão se aplica",Mercado_Receita!$N$2:$N$444)</f>
        <v>4.0789999999999997</v>
      </c>
      <c r="M21" s="12">
        <f>SUMIF(Mercado_Receita!$T$2:$T$444,"44501B2Energia convencionalRuralNão se aplicaNão se aplicaNão se aplicaNão se aplica",Mercado_Receita!$N$2:$N$444)</f>
        <v>4.3499999999999996</v>
      </c>
      <c r="N21" s="12">
        <f>SUMIF(Mercado_Receita!$T$2:$T$444,"44531B2Energia convencionalRuralNão se aplicaNão se aplicaNão se aplicaNão se aplica",Mercado_Receita!$N$2:$N$444)</f>
        <v>4.3620000000000001</v>
      </c>
      <c r="O21" s="12">
        <f>SUMIF(Mercado_Receita!$T$2:$T$444,"44562B2Energia convencionalRuralNão se aplicaNão se aplicaNão se aplicaNão se aplica",Mercado_Receita!$N$2:$N$444)</f>
        <v>3.2549999999999999</v>
      </c>
      <c r="P21" s="12">
        <f>SUMIF(Mercado_Receita!$T$2:$T$444,"44593B2Energia convencionalRuralNão se aplicaNão se aplicaNão se aplicaNão se aplica",Mercado_Receita!$N$2:$N$444)</f>
        <v>3.8050000000000002</v>
      </c>
      <c r="Q21" s="12">
        <f>SUMIF(Mercado_Receita!$T$2:$T$444,"44621B2Energia convencionalRuralNão se aplicaNão se aplicaNão se aplicaNão se aplica",Mercado_Receita!$N$2:$N$444)</f>
        <v>3.3180000000000001</v>
      </c>
      <c r="R21" s="12">
        <f>SUMIF(Mercado_Receita!$T$2:$T$444,"44652B2Energia convencionalRuralNão se aplicaNão se aplicaNão se aplicaNão se aplica",Mercado_Receita!$N$2:$N$444)</f>
        <v>3.1970000000000001</v>
      </c>
      <c r="S21" s="12">
        <f>SUMIF(Mercado_Receita!$T$2:$T$444,"44682B2Energia convencionalRuralNão se aplicaNão se aplicaNão se aplicaNão se aplica",Mercado_Receita!$N$2:$N$444)</f>
        <v>3.2269999999999999</v>
      </c>
      <c r="T21" s="12">
        <f>SUMIF(Mercado_Receita!$T$2:$T$444,"44713B2Energia convencionalRuralNão se aplicaNão se aplicaNão se aplicaNão se aplica",Mercado_Receita!$N$2:$N$444)</f>
        <v>3.6150000000000002</v>
      </c>
      <c r="U21" s="12">
        <f t="shared" si="0"/>
        <v>45.472000000000001</v>
      </c>
      <c r="V21" s="12"/>
      <c r="W21" s="12"/>
    </row>
    <row r="22" spans="1:23" ht="11.25" customHeight="1" x14ac:dyDescent="0.25">
      <c r="A22" s="119"/>
      <c r="B22" s="118" t="s">
        <v>69</v>
      </c>
      <c r="C22" s="118" t="s">
        <v>40</v>
      </c>
      <c r="D22" s="118" t="s">
        <v>86</v>
      </c>
      <c r="E22" s="118" t="s">
        <v>25</v>
      </c>
      <c r="F22" s="118" t="s">
        <v>25</v>
      </c>
      <c r="G22" s="12" t="s">
        <v>71</v>
      </c>
      <c r="H22" s="12" t="s">
        <v>70</v>
      </c>
      <c r="I22" s="12">
        <f>SUMIF(Mercado_Receita!$T$2:$T$444,"44378B2Energia horáriaRuralCooperativa de eletrificação ruralNão se aplicaNão se aplicaPonta",Mercado_Receita!$N$2:$N$444)</f>
        <v>0</v>
      </c>
      <c r="J22" s="12">
        <f>SUMIF(Mercado_Receita!$T$2:$T$444,"44409B2Energia horáriaRuralCooperativa de eletrificação ruralNão se aplicaNão se aplicaPonta",Mercado_Receita!$N$2:$N$444)</f>
        <v>0</v>
      </c>
      <c r="K22" s="12">
        <f>SUMIF(Mercado_Receita!$T$2:$T$444,"44440B2Energia horáriaRuralCooperativa de eletrificação ruralNão se aplicaNão se aplicaPonta",Mercado_Receita!$N$2:$N$444)</f>
        <v>0</v>
      </c>
      <c r="L22" s="12">
        <f>SUMIF(Mercado_Receita!$T$2:$T$444,"44470B2Energia horáriaRuralCooperativa de eletrificação ruralNão se aplicaNão se aplicaPonta",Mercado_Receita!$N$2:$N$444)</f>
        <v>0</v>
      </c>
      <c r="M22" s="12">
        <f>SUMIF(Mercado_Receita!$T$2:$T$444,"44501B2Energia horáriaRuralCooperativa de eletrificação ruralNão se aplicaNão se aplicaPonta",Mercado_Receita!$N$2:$N$444)</f>
        <v>0</v>
      </c>
      <c r="N22" s="12">
        <f>SUMIF(Mercado_Receita!$T$2:$T$444,"44531B2Energia horáriaRuralCooperativa de eletrificação ruralNão se aplicaNão se aplicaPonta",Mercado_Receita!$N$2:$N$444)</f>
        <v>0</v>
      </c>
      <c r="O22" s="12">
        <f>SUMIF(Mercado_Receita!$T$2:$T$444,"44562B2Energia horáriaRuralCooperativa de eletrificação ruralNão se aplicaNão se aplicaPonta",Mercado_Receita!$N$2:$N$444)</f>
        <v>0</v>
      </c>
      <c r="P22" s="12">
        <f>SUMIF(Mercado_Receita!$T$2:$T$444,"44593B2Energia horáriaRuralCooperativa de eletrificação ruralNão se aplicaNão se aplicaPonta",Mercado_Receita!$N$2:$N$444)</f>
        <v>0</v>
      </c>
      <c r="Q22" s="12">
        <f>SUMIF(Mercado_Receita!$T$2:$T$444,"44621B2Energia horáriaRuralCooperativa de eletrificação ruralNão se aplicaNão se aplicaPonta",Mercado_Receita!$N$2:$N$444)</f>
        <v>0</v>
      </c>
      <c r="R22" s="12">
        <f>SUMIF(Mercado_Receita!$T$2:$T$444,"44652B2Energia horáriaRuralCooperativa de eletrificação ruralNão se aplicaNão se aplicaPonta",Mercado_Receita!$N$2:$N$444)</f>
        <v>0</v>
      </c>
      <c r="S22" s="12">
        <f>SUMIF(Mercado_Receita!$T$2:$T$444,"44682B2Energia horáriaRuralCooperativa de eletrificação ruralNão se aplicaNão se aplicaPonta",Mercado_Receita!$N$2:$N$444)</f>
        <v>0</v>
      </c>
      <c r="T22" s="12">
        <f>SUMIF(Mercado_Receita!$T$2:$T$444,"44713B2Energia horáriaRuralCooperativa de eletrificação ruralNão se aplicaNão se aplicaPonta",Mercado_Receita!$N$2:$N$444)</f>
        <v>0</v>
      </c>
      <c r="U22" s="12">
        <f t="shared" si="0"/>
        <v>0</v>
      </c>
      <c r="V22" s="12"/>
      <c r="W22" s="12"/>
    </row>
    <row r="23" spans="1:23" ht="11.25" customHeight="1" x14ac:dyDescent="0.25">
      <c r="A23" s="119"/>
      <c r="B23" s="119"/>
      <c r="C23" s="119"/>
      <c r="D23" s="119"/>
      <c r="E23" s="119"/>
      <c r="F23" s="119"/>
      <c r="G23" s="12" t="s">
        <v>83</v>
      </c>
      <c r="H23" s="12" t="s">
        <v>70</v>
      </c>
      <c r="I23" s="12">
        <f>SUMIF(Mercado_Receita!$T$2:$T$444,"44378B2Energia horáriaRuralCooperativa de eletrificação ruralNão se aplicaNão se aplicaIntermediário",Mercado_Receita!$N$2:$N$444)</f>
        <v>0</v>
      </c>
      <c r="J23" s="12">
        <f>SUMIF(Mercado_Receita!$T$2:$T$444,"44409B2Energia horáriaRuralCooperativa de eletrificação ruralNão se aplicaNão se aplicaIntermediário",Mercado_Receita!$N$2:$N$444)</f>
        <v>0</v>
      </c>
      <c r="K23" s="12">
        <f>SUMIF(Mercado_Receita!$T$2:$T$444,"44440B2Energia horáriaRuralCooperativa de eletrificação ruralNão se aplicaNão se aplicaIntermediário",Mercado_Receita!$N$2:$N$444)</f>
        <v>0</v>
      </c>
      <c r="L23" s="12">
        <f>SUMIF(Mercado_Receita!$T$2:$T$444,"44470B2Energia horáriaRuralCooperativa de eletrificação ruralNão se aplicaNão se aplicaIntermediário",Mercado_Receita!$N$2:$N$444)</f>
        <v>0</v>
      </c>
      <c r="M23" s="12">
        <f>SUMIF(Mercado_Receita!$T$2:$T$444,"44501B2Energia horáriaRuralCooperativa de eletrificação ruralNão se aplicaNão se aplicaIntermediário",Mercado_Receita!$N$2:$N$444)</f>
        <v>0</v>
      </c>
      <c r="N23" s="12">
        <f>SUMIF(Mercado_Receita!$T$2:$T$444,"44531B2Energia horáriaRuralCooperativa de eletrificação ruralNão se aplicaNão se aplicaIntermediário",Mercado_Receita!$N$2:$N$444)</f>
        <v>0</v>
      </c>
      <c r="O23" s="12">
        <f>SUMIF(Mercado_Receita!$T$2:$T$444,"44562B2Energia horáriaRuralCooperativa de eletrificação ruralNão se aplicaNão se aplicaIntermediário",Mercado_Receita!$N$2:$N$444)</f>
        <v>0</v>
      </c>
      <c r="P23" s="12">
        <f>SUMIF(Mercado_Receita!$T$2:$T$444,"44593B2Energia horáriaRuralCooperativa de eletrificação ruralNão se aplicaNão se aplicaIntermediário",Mercado_Receita!$N$2:$N$444)</f>
        <v>0</v>
      </c>
      <c r="Q23" s="12">
        <f>SUMIF(Mercado_Receita!$T$2:$T$444,"44621B2Energia horáriaRuralCooperativa de eletrificação ruralNão se aplicaNão se aplicaIntermediário",Mercado_Receita!$N$2:$N$444)</f>
        <v>0</v>
      </c>
      <c r="R23" s="12">
        <f>SUMIF(Mercado_Receita!$T$2:$T$444,"44652B2Energia horáriaRuralCooperativa de eletrificação ruralNão se aplicaNão se aplicaIntermediário",Mercado_Receita!$N$2:$N$444)</f>
        <v>0</v>
      </c>
      <c r="S23" s="12">
        <f>SUMIF(Mercado_Receita!$T$2:$T$444,"44682B2Energia horáriaRuralCooperativa de eletrificação ruralNão se aplicaNão se aplicaIntermediário",Mercado_Receita!$N$2:$N$444)</f>
        <v>0</v>
      </c>
      <c r="T23" s="12">
        <f>SUMIF(Mercado_Receita!$T$2:$T$444,"44713B2Energia horáriaRuralCooperativa de eletrificação ruralNão se aplicaNão se aplicaIntermediário",Mercado_Receita!$N$2:$N$444)</f>
        <v>0</v>
      </c>
      <c r="U23" s="12">
        <f t="shared" si="0"/>
        <v>0</v>
      </c>
      <c r="V23" s="12"/>
      <c r="W23" s="12"/>
    </row>
    <row r="24" spans="1:23" ht="11.25" customHeight="1" x14ac:dyDescent="0.25">
      <c r="A24" s="119"/>
      <c r="B24" s="119"/>
      <c r="C24" s="119"/>
      <c r="D24" s="119"/>
      <c r="E24" s="119"/>
      <c r="F24" s="119"/>
      <c r="G24" s="12" t="s">
        <v>72</v>
      </c>
      <c r="H24" s="12" t="s">
        <v>70</v>
      </c>
      <c r="I24" s="12">
        <f>SUMIF(Mercado_Receita!$T$2:$T$444,"44378B2Energia horáriaRuralCooperativa de eletrificação ruralNão se aplicaNão se aplicaFora ponta",Mercado_Receita!$N$2:$N$444)</f>
        <v>0</v>
      </c>
      <c r="J24" s="12">
        <f>SUMIF(Mercado_Receita!$T$2:$T$444,"44409B2Energia horáriaRuralCooperativa de eletrificação ruralNão se aplicaNão se aplicaFora ponta",Mercado_Receita!$N$2:$N$444)</f>
        <v>0</v>
      </c>
      <c r="K24" s="12">
        <f>SUMIF(Mercado_Receita!$T$2:$T$444,"44440B2Energia horáriaRuralCooperativa de eletrificação ruralNão se aplicaNão se aplicaFora ponta",Mercado_Receita!$N$2:$N$444)</f>
        <v>0</v>
      </c>
      <c r="L24" s="12">
        <f>SUMIF(Mercado_Receita!$T$2:$T$444,"44470B2Energia horáriaRuralCooperativa de eletrificação ruralNão se aplicaNão se aplicaFora ponta",Mercado_Receita!$N$2:$N$444)</f>
        <v>0</v>
      </c>
      <c r="M24" s="12">
        <f>SUMIF(Mercado_Receita!$T$2:$T$444,"44501B2Energia horáriaRuralCooperativa de eletrificação ruralNão se aplicaNão se aplicaFora ponta",Mercado_Receita!$N$2:$N$444)</f>
        <v>0</v>
      </c>
      <c r="N24" s="12">
        <f>SUMIF(Mercado_Receita!$T$2:$T$444,"44531B2Energia horáriaRuralCooperativa de eletrificação ruralNão se aplicaNão se aplicaFora ponta",Mercado_Receita!$N$2:$N$444)</f>
        <v>0</v>
      </c>
      <c r="O24" s="12">
        <f>SUMIF(Mercado_Receita!$T$2:$T$444,"44562B2Energia horáriaRuralCooperativa de eletrificação ruralNão se aplicaNão se aplicaFora ponta",Mercado_Receita!$N$2:$N$444)</f>
        <v>0</v>
      </c>
      <c r="P24" s="12">
        <f>SUMIF(Mercado_Receita!$T$2:$T$444,"44593B2Energia horáriaRuralCooperativa de eletrificação ruralNão se aplicaNão se aplicaFora ponta",Mercado_Receita!$N$2:$N$444)</f>
        <v>0</v>
      </c>
      <c r="Q24" s="12">
        <f>SUMIF(Mercado_Receita!$T$2:$T$444,"44621B2Energia horáriaRuralCooperativa de eletrificação ruralNão se aplicaNão se aplicaFora ponta",Mercado_Receita!$N$2:$N$444)</f>
        <v>0</v>
      </c>
      <c r="R24" s="12">
        <f>SUMIF(Mercado_Receita!$T$2:$T$444,"44652B2Energia horáriaRuralCooperativa de eletrificação ruralNão se aplicaNão se aplicaFora ponta",Mercado_Receita!$N$2:$N$444)</f>
        <v>0</v>
      </c>
      <c r="S24" s="12">
        <f>SUMIF(Mercado_Receita!$T$2:$T$444,"44682B2Energia horáriaRuralCooperativa de eletrificação ruralNão se aplicaNão se aplicaFora ponta",Mercado_Receita!$N$2:$N$444)</f>
        <v>0</v>
      </c>
      <c r="T24" s="12">
        <f>SUMIF(Mercado_Receita!$T$2:$T$444,"44713B2Energia horáriaRuralCooperativa de eletrificação ruralNão se aplicaNão se aplicaFora ponta",Mercado_Receita!$N$2:$N$444)</f>
        <v>0</v>
      </c>
      <c r="U24" s="12">
        <f t="shared" si="0"/>
        <v>0</v>
      </c>
      <c r="V24" s="12"/>
      <c r="W24" s="12"/>
    </row>
    <row r="25" spans="1:23" ht="11.25" customHeight="1" x14ac:dyDescent="0.25">
      <c r="A25" s="119"/>
      <c r="B25" s="13" t="s">
        <v>73</v>
      </c>
      <c r="C25" s="13" t="s">
        <v>40</v>
      </c>
      <c r="D25" s="13" t="s">
        <v>86</v>
      </c>
      <c r="E25" s="13" t="s">
        <v>25</v>
      </c>
      <c r="F25" s="13" t="s">
        <v>25</v>
      </c>
      <c r="G25" s="12" t="s">
        <v>74</v>
      </c>
      <c r="H25" s="12" t="s">
        <v>70</v>
      </c>
      <c r="I25" s="12">
        <f>SUMIF(Mercado_Receita!$T$2:$T$444,"44378B2Energia convencionalRuralCooperativa de eletrificação ruralNão se aplicaNão se aplicaNão se aplica",Mercado_Receita!$N$2:$N$444)</f>
        <v>0</v>
      </c>
      <c r="J25" s="12">
        <f>SUMIF(Mercado_Receita!$T$2:$T$444,"44409B2Energia convencionalRuralCooperativa de eletrificação ruralNão se aplicaNão se aplicaNão se aplica",Mercado_Receita!$N$2:$N$444)</f>
        <v>0</v>
      </c>
      <c r="K25" s="12">
        <f>SUMIF(Mercado_Receita!$T$2:$T$444,"44440B2Energia convencionalRuralCooperativa de eletrificação ruralNão se aplicaNão se aplicaNão se aplica",Mercado_Receita!$N$2:$N$444)</f>
        <v>0</v>
      </c>
      <c r="L25" s="12">
        <f>SUMIF(Mercado_Receita!$T$2:$T$444,"44470B2Energia convencionalRuralCooperativa de eletrificação ruralNão se aplicaNão se aplicaNão se aplica",Mercado_Receita!$N$2:$N$444)</f>
        <v>0</v>
      </c>
      <c r="M25" s="12">
        <f>SUMIF(Mercado_Receita!$T$2:$T$444,"44501B2Energia convencionalRuralCooperativa de eletrificação ruralNão se aplicaNão se aplicaNão se aplica",Mercado_Receita!$N$2:$N$444)</f>
        <v>0</v>
      </c>
      <c r="N25" s="12">
        <f>SUMIF(Mercado_Receita!$T$2:$T$444,"44531B2Energia convencionalRuralCooperativa de eletrificação ruralNão se aplicaNão se aplicaNão se aplica",Mercado_Receita!$N$2:$N$444)</f>
        <v>0</v>
      </c>
      <c r="O25" s="12">
        <f>SUMIF(Mercado_Receita!$T$2:$T$444,"44562B2Energia convencionalRuralCooperativa de eletrificação ruralNão se aplicaNão se aplicaNão se aplica",Mercado_Receita!$N$2:$N$444)</f>
        <v>0</v>
      </c>
      <c r="P25" s="12">
        <f>SUMIF(Mercado_Receita!$T$2:$T$444,"44593B2Energia convencionalRuralCooperativa de eletrificação ruralNão se aplicaNão se aplicaNão se aplica",Mercado_Receita!$N$2:$N$444)</f>
        <v>0</v>
      </c>
      <c r="Q25" s="12">
        <f>SUMIF(Mercado_Receita!$T$2:$T$444,"44621B2Energia convencionalRuralCooperativa de eletrificação ruralNão se aplicaNão se aplicaNão se aplica",Mercado_Receita!$N$2:$N$444)</f>
        <v>0</v>
      </c>
      <c r="R25" s="12">
        <f>SUMIF(Mercado_Receita!$T$2:$T$444,"44652B2Energia convencionalRuralCooperativa de eletrificação ruralNão se aplicaNão se aplicaNão se aplica",Mercado_Receita!$N$2:$N$444)</f>
        <v>0</v>
      </c>
      <c r="S25" s="12">
        <f>SUMIF(Mercado_Receita!$T$2:$T$444,"44682B2Energia convencionalRuralCooperativa de eletrificação ruralNão se aplicaNão se aplicaNão se aplica",Mercado_Receita!$N$2:$N$444)</f>
        <v>0</v>
      </c>
      <c r="T25" s="12">
        <f>SUMIF(Mercado_Receita!$T$2:$T$444,"44713B2Energia convencionalRuralCooperativa de eletrificação ruralNão se aplicaNão se aplicaNão se aplica",Mercado_Receita!$N$2:$N$444)</f>
        <v>0</v>
      </c>
      <c r="U25" s="12">
        <f t="shared" si="0"/>
        <v>0</v>
      </c>
      <c r="V25" s="12"/>
      <c r="W25" s="12"/>
    </row>
    <row r="26" spans="1:23" ht="11.25" customHeight="1" x14ac:dyDescent="0.25">
      <c r="A26" s="119"/>
      <c r="B26" s="118" t="s">
        <v>69</v>
      </c>
      <c r="C26" s="118" t="s">
        <v>40</v>
      </c>
      <c r="D26" s="118" t="s">
        <v>87</v>
      </c>
      <c r="E26" s="118" t="s">
        <v>25</v>
      </c>
      <c r="F26" s="118" t="s">
        <v>25</v>
      </c>
      <c r="G26" s="12" t="s">
        <v>71</v>
      </c>
      <c r="H26" s="12" t="s">
        <v>70</v>
      </c>
      <c r="I26" s="12">
        <f>SUMIF(Mercado_Receita!$T$2:$T$444,"44378B2Energia horáriaRuralServiço público de irrigação ruralNão se aplicaNão se aplicaPonta",Mercado_Receita!$N$2:$N$444)</f>
        <v>0</v>
      </c>
      <c r="J26" s="12">
        <f>SUMIF(Mercado_Receita!$T$2:$T$444,"44409B2Energia horáriaRuralServiço público de irrigação ruralNão se aplicaNão se aplicaPonta",Mercado_Receita!$N$2:$N$444)</f>
        <v>0</v>
      </c>
      <c r="K26" s="12">
        <f>SUMIF(Mercado_Receita!$T$2:$T$444,"44440B2Energia horáriaRuralServiço público de irrigação ruralNão se aplicaNão se aplicaPonta",Mercado_Receita!$N$2:$N$444)</f>
        <v>0</v>
      </c>
      <c r="L26" s="12">
        <f>SUMIF(Mercado_Receita!$T$2:$T$444,"44470B2Energia horáriaRuralServiço público de irrigação ruralNão se aplicaNão se aplicaPonta",Mercado_Receita!$N$2:$N$444)</f>
        <v>0</v>
      </c>
      <c r="M26" s="12">
        <f>SUMIF(Mercado_Receita!$T$2:$T$444,"44501B2Energia horáriaRuralServiço público de irrigação ruralNão se aplicaNão se aplicaPonta",Mercado_Receita!$N$2:$N$444)</f>
        <v>0</v>
      </c>
      <c r="N26" s="12">
        <f>SUMIF(Mercado_Receita!$T$2:$T$444,"44531B2Energia horáriaRuralServiço público de irrigação ruralNão se aplicaNão se aplicaPonta",Mercado_Receita!$N$2:$N$444)</f>
        <v>0</v>
      </c>
      <c r="O26" s="12">
        <f>SUMIF(Mercado_Receita!$T$2:$T$444,"44562B2Energia horáriaRuralServiço público de irrigação ruralNão se aplicaNão se aplicaPonta",Mercado_Receita!$N$2:$N$444)</f>
        <v>0</v>
      </c>
      <c r="P26" s="12">
        <f>SUMIF(Mercado_Receita!$T$2:$T$444,"44593B2Energia horáriaRuralServiço público de irrigação ruralNão se aplicaNão se aplicaPonta",Mercado_Receita!$N$2:$N$444)</f>
        <v>0</v>
      </c>
      <c r="Q26" s="12">
        <f>SUMIF(Mercado_Receita!$T$2:$T$444,"44621B2Energia horáriaRuralServiço público de irrigação ruralNão se aplicaNão se aplicaPonta",Mercado_Receita!$N$2:$N$444)</f>
        <v>0</v>
      </c>
      <c r="R26" s="12">
        <f>SUMIF(Mercado_Receita!$T$2:$T$444,"44652B2Energia horáriaRuralServiço público de irrigação ruralNão se aplicaNão se aplicaPonta",Mercado_Receita!$N$2:$N$444)</f>
        <v>0</v>
      </c>
      <c r="S26" s="12">
        <f>SUMIF(Mercado_Receita!$T$2:$T$444,"44682B2Energia horáriaRuralServiço público de irrigação ruralNão se aplicaNão se aplicaPonta",Mercado_Receita!$N$2:$N$444)</f>
        <v>0</v>
      </c>
      <c r="T26" s="12">
        <f>SUMIF(Mercado_Receita!$T$2:$T$444,"44713B2Energia horáriaRuralServiço público de irrigação ruralNão se aplicaNão se aplicaPonta",Mercado_Receita!$N$2:$N$444)</f>
        <v>0</v>
      </c>
      <c r="U26" s="12">
        <f t="shared" si="0"/>
        <v>0</v>
      </c>
      <c r="V26" s="12"/>
      <c r="W26" s="12"/>
    </row>
    <row r="27" spans="1:23" ht="11.25" customHeight="1" x14ac:dyDescent="0.25">
      <c r="A27" s="119"/>
      <c r="B27" s="119"/>
      <c r="C27" s="119"/>
      <c r="D27" s="119"/>
      <c r="E27" s="119"/>
      <c r="F27" s="119"/>
      <c r="G27" s="12" t="s">
        <v>83</v>
      </c>
      <c r="H27" s="12" t="s">
        <v>70</v>
      </c>
      <c r="I27" s="12">
        <f>SUMIF(Mercado_Receita!$T$2:$T$444,"44378B2Energia horáriaRuralServiço público de irrigação ruralNão se aplicaNão se aplicaIntermediário",Mercado_Receita!$N$2:$N$444)</f>
        <v>0</v>
      </c>
      <c r="J27" s="12">
        <f>SUMIF(Mercado_Receita!$T$2:$T$444,"44409B2Energia horáriaRuralServiço público de irrigação ruralNão se aplicaNão se aplicaIntermediário",Mercado_Receita!$N$2:$N$444)</f>
        <v>0</v>
      </c>
      <c r="K27" s="12">
        <f>SUMIF(Mercado_Receita!$T$2:$T$444,"44440B2Energia horáriaRuralServiço público de irrigação ruralNão se aplicaNão se aplicaIntermediário",Mercado_Receita!$N$2:$N$444)</f>
        <v>0</v>
      </c>
      <c r="L27" s="12">
        <f>SUMIF(Mercado_Receita!$T$2:$T$444,"44470B2Energia horáriaRuralServiço público de irrigação ruralNão se aplicaNão se aplicaIntermediário",Mercado_Receita!$N$2:$N$444)</f>
        <v>0</v>
      </c>
      <c r="M27" s="12">
        <f>SUMIF(Mercado_Receita!$T$2:$T$444,"44501B2Energia horáriaRuralServiço público de irrigação ruralNão se aplicaNão se aplicaIntermediário",Mercado_Receita!$N$2:$N$444)</f>
        <v>0</v>
      </c>
      <c r="N27" s="12">
        <f>SUMIF(Mercado_Receita!$T$2:$T$444,"44531B2Energia horáriaRuralServiço público de irrigação ruralNão se aplicaNão se aplicaIntermediário",Mercado_Receita!$N$2:$N$444)</f>
        <v>0</v>
      </c>
      <c r="O27" s="12">
        <f>SUMIF(Mercado_Receita!$T$2:$T$444,"44562B2Energia horáriaRuralServiço público de irrigação ruralNão se aplicaNão se aplicaIntermediário",Mercado_Receita!$N$2:$N$444)</f>
        <v>0</v>
      </c>
      <c r="P27" s="12">
        <f>SUMIF(Mercado_Receita!$T$2:$T$444,"44593B2Energia horáriaRuralServiço público de irrigação ruralNão se aplicaNão se aplicaIntermediário",Mercado_Receita!$N$2:$N$444)</f>
        <v>0</v>
      </c>
      <c r="Q27" s="12">
        <f>SUMIF(Mercado_Receita!$T$2:$T$444,"44621B2Energia horáriaRuralServiço público de irrigação ruralNão se aplicaNão se aplicaIntermediário",Mercado_Receita!$N$2:$N$444)</f>
        <v>0</v>
      </c>
      <c r="R27" s="12">
        <f>SUMIF(Mercado_Receita!$T$2:$T$444,"44652B2Energia horáriaRuralServiço público de irrigação ruralNão se aplicaNão se aplicaIntermediário",Mercado_Receita!$N$2:$N$444)</f>
        <v>0</v>
      </c>
      <c r="S27" s="12">
        <f>SUMIF(Mercado_Receita!$T$2:$T$444,"44682B2Energia horáriaRuralServiço público de irrigação ruralNão se aplicaNão se aplicaIntermediário",Mercado_Receita!$N$2:$N$444)</f>
        <v>0</v>
      </c>
      <c r="T27" s="12">
        <f>SUMIF(Mercado_Receita!$T$2:$T$444,"44713B2Energia horáriaRuralServiço público de irrigação ruralNão se aplicaNão se aplicaIntermediário",Mercado_Receita!$N$2:$N$444)</f>
        <v>0</v>
      </c>
      <c r="U27" s="12">
        <f t="shared" si="0"/>
        <v>0</v>
      </c>
      <c r="V27" s="12"/>
      <c r="W27" s="12"/>
    </row>
    <row r="28" spans="1:23" ht="11.25" customHeight="1" x14ac:dyDescent="0.25">
      <c r="A28" s="119"/>
      <c r="B28" s="119"/>
      <c r="C28" s="119"/>
      <c r="D28" s="119"/>
      <c r="E28" s="119"/>
      <c r="F28" s="119"/>
      <c r="G28" s="12" t="s">
        <v>72</v>
      </c>
      <c r="H28" s="12" t="s">
        <v>70</v>
      </c>
      <c r="I28" s="12">
        <f>SUMIF(Mercado_Receita!$T$2:$T$444,"44378B2Energia horáriaRuralServiço público de irrigação ruralNão se aplicaNão se aplicaFora ponta",Mercado_Receita!$N$2:$N$444)</f>
        <v>0</v>
      </c>
      <c r="J28" s="12">
        <f>SUMIF(Mercado_Receita!$T$2:$T$444,"44409B2Energia horáriaRuralServiço público de irrigação ruralNão se aplicaNão se aplicaFora ponta",Mercado_Receita!$N$2:$N$444)</f>
        <v>0</v>
      </c>
      <c r="K28" s="12">
        <f>SUMIF(Mercado_Receita!$T$2:$T$444,"44440B2Energia horáriaRuralServiço público de irrigação ruralNão se aplicaNão se aplicaFora ponta",Mercado_Receita!$N$2:$N$444)</f>
        <v>0</v>
      </c>
      <c r="L28" s="12">
        <f>SUMIF(Mercado_Receita!$T$2:$T$444,"44470B2Energia horáriaRuralServiço público de irrigação ruralNão se aplicaNão se aplicaFora ponta",Mercado_Receita!$N$2:$N$444)</f>
        <v>0</v>
      </c>
      <c r="M28" s="12">
        <f>SUMIF(Mercado_Receita!$T$2:$T$444,"44501B2Energia horáriaRuralServiço público de irrigação ruralNão se aplicaNão se aplicaFora ponta",Mercado_Receita!$N$2:$N$444)</f>
        <v>0</v>
      </c>
      <c r="N28" s="12">
        <f>SUMIF(Mercado_Receita!$T$2:$T$444,"44531B2Energia horáriaRuralServiço público de irrigação ruralNão se aplicaNão se aplicaFora ponta",Mercado_Receita!$N$2:$N$444)</f>
        <v>0</v>
      </c>
      <c r="O28" s="12">
        <f>SUMIF(Mercado_Receita!$T$2:$T$444,"44562B2Energia horáriaRuralServiço público de irrigação ruralNão se aplicaNão se aplicaFora ponta",Mercado_Receita!$N$2:$N$444)</f>
        <v>0</v>
      </c>
      <c r="P28" s="12">
        <f>SUMIF(Mercado_Receita!$T$2:$T$444,"44593B2Energia horáriaRuralServiço público de irrigação ruralNão se aplicaNão se aplicaFora ponta",Mercado_Receita!$N$2:$N$444)</f>
        <v>0</v>
      </c>
      <c r="Q28" s="12">
        <f>SUMIF(Mercado_Receita!$T$2:$T$444,"44621B2Energia horáriaRuralServiço público de irrigação ruralNão se aplicaNão se aplicaFora ponta",Mercado_Receita!$N$2:$N$444)</f>
        <v>0</v>
      </c>
      <c r="R28" s="12">
        <f>SUMIF(Mercado_Receita!$T$2:$T$444,"44652B2Energia horáriaRuralServiço público de irrigação ruralNão se aplicaNão se aplicaFora ponta",Mercado_Receita!$N$2:$N$444)</f>
        <v>0</v>
      </c>
      <c r="S28" s="12">
        <f>SUMIF(Mercado_Receita!$T$2:$T$444,"44682B2Energia horáriaRuralServiço público de irrigação ruralNão se aplicaNão se aplicaFora ponta",Mercado_Receita!$N$2:$N$444)</f>
        <v>0</v>
      </c>
      <c r="T28" s="12">
        <f>SUMIF(Mercado_Receita!$T$2:$T$444,"44713B2Energia horáriaRuralServiço público de irrigação ruralNão se aplicaNão se aplicaFora ponta",Mercado_Receita!$N$2:$N$444)</f>
        <v>0</v>
      </c>
      <c r="U28" s="12">
        <f t="shared" si="0"/>
        <v>0</v>
      </c>
      <c r="V28" s="12"/>
      <c r="W28" s="12"/>
    </row>
    <row r="29" spans="1:23" ht="11.25" customHeight="1" x14ac:dyDescent="0.25">
      <c r="A29" s="119"/>
      <c r="B29" s="13" t="s">
        <v>73</v>
      </c>
      <c r="C29" s="13" t="s">
        <v>40</v>
      </c>
      <c r="D29" s="13" t="s">
        <v>87</v>
      </c>
      <c r="E29" s="13" t="s">
        <v>25</v>
      </c>
      <c r="F29" s="13" t="s">
        <v>25</v>
      </c>
      <c r="G29" s="12" t="s">
        <v>74</v>
      </c>
      <c r="H29" s="12" t="s">
        <v>70</v>
      </c>
      <c r="I29" s="12">
        <f>SUMIF(Mercado_Receita!$T$2:$T$444,"44378B2Energia convencionalRuralServiço público de irrigação ruralNão se aplicaNão se aplicaNão se aplica",Mercado_Receita!$N$2:$N$444)</f>
        <v>0</v>
      </c>
      <c r="J29" s="12">
        <f>SUMIF(Mercado_Receita!$T$2:$T$444,"44409B2Energia convencionalRuralServiço público de irrigação ruralNão se aplicaNão se aplicaNão se aplica",Mercado_Receita!$N$2:$N$444)</f>
        <v>0</v>
      </c>
      <c r="K29" s="12">
        <f>SUMIF(Mercado_Receita!$T$2:$T$444,"44440B2Energia convencionalRuralServiço público de irrigação ruralNão se aplicaNão se aplicaNão se aplica",Mercado_Receita!$N$2:$N$444)</f>
        <v>0</v>
      </c>
      <c r="L29" s="12">
        <f>SUMIF(Mercado_Receita!$T$2:$T$444,"44470B2Energia convencionalRuralServiço público de irrigação ruralNão se aplicaNão se aplicaNão se aplica",Mercado_Receita!$N$2:$N$444)</f>
        <v>0</v>
      </c>
      <c r="M29" s="12">
        <f>SUMIF(Mercado_Receita!$T$2:$T$444,"44501B2Energia convencionalRuralServiço público de irrigação ruralNão se aplicaNão se aplicaNão se aplica",Mercado_Receita!$N$2:$N$444)</f>
        <v>0</v>
      </c>
      <c r="N29" s="12">
        <f>SUMIF(Mercado_Receita!$T$2:$T$444,"44531B2Energia convencionalRuralServiço público de irrigação ruralNão se aplicaNão se aplicaNão se aplica",Mercado_Receita!$N$2:$N$444)</f>
        <v>0</v>
      </c>
      <c r="O29" s="12">
        <f>SUMIF(Mercado_Receita!$T$2:$T$444,"44562B2Energia convencionalRuralServiço público de irrigação ruralNão se aplicaNão se aplicaNão se aplica",Mercado_Receita!$N$2:$N$444)</f>
        <v>0</v>
      </c>
      <c r="P29" s="12">
        <f>SUMIF(Mercado_Receita!$T$2:$T$444,"44593B2Energia convencionalRuralServiço público de irrigação ruralNão se aplicaNão se aplicaNão se aplica",Mercado_Receita!$N$2:$N$444)</f>
        <v>0</v>
      </c>
      <c r="Q29" s="12">
        <f>SUMIF(Mercado_Receita!$T$2:$T$444,"44621B2Energia convencionalRuralServiço público de irrigação ruralNão se aplicaNão se aplicaNão se aplica",Mercado_Receita!$N$2:$N$444)</f>
        <v>0</v>
      </c>
      <c r="R29" s="12">
        <f>SUMIF(Mercado_Receita!$T$2:$T$444,"44652B2Energia convencionalRuralServiço público de irrigação ruralNão se aplicaNão se aplicaNão se aplica",Mercado_Receita!$N$2:$N$444)</f>
        <v>0</v>
      </c>
      <c r="S29" s="12">
        <f>SUMIF(Mercado_Receita!$T$2:$T$444,"44682B2Energia convencionalRuralServiço público de irrigação ruralNão se aplicaNão se aplicaNão se aplica",Mercado_Receita!$N$2:$N$444)</f>
        <v>0</v>
      </c>
      <c r="T29" s="12">
        <f>SUMIF(Mercado_Receita!$T$2:$T$444,"44713B2Energia convencionalRuralServiço público de irrigação ruralNão se aplicaNão se aplicaNão se aplica",Mercado_Receita!$N$2:$N$444)</f>
        <v>0</v>
      </c>
      <c r="U29" s="12">
        <f t="shared" si="0"/>
        <v>0</v>
      </c>
      <c r="V29" s="12"/>
      <c r="W29" s="12"/>
    </row>
    <row r="30" spans="1:23" ht="11.25" customHeight="1" x14ac:dyDescent="0.25">
      <c r="A30" s="119"/>
      <c r="B30" s="118" t="s">
        <v>84</v>
      </c>
      <c r="C30" s="118" t="s">
        <v>40</v>
      </c>
      <c r="D30" s="13" t="s">
        <v>25</v>
      </c>
      <c r="E30" s="13" t="s">
        <v>25</v>
      </c>
      <c r="F30" s="13" t="s">
        <v>25</v>
      </c>
      <c r="G30" s="12" t="s">
        <v>74</v>
      </c>
      <c r="H30" s="12" t="s">
        <v>70</v>
      </c>
      <c r="I30" s="12">
        <f>SUMIF(Mercado_Receita!$T$2:$T$444,"44378B2Energia convencional pré-pagamentoRuralNão se aplicaNão se aplicaNão se aplicaNão se aplica",Mercado_Receita!$N$2:$N$444)</f>
        <v>0</v>
      </c>
      <c r="J30" s="12">
        <f>SUMIF(Mercado_Receita!$T$2:$T$444,"44409B2Energia convencional pré-pagamentoRuralNão se aplicaNão se aplicaNão se aplicaNão se aplica",Mercado_Receita!$N$2:$N$444)</f>
        <v>0</v>
      </c>
      <c r="K30" s="12">
        <f>SUMIF(Mercado_Receita!$T$2:$T$444,"44440B2Energia convencional pré-pagamentoRuralNão se aplicaNão se aplicaNão se aplicaNão se aplica",Mercado_Receita!$N$2:$N$444)</f>
        <v>0</v>
      </c>
      <c r="L30" s="12">
        <f>SUMIF(Mercado_Receita!$T$2:$T$444,"44470B2Energia convencional pré-pagamentoRuralNão se aplicaNão se aplicaNão se aplicaNão se aplica",Mercado_Receita!$N$2:$N$444)</f>
        <v>0</v>
      </c>
      <c r="M30" s="12">
        <f>SUMIF(Mercado_Receita!$T$2:$T$444,"44501B2Energia convencional pré-pagamentoRuralNão se aplicaNão se aplicaNão se aplicaNão se aplica",Mercado_Receita!$N$2:$N$444)</f>
        <v>0</v>
      </c>
      <c r="N30" s="12">
        <f>SUMIF(Mercado_Receita!$T$2:$T$444,"44531B2Energia convencional pré-pagamentoRuralNão se aplicaNão se aplicaNão se aplicaNão se aplica",Mercado_Receita!$N$2:$N$444)</f>
        <v>0</v>
      </c>
      <c r="O30" s="12">
        <f>SUMIF(Mercado_Receita!$T$2:$T$444,"44562B2Energia convencional pré-pagamentoRuralNão se aplicaNão se aplicaNão se aplicaNão se aplica",Mercado_Receita!$N$2:$N$444)</f>
        <v>0</v>
      </c>
      <c r="P30" s="12">
        <f>SUMIF(Mercado_Receita!$T$2:$T$444,"44593B2Energia convencional pré-pagamentoRuralNão se aplicaNão se aplicaNão se aplicaNão se aplica",Mercado_Receita!$N$2:$N$444)</f>
        <v>0</v>
      </c>
      <c r="Q30" s="12">
        <f>SUMIF(Mercado_Receita!$T$2:$T$444,"44621B2Energia convencional pré-pagamentoRuralNão se aplicaNão se aplicaNão se aplicaNão se aplica",Mercado_Receita!$N$2:$N$444)</f>
        <v>0</v>
      </c>
      <c r="R30" s="12">
        <f>SUMIF(Mercado_Receita!$T$2:$T$444,"44652B2Energia convencional pré-pagamentoRuralNão se aplicaNão se aplicaNão se aplicaNão se aplica",Mercado_Receita!$N$2:$N$444)</f>
        <v>0</v>
      </c>
      <c r="S30" s="12">
        <f>SUMIF(Mercado_Receita!$T$2:$T$444,"44682B2Energia convencional pré-pagamentoRuralNão se aplicaNão se aplicaNão se aplicaNão se aplica",Mercado_Receita!$N$2:$N$444)</f>
        <v>0</v>
      </c>
      <c r="T30" s="12">
        <f>SUMIF(Mercado_Receita!$T$2:$T$444,"44713B2Energia convencional pré-pagamentoRuralNão se aplicaNão se aplicaNão se aplicaNão se aplica",Mercado_Receita!$N$2:$N$444)</f>
        <v>0</v>
      </c>
      <c r="U30" s="12">
        <f t="shared" si="0"/>
        <v>0</v>
      </c>
      <c r="V30" s="12"/>
      <c r="W30" s="12"/>
    </row>
    <row r="31" spans="1:23" ht="11.25" customHeight="1" x14ac:dyDescent="0.25">
      <c r="A31" s="119"/>
      <c r="B31" s="119"/>
      <c r="C31" s="119"/>
      <c r="D31" s="13" t="s">
        <v>86</v>
      </c>
      <c r="E31" s="13" t="s">
        <v>25</v>
      </c>
      <c r="F31" s="13" t="s">
        <v>25</v>
      </c>
      <c r="G31" s="12" t="s">
        <v>74</v>
      </c>
      <c r="H31" s="12" t="s">
        <v>70</v>
      </c>
      <c r="I31" s="12">
        <f>SUMIF(Mercado_Receita!$T$2:$T$444,"44378B2Energia convencional pré-pagamentoRuralCooperativa de eletrificação ruralNão se aplicaNão se aplicaNão se aplica",Mercado_Receita!$N$2:$N$444)</f>
        <v>0</v>
      </c>
      <c r="J31" s="12">
        <f>SUMIF(Mercado_Receita!$T$2:$T$444,"44409B2Energia convencional pré-pagamentoRuralCooperativa de eletrificação ruralNão se aplicaNão se aplicaNão se aplica",Mercado_Receita!$N$2:$N$444)</f>
        <v>0</v>
      </c>
      <c r="K31" s="12">
        <f>SUMIF(Mercado_Receita!$T$2:$T$444,"44440B2Energia convencional pré-pagamentoRuralCooperativa de eletrificação ruralNão se aplicaNão se aplicaNão se aplica",Mercado_Receita!$N$2:$N$444)</f>
        <v>0</v>
      </c>
      <c r="L31" s="12">
        <f>SUMIF(Mercado_Receita!$T$2:$T$444,"44470B2Energia convencional pré-pagamentoRuralCooperativa de eletrificação ruralNão se aplicaNão se aplicaNão se aplica",Mercado_Receita!$N$2:$N$444)</f>
        <v>0</v>
      </c>
      <c r="M31" s="12">
        <f>SUMIF(Mercado_Receita!$T$2:$T$444,"44501B2Energia convencional pré-pagamentoRuralCooperativa de eletrificação ruralNão se aplicaNão se aplicaNão se aplica",Mercado_Receita!$N$2:$N$444)</f>
        <v>0</v>
      </c>
      <c r="N31" s="12">
        <f>SUMIF(Mercado_Receita!$T$2:$T$444,"44531B2Energia convencional pré-pagamentoRuralCooperativa de eletrificação ruralNão se aplicaNão se aplicaNão se aplica",Mercado_Receita!$N$2:$N$444)</f>
        <v>0</v>
      </c>
      <c r="O31" s="12">
        <f>SUMIF(Mercado_Receita!$T$2:$T$444,"44562B2Energia convencional pré-pagamentoRuralCooperativa de eletrificação ruralNão se aplicaNão se aplicaNão se aplica",Mercado_Receita!$N$2:$N$444)</f>
        <v>0</v>
      </c>
      <c r="P31" s="12">
        <f>SUMIF(Mercado_Receita!$T$2:$T$444,"44593B2Energia convencional pré-pagamentoRuralCooperativa de eletrificação ruralNão se aplicaNão se aplicaNão se aplica",Mercado_Receita!$N$2:$N$444)</f>
        <v>0</v>
      </c>
      <c r="Q31" s="12">
        <f>SUMIF(Mercado_Receita!$T$2:$T$444,"44621B2Energia convencional pré-pagamentoRuralCooperativa de eletrificação ruralNão se aplicaNão se aplicaNão se aplica",Mercado_Receita!$N$2:$N$444)</f>
        <v>0</v>
      </c>
      <c r="R31" s="12">
        <f>SUMIF(Mercado_Receita!$T$2:$T$444,"44652B2Energia convencional pré-pagamentoRuralCooperativa de eletrificação ruralNão se aplicaNão se aplicaNão se aplica",Mercado_Receita!$N$2:$N$444)</f>
        <v>0</v>
      </c>
      <c r="S31" s="12">
        <f>SUMIF(Mercado_Receita!$T$2:$T$444,"44682B2Energia convencional pré-pagamentoRuralCooperativa de eletrificação ruralNão se aplicaNão se aplicaNão se aplica",Mercado_Receita!$N$2:$N$444)</f>
        <v>0</v>
      </c>
      <c r="T31" s="12">
        <f>SUMIF(Mercado_Receita!$T$2:$T$444,"44713B2Energia convencional pré-pagamentoRuralCooperativa de eletrificação ruralNão se aplicaNão se aplicaNão se aplica",Mercado_Receita!$N$2:$N$444)</f>
        <v>0</v>
      </c>
      <c r="U31" s="12">
        <f t="shared" si="0"/>
        <v>0</v>
      </c>
      <c r="V31" s="12"/>
      <c r="W31" s="12"/>
    </row>
    <row r="32" spans="1:23" ht="11.25" customHeight="1" x14ac:dyDescent="0.25">
      <c r="A32" s="119"/>
      <c r="B32" s="119"/>
      <c r="C32" s="119"/>
      <c r="D32" s="13" t="s">
        <v>87</v>
      </c>
      <c r="E32" s="13" t="s">
        <v>25</v>
      </c>
      <c r="F32" s="13" t="s">
        <v>25</v>
      </c>
      <c r="G32" s="12" t="s">
        <v>74</v>
      </c>
      <c r="H32" s="12" t="s">
        <v>70</v>
      </c>
      <c r="I32" s="12">
        <f>SUMIF(Mercado_Receita!$T$2:$T$444,"44378B2Energia convencional pré-pagamentoRuralServiço público de irrigação ruralNão se aplicaNão se aplicaNão se aplica",Mercado_Receita!$N$2:$N$444)</f>
        <v>0</v>
      </c>
      <c r="J32" s="12">
        <f>SUMIF(Mercado_Receita!$T$2:$T$444,"44409B2Energia convencional pré-pagamentoRuralServiço público de irrigação ruralNão se aplicaNão se aplicaNão se aplica",Mercado_Receita!$N$2:$N$444)</f>
        <v>0</v>
      </c>
      <c r="K32" s="12">
        <f>SUMIF(Mercado_Receita!$T$2:$T$444,"44440B2Energia convencional pré-pagamentoRuralServiço público de irrigação ruralNão se aplicaNão se aplicaNão se aplica",Mercado_Receita!$N$2:$N$444)</f>
        <v>0</v>
      </c>
      <c r="L32" s="12">
        <f>SUMIF(Mercado_Receita!$T$2:$T$444,"44470B2Energia convencional pré-pagamentoRuralServiço público de irrigação ruralNão se aplicaNão se aplicaNão se aplica",Mercado_Receita!$N$2:$N$444)</f>
        <v>0</v>
      </c>
      <c r="M32" s="12">
        <f>SUMIF(Mercado_Receita!$T$2:$T$444,"44501B2Energia convencional pré-pagamentoRuralServiço público de irrigação ruralNão se aplicaNão se aplicaNão se aplica",Mercado_Receita!$N$2:$N$444)</f>
        <v>0</v>
      </c>
      <c r="N32" s="12">
        <f>SUMIF(Mercado_Receita!$T$2:$T$444,"44531B2Energia convencional pré-pagamentoRuralServiço público de irrigação ruralNão se aplicaNão se aplicaNão se aplica",Mercado_Receita!$N$2:$N$444)</f>
        <v>0</v>
      </c>
      <c r="O32" s="12">
        <f>SUMIF(Mercado_Receita!$T$2:$T$444,"44562B2Energia convencional pré-pagamentoRuralServiço público de irrigação ruralNão se aplicaNão se aplicaNão se aplica",Mercado_Receita!$N$2:$N$444)</f>
        <v>0</v>
      </c>
      <c r="P32" s="12">
        <f>SUMIF(Mercado_Receita!$T$2:$T$444,"44593B2Energia convencional pré-pagamentoRuralServiço público de irrigação ruralNão se aplicaNão se aplicaNão se aplica",Mercado_Receita!$N$2:$N$444)</f>
        <v>0</v>
      </c>
      <c r="Q32" s="12">
        <f>SUMIF(Mercado_Receita!$T$2:$T$444,"44621B2Energia convencional pré-pagamentoRuralServiço público de irrigação ruralNão se aplicaNão se aplicaNão se aplica",Mercado_Receita!$N$2:$N$444)</f>
        <v>0</v>
      </c>
      <c r="R32" s="12">
        <f>SUMIF(Mercado_Receita!$T$2:$T$444,"44652B2Energia convencional pré-pagamentoRuralServiço público de irrigação ruralNão se aplicaNão se aplicaNão se aplica",Mercado_Receita!$N$2:$N$444)</f>
        <v>0</v>
      </c>
      <c r="S32" s="12">
        <f>SUMIF(Mercado_Receita!$T$2:$T$444,"44682B2Energia convencional pré-pagamentoRuralServiço público de irrigação ruralNão se aplicaNão se aplicaNão se aplica",Mercado_Receita!$N$2:$N$444)</f>
        <v>0</v>
      </c>
      <c r="T32" s="12">
        <f>SUMIF(Mercado_Receita!$T$2:$T$444,"44713B2Energia convencional pré-pagamentoRuralServiço público de irrigação ruralNão se aplicaNão se aplicaNão se aplica",Mercado_Receita!$N$2:$N$444)</f>
        <v>0</v>
      </c>
      <c r="U32" s="12">
        <f t="shared" si="0"/>
        <v>0</v>
      </c>
      <c r="V32" s="12"/>
      <c r="W32" s="12"/>
    </row>
    <row r="33" spans="1:23" ht="11.25" customHeight="1" x14ac:dyDescent="0.25">
      <c r="A33" s="118" t="s">
        <v>32</v>
      </c>
      <c r="B33" s="118" t="s">
        <v>69</v>
      </c>
      <c r="C33" s="118" t="s">
        <v>25</v>
      </c>
      <c r="D33" s="118" t="s">
        <v>25</v>
      </c>
      <c r="E33" s="118" t="s">
        <v>25</v>
      </c>
      <c r="F33" s="118" t="s">
        <v>25</v>
      </c>
      <c r="G33" s="12" t="s">
        <v>71</v>
      </c>
      <c r="H33" s="12" t="s">
        <v>70</v>
      </c>
      <c r="I33" s="12">
        <f>SUMIF(Mercado_Receita!$T$2:$T$444,"44378B3Energia horáriaNão se aplicaNão se aplicaNão se aplicaNão se aplicaPonta",Mercado_Receita!$N$2:$N$444)</f>
        <v>0</v>
      </c>
      <c r="J33" s="12">
        <f>SUMIF(Mercado_Receita!$T$2:$T$444,"44409B3Energia horáriaNão se aplicaNão se aplicaNão se aplicaNão se aplicaPonta",Mercado_Receita!$N$2:$N$444)</f>
        <v>0</v>
      </c>
      <c r="K33" s="12">
        <f>SUMIF(Mercado_Receita!$T$2:$T$444,"44440B3Energia horáriaNão se aplicaNão se aplicaNão se aplicaNão se aplicaPonta",Mercado_Receita!$N$2:$N$444)</f>
        <v>0</v>
      </c>
      <c r="L33" s="12">
        <f>SUMIF(Mercado_Receita!$T$2:$T$444,"44470B3Energia horáriaNão se aplicaNão se aplicaNão se aplicaNão se aplicaPonta",Mercado_Receita!$N$2:$N$444)</f>
        <v>0</v>
      </c>
      <c r="M33" s="12">
        <f>SUMIF(Mercado_Receita!$T$2:$T$444,"44501B3Energia horáriaNão se aplicaNão se aplicaNão se aplicaNão se aplicaPonta",Mercado_Receita!$N$2:$N$444)</f>
        <v>0</v>
      </c>
      <c r="N33" s="12">
        <f>SUMIF(Mercado_Receita!$T$2:$T$444,"44531B3Energia horáriaNão se aplicaNão se aplicaNão se aplicaNão se aplicaPonta",Mercado_Receita!$N$2:$N$444)</f>
        <v>0</v>
      </c>
      <c r="O33" s="12">
        <f>SUMIF(Mercado_Receita!$T$2:$T$444,"44562B3Energia horáriaNão se aplicaNão se aplicaNão se aplicaNão se aplicaPonta",Mercado_Receita!$N$2:$N$444)</f>
        <v>0</v>
      </c>
      <c r="P33" s="12">
        <f>SUMIF(Mercado_Receita!$T$2:$T$444,"44593B3Energia horáriaNão se aplicaNão se aplicaNão se aplicaNão se aplicaPonta",Mercado_Receita!$N$2:$N$444)</f>
        <v>0</v>
      </c>
      <c r="Q33" s="12">
        <f>SUMIF(Mercado_Receita!$T$2:$T$444,"44621B3Energia horáriaNão se aplicaNão se aplicaNão se aplicaNão se aplicaPonta",Mercado_Receita!$N$2:$N$444)</f>
        <v>2.8000000000000001E-2</v>
      </c>
      <c r="R33" s="12">
        <f>SUMIF(Mercado_Receita!$T$2:$T$444,"44652B3Energia horáriaNão se aplicaNão se aplicaNão se aplicaNão se aplicaPonta",Mercado_Receita!$N$2:$N$444)</f>
        <v>5.8999999999999997E-2</v>
      </c>
      <c r="S33" s="12">
        <f>SUMIF(Mercado_Receita!$T$2:$T$444,"44682B3Energia horáriaNão se aplicaNão se aplicaNão se aplicaNão se aplicaPonta",Mercado_Receita!$N$2:$N$444)</f>
        <v>6.2E-2</v>
      </c>
      <c r="T33" s="12">
        <f>SUMIF(Mercado_Receita!$T$2:$T$444,"44713B3Energia horáriaNão se aplicaNão se aplicaNão se aplicaNão se aplicaPonta",Mercado_Receita!$N$2:$N$444)</f>
        <v>6.7000000000000004E-2</v>
      </c>
      <c r="U33" s="12">
        <f t="shared" si="0"/>
        <v>0.216</v>
      </c>
      <c r="V33" s="12"/>
      <c r="W33" s="12"/>
    </row>
    <row r="34" spans="1:23" ht="11.25" customHeight="1" x14ac:dyDescent="0.25">
      <c r="A34" s="119"/>
      <c r="B34" s="119"/>
      <c r="C34" s="119"/>
      <c r="D34" s="119"/>
      <c r="E34" s="119"/>
      <c r="F34" s="119"/>
      <c r="G34" s="12" t="s">
        <v>83</v>
      </c>
      <c r="H34" s="12" t="s">
        <v>70</v>
      </c>
      <c r="I34" s="12">
        <f>SUMIF(Mercado_Receita!$T$2:$T$444,"44378B3Energia horáriaNão se aplicaNão se aplicaNão se aplicaNão se aplicaIntermediário",Mercado_Receita!$N$2:$N$444)</f>
        <v>0</v>
      </c>
      <c r="J34" s="12">
        <f>SUMIF(Mercado_Receita!$T$2:$T$444,"44409B3Energia horáriaNão se aplicaNão se aplicaNão se aplicaNão se aplicaIntermediário",Mercado_Receita!$N$2:$N$444)</f>
        <v>0</v>
      </c>
      <c r="K34" s="12">
        <f>SUMIF(Mercado_Receita!$T$2:$T$444,"44440B3Energia horáriaNão se aplicaNão se aplicaNão se aplicaNão se aplicaIntermediário",Mercado_Receita!$N$2:$N$444)</f>
        <v>0</v>
      </c>
      <c r="L34" s="12">
        <f>SUMIF(Mercado_Receita!$T$2:$T$444,"44470B3Energia horáriaNão se aplicaNão se aplicaNão se aplicaNão se aplicaIntermediário",Mercado_Receita!$N$2:$N$444)</f>
        <v>0</v>
      </c>
      <c r="M34" s="12">
        <f>SUMIF(Mercado_Receita!$T$2:$T$444,"44501B3Energia horáriaNão se aplicaNão se aplicaNão se aplicaNão se aplicaIntermediário",Mercado_Receita!$N$2:$N$444)</f>
        <v>0</v>
      </c>
      <c r="N34" s="12">
        <f>SUMIF(Mercado_Receita!$T$2:$T$444,"44531B3Energia horáriaNão se aplicaNão se aplicaNão se aplicaNão se aplicaIntermediário",Mercado_Receita!$N$2:$N$444)</f>
        <v>0</v>
      </c>
      <c r="O34" s="12">
        <f>SUMIF(Mercado_Receita!$T$2:$T$444,"44562B3Energia horáriaNão se aplicaNão se aplicaNão se aplicaNão se aplicaIntermediário",Mercado_Receita!$N$2:$N$444)</f>
        <v>0</v>
      </c>
      <c r="P34" s="12">
        <f>SUMIF(Mercado_Receita!$T$2:$T$444,"44593B3Energia horáriaNão se aplicaNão se aplicaNão se aplicaNão se aplicaIntermediário",Mercado_Receita!$N$2:$N$444)</f>
        <v>0</v>
      </c>
      <c r="Q34" s="12">
        <f>SUMIF(Mercado_Receita!$T$2:$T$444,"44621B3Energia horáriaNão se aplicaNão se aplicaNão se aplicaNão se aplicaIntermediário",Mercado_Receita!$N$2:$N$444)</f>
        <v>3.7999999999999999E-2</v>
      </c>
      <c r="R34" s="12">
        <f>SUMIF(Mercado_Receita!$T$2:$T$444,"44652B3Energia horáriaNão se aplicaNão se aplicaNão se aplicaNão se aplicaIntermediário",Mercado_Receita!$N$2:$N$444)</f>
        <v>7.3999999999999996E-2</v>
      </c>
      <c r="S34" s="12">
        <f>SUMIF(Mercado_Receita!$T$2:$T$444,"44682B3Energia horáriaNão se aplicaNão se aplicaNão se aplicaNão se aplicaIntermediário",Mercado_Receita!$N$2:$N$444)</f>
        <v>6.2E-2</v>
      </c>
      <c r="T34" s="12">
        <f>SUMIF(Mercado_Receita!$T$2:$T$444,"44713B3Energia horáriaNão se aplicaNão se aplicaNão se aplicaNão se aplicaIntermediário",Mercado_Receita!$N$2:$N$444)</f>
        <v>6.6000000000000003E-2</v>
      </c>
      <c r="U34" s="12">
        <f t="shared" si="0"/>
        <v>0.24</v>
      </c>
      <c r="V34" s="12"/>
      <c r="W34" s="12"/>
    </row>
    <row r="35" spans="1:23" ht="11.25" customHeight="1" x14ac:dyDescent="0.25">
      <c r="A35" s="119"/>
      <c r="B35" s="119"/>
      <c r="C35" s="119"/>
      <c r="D35" s="119"/>
      <c r="E35" s="119"/>
      <c r="F35" s="119"/>
      <c r="G35" s="12" t="s">
        <v>72</v>
      </c>
      <c r="H35" s="12" t="s">
        <v>70</v>
      </c>
      <c r="I35" s="12">
        <f>SUMIF(Mercado_Receita!$T$2:$T$444,"44378B3Energia horáriaNão se aplicaNão se aplicaNão se aplicaNão se aplicaFora ponta",Mercado_Receita!$N$2:$N$444)</f>
        <v>0</v>
      </c>
      <c r="J35" s="12">
        <f>SUMIF(Mercado_Receita!$T$2:$T$444,"44409B3Energia horáriaNão se aplicaNão se aplicaNão se aplicaNão se aplicaFora ponta",Mercado_Receita!$N$2:$N$444)</f>
        <v>0</v>
      </c>
      <c r="K35" s="12">
        <f>SUMIF(Mercado_Receita!$T$2:$T$444,"44440B3Energia horáriaNão se aplicaNão se aplicaNão se aplicaNão se aplicaFora ponta",Mercado_Receita!$N$2:$N$444)</f>
        <v>0</v>
      </c>
      <c r="L35" s="12">
        <f>SUMIF(Mercado_Receita!$T$2:$T$444,"44470B3Energia horáriaNão se aplicaNão se aplicaNão se aplicaNão se aplicaFora ponta",Mercado_Receita!$N$2:$N$444)</f>
        <v>0</v>
      </c>
      <c r="M35" s="12">
        <f>SUMIF(Mercado_Receita!$T$2:$T$444,"44501B3Energia horáriaNão se aplicaNão se aplicaNão se aplicaNão se aplicaFora ponta",Mercado_Receita!$N$2:$N$444)</f>
        <v>0</v>
      </c>
      <c r="N35" s="12">
        <f>SUMIF(Mercado_Receita!$T$2:$T$444,"44531B3Energia horáriaNão se aplicaNão se aplicaNão se aplicaNão se aplicaFora ponta",Mercado_Receita!$N$2:$N$444)</f>
        <v>0</v>
      </c>
      <c r="O35" s="12">
        <f>SUMIF(Mercado_Receita!$T$2:$T$444,"44562B3Energia horáriaNão se aplicaNão se aplicaNão se aplicaNão se aplicaFora ponta",Mercado_Receita!$N$2:$N$444)</f>
        <v>0</v>
      </c>
      <c r="P35" s="12">
        <f>SUMIF(Mercado_Receita!$T$2:$T$444,"44593B3Energia horáriaNão se aplicaNão se aplicaNão se aplicaNão se aplicaFora ponta",Mercado_Receita!$N$2:$N$444)</f>
        <v>0</v>
      </c>
      <c r="Q35" s="12">
        <f>SUMIF(Mercado_Receita!$T$2:$T$444,"44621B3Energia horáriaNão se aplicaNão se aplicaNão se aplicaNão se aplicaFora ponta",Mercado_Receita!$N$2:$N$444)</f>
        <v>0.64600000000000002</v>
      </c>
      <c r="R35" s="12">
        <f>SUMIF(Mercado_Receita!$T$2:$T$444,"44652B3Energia horáriaNão se aplicaNão se aplicaNão se aplicaNão se aplicaFora ponta",Mercado_Receita!$N$2:$N$444)</f>
        <v>1.329</v>
      </c>
      <c r="S35" s="12">
        <f>SUMIF(Mercado_Receita!$T$2:$T$444,"44682B3Energia horáriaNão se aplicaNão se aplicaNão se aplicaNão se aplicaFora ponta",Mercado_Receita!$N$2:$N$444)</f>
        <v>0.85499999999999998</v>
      </c>
      <c r="T35" s="12">
        <f>SUMIF(Mercado_Receita!$T$2:$T$444,"44713B3Energia horáriaNão se aplicaNão se aplicaNão se aplicaNão se aplicaFora ponta",Mercado_Receita!$N$2:$N$444)</f>
        <v>0.91200000000000003</v>
      </c>
      <c r="U35" s="12">
        <f t="shared" si="0"/>
        <v>3.742</v>
      </c>
      <c r="V35" s="12"/>
      <c r="W35" s="12"/>
    </row>
    <row r="36" spans="1:23" ht="11.25" customHeight="1" x14ac:dyDescent="0.25">
      <c r="A36" s="119"/>
      <c r="B36" s="13" t="s">
        <v>73</v>
      </c>
      <c r="C36" s="13" t="s">
        <v>25</v>
      </c>
      <c r="D36" s="13" t="s">
        <v>25</v>
      </c>
      <c r="E36" s="13" t="s">
        <v>25</v>
      </c>
      <c r="F36" s="13" t="s">
        <v>25</v>
      </c>
      <c r="G36" s="12" t="s">
        <v>74</v>
      </c>
      <c r="H36" s="12" t="s">
        <v>70</v>
      </c>
      <c r="I36" s="12">
        <f>SUMIF(Mercado_Receita!$T$2:$T$444,"44378B3Energia convencionalNão se aplicaNão se aplicaNão se aplicaNão se aplicaNão se aplica",Mercado_Receita!$N$2:$N$444)</f>
        <v>1009.38</v>
      </c>
      <c r="J36" s="12">
        <f>SUMIF(Mercado_Receita!$T$2:$T$444,"44409B3Energia convencionalNão se aplicaNão se aplicaNão se aplicaNão se aplicaNão se aplica",Mercado_Receita!$N$2:$N$444)</f>
        <v>1006.038</v>
      </c>
      <c r="K36" s="12">
        <f>SUMIF(Mercado_Receita!$T$2:$T$444,"44440B3Energia convencionalNão se aplicaNão se aplicaNão se aplicaNão se aplicaNão se aplica",Mercado_Receita!$N$2:$N$444)</f>
        <v>939.15200000000004</v>
      </c>
      <c r="L36" s="12">
        <f>SUMIF(Mercado_Receita!$T$2:$T$444,"44470B3Energia convencionalNão se aplicaNão se aplicaNão se aplicaNão se aplicaNão se aplica",Mercado_Receita!$N$2:$N$444)</f>
        <v>917.36500000000001</v>
      </c>
      <c r="M36" s="12">
        <f>SUMIF(Mercado_Receita!$T$2:$T$444,"44501B3Energia convencionalNão se aplicaNão se aplicaNão se aplicaNão se aplicaNão se aplica",Mercado_Receita!$N$2:$N$444)</f>
        <v>1019.528</v>
      </c>
      <c r="N36" s="12">
        <f>SUMIF(Mercado_Receita!$T$2:$T$444,"44531B3Energia convencionalNão se aplicaNão se aplicaNão se aplicaNão se aplicaNão se aplica",Mercado_Receita!$N$2:$N$444)</f>
        <v>1104.1780000000001</v>
      </c>
      <c r="O36" s="12">
        <f>SUMIF(Mercado_Receita!$T$2:$T$444,"44562B3Energia convencionalNão se aplicaNão se aplicaNão se aplicaNão se aplicaNão se aplica",Mercado_Receita!$N$2:$N$444)</f>
        <v>1155.5310000000002</v>
      </c>
      <c r="P36" s="12">
        <f>SUMIF(Mercado_Receita!$T$2:$T$444,"44593B3Energia convencionalNão se aplicaNão se aplicaNão se aplicaNão se aplicaNão se aplica",Mercado_Receita!$N$2:$N$444)</f>
        <v>1171.7360000000001</v>
      </c>
      <c r="Q36" s="12">
        <f>SUMIF(Mercado_Receita!$T$2:$T$444,"44621B3Energia convencionalNão se aplicaNão se aplicaNão se aplicaNão se aplicaNão se aplica",Mercado_Receita!$N$2:$N$444)</f>
        <v>1080.7030000000002</v>
      </c>
      <c r="R36" s="12">
        <f>SUMIF(Mercado_Receita!$T$2:$T$444,"44652B3Energia convencionalNão se aplicaNão se aplicaNão se aplicaNão se aplicaNão se aplica",Mercado_Receita!$N$2:$N$444)</f>
        <v>981.80200000000013</v>
      </c>
      <c r="S36" s="12">
        <f>SUMIF(Mercado_Receita!$T$2:$T$444,"44682B3Energia convencionalNão se aplicaNão se aplicaNão se aplicaNão se aplicaNão se aplica",Mercado_Receita!$N$2:$N$444)</f>
        <v>971.75000000000011</v>
      </c>
      <c r="T36" s="12">
        <f>SUMIF(Mercado_Receita!$T$2:$T$444,"44713B3Energia convencionalNão se aplicaNão se aplicaNão se aplicaNão se aplicaNão se aplica",Mercado_Receita!$N$2:$N$444)</f>
        <v>1041.7629999999999</v>
      </c>
      <c r="U36" s="12">
        <f t="shared" si="0"/>
        <v>12398.925999999999</v>
      </c>
      <c r="V36" s="12"/>
      <c r="W36" s="12"/>
    </row>
    <row r="37" spans="1:23" ht="11.25" customHeight="1" x14ac:dyDescent="0.25">
      <c r="A37" s="119"/>
      <c r="B37" s="13" t="s">
        <v>84</v>
      </c>
      <c r="C37" s="13" t="s">
        <v>25</v>
      </c>
      <c r="D37" s="13" t="s">
        <v>25</v>
      </c>
      <c r="E37" s="13" t="s">
        <v>25</v>
      </c>
      <c r="F37" s="13" t="s">
        <v>25</v>
      </c>
      <c r="G37" s="12" t="s">
        <v>74</v>
      </c>
      <c r="H37" s="12" t="s">
        <v>70</v>
      </c>
      <c r="I37" s="12">
        <f>SUMIF(Mercado_Receita!$T$2:$T$444,"44378B3Energia convencional pré-pagamentoNão se aplicaNão se aplicaNão se aplicaNão se aplicaNão se aplica",Mercado_Receita!$N$2:$N$444)</f>
        <v>0</v>
      </c>
      <c r="J37" s="12">
        <f>SUMIF(Mercado_Receita!$T$2:$T$444,"44409B3Energia convencional pré-pagamentoNão se aplicaNão se aplicaNão se aplicaNão se aplicaNão se aplica",Mercado_Receita!$N$2:$N$444)</f>
        <v>0</v>
      </c>
      <c r="K37" s="12">
        <f>SUMIF(Mercado_Receita!$T$2:$T$444,"44440B3Energia convencional pré-pagamentoNão se aplicaNão se aplicaNão se aplicaNão se aplicaNão se aplica",Mercado_Receita!$N$2:$N$444)</f>
        <v>0</v>
      </c>
      <c r="L37" s="12">
        <f>SUMIF(Mercado_Receita!$T$2:$T$444,"44470B3Energia convencional pré-pagamentoNão se aplicaNão se aplicaNão se aplicaNão se aplicaNão se aplica",Mercado_Receita!$N$2:$N$444)</f>
        <v>0</v>
      </c>
      <c r="M37" s="12">
        <f>SUMIF(Mercado_Receita!$T$2:$T$444,"44501B3Energia convencional pré-pagamentoNão se aplicaNão se aplicaNão se aplicaNão se aplicaNão se aplica",Mercado_Receita!$N$2:$N$444)</f>
        <v>0</v>
      </c>
      <c r="N37" s="12">
        <f>SUMIF(Mercado_Receita!$T$2:$T$444,"44531B3Energia convencional pré-pagamentoNão se aplicaNão se aplicaNão se aplicaNão se aplicaNão se aplica",Mercado_Receita!$N$2:$N$444)</f>
        <v>0</v>
      </c>
      <c r="O37" s="12">
        <f>SUMIF(Mercado_Receita!$T$2:$T$444,"44562B3Energia convencional pré-pagamentoNão se aplicaNão se aplicaNão se aplicaNão se aplicaNão se aplica",Mercado_Receita!$N$2:$N$444)</f>
        <v>0</v>
      </c>
      <c r="P37" s="12">
        <f>SUMIF(Mercado_Receita!$T$2:$T$444,"44593B3Energia convencional pré-pagamentoNão se aplicaNão se aplicaNão se aplicaNão se aplicaNão se aplica",Mercado_Receita!$N$2:$N$444)</f>
        <v>0</v>
      </c>
      <c r="Q37" s="12">
        <f>SUMIF(Mercado_Receita!$T$2:$T$444,"44621B3Energia convencional pré-pagamentoNão se aplicaNão se aplicaNão se aplicaNão se aplicaNão se aplica",Mercado_Receita!$N$2:$N$444)</f>
        <v>0</v>
      </c>
      <c r="R37" s="12">
        <f>SUMIF(Mercado_Receita!$T$2:$T$444,"44652B3Energia convencional pré-pagamentoNão se aplicaNão se aplicaNão se aplicaNão se aplicaNão se aplica",Mercado_Receita!$N$2:$N$444)</f>
        <v>0</v>
      </c>
      <c r="S37" s="12">
        <f>SUMIF(Mercado_Receita!$T$2:$T$444,"44682B3Energia convencional pré-pagamentoNão se aplicaNão se aplicaNão se aplicaNão se aplicaNão se aplica",Mercado_Receita!$N$2:$N$444)</f>
        <v>0</v>
      </c>
      <c r="T37" s="12">
        <f>SUMIF(Mercado_Receita!$T$2:$T$444,"44713B3Energia convencional pré-pagamentoNão se aplicaNão se aplicaNão se aplicaNão se aplicaNão se aplica",Mercado_Receita!$N$2:$N$444)</f>
        <v>0</v>
      </c>
      <c r="U37" s="12">
        <f t="shared" si="0"/>
        <v>0</v>
      </c>
      <c r="V37" s="12"/>
      <c r="W37" s="12"/>
    </row>
    <row r="38" spans="1:23" ht="11.25" customHeight="1" x14ac:dyDescent="0.25">
      <c r="A38" s="118" t="s">
        <v>42</v>
      </c>
      <c r="B38" s="118" t="s">
        <v>73</v>
      </c>
      <c r="C38" s="118" t="s">
        <v>43</v>
      </c>
      <c r="D38" s="13" t="s">
        <v>44</v>
      </c>
      <c r="E38" s="13" t="s">
        <v>25</v>
      </c>
      <c r="F38" s="13" t="s">
        <v>25</v>
      </c>
      <c r="G38" s="12" t="s">
        <v>74</v>
      </c>
      <c r="H38" s="12" t="s">
        <v>70</v>
      </c>
      <c r="I38" s="12">
        <f>SUMIF(Mercado_Receita!$T$2:$T$444,"44378B4Energia convencionalIluminação públicaIluminação pública – B4aNão se aplicaNão se aplicaNão se aplica",Mercado_Receita!$N$2:$N$444)</f>
        <v>361.29700000000003</v>
      </c>
      <c r="J38" s="12">
        <f>SUMIF(Mercado_Receita!$T$2:$T$444,"44409B4Energia convencionalIluminação públicaIluminação pública – B4aNão se aplicaNão se aplicaNão se aplica",Mercado_Receita!$N$2:$N$444)</f>
        <v>323.56400000000002</v>
      </c>
      <c r="K38" s="12">
        <f>SUMIF(Mercado_Receita!$T$2:$T$444,"44440B4Energia convencionalIluminação públicaIluminação pública – B4aNão se aplicaNão se aplicaNão se aplica",Mercado_Receita!$N$2:$N$444)</f>
        <v>293.35199999999998</v>
      </c>
      <c r="L38" s="12">
        <f>SUMIF(Mercado_Receita!$T$2:$T$444,"44470B4Energia convencionalIluminação públicaIluminação pública – B4aNão se aplicaNão se aplicaNão se aplica",Mercado_Receita!$N$2:$N$444)</f>
        <v>281.81599999999997</v>
      </c>
      <c r="M38" s="12">
        <f>SUMIF(Mercado_Receita!$T$2:$T$444,"44501B4Energia convencionalIluminação públicaIluminação pública – B4aNão se aplicaNão se aplicaNão se aplica",Mercado_Receita!$N$2:$N$444)</f>
        <v>258.72500000000002</v>
      </c>
      <c r="N38" s="12">
        <f>SUMIF(Mercado_Receita!$T$2:$T$444,"44531B4Energia convencionalIluminação públicaIluminação pública – B4aNão se aplicaNão se aplicaNão se aplica",Mercado_Receita!$N$2:$N$444)</f>
        <v>265.32</v>
      </c>
      <c r="O38" s="12">
        <f>SUMIF(Mercado_Receita!$T$2:$T$444,"44562B4Energia convencionalIluminação públicaIluminação pública – B4aNão se aplicaNão se aplicaNão se aplica",Mercado_Receita!$N$2:$N$444)</f>
        <v>260.32100000000003</v>
      </c>
      <c r="P38" s="12">
        <f>SUMIF(Mercado_Receita!$T$2:$T$444,"44593B4Energia convencionalIluminação públicaIluminação pública – B4aNão se aplicaNão se aplicaNão se aplica",Mercado_Receita!$N$2:$N$444)</f>
        <v>249.749</v>
      </c>
      <c r="Q38" s="12">
        <f>SUMIF(Mercado_Receita!$T$2:$T$444,"44621B4Energia convencionalIluminação públicaIluminação pública – B4aNão se aplicaNão se aplicaNão se aplica",Mercado_Receita!$N$2:$N$444)</f>
        <v>298.02699999999999</v>
      </c>
      <c r="R38" s="12">
        <f>SUMIF(Mercado_Receita!$T$2:$T$444,"44652B4Energia convencionalIluminação públicaIluminação pública – B4aNão se aplicaNão se aplicaNão se aplica",Mercado_Receita!$N$2:$N$444)</f>
        <v>310.37</v>
      </c>
      <c r="S38" s="12">
        <f>SUMIF(Mercado_Receita!$T$2:$T$444,"44682B4Energia convencionalIluminação públicaIluminação pública – B4aNão se aplicaNão se aplicaNão se aplica",Mercado_Receita!$N$2:$N$444)</f>
        <v>338.00400000000002</v>
      </c>
      <c r="T38" s="12">
        <f>SUMIF(Mercado_Receita!$T$2:$T$444,"44713B4Energia convencionalIluminação públicaIluminação pública – B4aNão se aplicaNão se aplicaNão se aplica",Mercado_Receita!$N$2:$N$444)</f>
        <v>335.22500000000002</v>
      </c>
      <c r="U38" s="12">
        <f t="shared" si="0"/>
        <v>3575.7699999999995</v>
      </c>
      <c r="V38" s="12"/>
      <c r="W38" s="12"/>
    </row>
    <row r="39" spans="1:23" ht="11.25" customHeight="1" x14ac:dyDescent="0.25">
      <c r="A39" s="119"/>
      <c r="B39" s="119"/>
      <c r="C39" s="119"/>
      <c r="D39" s="12" t="s">
        <v>88</v>
      </c>
      <c r="E39" s="12" t="s">
        <v>25</v>
      </c>
      <c r="F39" s="12" t="s">
        <v>25</v>
      </c>
      <c r="G39" s="12" t="s">
        <v>74</v>
      </c>
      <c r="H39" s="12" t="s">
        <v>70</v>
      </c>
      <c r="I39" s="12">
        <f>SUMIF(Mercado_Receita!$T$2:$T$444,"44378B4Energia convencionalIluminação públicaIluminação pública – B4bNão se aplicaNão se aplicaNão se aplica",Mercado_Receita!$N$2:$N$444)</f>
        <v>0</v>
      </c>
      <c r="J39" s="12">
        <f>SUMIF(Mercado_Receita!$T$2:$T$444,"44409B4Energia convencionalIluminação públicaIluminação pública – B4bNão se aplicaNão se aplicaNão se aplica",Mercado_Receita!$N$2:$N$444)</f>
        <v>0</v>
      </c>
      <c r="K39" s="12">
        <f>SUMIF(Mercado_Receita!$T$2:$T$444,"44440B4Energia convencionalIluminação públicaIluminação pública – B4bNão se aplicaNão se aplicaNão se aplica",Mercado_Receita!$N$2:$N$444)</f>
        <v>0</v>
      </c>
      <c r="L39" s="12">
        <f>SUMIF(Mercado_Receita!$T$2:$T$444,"44470B4Energia convencionalIluminação públicaIluminação pública – B4bNão se aplicaNão se aplicaNão se aplica",Mercado_Receita!$N$2:$N$444)</f>
        <v>0</v>
      </c>
      <c r="M39" s="12">
        <f>SUMIF(Mercado_Receita!$T$2:$T$444,"44501B4Energia convencionalIluminação públicaIluminação pública – B4bNão se aplicaNão se aplicaNão se aplica",Mercado_Receita!$N$2:$N$444)</f>
        <v>0</v>
      </c>
      <c r="N39" s="12">
        <f>SUMIF(Mercado_Receita!$T$2:$T$444,"44531B4Energia convencionalIluminação públicaIluminação pública – B4bNão se aplicaNão se aplicaNão se aplica",Mercado_Receita!$N$2:$N$444)</f>
        <v>0</v>
      </c>
      <c r="O39" s="12">
        <f>SUMIF(Mercado_Receita!$T$2:$T$444,"44562B4Energia convencionalIluminação públicaIluminação pública – B4bNão se aplicaNão se aplicaNão se aplica",Mercado_Receita!$N$2:$N$444)</f>
        <v>0</v>
      </c>
      <c r="P39" s="12">
        <f>SUMIF(Mercado_Receita!$T$2:$T$444,"44593B4Energia convencionalIluminação públicaIluminação pública – B4bNão se aplicaNão se aplicaNão se aplica",Mercado_Receita!$N$2:$N$444)</f>
        <v>0</v>
      </c>
      <c r="Q39" s="12">
        <f>SUMIF(Mercado_Receita!$T$2:$T$444,"44621B4Energia convencionalIluminação públicaIluminação pública – B4bNão se aplicaNão se aplicaNão se aplica",Mercado_Receita!$N$2:$N$444)</f>
        <v>0</v>
      </c>
      <c r="R39" s="12">
        <f>SUMIF(Mercado_Receita!$T$2:$T$444,"44652B4Energia convencionalIluminação públicaIluminação pública – B4bNão se aplicaNão se aplicaNão se aplica",Mercado_Receita!$N$2:$N$444)</f>
        <v>0</v>
      </c>
      <c r="S39" s="12">
        <f>SUMIF(Mercado_Receita!$T$2:$T$444,"44682B4Energia convencionalIluminação públicaIluminação pública – B4bNão se aplicaNão se aplicaNão se aplica",Mercado_Receita!$N$2:$N$444)</f>
        <v>0</v>
      </c>
      <c r="T39" s="12">
        <f>SUMIF(Mercado_Receita!$T$2:$T$444,"44713B4Energia convencionalIluminação públicaIluminação pública – B4bNão se aplicaNão se aplicaNão se aplica",Mercado_Receita!$N$2:$N$444)</f>
        <v>0</v>
      </c>
      <c r="U39" s="12">
        <f t="shared" si="0"/>
        <v>0</v>
      </c>
      <c r="V39" s="12"/>
      <c r="W39" s="12"/>
    </row>
    <row r="40" spans="1:23" ht="11.25" customHeight="1" x14ac:dyDescent="0.25">
      <c r="A40" s="120" t="s">
        <v>407</v>
      </c>
      <c r="B40" s="121"/>
      <c r="C40" s="121"/>
      <c r="D40" s="121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"/>
      <c r="W40" s="12"/>
    </row>
  </sheetData>
  <mergeCells count="44">
    <mergeCell ref="A38:A39"/>
    <mergeCell ref="B38:B39"/>
    <mergeCell ref="C38:C39"/>
    <mergeCell ref="A40:U40"/>
    <mergeCell ref="C30:C32"/>
    <mergeCell ref="B30:B32"/>
    <mergeCell ref="A18:A32"/>
    <mergeCell ref="F33:F35"/>
    <mergeCell ref="E33:E35"/>
    <mergeCell ref="D33:D35"/>
    <mergeCell ref="C33:C35"/>
    <mergeCell ref="B33:B35"/>
    <mergeCell ref="A33:A37"/>
    <mergeCell ref="F22:F24"/>
    <mergeCell ref="E22:E24"/>
    <mergeCell ref="D22:D24"/>
    <mergeCell ref="C22:C24"/>
    <mergeCell ref="B22:B24"/>
    <mergeCell ref="F26:F28"/>
    <mergeCell ref="E26:E28"/>
    <mergeCell ref="D26:D28"/>
    <mergeCell ref="C26:C28"/>
    <mergeCell ref="B26:B28"/>
    <mergeCell ref="C13:C17"/>
    <mergeCell ref="B13:B17"/>
    <mergeCell ref="A5:A17"/>
    <mergeCell ref="F18:F20"/>
    <mergeCell ref="E18:E20"/>
    <mergeCell ref="D18:D20"/>
    <mergeCell ref="C18:C20"/>
    <mergeCell ref="B18:B20"/>
    <mergeCell ref="F5:F7"/>
    <mergeCell ref="E5:E7"/>
    <mergeCell ref="D5:D7"/>
    <mergeCell ref="C5:C7"/>
    <mergeCell ref="B5:B7"/>
    <mergeCell ref="C8:C12"/>
    <mergeCell ref="B8:B12"/>
    <mergeCell ref="A2:A4"/>
    <mergeCell ref="F2:F3"/>
    <mergeCell ref="E2:E3"/>
    <mergeCell ref="D2:D3"/>
    <mergeCell ref="C2:C3"/>
    <mergeCell ref="B2:B3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3CF2C-18D6-49C3-8B58-EFDB436D3982}">
  <dimension ref="A1:AD200"/>
  <sheetViews>
    <sheetView showGridLines="0" workbookViewId="0">
      <selection activeCell="E52" sqref="E52"/>
    </sheetView>
  </sheetViews>
  <sheetFormatPr defaultRowHeight="12" customHeight="1" x14ac:dyDescent="0.2"/>
  <cols>
    <col min="1" max="1" width="10.5703125" style="14" bestFit="1" customWidth="1"/>
    <col min="2" max="2" width="14.42578125" style="14" bestFit="1" customWidth="1"/>
    <col min="3" max="3" width="18.42578125" style="14" bestFit="1" customWidth="1"/>
    <col min="4" max="4" width="15" style="14" bestFit="1" customWidth="1"/>
    <col min="5" max="5" width="14.5703125" style="14" bestFit="1" customWidth="1"/>
    <col min="6" max="6" width="10" style="14" bestFit="1" customWidth="1"/>
    <col min="7" max="7" width="9.140625" style="14"/>
    <col min="8" max="8" width="6.5703125" style="14" customWidth="1"/>
    <col min="9" max="11" width="9.140625" style="14"/>
    <col min="12" max="12" width="34.140625" style="14" bestFit="1" customWidth="1"/>
    <col min="13" max="13" width="10.85546875" style="14" bestFit="1" customWidth="1"/>
    <col min="14" max="14" width="36.140625" style="14" bestFit="1" customWidth="1"/>
    <col min="15" max="15" width="30.7109375" style="14" customWidth="1"/>
    <col min="16" max="16" width="13.140625" style="14" bestFit="1" customWidth="1"/>
    <col min="17" max="17" width="9.28515625" style="14" bestFit="1" customWidth="1"/>
    <col min="18" max="18" width="9.42578125" style="14" bestFit="1" customWidth="1"/>
    <col min="19" max="19" width="12.5703125" style="14" bestFit="1" customWidth="1"/>
    <col min="20" max="20" width="15.42578125" style="14" bestFit="1" customWidth="1"/>
    <col min="21" max="21" width="10.85546875" style="14" bestFit="1" customWidth="1"/>
    <col min="22" max="22" width="13.28515625" style="14" bestFit="1" customWidth="1"/>
    <col min="23" max="23" width="5" style="14" bestFit="1" customWidth="1"/>
    <col min="24" max="24" width="49.85546875" style="14" bestFit="1" customWidth="1"/>
    <col min="25" max="26" width="5" style="14" bestFit="1" customWidth="1"/>
    <col min="27" max="27" width="2" style="14" bestFit="1" customWidth="1"/>
    <col min="28" max="16384" width="9.140625" style="14"/>
  </cols>
  <sheetData>
    <row r="1" spans="1:30" ht="12" customHeight="1" x14ac:dyDescent="0.2">
      <c r="A1" s="10" t="s">
        <v>447</v>
      </c>
      <c r="B1" s="10" t="s">
        <v>448</v>
      </c>
      <c r="C1" s="10" t="s">
        <v>449</v>
      </c>
      <c r="D1" s="10" t="s">
        <v>450</v>
      </c>
      <c r="E1" s="10" t="s">
        <v>451</v>
      </c>
      <c r="F1" s="10" t="s">
        <v>452</v>
      </c>
      <c r="G1" s="7"/>
      <c r="H1" s="7"/>
      <c r="I1" s="7"/>
      <c r="J1" s="7"/>
      <c r="K1" s="7"/>
      <c r="L1" s="132" t="s">
        <v>453</v>
      </c>
      <c r="M1" s="132"/>
      <c r="N1" s="7"/>
      <c r="O1" s="129" t="s">
        <v>534</v>
      </c>
      <c r="P1" s="130"/>
      <c r="Q1" s="130"/>
      <c r="R1" s="130"/>
      <c r="S1" s="130"/>
      <c r="T1" s="130"/>
      <c r="U1" s="130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122" t="s">
        <v>408</v>
      </c>
      <c r="B2" s="122" t="s">
        <v>409</v>
      </c>
      <c r="C2" s="16" t="s">
        <v>494</v>
      </c>
      <c r="D2" s="12">
        <v>170367.27770803907</v>
      </c>
      <c r="E2" s="12">
        <v>3301.4954897160933</v>
      </c>
      <c r="F2" s="12">
        <v>11176.038919799439</v>
      </c>
      <c r="G2" s="15"/>
      <c r="H2" s="15"/>
      <c r="I2" s="15"/>
      <c r="J2" s="15"/>
      <c r="K2" s="15"/>
      <c r="L2" s="31" t="s">
        <v>454</v>
      </c>
      <c r="M2" s="37">
        <v>0.15408045764016731</v>
      </c>
      <c r="N2" s="15"/>
      <c r="O2" s="53" t="s">
        <v>535</v>
      </c>
      <c r="P2" s="53" t="s">
        <v>536</v>
      </c>
      <c r="Q2" s="53" t="s">
        <v>537</v>
      </c>
      <c r="R2" s="53" t="s">
        <v>34</v>
      </c>
      <c r="S2" s="53" t="s">
        <v>538</v>
      </c>
      <c r="T2" s="53" t="s">
        <v>80</v>
      </c>
      <c r="U2" s="53"/>
      <c r="V2" s="15"/>
      <c r="W2" s="15"/>
      <c r="X2" s="31" t="s">
        <v>507</v>
      </c>
      <c r="Y2" s="15"/>
      <c r="Z2" s="15"/>
      <c r="AA2" s="15" t="s">
        <v>546</v>
      </c>
      <c r="AB2" s="15"/>
      <c r="AC2" s="15"/>
      <c r="AD2" s="15"/>
    </row>
    <row r="3" spans="1:30" ht="12" customHeight="1" x14ac:dyDescent="0.2">
      <c r="A3" s="123"/>
      <c r="B3" s="123"/>
      <c r="C3" s="16" t="s">
        <v>410</v>
      </c>
      <c r="D3" s="12">
        <v>32115.181223352905</v>
      </c>
      <c r="E3" s="12">
        <v>-709.4579393557384</v>
      </c>
      <c r="F3" s="12">
        <v>0</v>
      </c>
      <c r="G3" s="15"/>
      <c r="H3" s="15"/>
      <c r="I3" s="15"/>
      <c r="J3" s="15"/>
      <c r="K3" s="15"/>
      <c r="L3" s="31" t="s">
        <v>455</v>
      </c>
      <c r="M3" s="37"/>
      <c r="N3" s="15"/>
      <c r="O3" s="54">
        <v>1</v>
      </c>
      <c r="P3" s="54">
        <v>1</v>
      </c>
      <c r="Q3" s="54">
        <v>1</v>
      </c>
      <c r="R3" s="54">
        <v>1</v>
      </c>
      <c r="S3" s="54">
        <v>1</v>
      </c>
      <c r="T3" s="54">
        <v>1</v>
      </c>
      <c r="U3" s="54" t="s">
        <v>539</v>
      </c>
      <c r="V3" s="15"/>
      <c r="W3" s="15"/>
      <c r="X3" s="31" t="s">
        <v>508</v>
      </c>
      <c r="Y3" s="15"/>
      <c r="Z3" s="15"/>
      <c r="AA3" s="15">
        <v>0</v>
      </c>
      <c r="AB3" s="15"/>
      <c r="AC3" s="15"/>
      <c r="AD3" s="15"/>
    </row>
    <row r="4" spans="1:30" ht="12" customHeight="1" x14ac:dyDescent="0.2">
      <c r="A4" s="123"/>
      <c r="B4" s="123"/>
      <c r="C4" s="16" t="s">
        <v>411</v>
      </c>
      <c r="D4" s="12">
        <f>$M$22-D$30</f>
        <v>147303.02270457585</v>
      </c>
      <c r="E4" s="12">
        <f>IF((D4+D$30)&lt;&gt;0,$M$20*D4/(D4+D$30),0)</f>
        <v>2.7684535812032011E-2</v>
      </c>
      <c r="F4" s="12">
        <f>IF((D4+D$30)&lt;&gt;0,$M$21*D4/(D4+D$30),0)</f>
        <v>0</v>
      </c>
      <c r="G4" s="15"/>
      <c r="H4" s="15"/>
      <c r="I4" s="15"/>
      <c r="J4" s="15"/>
      <c r="K4" s="15"/>
      <c r="L4" s="31" t="s">
        <v>456</v>
      </c>
      <c r="M4" s="37">
        <v>0.10704236088323049</v>
      </c>
      <c r="N4" s="15"/>
      <c r="O4" s="54">
        <v>1</v>
      </c>
      <c r="P4" s="54">
        <v>1</v>
      </c>
      <c r="Q4" s="54">
        <v>1</v>
      </c>
      <c r="R4" s="54">
        <v>1</v>
      </c>
      <c r="S4" s="54">
        <v>1</v>
      </c>
      <c r="T4" s="54">
        <v>1</v>
      </c>
      <c r="U4" s="54" t="s">
        <v>79</v>
      </c>
      <c r="V4" s="15"/>
      <c r="W4" s="15"/>
      <c r="X4" s="15"/>
      <c r="Y4" s="15"/>
      <c r="Z4" s="15"/>
      <c r="AA4" s="15"/>
      <c r="AB4" s="15"/>
      <c r="AC4" s="15"/>
      <c r="AD4" s="15"/>
    </row>
    <row r="5" spans="1:30" ht="12" customHeight="1" x14ac:dyDescent="0.2">
      <c r="A5" s="123"/>
      <c r="B5" s="123"/>
      <c r="C5" s="16" t="s">
        <v>412</v>
      </c>
      <c r="D5" s="12">
        <v>0</v>
      </c>
      <c r="E5" s="12">
        <v>0</v>
      </c>
      <c r="F5" s="12">
        <v>0</v>
      </c>
      <c r="G5" s="15"/>
      <c r="H5" s="15"/>
      <c r="I5" s="15"/>
      <c r="J5" s="15"/>
      <c r="K5" s="15"/>
      <c r="L5" s="31" t="s">
        <v>457</v>
      </c>
      <c r="M5" s="37">
        <v>0.01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spans="1:30" ht="12" customHeight="1" x14ac:dyDescent="0.2">
      <c r="A6" s="123"/>
      <c r="B6" s="123"/>
      <c r="C6" s="16" t="s">
        <v>413</v>
      </c>
      <c r="D6" s="12">
        <v>0</v>
      </c>
      <c r="E6" s="12">
        <v>0</v>
      </c>
      <c r="F6" s="12">
        <v>0</v>
      </c>
      <c r="G6" s="15"/>
      <c r="H6" s="15"/>
      <c r="I6" s="15"/>
      <c r="J6" s="15"/>
      <c r="K6" s="15"/>
      <c r="L6" s="31" t="s">
        <v>458</v>
      </c>
      <c r="M6" s="37">
        <v>0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spans="1:30" ht="12" customHeight="1" x14ac:dyDescent="0.2">
      <c r="A7" s="123"/>
      <c r="B7" s="123"/>
      <c r="C7" s="16" t="s">
        <v>414</v>
      </c>
      <c r="D7" s="12">
        <v>6229100.7423415985</v>
      </c>
      <c r="E7" s="12">
        <v>93285.851679284708</v>
      </c>
      <c r="F7" s="12">
        <v>969884.26800000004</v>
      </c>
      <c r="G7" s="15"/>
      <c r="H7" s="15"/>
      <c r="I7" s="15"/>
      <c r="J7" s="15"/>
      <c r="K7" s="15"/>
      <c r="L7" s="31" t="s">
        <v>459</v>
      </c>
      <c r="M7" s="31">
        <f>M8+M9+M10+M11</f>
        <v>7762.5132874777501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1:30" ht="12" customHeight="1" x14ac:dyDescent="0.2">
      <c r="A8" s="123"/>
      <c r="B8" s="123"/>
      <c r="C8" s="16" t="s">
        <v>415</v>
      </c>
      <c r="D8" s="12">
        <v>1076201.0144336333</v>
      </c>
      <c r="E8" s="12">
        <v>19469.144143643061</v>
      </c>
      <c r="F8" s="12">
        <v>232624.6783</v>
      </c>
      <c r="G8" s="15"/>
      <c r="H8" s="15"/>
      <c r="I8" s="15"/>
      <c r="J8" s="15"/>
      <c r="K8" s="15"/>
      <c r="L8" s="38" t="s">
        <v>460</v>
      </c>
      <c r="M8" s="31">
        <v>5190.4656071364934</v>
      </c>
      <c r="N8" s="15"/>
      <c r="O8" s="31" t="s">
        <v>493</v>
      </c>
      <c r="P8" s="32">
        <v>0</v>
      </c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spans="1:30" ht="12" customHeight="1" x14ac:dyDescent="0.2">
      <c r="A9" s="123"/>
      <c r="B9" s="123"/>
      <c r="C9" s="16" t="s">
        <v>416</v>
      </c>
      <c r="D9" s="12"/>
      <c r="E9" s="12"/>
      <c r="F9" s="12"/>
      <c r="G9" s="15"/>
      <c r="H9" s="15"/>
      <c r="I9" s="15"/>
      <c r="J9" s="15"/>
      <c r="K9" s="15"/>
      <c r="L9" s="39" t="s">
        <v>461</v>
      </c>
      <c r="M9" s="31">
        <v>582.52158034125694</v>
      </c>
      <c r="N9" s="15"/>
      <c r="O9" s="31" t="s">
        <v>498</v>
      </c>
      <c r="P9" s="32">
        <f>SUM(Mercado_Receita!$J$2:$J$444)</f>
        <v>125880</v>
      </c>
      <c r="Q9" s="32">
        <v>125880</v>
      </c>
      <c r="R9" s="32" t="str">
        <f>IF(ABS(P9-Q9)&gt;1,"ERRO BADNET","OK BADNET")</f>
        <v>OK BADNET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spans="1:30" ht="12" customHeight="1" x14ac:dyDescent="0.2">
      <c r="A10" s="123"/>
      <c r="B10" s="124"/>
      <c r="C10" s="16" t="s">
        <v>417</v>
      </c>
      <c r="D10" s="12">
        <f>SUM(D$2:D9)</f>
        <v>7655087.2384112002</v>
      </c>
      <c r="E10" s="12">
        <f>SUM(E$2:E9)</f>
        <v>115347.06105782394</v>
      </c>
      <c r="F10" s="12">
        <f>SUM(F$2:F9)</f>
        <v>1213684.9852197994</v>
      </c>
      <c r="G10" s="15"/>
      <c r="H10" s="15"/>
      <c r="I10" s="15"/>
      <c r="J10" s="15"/>
      <c r="K10" s="15"/>
      <c r="L10" s="38" t="s">
        <v>462</v>
      </c>
      <c r="M10" s="31">
        <v>166.91834085894283</v>
      </c>
      <c r="N10" s="15"/>
      <c r="O10" s="31" t="s">
        <v>499</v>
      </c>
      <c r="P10" s="32">
        <f>SUM(Mercado_Receita!$L$2:$L$444)</f>
        <v>75139.23500000003</v>
      </c>
      <c r="Q10" s="32">
        <v>75139.235000000001</v>
      </c>
      <c r="R10" s="32" t="str">
        <f>IF(ABS(P10-Q10)&gt;1,"ERRO BADNET","OK BADNET")</f>
        <v>OK BADNET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spans="1:30" ht="12" customHeight="1" x14ac:dyDescent="0.2">
      <c r="A11" s="123"/>
      <c r="B11" s="122" t="s">
        <v>418</v>
      </c>
      <c r="C11" s="16" t="s">
        <v>419</v>
      </c>
      <c r="D11" s="12">
        <v>0</v>
      </c>
      <c r="E11" s="30">
        <f>0.0443865541565174*0</f>
        <v>0</v>
      </c>
      <c r="F11" s="12">
        <f>IF((+$D$11+$D$12+$D$16+$D$17+$D$39)&lt;&gt;0,$M$19*$D$11/(+$D$11+$D$12+$D$16+$D$17+$D$39),0)</f>
        <v>0</v>
      </c>
      <c r="G11" s="15"/>
      <c r="H11" s="30">
        <v>4.4386554156517398E-2</v>
      </c>
      <c r="I11" s="15"/>
      <c r="J11" s="15"/>
      <c r="K11" s="15"/>
      <c r="L11" s="38" t="s">
        <v>463</v>
      </c>
      <c r="M11" s="31">
        <v>1822.6077591410572</v>
      </c>
      <c r="N11" s="15"/>
      <c r="O11" s="31" t="s">
        <v>500</v>
      </c>
      <c r="P11" s="32">
        <f>SUM(Mercado_Receita!$N$2:$N$444)</f>
        <v>63036.159999999953</v>
      </c>
      <c r="Q11" s="32">
        <v>63036.160000000003</v>
      </c>
      <c r="R11" s="32" t="str">
        <f>IF(ABS(P11-Q11)&gt;1,"ERRO BADNET","OK BADNET")</f>
        <v>OK BADNET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spans="1:30" ht="12" customHeight="1" x14ac:dyDescent="0.2">
      <c r="A12" s="123"/>
      <c r="B12" s="123"/>
      <c r="C12" s="16" t="s">
        <v>420</v>
      </c>
      <c r="D12" s="12">
        <v>0</v>
      </c>
      <c r="E12" s="12">
        <v>0</v>
      </c>
      <c r="F12" s="12">
        <f>IF((+$D$11+$D$12+$D$16+$D$17+$D$39)&lt;&gt;0,$M$19*$D$12/(+$D$11+$D$12+$D$16+$D$17+$D$39),0)</f>
        <v>0</v>
      </c>
      <c r="G12" s="15"/>
      <c r="H12" s="15"/>
      <c r="I12" s="15"/>
      <c r="J12" s="15"/>
      <c r="K12" s="15"/>
      <c r="L12" s="31" t="s">
        <v>464</v>
      </c>
      <c r="M12" s="31">
        <v>70798.673287477737</v>
      </c>
      <c r="N12" s="15"/>
      <c r="O12" s="31" t="s">
        <v>501</v>
      </c>
      <c r="P12" s="32">
        <f>SUMIF('MERCADO TUSD'!$H$2:$H$48,"kW",'MERCADO TUSD'!$U$2:$U$48)</f>
        <v>125880</v>
      </c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spans="1:30" ht="12" customHeight="1" x14ac:dyDescent="0.2">
      <c r="A13" s="123"/>
      <c r="B13" s="123"/>
      <c r="C13" s="16" t="s">
        <v>421</v>
      </c>
      <c r="D13" s="12">
        <f>-$M$51+0</f>
        <v>0</v>
      </c>
      <c r="E13" s="12">
        <v>0</v>
      </c>
      <c r="F13" s="12">
        <v>0</v>
      </c>
      <c r="G13" s="15"/>
      <c r="H13" s="15"/>
      <c r="I13" s="15"/>
      <c r="J13" s="15"/>
      <c r="K13" s="15"/>
      <c r="L13" s="31" t="s">
        <v>465</v>
      </c>
      <c r="M13" s="31">
        <v>1526.4414953553069</v>
      </c>
      <c r="N13" s="15"/>
      <c r="O13" s="31" t="s">
        <v>502</v>
      </c>
      <c r="P13" s="32">
        <f>SUMIF('MERCADO TUSD'!$H$2:$H$48,"MWh",'MERCADO TUSD'!$U$2:$U$48)</f>
        <v>75139.235000000001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spans="1:30" ht="12" customHeight="1" x14ac:dyDescent="0.2">
      <c r="A14" s="123"/>
      <c r="B14" s="123"/>
      <c r="C14" s="16" t="s">
        <v>422</v>
      </c>
      <c r="D14" s="12">
        <v>0</v>
      </c>
      <c r="E14" s="12">
        <v>0</v>
      </c>
      <c r="F14" s="12">
        <v>0</v>
      </c>
      <c r="G14" s="15"/>
      <c r="H14" s="15"/>
      <c r="I14" s="15"/>
      <c r="J14" s="15"/>
      <c r="K14" s="15"/>
      <c r="L14" s="31" t="s">
        <v>466</v>
      </c>
      <c r="M14" s="31">
        <v>200.4673258571033</v>
      </c>
      <c r="N14" s="15"/>
      <c r="O14" s="31" t="s">
        <v>503</v>
      </c>
      <c r="P14" s="32">
        <f>SUMIF('MERCADO TE'!$H$2:$H$39,"MWh",'MERCADO TE'!$U$2:$U$39)</f>
        <v>63036.160000000003</v>
      </c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</row>
    <row r="15" spans="1:30" ht="12" customHeight="1" x14ac:dyDescent="0.2">
      <c r="A15" s="123"/>
      <c r="B15" s="123"/>
      <c r="C15" s="16" t="s">
        <v>423</v>
      </c>
      <c r="D15" s="12">
        <v>8758233.2120063994</v>
      </c>
      <c r="E15" s="30">
        <f>400916.422619122+H11</f>
        <v>400916.46700567618</v>
      </c>
      <c r="F15" s="12">
        <v>0</v>
      </c>
      <c r="G15" s="15"/>
      <c r="H15" s="15"/>
      <c r="I15" s="15"/>
      <c r="J15" s="15"/>
      <c r="K15" s="15"/>
      <c r="L15" s="31" t="s">
        <v>467</v>
      </c>
      <c r="M15" s="31">
        <f>M14*M12</f>
        <v>14192820.708171396</v>
      </c>
      <c r="N15" s="15"/>
      <c r="O15" s="31" t="s">
        <v>504</v>
      </c>
      <c r="P15" s="32" t="str">
        <f>IF(ABS(P9-P12)&gt;1,"ERRO","OK")</f>
        <v>OK</v>
      </c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spans="1:30" ht="12" customHeight="1" x14ac:dyDescent="0.2">
      <c r="A16" s="123"/>
      <c r="B16" s="123"/>
      <c r="C16" s="16" t="s">
        <v>424</v>
      </c>
      <c r="D16" s="12">
        <v>0</v>
      </c>
      <c r="E16" s="12">
        <v>0</v>
      </c>
      <c r="F16" s="12">
        <f>IF((+$D$11+$D$12+$D$16+$D$17+$D$39)&lt;&gt;0,$M$19*$D$16/(+$D$11+$D$12+$D$16+$D$17+$D$39),0)</f>
        <v>0</v>
      </c>
      <c r="G16" s="15"/>
      <c r="H16" s="15"/>
      <c r="I16" s="15"/>
      <c r="J16" s="15"/>
      <c r="K16" s="15"/>
      <c r="L16" s="31" t="s">
        <v>468</v>
      </c>
      <c r="M16" s="31">
        <v>-878136.04141701956</v>
      </c>
      <c r="N16" s="15"/>
      <c r="O16" s="31" t="s">
        <v>505</v>
      </c>
      <c r="P16" s="32" t="str">
        <f>IF(ABS(P10-P13)&gt;1,"ERRO","OK")</f>
        <v>OK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spans="1:30" ht="12" customHeight="1" x14ac:dyDescent="0.2">
      <c r="A17" s="123"/>
      <c r="B17" s="123"/>
      <c r="C17" s="16" t="s">
        <v>425</v>
      </c>
      <c r="D17" s="12">
        <v>0</v>
      </c>
      <c r="E17" s="12">
        <v>0</v>
      </c>
      <c r="F17" s="12">
        <f>IF((+$D$11+$D$12+$D$16+$D$17+$D$39)&lt;&gt;0,$M$19*$D$17/(+$D$11+$D$12+$D$16+$D$17+$D$39),0)</f>
        <v>0</v>
      </c>
      <c r="G17" s="15"/>
      <c r="H17" s="15"/>
      <c r="I17" s="15"/>
      <c r="J17" s="15"/>
      <c r="K17" s="15"/>
      <c r="L17" s="31" t="s">
        <v>469</v>
      </c>
      <c r="M17" s="31">
        <v>1532133.7737000003</v>
      </c>
      <c r="N17" s="15"/>
      <c r="O17" s="31" t="s">
        <v>506</v>
      </c>
      <c r="P17" s="32" t="str">
        <f>IF(ABS(P11-P14)&gt;1,"ERRO","OK")</f>
        <v>OK</v>
      </c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spans="1:30" ht="12" customHeight="1" x14ac:dyDescent="0.2">
      <c r="A18" s="123"/>
      <c r="B18" s="124"/>
      <c r="C18" s="16" t="s">
        <v>417</v>
      </c>
      <c r="D18" s="12">
        <f>SUM(D$11:D17)</f>
        <v>8758233.2120063994</v>
      </c>
      <c r="E18" s="12">
        <f>SUM(E$11:E17)</f>
        <v>400916.46700567618</v>
      </c>
      <c r="F18" s="12">
        <f>SUM(F$11:F17)</f>
        <v>0</v>
      </c>
      <c r="G18" s="15"/>
      <c r="H18" s="15"/>
      <c r="I18" s="15"/>
      <c r="J18" s="15"/>
      <c r="K18" s="15"/>
      <c r="L18" s="31" t="s">
        <v>470</v>
      </c>
      <c r="M18" s="31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</row>
    <row r="19" spans="1:30" ht="12" customHeight="1" x14ac:dyDescent="0.2">
      <c r="A19" s="123"/>
      <c r="B19" s="122" t="s">
        <v>426</v>
      </c>
      <c r="C19" s="16" t="s">
        <v>427</v>
      </c>
      <c r="D19" s="12">
        <v>5836168.2498144377</v>
      </c>
      <c r="E19" s="12">
        <v>-95906.210517291445</v>
      </c>
      <c r="F19" s="12">
        <v>0</v>
      </c>
      <c r="G19" s="15"/>
      <c r="H19" s="15"/>
      <c r="I19" s="15"/>
      <c r="J19" s="15"/>
      <c r="K19" s="15"/>
      <c r="L19" s="31" t="s">
        <v>471</v>
      </c>
      <c r="M19" s="31">
        <v>18356.556700000001</v>
      </c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</row>
    <row r="20" spans="1:30" ht="12" customHeight="1" x14ac:dyDescent="0.2">
      <c r="A20" s="123"/>
      <c r="B20" s="124"/>
      <c r="C20" s="16" t="s">
        <v>417</v>
      </c>
      <c r="D20" s="12">
        <f>SUM(D$19:D19)</f>
        <v>5836168.2498144377</v>
      </c>
      <c r="E20" s="12">
        <f>SUM(E$19:E19)</f>
        <v>-95906.210517291445</v>
      </c>
      <c r="F20" s="12">
        <f>SUM(F$19:F19)</f>
        <v>0</v>
      </c>
      <c r="G20" s="15"/>
      <c r="H20" s="15"/>
      <c r="I20" s="15"/>
      <c r="J20" s="15"/>
      <c r="K20" s="15"/>
      <c r="L20" s="31" t="s">
        <v>472</v>
      </c>
      <c r="M20" s="31">
        <v>5.5868001667066736E-2</v>
      </c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</row>
    <row r="21" spans="1:30" ht="12" customHeight="1" x14ac:dyDescent="0.2">
      <c r="A21" s="123"/>
      <c r="B21" s="122" t="s">
        <v>428</v>
      </c>
      <c r="C21" s="16" t="s">
        <v>429</v>
      </c>
      <c r="D21" s="12"/>
      <c r="E21" s="12">
        <f>IF($D$47&lt;&gt;0,(1-$D$46/$D$47)*-3980331.18960391,0)+0</f>
        <v>-2474985.4297311138</v>
      </c>
      <c r="F21" s="12"/>
      <c r="G21" s="15"/>
      <c r="H21" s="15"/>
      <c r="I21" s="15"/>
      <c r="J21" s="15"/>
      <c r="K21" s="15"/>
      <c r="L21" s="31" t="s">
        <v>473</v>
      </c>
      <c r="M21" s="31">
        <v>0</v>
      </c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spans="1:30" ht="12" customHeight="1" x14ac:dyDescent="0.2">
      <c r="A22" s="123"/>
      <c r="B22" s="123"/>
      <c r="C22" s="16" t="s">
        <v>430</v>
      </c>
      <c r="D22" s="12"/>
      <c r="E22" s="12"/>
      <c r="F22" s="12"/>
      <c r="G22" s="15"/>
      <c r="H22" s="15"/>
      <c r="I22" s="15"/>
      <c r="J22" s="15"/>
      <c r="K22" s="15"/>
      <c r="L22" s="31" t="s">
        <v>495</v>
      </c>
      <c r="M22" s="31">
        <v>297260.73696516769</v>
      </c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</row>
    <row r="23" spans="1:30" ht="12" customHeight="1" x14ac:dyDescent="0.2">
      <c r="A23" s="123"/>
      <c r="B23" s="124"/>
      <c r="C23" s="16" t="s">
        <v>417</v>
      </c>
      <c r="D23" s="12">
        <f>SUM(D$21:D22)</f>
        <v>0</v>
      </c>
      <c r="E23" s="12">
        <f>SUM(E$21:E22)</f>
        <v>-2474985.4297311138</v>
      </c>
      <c r="F23" s="12">
        <f>SUM(F$21:F22)</f>
        <v>0</v>
      </c>
      <c r="G23" s="15"/>
      <c r="H23" s="15"/>
      <c r="I23" s="15"/>
      <c r="J23" s="15"/>
      <c r="K23" s="15"/>
      <c r="L23" s="31" t="s">
        <v>474</v>
      </c>
      <c r="M23" s="31">
        <v>30</v>
      </c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spans="1:30" ht="12" customHeight="1" x14ac:dyDescent="0.2">
      <c r="A24" s="123"/>
      <c r="B24" s="122" t="s">
        <v>431</v>
      </c>
      <c r="C24" s="16" t="s">
        <v>432</v>
      </c>
      <c r="D24" s="12">
        <f>$M$14*$M$8</f>
        <v>1040518.760215919</v>
      </c>
      <c r="E24" s="12">
        <f>$M$16*$M$8/$M$12</f>
        <v>-64378.818270429307</v>
      </c>
      <c r="F24" s="12">
        <f>$M$17*$M$8/$M$12</f>
        <v>112325.37685601893</v>
      </c>
      <c r="G24" s="15"/>
      <c r="H24" s="15"/>
      <c r="I24" s="15"/>
      <c r="J24" s="15"/>
      <c r="K24" s="15"/>
      <c r="L24" s="31" t="s">
        <v>475</v>
      </c>
      <c r="M24" s="31">
        <v>0</v>
      </c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spans="1:30" ht="12" customHeight="1" x14ac:dyDescent="0.2">
      <c r="A25" s="123"/>
      <c r="B25" s="123"/>
      <c r="C25" s="16" t="s">
        <v>433</v>
      </c>
      <c r="D25" s="12">
        <f>$M$14*$M$10</f>
        <v>33461.673428496732</v>
      </c>
      <c r="E25" s="12">
        <f>$M$16*$M$10/$M$12</f>
        <v>-2070.3355624559999</v>
      </c>
      <c r="F25" s="12">
        <f>$M$17*$M$10/$M$12</f>
        <v>3612.2319191140596</v>
      </c>
      <c r="G25" s="15"/>
      <c r="H25" s="15"/>
      <c r="I25" s="15"/>
      <c r="J25" s="15"/>
      <c r="K25" s="15"/>
      <c r="L25" s="31" t="s">
        <v>476</v>
      </c>
      <c r="M25" s="31">
        <v>0</v>
      </c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</row>
    <row r="26" spans="1:30" ht="12" customHeight="1" x14ac:dyDescent="0.2">
      <c r="A26" s="123"/>
      <c r="B26" s="123"/>
      <c r="C26" s="16" t="s">
        <v>434</v>
      </c>
      <c r="D26" s="12">
        <f>$M$14*$M$9</f>
        <v>116776.54346506554</v>
      </c>
      <c r="E26" s="12">
        <f>$M$16*$M$9/$M$12</f>
        <v>-7225.1805132531108</v>
      </c>
      <c r="F26" s="12">
        <f>$M$17*$M$9/$M$12</f>
        <v>12606.18237189193</v>
      </c>
      <c r="G26" s="15"/>
      <c r="H26" s="15"/>
      <c r="I26" s="15"/>
      <c r="J26" s="15"/>
      <c r="K26" s="15"/>
      <c r="L26" s="31" t="s">
        <v>477</v>
      </c>
      <c r="M26" s="31">
        <v>0</v>
      </c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</row>
    <row r="27" spans="1:30" ht="12" customHeight="1" x14ac:dyDescent="0.2">
      <c r="A27" s="123"/>
      <c r="B27" s="123"/>
      <c r="C27" s="16" t="s">
        <v>435</v>
      </c>
      <c r="D27" s="12">
        <v>19192.758857639066</v>
      </c>
      <c r="E27" s="12">
        <v>2554.9068334908661</v>
      </c>
      <c r="F27" s="12">
        <v>0</v>
      </c>
      <c r="G27" s="15"/>
      <c r="H27" s="15"/>
      <c r="I27" s="15"/>
      <c r="J27" s="15"/>
      <c r="K27" s="15"/>
      <c r="L27" s="31" t="s">
        <v>478</v>
      </c>
      <c r="M27" s="31">
        <v>0</v>
      </c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</row>
    <row r="28" spans="1:30" ht="12" customHeight="1" x14ac:dyDescent="0.2">
      <c r="A28" s="123"/>
      <c r="B28" s="124"/>
      <c r="C28" s="16" t="s">
        <v>417</v>
      </c>
      <c r="D28" s="12">
        <f>SUM(D$24:D27)</f>
        <v>1209949.7359671204</v>
      </c>
      <c r="E28" s="12">
        <f>SUM(E$24:E27)</f>
        <v>-71119.427512647555</v>
      </c>
      <c r="F28" s="12">
        <f>SUM(F$24:F27)</f>
        <v>128543.79114702492</v>
      </c>
      <c r="G28" s="15"/>
      <c r="H28" s="15"/>
      <c r="I28" s="15"/>
      <c r="J28" s="15"/>
      <c r="K28" s="15"/>
      <c r="L28" s="31" t="s">
        <v>479</v>
      </c>
      <c r="M28" s="31">
        <v>0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</row>
    <row r="29" spans="1:30" ht="12" customHeight="1" x14ac:dyDescent="0.2">
      <c r="A29" s="124"/>
      <c r="B29" s="127" t="s">
        <v>417</v>
      </c>
      <c r="C29" s="128"/>
      <c r="D29" s="12">
        <f>SUMIF(C$2:C28,"SUBTOTAL",D$2:D28)</f>
        <v>23459438.436199158</v>
      </c>
      <c r="E29" s="12">
        <f>SUMIF(C$2:C28,"SUBTOTAL",E$2:E28)</f>
        <v>-2125747.5396975526</v>
      </c>
      <c r="F29" s="12">
        <f>SUMIF(C$2:C28,"SUBTOTAL",F$2:F28)</f>
        <v>1342228.7763668243</v>
      </c>
      <c r="G29" s="15"/>
      <c r="H29" s="15"/>
      <c r="I29" s="15"/>
      <c r="J29" s="15"/>
      <c r="K29" s="15"/>
      <c r="L29" s="31" t="s">
        <v>480</v>
      </c>
      <c r="M29" s="31">
        <v>0</v>
      </c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spans="1:30" ht="12" customHeight="1" x14ac:dyDescent="0.2">
      <c r="A30" s="122" t="s">
        <v>436</v>
      </c>
      <c r="B30" s="122" t="s">
        <v>409</v>
      </c>
      <c r="C30" s="16" t="s">
        <v>411</v>
      </c>
      <c r="D30" s="12">
        <f>IFERROR($M$5*(+D$31+D$32+D$33+D$34+D$36+D$38+D$39+D$40+D$44)+($M$5^2)*(+D$31+D$32+D$33+D$34+D$36+D$38+D$39+D$40+D$44)/$M$22*(+$E$2+$F$2+$E$3+$F$3+$E$8+$F$8+$E$9+$F$9+$E$11+$F$11+$E$12+$F$12+$E$13+$F$13+$E$14+$F$14+$E$15+$F$15+$E$16+$F$16+$E$17+$F$17+$E$19+$F$19+$E$22+$F$22+$E$24+$F$24+$E$25+$F$25+$E$26+$F$26+$E$27+$F$27+$E$31+$F$31+$E$32+$F$32+$E$33+$F$33+$E$34+$F$34+$E$36+$F$36+$E$38+$F$38+$E$39+$F$39+$E$40+$F$40+$E$44+$F$44),0)</f>
        <v>149957.71426059183</v>
      </c>
      <c r="E30" s="12">
        <f>IF((D30+D$4)&lt;&gt;0,$M$20*D30/(D30+D$4),0)</f>
        <v>2.8183465855034721E-2</v>
      </c>
      <c r="F30" s="12">
        <f>IF((D30+D$4)&lt;&gt;0,$M$21*D30/(D30+D$4),0)</f>
        <v>0</v>
      </c>
      <c r="G30" s="15"/>
      <c r="H30" s="15"/>
      <c r="I30" s="15"/>
      <c r="J30" s="15"/>
      <c r="K30" s="15"/>
      <c r="L30" s="31" t="s">
        <v>481</v>
      </c>
      <c r="M30" s="31">
        <v>0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</row>
    <row r="31" spans="1:30" ht="12" customHeight="1" x14ac:dyDescent="0.2">
      <c r="A31" s="123"/>
      <c r="B31" s="123"/>
      <c r="C31" s="16" t="s">
        <v>437</v>
      </c>
      <c r="D31" s="12">
        <v>1373181.1307278299</v>
      </c>
      <c r="E31" s="12">
        <v>-305393.76818123687</v>
      </c>
      <c r="F31" s="12">
        <v>796793.7746</v>
      </c>
      <c r="G31" s="15"/>
      <c r="H31" s="15"/>
      <c r="I31" s="15"/>
      <c r="J31" s="15"/>
      <c r="K31" s="15"/>
      <c r="L31" s="31" t="s">
        <v>482</v>
      </c>
      <c r="M31" s="31">
        <v>0</v>
      </c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</row>
    <row r="32" spans="1:30" ht="12" customHeight="1" x14ac:dyDescent="0.2">
      <c r="A32" s="123"/>
      <c r="B32" s="123"/>
      <c r="C32" s="16" t="s">
        <v>438</v>
      </c>
      <c r="D32" s="12">
        <v>0</v>
      </c>
      <c r="E32" s="12">
        <v>0</v>
      </c>
      <c r="F32" s="12">
        <v>0</v>
      </c>
      <c r="G32" s="15"/>
      <c r="H32" s="15"/>
      <c r="I32" s="15"/>
      <c r="J32" s="15"/>
      <c r="K32" s="15"/>
      <c r="L32" s="31" t="s">
        <v>483</v>
      </c>
      <c r="M32" s="31">
        <v>0.45</v>
      </c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</row>
    <row r="33" spans="1:30" ht="12" customHeight="1" x14ac:dyDescent="0.2">
      <c r="A33" s="123"/>
      <c r="B33" s="123"/>
      <c r="C33" s="16" t="s">
        <v>497</v>
      </c>
      <c r="D33" s="12">
        <v>140072.77572115077</v>
      </c>
      <c r="E33" s="12">
        <v>-2078.5898471862465</v>
      </c>
      <c r="F33" s="12">
        <v>9188.7292802005632</v>
      </c>
      <c r="G33" s="15"/>
      <c r="H33" s="15"/>
      <c r="I33" s="15"/>
      <c r="J33" s="15"/>
      <c r="K33" s="15"/>
      <c r="L33" s="31" t="s">
        <v>484</v>
      </c>
      <c r="M33" s="31">
        <v>0.4</v>
      </c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spans="1:30" ht="12" customHeight="1" x14ac:dyDescent="0.2">
      <c r="A34" s="123"/>
      <c r="B34" s="123"/>
      <c r="C34" s="16" t="s">
        <v>439</v>
      </c>
      <c r="D34" s="12">
        <v>-989999.99999999988</v>
      </c>
      <c r="E34" s="12">
        <v>0</v>
      </c>
      <c r="F34" s="12">
        <v>0</v>
      </c>
      <c r="G34" s="15"/>
      <c r="H34" s="15"/>
      <c r="I34" s="15"/>
      <c r="J34" s="15"/>
      <c r="K34" s="15"/>
      <c r="L34" s="31" t="s">
        <v>485</v>
      </c>
      <c r="M34" s="31">
        <v>0.65</v>
      </c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</row>
    <row r="35" spans="1:30" ht="12" customHeight="1" x14ac:dyDescent="0.2">
      <c r="A35" s="123"/>
      <c r="B35" s="124"/>
      <c r="C35" s="16" t="s">
        <v>417</v>
      </c>
      <c r="D35" s="12">
        <f>SUM(D$30:D34)</f>
        <v>673211.62070957257</v>
      </c>
      <c r="E35" s="12">
        <f>SUM(E$30:E34)</f>
        <v>-307472.32984495722</v>
      </c>
      <c r="F35" s="12">
        <f>SUM(F$30:F34)</f>
        <v>805982.50388020056</v>
      </c>
      <c r="G35" s="15"/>
      <c r="H35" s="15"/>
      <c r="I35" s="15"/>
      <c r="J35" s="15"/>
      <c r="K35" s="15"/>
      <c r="L35" s="31" t="s">
        <v>486</v>
      </c>
      <c r="M35" s="31">
        <v>0.4</v>
      </c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spans="1:30" ht="12" customHeight="1" x14ac:dyDescent="0.2">
      <c r="A36" s="123"/>
      <c r="B36" s="122" t="s">
        <v>440</v>
      </c>
      <c r="C36" s="16" t="s">
        <v>441</v>
      </c>
      <c r="D36" s="12">
        <f>$M$14*($M$12-$M$7)</f>
        <v>12636690.427500499</v>
      </c>
      <c r="E36" s="12">
        <f>$M$16*($M$12-$M$7)/$M$12</f>
        <v>-781855.38567599771</v>
      </c>
      <c r="F36" s="12">
        <f>$M$17*($M$12-$M$7)/$M$12</f>
        <v>1364147.4510150065</v>
      </c>
      <c r="G36" s="15"/>
      <c r="H36" s="15"/>
      <c r="I36" s="15"/>
      <c r="J36" s="15"/>
      <c r="K36" s="15"/>
      <c r="L36" s="31" t="s">
        <v>487</v>
      </c>
      <c r="M36" s="31">
        <v>0.1</v>
      </c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7" spans="1:30" ht="12" customHeight="1" x14ac:dyDescent="0.2">
      <c r="A37" s="123"/>
      <c r="B37" s="124"/>
      <c r="C37" s="16" t="s">
        <v>417</v>
      </c>
      <c r="D37" s="12">
        <f>SUM(D$36:D36)</f>
        <v>12636690.427500499</v>
      </c>
      <c r="E37" s="12">
        <f>SUM(E$36:E36)</f>
        <v>-781855.38567599771</v>
      </c>
      <c r="F37" s="12">
        <f>SUM(F$36:F36)</f>
        <v>1364147.4510150065</v>
      </c>
      <c r="G37" s="15"/>
      <c r="H37" s="15"/>
      <c r="I37" s="15"/>
      <c r="J37" s="15"/>
      <c r="K37" s="15"/>
      <c r="L37" s="31" t="s">
        <v>488</v>
      </c>
      <c r="M37" s="31">
        <v>0</v>
      </c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8" spans="1:30" ht="12" customHeight="1" x14ac:dyDescent="0.2">
      <c r="A38" s="123"/>
      <c r="B38" s="122" t="s">
        <v>418</v>
      </c>
      <c r="C38" s="16" t="s">
        <v>442</v>
      </c>
      <c r="D38" s="12">
        <v>349006.23466233397</v>
      </c>
      <c r="E38" s="12">
        <v>12010.748699454911</v>
      </c>
      <c r="F38" s="12">
        <v>88608.9905</v>
      </c>
      <c r="G38" s="15"/>
      <c r="H38" s="15"/>
      <c r="I38" s="15"/>
      <c r="J38" s="15"/>
      <c r="K38" s="15"/>
      <c r="L38" s="31" t="s">
        <v>489</v>
      </c>
      <c r="M38" s="31">
        <f>IFERROR(VLOOKUP("Convencional1RuralNão se aplicaRURALB2",Descontos!B1:U88,VLOOKUP("Convencional1RuralNão se aplicaRURALB2",Descontos!B1:U88,20,FALSE)+12,FALSE),100)</f>
        <v>0.06</v>
      </c>
      <c r="N38" s="15" t="s">
        <v>540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</row>
    <row r="39" spans="1:30" ht="12" customHeight="1" x14ac:dyDescent="0.2">
      <c r="A39" s="123"/>
      <c r="B39" s="123"/>
      <c r="C39" s="16" t="s">
        <v>443</v>
      </c>
      <c r="D39" s="12">
        <v>244313.99991106981</v>
      </c>
      <c r="E39" s="12">
        <v>1848.8338852243451</v>
      </c>
      <c r="F39" s="12">
        <f>IF((+$D$11+$D$12+$D$16+$D$17+$D$39)&lt;&gt;0,$M$19*$D$39/(+$D$11+$D$12+$D$16+$D$17+$D$39),0)</f>
        <v>18356.556700000001</v>
      </c>
      <c r="G39" s="15"/>
      <c r="H39" s="15"/>
      <c r="I39" s="15"/>
      <c r="J39" s="15"/>
      <c r="K39" s="15"/>
      <c r="L39" s="31" t="s">
        <v>490</v>
      </c>
      <c r="M39" s="31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5">
        <v>0.06</v>
      </c>
      <c r="O39" s="15" t="s">
        <v>557</v>
      </c>
      <c r="P39" s="15" t="s">
        <v>558</v>
      </c>
      <c r="Q39" s="15" t="s">
        <v>559</v>
      </c>
      <c r="R39" s="15" t="s">
        <v>560</v>
      </c>
      <c r="S39" s="15" t="s">
        <v>1</v>
      </c>
      <c r="T39" s="15" t="s">
        <v>561</v>
      </c>
      <c r="U39" s="15"/>
      <c r="V39" s="15"/>
      <c r="W39" s="15"/>
      <c r="X39" s="15"/>
      <c r="Y39" s="15"/>
      <c r="Z39" s="15"/>
      <c r="AA39" s="15"/>
      <c r="AB39" s="15"/>
      <c r="AC39" s="15"/>
      <c r="AD39" s="15"/>
    </row>
    <row r="40" spans="1:30" ht="12" customHeight="1" x14ac:dyDescent="0.25">
      <c r="A40" s="123"/>
      <c r="B40" s="123"/>
      <c r="C40" s="16" t="s">
        <v>444</v>
      </c>
      <c r="D40" s="12"/>
      <c r="E40" s="12">
        <v>0</v>
      </c>
      <c r="F40" s="12">
        <v>0</v>
      </c>
      <c r="G40" s="15"/>
      <c r="H40" s="15"/>
      <c r="I40" s="15"/>
      <c r="J40" s="15"/>
      <c r="K40" s="15"/>
      <c r="L40" s="31" t="s">
        <v>491</v>
      </c>
      <c r="M40" s="31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5">
        <v>0.08</v>
      </c>
      <c r="O40" s="58"/>
      <c r="P40" s="58"/>
      <c r="Q40" s="58"/>
      <c r="R40" s="58"/>
      <c r="S40" s="58"/>
      <c r="T40" s="58"/>
      <c r="U40" s="15"/>
      <c r="V40" s="15"/>
      <c r="W40" s="15"/>
      <c r="X40" s="15"/>
      <c r="Y40" s="15"/>
      <c r="Z40" s="15"/>
      <c r="AA40" s="15"/>
      <c r="AB40" s="15"/>
      <c r="AC40" s="15"/>
      <c r="AD40" s="15"/>
    </row>
    <row r="41" spans="1:30" ht="12" customHeight="1" x14ac:dyDescent="0.25">
      <c r="A41" s="123"/>
      <c r="B41" s="124"/>
      <c r="C41" s="16" t="s">
        <v>417</v>
      </c>
      <c r="D41" s="12">
        <f>SUM(D$38:D40)</f>
        <v>593320.23457340384</v>
      </c>
      <c r="E41" s="12">
        <f>SUM(E$38:E40)</f>
        <v>13859.582584679256</v>
      </c>
      <c r="F41" s="12">
        <f>SUM(F$38:F40)</f>
        <v>106965.5472</v>
      </c>
      <c r="G41" s="15"/>
      <c r="H41" s="15"/>
      <c r="I41" s="15"/>
      <c r="J41" s="15"/>
      <c r="K41" s="15"/>
      <c r="L41" s="15"/>
      <c r="M41" s="15"/>
      <c r="N41" s="15"/>
      <c r="O41" s="58"/>
      <c r="P41" s="58"/>
      <c r="Q41" s="58"/>
      <c r="R41" s="58"/>
      <c r="S41" s="58"/>
      <c r="T41" s="58"/>
      <c r="U41" s="15"/>
      <c r="V41" s="15"/>
      <c r="W41" s="15"/>
      <c r="X41" s="15"/>
      <c r="Y41" s="15"/>
      <c r="Z41" s="15"/>
      <c r="AA41" s="15"/>
      <c r="AB41" s="15"/>
      <c r="AC41" s="15"/>
      <c r="AD41" s="15"/>
    </row>
    <row r="42" spans="1:30" ht="12" customHeight="1" x14ac:dyDescent="0.25">
      <c r="A42" s="123"/>
      <c r="B42" s="122" t="s">
        <v>428</v>
      </c>
      <c r="C42" s="16" t="s">
        <v>429</v>
      </c>
      <c r="D42" s="12"/>
      <c r="E42" s="12">
        <f>IF($D$47&lt;&gt;0,($D$46/$D$47)* -3980331.18960391,0)+0</f>
        <v>-1505345.7598727958</v>
      </c>
      <c r="F42" s="12"/>
      <c r="G42" s="15"/>
      <c r="H42" s="15"/>
      <c r="I42" s="15"/>
      <c r="J42" s="15"/>
      <c r="K42" s="15"/>
      <c r="L42" s="15"/>
      <c r="M42" s="15"/>
      <c r="N42" s="15"/>
      <c r="O42" s="58"/>
      <c r="P42" s="58"/>
      <c r="Q42" s="58"/>
      <c r="R42" s="58"/>
      <c r="S42" s="58"/>
      <c r="T42" s="58"/>
      <c r="U42" s="15"/>
      <c r="V42" s="15"/>
      <c r="W42" s="15"/>
      <c r="X42" s="15"/>
      <c r="Y42" s="15"/>
      <c r="Z42" s="15"/>
      <c r="AA42" s="15"/>
      <c r="AB42" s="15"/>
      <c r="AC42" s="15"/>
      <c r="AD42" s="15"/>
    </row>
    <row r="43" spans="1:30" ht="12" customHeight="1" x14ac:dyDescent="0.25">
      <c r="A43" s="123"/>
      <c r="B43" s="124"/>
      <c r="C43" s="16" t="s">
        <v>417</v>
      </c>
      <c r="D43" s="12">
        <f>SUM(D$42:D42)</f>
        <v>0</v>
      </c>
      <c r="E43" s="12">
        <f>SUM(E$42:E42)</f>
        <v>-1505345.7598727958</v>
      </c>
      <c r="F43" s="12">
        <f>SUM(F$42:F42)</f>
        <v>0</v>
      </c>
      <c r="G43" s="15"/>
      <c r="H43" s="15"/>
      <c r="I43" s="15"/>
      <c r="J43" s="15"/>
      <c r="K43" s="15"/>
      <c r="L43" s="15"/>
      <c r="M43" s="15"/>
      <c r="N43" s="15"/>
      <c r="O43" s="58"/>
      <c r="P43" s="58"/>
      <c r="Q43" s="58"/>
      <c r="R43" s="58"/>
      <c r="S43" s="58"/>
      <c r="T43" s="58"/>
      <c r="U43" s="15"/>
      <c r="V43" s="15"/>
      <c r="W43" s="15"/>
      <c r="X43" s="15"/>
      <c r="Y43" s="15"/>
      <c r="Z43" s="15"/>
      <c r="AA43" s="15"/>
      <c r="AB43" s="15"/>
      <c r="AC43" s="15"/>
      <c r="AD43" s="15"/>
    </row>
    <row r="44" spans="1:30" ht="12" customHeight="1" x14ac:dyDescent="0.25">
      <c r="A44" s="123"/>
      <c r="B44" s="122" t="s">
        <v>431</v>
      </c>
      <c r="C44" s="16" t="s">
        <v>445</v>
      </c>
      <c r="D44" s="12">
        <f>$M$14*$M$11</f>
        <v>365373.30356141517</v>
      </c>
      <c r="E44" s="12">
        <f>$M$16*$M$11/$M$12</f>
        <v>-22606.321394883464</v>
      </c>
      <c r="F44" s="12">
        <f>$M$17*$M$11/$M$12</f>
        <v>39442.531537968789</v>
      </c>
      <c r="G44" s="15"/>
      <c r="H44" s="15"/>
      <c r="I44" s="15"/>
      <c r="J44" s="15"/>
      <c r="K44" s="15"/>
      <c r="L44" s="15"/>
      <c r="M44" s="15"/>
      <c r="N44" s="15"/>
      <c r="O44" s="58"/>
      <c r="P44" s="58"/>
      <c r="Q44" s="58"/>
      <c r="R44" s="58"/>
      <c r="S44" s="58"/>
      <c r="T44" s="58"/>
      <c r="U44" s="15"/>
      <c r="V44" s="15"/>
      <c r="W44" s="15"/>
      <c r="X44" s="15"/>
      <c r="Y44" s="15"/>
      <c r="Z44" s="15"/>
      <c r="AA44" s="15"/>
      <c r="AB44" s="15"/>
      <c r="AC44" s="15"/>
      <c r="AD44" s="15"/>
    </row>
    <row r="45" spans="1:30" ht="12" customHeight="1" x14ac:dyDescent="0.25">
      <c r="A45" s="123"/>
      <c r="B45" s="124"/>
      <c r="C45" s="16" t="s">
        <v>417</v>
      </c>
      <c r="D45" s="12">
        <f>SUM(D$44:D44)</f>
        <v>365373.30356141517</v>
      </c>
      <c r="E45" s="12">
        <f>SUM(E$44:E44)</f>
        <v>-22606.321394883464</v>
      </c>
      <c r="F45" s="12">
        <f>SUM(F$44:F44)</f>
        <v>39442.531537968789</v>
      </c>
      <c r="G45" s="15"/>
      <c r="H45" s="15"/>
      <c r="I45" s="15"/>
      <c r="J45" s="15"/>
      <c r="K45" s="15"/>
      <c r="L45" s="15"/>
      <c r="M45" s="15"/>
      <c r="N45" s="15"/>
      <c r="O45" s="58"/>
      <c r="P45" s="58"/>
      <c r="Q45" s="58"/>
      <c r="R45" s="58"/>
      <c r="S45" s="58"/>
      <c r="T45" s="58"/>
      <c r="U45" s="15"/>
      <c r="V45" s="15"/>
      <c r="W45" s="15"/>
      <c r="X45" s="15"/>
      <c r="Y45" s="15"/>
      <c r="Z45" s="15"/>
      <c r="AA45" s="15"/>
      <c r="AB45" s="15"/>
      <c r="AC45" s="15"/>
      <c r="AD45" s="15"/>
    </row>
    <row r="46" spans="1:30" ht="12" customHeight="1" x14ac:dyDescent="0.25">
      <c r="A46" s="124"/>
      <c r="B46" s="127" t="s">
        <v>417</v>
      </c>
      <c r="C46" s="128"/>
      <c r="D46" s="12">
        <f>SUMIF(C$30:C45,"SUBTOTAL",D$30:D45)</f>
        <v>14268595.58634489</v>
      </c>
      <c r="E46" s="12">
        <f>SUMIF(C$30:C45,"SUBTOTAL",E$30:E45)</f>
        <v>-2603420.2142039551</v>
      </c>
      <c r="F46" s="12">
        <f>SUMIF(C$30:C45,"SUBTOTAL",F$30:F45)</f>
        <v>2316538.0336331758</v>
      </c>
      <c r="G46" s="15"/>
      <c r="H46" s="15"/>
      <c r="I46" s="15"/>
      <c r="J46" s="15"/>
      <c r="K46" s="15"/>
      <c r="L46" s="15"/>
      <c r="M46" s="15"/>
      <c r="N46" s="15"/>
      <c r="O46" s="58"/>
      <c r="P46" s="58"/>
      <c r="Q46" s="58"/>
      <c r="R46" s="58"/>
      <c r="S46" s="58"/>
      <c r="T46" s="58"/>
      <c r="U46" s="15"/>
      <c r="V46" s="15"/>
      <c r="W46" s="15"/>
      <c r="X46" s="15"/>
      <c r="Y46" s="15"/>
      <c r="Z46" s="15"/>
      <c r="AA46" s="15"/>
      <c r="AB46" s="15"/>
      <c r="AC46" s="15"/>
      <c r="AD46" s="15"/>
    </row>
    <row r="47" spans="1:30" ht="12" customHeight="1" x14ac:dyDescent="0.25">
      <c r="A47" s="127" t="s">
        <v>446</v>
      </c>
      <c r="B47" s="131"/>
      <c r="C47" s="128"/>
      <c r="D47" s="12">
        <f>SUMIF(C$2:C46,"SUBTOTAL",D$2:D46)</f>
        <v>37728034.022544041</v>
      </c>
      <c r="E47" s="12">
        <f>SUMIF(C$2:C46,"SUBTOTAL",E$2:E46)</f>
        <v>-4729167.7539015077</v>
      </c>
      <c r="F47" s="12">
        <f>SUMIF(C$2:C46,"SUBTOTAL",F$2:F46)</f>
        <v>3658766.8099999996</v>
      </c>
      <c r="G47" s="15"/>
      <c r="H47" s="15"/>
      <c r="I47" s="15"/>
      <c r="J47" s="15"/>
      <c r="K47" s="15"/>
      <c r="L47" s="15"/>
      <c r="M47" s="15"/>
      <c r="N47" s="15"/>
      <c r="O47" s="58"/>
      <c r="P47" s="58"/>
      <c r="Q47" s="58"/>
      <c r="R47" s="58"/>
      <c r="S47" s="58"/>
      <c r="T47" s="58"/>
      <c r="U47" s="15"/>
      <c r="V47" s="15"/>
      <c r="W47" s="15"/>
      <c r="X47" s="15"/>
      <c r="Y47" s="15"/>
      <c r="Z47" s="15"/>
      <c r="AA47" s="15"/>
      <c r="AB47" s="15"/>
      <c r="AC47" s="15"/>
      <c r="AD47" s="15"/>
    </row>
    <row r="48" spans="1:30" ht="12" customHeight="1" x14ac:dyDescent="0.25">
      <c r="A48" s="125" t="s">
        <v>532</v>
      </c>
      <c r="B48" s="126"/>
      <c r="C48" s="126"/>
      <c r="D48" s="50">
        <f ca="1">'TUSD BE'!$AM$53+'TUSD BE'!$AM$57+'TE BE'!$AB$44</f>
        <v>37728034.022544049</v>
      </c>
      <c r="E48" s="50">
        <f ca="1">'TUSD BF'!$AM$53+'TE BF'!$AB$44</f>
        <v>-4729167.7539015077</v>
      </c>
      <c r="F48" s="51">
        <f ca="1">'TUSD CVA'!$AM$53+'TE CVA'!$AB$44</f>
        <v>3658766.8100000005</v>
      </c>
      <c r="L48" s="35"/>
      <c r="M48" s="31"/>
      <c r="O48" s="58"/>
      <c r="P48" s="58"/>
      <c r="Q48" s="58"/>
      <c r="R48" s="58"/>
      <c r="S48" s="58"/>
      <c r="T48" s="58"/>
    </row>
    <row r="49" spans="1:20" ht="12" customHeight="1" x14ac:dyDescent="0.25">
      <c r="A49" s="125" t="s">
        <v>533</v>
      </c>
      <c r="B49" s="126"/>
      <c r="C49" s="126"/>
      <c r="D49" s="50" t="str">
        <f ca="1">IF(ABS(D48-D47)&gt;1,"ERRO","OK")</f>
        <v>OK</v>
      </c>
      <c r="E49" s="50" t="str">
        <f ca="1">IF(ABS(E48-E47)&gt;1,"ERRO","OK")</f>
        <v>OK</v>
      </c>
      <c r="F49" s="52" t="str">
        <f ca="1">IF(ABS(F48-F47)&gt;1,"ERRO","OK")</f>
        <v>OK</v>
      </c>
      <c r="L49" s="35"/>
      <c r="M49" s="31"/>
      <c r="O49" s="58"/>
      <c r="P49" s="58"/>
      <c r="Q49" s="58"/>
      <c r="R49" s="58"/>
      <c r="S49" s="58"/>
      <c r="T49" s="58"/>
    </row>
    <row r="50" spans="1:20" ht="12" customHeight="1" x14ac:dyDescent="0.25">
      <c r="D50" s="36"/>
      <c r="E50" s="36"/>
      <c r="L50" s="35"/>
      <c r="M50" s="31"/>
      <c r="O50" s="58"/>
      <c r="P50" s="58"/>
      <c r="Q50" s="58"/>
      <c r="R50" s="58"/>
      <c r="S50" s="58"/>
      <c r="T50" s="58"/>
    </row>
    <row r="51" spans="1:20" ht="12" customHeight="1" x14ac:dyDescent="0.25">
      <c r="D51" s="14">
        <v>37728034.022544041</v>
      </c>
      <c r="E51" s="14">
        <v>-1070400.9439015035</v>
      </c>
      <c r="G51" s="14" t="s">
        <v>1114</v>
      </c>
      <c r="L51" s="33" t="s">
        <v>492</v>
      </c>
      <c r="M51" s="34">
        <v>0</v>
      </c>
      <c r="O51" s="58"/>
      <c r="P51" s="58"/>
      <c r="Q51" s="58"/>
      <c r="R51" s="58"/>
      <c r="S51" s="58"/>
      <c r="T51" s="58"/>
    </row>
    <row r="52" spans="1:20" ht="12" customHeight="1" x14ac:dyDescent="0.25">
      <c r="D52" s="94">
        <f ca="1">D51-D48</f>
        <v>0</v>
      </c>
      <c r="E52" s="94">
        <f ca="1">E48+F48-E51</f>
        <v>-3.7252902984619141E-9</v>
      </c>
      <c r="G52" s="14" t="s">
        <v>1115</v>
      </c>
      <c r="O52" s="58"/>
      <c r="P52" s="58"/>
      <c r="Q52" s="58"/>
      <c r="R52" s="58"/>
      <c r="S52" s="58"/>
      <c r="T52" s="58"/>
    </row>
    <row r="53" spans="1:20" ht="12" customHeight="1" x14ac:dyDescent="0.25">
      <c r="O53" s="58"/>
      <c r="P53" s="58"/>
      <c r="Q53" s="58"/>
      <c r="R53" s="58"/>
      <c r="S53" s="58"/>
      <c r="T53" s="58"/>
    </row>
    <row r="54" spans="1:20" ht="12" customHeight="1" x14ac:dyDescent="0.25">
      <c r="O54" s="58"/>
      <c r="P54" s="58"/>
      <c r="Q54" s="58"/>
      <c r="R54" s="58"/>
      <c r="S54" s="58"/>
      <c r="T54" s="58"/>
    </row>
    <row r="55" spans="1:20" ht="12" customHeight="1" x14ac:dyDescent="0.25">
      <c r="O55" s="58"/>
      <c r="P55" s="58"/>
      <c r="Q55" s="58"/>
      <c r="R55" s="58"/>
      <c r="S55" s="58"/>
      <c r="T55" s="58"/>
    </row>
    <row r="56" spans="1:20" ht="12" customHeight="1" x14ac:dyDescent="0.25">
      <c r="O56" s="58"/>
      <c r="P56" s="58"/>
      <c r="Q56" s="58"/>
      <c r="R56" s="58"/>
      <c r="S56" s="58"/>
      <c r="T56" s="58"/>
    </row>
    <row r="57" spans="1:20" ht="12" customHeight="1" x14ac:dyDescent="0.25">
      <c r="O57" s="58"/>
      <c r="P57" s="58"/>
      <c r="Q57" s="58"/>
      <c r="R57" s="58"/>
      <c r="S57" s="58"/>
      <c r="T57" s="58"/>
    </row>
    <row r="58" spans="1:20" ht="12" customHeight="1" x14ac:dyDescent="0.25">
      <c r="O58" s="58"/>
      <c r="P58" s="58"/>
      <c r="Q58" s="58"/>
      <c r="R58" s="58"/>
      <c r="S58" s="58"/>
      <c r="T58" s="58"/>
    </row>
    <row r="59" spans="1:20" ht="12" customHeight="1" x14ac:dyDescent="0.25">
      <c r="O59" s="58"/>
      <c r="P59" s="58"/>
      <c r="Q59" s="58"/>
      <c r="R59" s="58"/>
      <c r="S59" s="58"/>
      <c r="T59" s="58"/>
    </row>
    <row r="60" spans="1:20" ht="12" customHeight="1" x14ac:dyDescent="0.25">
      <c r="O60" s="58"/>
      <c r="P60" s="58"/>
      <c r="Q60" s="58"/>
      <c r="R60" s="58"/>
      <c r="S60" s="58"/>
      <c r="T60" s="58"/>
    </row>
    <row r="61" spans="1:20" ht="12" customHeight="1" x14ac:dyDescent="0.25">
      <c r="O61" s="58"/>
      <c r="P61" s="58"/>
      <c r="Q61" s="58"/>
      <c r="R61" s="58"/>
      <c r="S61" s="58"/>
      <c r="T61" s="58"/>
    </row>
    <row r="62" spans="1:20" ht="12" customHeight="1" x14ac:dyDescent="0.25">
      <c r="O62" s="58"/>
      <c r="P62" s="58"/>
      <c r="Q62" s="58"/>
      <c r="R62" s="58"/>
      <c r="S62" s="58"/>
      <c r="T62" s="58"/>
    </row>
    <row r="63" spans="1:20" ht="12" customHeight="1" x14ac:dyDescent="0.25">
      <c r="O63" s="58"/>
      <c r="P63" s="58"/>
      <c r="Q63" s="58"/>
      <c r="R63" s="58"/>
      <c r="S63" s="58"/>
      <c r="T63" s="58"/>
    </row>
    <row r="64" spans="1:20" ht="12" customHeight="1" x14ac:dyDescent="0.25">
      <c r="O64" s="58"/>
      <c r="P64" s="58"/>
      <c r="Q64" s="58"/>
      <c r="R64" s="58"/>
      <c r="S64" s="58"/>
      <c r="T64" s="58"/>
    </row>
    <row r="65" spans="15:20" ht="12" customHeight="1" x14ac:dyDescent="0.25">
      <c r="O65" s="58"/>
      <c r="P65" s="58"/>
      <c r="Q65" s="58"/>
      <c r="R65" s="58"/>
      <c r="S65" s="58"/>
      <c r="T65" s="58"/>
    </row>
    <row r="66" spans="15:20" ht="12" customHeight="1" x14ac:dyDescent="0.25">
      <c r="O66" s="58"/>
      <c r="P66" s="58"/>
      <c r="Q66" s="58"/>
      <c r="R66" s="58"/>
      <c r="S66" s="58"/>
      <c r="T66" s="58"/>
    </row>
    <row r="67" spans="15:20" ht="12" customHeight="1" x14ac:dyDescent="0.25">
      <c r="O67" s="58"/>
      <c r="P67" s="58"/>
      <c r="Q67" s="58"/>
      <c r="R67" s="58"/>
      <c r="S67" s="58"/>
      <c r="T67" s="58"/>
    </row>
    <row r="68" spans="15:20" ht="12" customHeight="1" x14ac:dyDescent="0.25">
      <c r="O68" s="58"/>
      <c r="P68" s="58"/>
      <c r="Q68" s="58"/>
      <c r="R68" s="58"/>
      <c r="S68" s="58"/>
      <c r="T68" s="58"/>
    </row>
    <row r="69" spans="15:20" ht="12" customHeight="1" x14ac:dyDescent="0.25">
      <c r="O69" s="58"/>
      <c r="P69" s="58"/>
      <c r="Q69" s="58"/>
      <c r="R69" s="58"/>
      <c r="S69" s="58"/>
      <c r="T69" s="58"/>
    </row>
    <row r="70" spans="15:20" ht="12" customHeight="1" x14ac:dyDescent="0.25">
      <c r="O70" s="58"/>
      <c r="P70" s="58"/>
      <c r="Q70" s="58"/>
      <c r="R70" s="58"/>
      <c r="S70" s="58"/>
      <c r="T70" s="58"/>
    </row>
    <row r="71" spans="15:20" ht="12" customHeight="1" x14ac:dyDescent="0.25">
      <c r="O71" s="58"/>
      <c r="P71" s="58"/>
      <c r="Q71" s="58"/>
      <c r="R71" s="58"/>
      <c r="S71" s="58"/>
      <c r="T71" s="58"/>
    </row>
    <row r="72" spans="15:20" ht="12" customHeight="1" x14ac:dyDescent="0.25">
      <c r="O72" s="58"/>
      <c r="P72" s="58"/>
      <c r="Q72" s="58"/>
      <c r="R72" s="58"/>
      <c r="S72" s="58"/>
      <c r="T72" s="58"/>
    </row>
    <row r="73" spans="15:20" ht="12" customHeight="1" x14ac:dyDescent="0.25">
      <c r="O73" s="58"/>
      <c r="P73" s="58"/>
      <c r="Q73" s="58"/>
      <c r="R73" s="58"/>
      <c r="S73" s="58"/>
      <c r="T73" s="58"/>
    </row>
    <row r="74" spans="15:20" ht="12" customHeight="1" x14ac:dyDescent="0.25">
      <c r="O74" s="58"/>
      <c r="P74" s="58"/>
      <c r="Q74" s="58"/>
      <c r="R74" s="58"/>
      <c r="S74" s="58"/>
      <c r="T74" s="58"/>
    </row>
    <row r="75" spans="15:20" ht="12" customHeight="1" x14ac:dyDescent="0.25">
      <c r="O75" s="58"/>
      <c r="P75" s="58"/>
      <c r="Q75" s="58"/>
      <c r="R75" s="58"/>
      <c r="S75" s="58"/>
      <c r="T75" s="58"/>
    </row>
    <row r="76" spans="15:20" ht="12" customHeight="1" x14ac:dyDescent="0.25">
      <c r="O76" s="58"/>
      <c r="P76" s="58"/>
      <c r="Q76" s="58"/>
      <c r="R76" s="58"/>
      <c r="S76" s="58"/>
      <c r="T76" s="58"/>
    </row>
    <row r="77" spans="15:20" ht="12" customHeight="1" x14ac:dyDescent="0.25">
      <c r="O77" s="58"/>
      <c r="P77" s="58"/>
      <c r="Q77" s="58"/>
      <c r="R77" s="58"/>
      <c r="S77" s="58"/>
      <c r="T77" s="58"/>
    </row>
    <row r="78" spans="15:20" ht="12" customHeight="1" x14ac:dyDescent="0.25">
      <c r="O78" s="58"/>
      <c r="P78" s="58"/>
      <c r="Q78" s="58"/>
      <c r="R78" s="58"/>
      <c r="S78" s="58"/>
      <c r="T78" s="58"/>
    </row>
    <row r="79" spans="15:20" ht="12" customHeight="1" x14ac:dyDescent="0.25">
      <c r="O79" s="58"/>
      <c r="P79" s="58"/>
      <c r="Q79" s="58"/>
      <c r="R79" s="58"/>
      <c r="S79" s="58"/>
      <c r="T79" s="58"/>
    </row>
    <row r="80" spans="15:20" ht="12" customHeight="1" x14ac:dyDescent="0.25">
      <c r="O80" s="58"/>
      <c r="P80" s="58"/>
      <c r="Q80" s="58"/>
      <c r="R80" s="58"/>
      <c r="S80" s="58"/>
      <c r="T80" s="58"/>
    </row>
    <row r="81" spans="15:20" ht="12" customHeight="1" x14ac:dyDescent="0.25">
      <c r="O81" s="58"/>
      <c r="P81" s="58"/>
      <c r="Q81" s="58"/>
      <c r="R81" s="58"/>
      <c r="S81" s="58"/>
      <c r="T81" s="58"/>
    </row>
    <row r="82" spans="15:20" ht="12" customHeight="1" x14ac:dyDescent="0.25">
      <c r="O82" s="58"/>
      <c r="P82" s="58"/>
      <c r="Q82" s="58"/>
      <c r="R82" s="58"/>
      <c r="S82" s="58"/>
      <c r="T82" s="58"/>
    </row>
    <row r="83" spans="15:20" ht="12" customHeight="1" x14ac:dyDescent="0.25">
      <c r="O83" s="58"/>
      <c r="P83" s="58"/>
      <c r="Q83" s="58"/>
      <c r="R83" s="58"/>
      <c r="S83" s="58"/>
      <c r="T83" s="58"/>
    </row>
    <row r="84" spans="15:20" ht="12" customHeight="1" x14ac:dyDescent="0.25">
      <c r="O84" s="58"/>
      <c r="P84" s="58"/>
      <c r="Q84" s="58"/>
      <c r="R84" s="58"/>
      <c r="S84" s="58"/>
      <c r="T84" s="58"/>
    </row>
    <row r="85" spans="15:20" ht="12" customHeight="1" x14ac:dyDescent="0.25">
      <c r="O85" s="58"/>
      <c r="P85" s="58"/>
      <c r="Q85" s="58"/>
      <c r="R85" s="58"/>
      <c r="S85" s="58"/>
      <c r="T85" s="58"/>
    </row>
    <row r="86" spans="15:20" ht="12" customHeight="1" x14ac:dyDescent="0.25">
      <c r="O86" s="58"/>
      <c r="P86" s="58"/>
      <c r="Q86" s="58"/>
      <c r="R86" s="58"/>
      <c r="S86" s="58"/>
      <c r="T86" s="58"/>
    </row>
    <row r="87" spans="15:20" ht="12" customHeight="1" x14ac:dyDescent="0.25">
      <c r="O87" s="58"/>
      <c r="P87" s="58"/>
      <c r="Q87" s="58"/>
      <c r="R87" s="58"/>
      <c r="S87" s="58"/>
      <c r="T87" s="58"/>
    </row>
    <row r="88" spans="15:20" ht="12" customHeight="1" x14ac:dyDescent="0.25">
      <c r="O88" s="58"/>
      <c r="P88" s="58"/>
      <c r="Q88" s="58"/>
      <c r="R88" s="58"/>
      <c r="S88" s="58"/>
      <c r="T88" s="58"/>
    </row>
    <row r="89" spans="15:20" ht="12" customHeight="1" x14ac:dyDescent="0.25">
      <c r="O89" s="58"/>
      <c r="P89" s="58"/>
      <c r="Q89" s="58"/>
      <c r="R89" s="58"/>
      <c r="S89" s="58"/>
      <c r="T89" s="58"/>
    </row>
    <row r="90" spans="15:20" ht="12" customHeight="1" x14ac:dyDescent="0.25">
      <c r="O90" s="58"/>
      <c r="P90" s="58"/>
      <c r="Q90" s="58"/>
      <c r="R90" s="58"/>
      <c r="S90" s="58"/>
      <c r="T90" s="58"/>
    </row>
    <row r="91" spans="15:20" ht="12" customHeight="1" x14ac:dyDescent="0.25">
      <c r="O91" s="58"/>
      <c r="P91" s="58"/>
      <c r="Q91" s="58"/>
      <c r="R91" s="58"/>
      <c r="S91" s="58"/>
      <c r="T91" s="58"/>
    </row>
    <row r="92" spans="15:20" ht="12" customHeight="1" x14ac:dyDescent="0.25">
      <c r="O92" s="58"/>
      <c r="P92" s="58"/>
      <c r="Q92" s="58"/>
      <c r="R92" s="58"/>
      <c r="S92" s="58"/>
      <c r="T92" s="58"/>
    </row>
    <row r="93" spans="15:20" ht="12" customHeight="1" x14ac:dyDescent="0.25">
      <c r="O93" s="58"/>
      <c r="P93" s="58"/>
      <c r="Q93" s="58"/>
      <c r="R93" s="58"/>
      <c r="S93" s="58"/>
      <c r="T93" s="58"/>
    </row>
    <row r="94" spans="15:20" ht="12" customHeight="1" x14ac:dyDescent="0.25">
      <c r="O94" s="58"/>
      <c r="P94" s="58"/>
      <c r="Q94" s="58"/>
      <c r="R94" s="58"/>
      <c r="S94" s="58"/>
      <c r="T94" s="58"/>
    </row>
    <row r="95" spans="15:20" ht="12" customHeight="1" x14ac:dyDescent="0.25">
      <c r="O95" s="58"/>
      <c r="P95" s="58"/>
      <c r="Q95" s="58"/>
      <c r="R95" s="58"/>
      <c r="S95" s="58"/>
      <c r="T95" s="58"/>
    </row>
    <row r="96" spans="15:20" ht="12" customHeight="1" x14ac:dyDescent="0.25">
      <c r="O96" s="58"/>
      <c r="P96" s="58"/>
      <c r="Q96" s="58"/>
      <c r="R96" s="58"/>
      <c r="S96" s="58"/>
      <c r="T96" s="58"/>
    </row>
    <row r="97" spans="15:30" ht="12" customHeight="1" x14ac:dyDescent="0.25">
      <c r="O97" s="58"/>
      <c r="P97" s="58"/>
      <c r="Q97" s="58"/>
      <c r="R97" s="58"/>
      <c r="S97" s="58"/>
      <c r="T97" s="58"/>
    </row>
    <row r="98" spans="15:30" ht="12" customHeight="1" x14ac:dyDescent="0.25">
      <c r="O98" s="58"/>
      <c r="P98" s="58"/>
      <c r="Q98" s="58"/>
      <c r="R98" s="58"/>
      <c r="S98" s="58"/>
      <c r="T98" s="58"/>
    </row>
    <row r="99" spans="15:30" ht="12" customHeight="1" x14ac:dyDescent="0.25">
      <c r="O99" s="57"/>
      <c r="P99" s="57"/>
      <c r="Q99" s="57"/>
      <c r="R99" s="57"/>
      <c r="S99" s="57"/>
      <c r="T99" s="57"/>
    </row>
    <row r="100" spans="15:30" ht="12" customHeight="1" x14ac:dyDescent="0.25"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</row>
    <row r="101" spans="15:30" ht="12" customHeight="1" x14ac:dyDescent="0.25">
      <c r="O101" s="58" t="s">
        <v>557</v>
      </c>
      <c r="P101" s="58" t="s">
        <v>562</v>
      </c>
      <c r="Q101" s="58" t="s">
        <v>563</v>
      </c>
      <c r="R101" s="58" t="s">
        <v>564</v>
      </c>
      <c r="S101" s="58" t="s">
        <v>565</v>
      </c>
      <c r="T101" s="58" t="s">
        <v>566</v>
      </c>
      <c r="U101" s="58" t="s">
        <v>567</v>
      </c>
      <c r="V101" s="58" t="s">
        <v>568</v>
      </c>
      <c r="W101" s="58"/>
      <c r="X101" s="58"/>
      <c r="Y101" s="58"/>
      <c r="Z101" s="58"/>
      <c r="AA101" s="58"/>
      <c r="AB101" s="58"/>
      <c r="AC101" s="58"/>
      <c r="AD101" s="58"/>
    </row>
    <row r="102" spans="15:30" ht="12" customHeight="1" x14ac:dyDescent="0.25">
      <c r="O102" s="58" t="s">
        <v>33</v>
      </c>
      <c r="P102" s="58" t="s">
        <v>23</v>
      </c>
      <c r="Q102" s="58" t="s">
        <v>39</v>
      </c>
      <c r="R102" s="58" t="s">
        <v>40</v>
      </c>
      <c r="S102" s="58" t="s">
        <v>25</v>
      </c>
      <c r="T102" s="58" t="s">
        <v>40</v>
      </c>
      <c r="U102" s="58">
        <v>4</v>
      </c>
      <c r="V102" s="58">
        <v>0.3</v>
      </c>
      <c r="W102" s="58">
        <v>0.24</v>
      </c>
      <c r="X102" s="58">
        <v>0.18</v>
      </c>
      <c r="Y102" s="58">
        <v>0.12</v>
      </c>
      <c r="Z102" s="58">
        <v>0.06</v>
      </c>
      <c r="AA102" s="58">
        <v>0</v>
      </c>
      <c r="AB102" s="58"/>
      <c r="AC102" s="58"/>
      <c r="AD102" s="58"/>
    </row>
    <row r="103" spans="15:30" ht="12" customHeight="1" x14ac:dyDescent="0.25"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</row>
    <row r="104" spans="15:30" ht="12" customHeight="1" x14ac:dyDescent="0.25"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</row>
    <row r="105" spans="15:30" ht="12" customHeight="1" x14ac:dyDescent="0.25"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</row>
    <row r="106" spans="15:30" ht="12" customHeight="1" x14ac:dyDescent="0.25"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</row>
    <row r="107" spans="15:30" ht="12" customHeight="1" x14ac:dyDescent="0.25"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</row>
    <row r="108" spans="15:30" ht="12" customHeight="1" x14ac:dyDescent="0.25"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</row>
    <row r="109" spans="15:30" ht="12" customHeight="1" x14ac:dyDescent="0.25"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</row>
    <row r="110" spans="15:30" ht="12" customHeight="1" x14ac:dyDescent="0.25"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</row>
    <row r="111" spans="15:30" ht="12" customHeight="1" x14ac:dyDescent="0.25"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</row>
    <row r="112" spans="15:30" ht="12" customHeight="1" x14ac:dyDescent="0.25"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</row>
    <row r="113" spans="15:30" ht="12" customHeight="1" x14ac:dyDescent="0.25"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</row>
    <row r="114" spans="15:30" ht="12" customHeight="1" x14ac:dyDescent="0.25"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</row>
    <row r="115" spans="15:30" ht="12" customHeight="1" x14ac:dyDescent="0.25"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</row>
    <row r="116" spans="15:30" ht="12" customHeight="1" x14ac:dyDescent="0.25"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</row>
    <row r="117" spans="15:30" ht="12" customHeight="1" x14ac:dyDescent="0.25"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</row>
    <row r="118" spans="15:30" ht="12" customHeight="1" x14ac:dyDescent="0.25"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</row>
    <row r="119" spans="15:30" ht="12" customHeight="1" x14ac:dyDescent="0.25"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</row>
    <row r="120" spans="15:30" ht="12" customHeight="1" x14ac:dyDescent="0.25"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</row>
    <row r="121" spans="15:30" ht="12" customHeight="1" x14ac:dyDescent="0.25"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</row>
    <row r="122" spans="15:30" ht="12" customHeight="1" x14ac:dyDescent="0.25"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</row>
    <row r="123" spans="15:30" ht="12" customHeight="1" x14ac:dyDescent="0.25"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</row>
    <row r="124" spans="15:30" ht="12" customHeight="1" x14ac:dyDescent="0.25"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</row>
    <row r="125" spans="15:30" ht="12" customHeight="1" x14ac:dyDescent="0.25"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</row>
    <row r="126" spans="15:30" ht="12" customHeight="1" x14ac:dyDescent="0.25"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</row>
    <row r="127" spans="15:30" ht="12" customHeight="1" x14ac:dyDescent="0.25"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</row>
    <row r="128" spans="15:30" ht="12" customHeight="1" x14ac:dyDescent="0.25"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</row>
    <row r="129" spans="15:30" ht="12" customHeight="1" x14ac:dyDescent="0.25"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</row>
    <row r="130" spans="15:30" ht="12" customHeight="1" x14ac:dyDescent="0.25"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</row>
    <row r="131" spans="15:30" ht="12" customHeight="1" x14ac:dyDescent="0.25"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</row>
    <row r="132" spans="15:30" ht="12" customHeight="1" x14ac:dyDescent="0.25"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</row>
    <row r="133" spans="15:30" ht="12" customHeight="1" x14ac:dyDescent="0.25"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</row>
    <row r="134" spans="15:30" ht="12" customHeight="1" x14ac:dyDescent="0.25"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</row>
    <row r="135" spans="15:30" ht="12" customHeight="1" x14ac:dyDescent="0.25"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</row>
    <row r="136" spans="15:30" ht="12" customHeight="1" x14ac:dyDescent="0.25"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</row>
    <row r="137" spans="15:30" ht="12" customHeight="1" x14ac:dyDescent="0.25"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</row>
    <row r="138" spans="15:30" ht="12" customHeight="1" x14ac:dyDescent="0.25"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</row>
    <row r="139" spans="15:30" ht="12" customHeight="1" x14ac:dyDescent="0.25"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</row>
    <row r="140" spans="15:30" ht="12" customHeight="1" x14ac:dyDescent="0.25"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</row>
    <row r="141" spans="15:30" ht="12" customHeight="1" x14ac:dyDescent="0.25"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</row>
    <row r="142" spans="15:30" ht="12" customHeight="1" x14ac:dyDescent="0.25"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</row>
    <row r="143" spans="15:30" ht="12" customHeight="1" x14ac:dyDescent="0.25"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</row>
    <row r="144" spans="15:30" ht="12" customHeight="1" x14ac:dyDescent="0.25"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</row>
    <row r="145" spans="15:30" ht="12" customHeight="1" x14ac:dyDescent="0.25"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</row>
    <row r="146" spans="15:30" ht="12" customHeight="1" x14ac:dyDescent="0.25"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</row>
    <row r="147" spans="15:30" ht="12" customHeight="1" x14ac:dyDescent="0.25"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</row>
    <row r="148" spans="15:30" ht="12" customHeight="1" x14ac:dyDescent="0.25"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</row>
    <row r="149" spans="15:30" ht="12" customHeight="1" x14ac:dyDescent="0.25"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</row>
    <row r="150" spans="15:30" ht="12" customHeight="1" x14ac:dyDescent="0.25"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</row>
    <row r="151" spans="15:30" ht="12" customHeight="1" x14ac:dyDescent="0.25"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</row>
    <row r="152" spans="15:30" ht="12" customHeight="1" x14ac:dyDescent="0.25"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</row>
    <row r="153" spans="15:30" ht="12" customHeight="1" x14ac:dyDescent="0.25"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</row>
    <row r="154" spans="15:30" ht="12" customHeight="1" x14ac:dyDescent="0.25"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</row>
    <row r="155" spans="15:30" ht="12" customHeight="1" x14ac:dyDescent="0.25"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</row>
    <row r="156" spans="15:30" ht="12" customHeight="1" x14ac:dyDescent="0.25"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</row>
    <row r="157" spans="15:30" ht="12" customHeight="1" x14ac:dyDescent="0.25"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</row>
    <row r="158" spans="15:30" ht="12" customHeight="1" x14ac:dyDescent="0.25"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</row>
    <row r="159" spans="15:30" ht="12" customHeight="1" x14ac:dyDescent="0.25"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</row>
    <row r="160" spans="15:30" ht="12" customHeight="1" x14ac:dyDescent="0.25"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</row>
    <row r="161" spans="15:30" ht="12" customHeight="1" x14ac:dyDescent="0.25"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</row>
    <row r="162" spans="15:30" ht="12" customHeight="1" x14ac:dyDescent="0.25"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</row>
    <row r="163" spans="15:30" ht="12" customHeight="1" x14ac:dyDescent="0.25"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</row>
    <row r="164" spans="15:30" ht="12" customHeight="1" x14ac:dyDescent="0.25"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</row>
    <row r="165" spans="15:30" ht="12" customHeight="1" x14ac:dyDescent="0.25"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</row>
    <row r="166" spans="15:30" ht="12" customHeight="1" x14ac:dyDescent="0.25"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</row>
    <row r="167" spans="15:30" ht="12" customHeight="1" x14ac:dyDescent="0.25"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</row>
    <row r="168" spans="15:30" ht="12" customHeight="1" x14ac:dyDescent="0.25"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</row>
    <row r="169" spans="15:30" ht="12" customHeight="1" x14ac:dyDescent="0.25"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</row>
    <row r="170" spans="15:30" ht="12" customHeight="1" x14ac:dyDescent="0.25"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</row>
    <row r="171" spans="15:30" ht="12" customHeight="1" x14ac:dyDescent="0.25"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</row>
    <row r="172" spans="15:30" ht="12" customHeight="1" x14ac:dyDescent="0.25"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</row>
    <row r="173" spans="15:30" ht="12" customHeight="1" x14ac:dyDescent="0.25"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</row>
    <row r="174" spans="15:30" ht="12" customHeight="1" x14ac:dyDescent="0.25"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</row>
    <row r="175" spans="15:30" ht="12" customHeight="1" x14ac:dyDescent="0.25"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</row>
    <row r="176" spans="15:30" ht="12" customHeight="1" x14ac:dyDescent="0.25"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</row>
    <row r="177" spans="15:30" ht="12" customHeight="1" x14ac:dyDescent="0.25"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</row>
    <row r="178" spans="15:30" ht="12" customHeight="1" x14ac:dyDescent="0.25"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</row>
    <row r="179" spans="15:30" ht="12" customHeight="1" x14ac:dyDescent="0.25"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</row>
    <row r="180" spans="15:30" ht="12" customHeight="1" x14ac:dyDescent="0.25"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</row>
    <row r="181" spans="15:30" ht="12" customHeight="1" x14ac:dyDescent="0.25"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</row>
    <row r="182" spans="15:30" ht="12" customHeight="1" x14ac:dyDescent="0.25"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</row>
    <row r="183" spans="15:30" ht="12" customHeight="1" x14ac:dyDescent="0.25"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</row>
    <row r="184" spans="15:30" ht="12" customHeight="1" x14ac:dyDescent="0.25"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</row>
    <row r="185" spans="15:30" ht="12" customHeight="1" x14ac:dyDescent="0.25"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</row>
    <row r="186" spans="15:30" ht="12" customHeight="1" x14ac:dyDescent="0.25"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</row>
    <row r="187" spans="15:30" ht="12" customHeight="1" x14ac:dyDescent="0.25"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</row>
    <row r="188" spans="15:30" ht="12" customHeight="1" x14ac:dyDescent="0.25"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</row>
    <row r="189" spans="15:30" ht="12" customHeight="1" x14ac:dyDescent="0.25"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</row>
    <row r="190" spans="15:30" ht="12" customHeight="1" x14ac:dyDescent="0.25"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</row>
    <row r="191" spans="15:30" ht="12" customHeight="1" x14ac:dyDescent="0.25"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</row>
    <row r="192" spans="15:30" ht="12" customHeight="1" x14ac:dyDescent="0.25"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</row>
    <row r="193" spans="15:30" ht="12" customHeight="1" x14ac:dyDescent="0.25"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</row>
    <row r="194" spans="15:30" ht="12" customHeight="1" x14ac:dyDescent="0.25"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</row>
    <row r="195" spans="15:30" ht="12" customHeight="1" x14ac:dyDescent="0.25"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</row>
    <row r="196" spans="15:30" ht="12" customHeight="1" x14ac:dyDescent="0.25"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</row>
    <row r="197" spans="15:30" ht="12" customHeight="1" x14ac:dyDescent="0.25"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</row>
    <row r="198" spans="15:30" ht="12" customHeight="1" x14ac:dyDescent="0.25"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</row>
    <row r="199" spans="15:30" ht="12" customHeight="1" x14ac:dyDescent="0.25"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</row>
    <row r="200" spans="15:30" ht="12" customHeight="1" x14ac:dyDescent="0.25"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</row>
  </sheetData>
  <mergeCells count="19">
    <mergeCell ref="O1:U1"/>
    <mergeCell ref="A47:C47"/>
    <mergeCell ref="L1:M1"/>
    <mergeCell ref="A2:A29"/>
    <mergeCell ref="A30:A46"/>
    <mergeCell ref="B2:B10"/>
    <mergeCell ref="B11:B18"/>
    <mergeCell ref="B19:B20"/>
    <mergeCell ref="B21:B23"/>
    <mergeCell ref="B24:B28"/>
    <mergeCell ref="B29:C29"/>
    <mergeCell ref="B30:B35"/>
    <mergeCell ref="B36:B37"/>
    <mergeCell ref="B38:B41"/>
    <mergeCell ref="B42:B43"/>
    <mergeCell ref="B44:B45"/>
    <mergeCell ref="A48:C48"/>
    <mergeCell ref="A49:C49"/>
    <mergeCell ref="B46:C4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324A6-B447-474E-B30C-020AB0813ABD}">
  <dimension ref="A1:AP51"/>
  <sheetViews>
    <sheetView showGridLines="0" topLeftCell="D38" workbookViewId="0">
      <selection activeCell="K62" sqref="K62:P6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8" width="10" style="9" bestFit="1" customWidth="1"/>
    <col min="19" max="19" width="8.7109375" style="9" bestFit="1" customWidth="1"/>
    <col min="20" max="20" width="10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" style="9" bestFit="1" customWidth="1"/>
    <col min="31" max="31" width="10.5703125" style="9" bestFit="1" customWidth="1"/>
    <col min="32" max="32" width="7.28515625" style="9" bestFit="1" customWidth="1"/>
    <col min="33" max="33" width="10.5703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0.855468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33" t="s">
        <v>60</v>
      </c>
      <c r="B1" s="133" t="s">
        <v>61</v>
      </c>
      <c r="C1" s="133" t="s">
        <v>62</v>
      </c>
      <c r="D1" s="133" t="s">
        <v>63</v>
      </c>
      <c r="E1" s="133" t="s">
        <v>64</v>
      </c>
      <c r="F1" s="133" t="s">
        <v>15</v>
      </c>
      <c r="G1" s="133" t="s">
        <v>66</v>
      </c>
      <c r="H1" s="133" t="s">
        <v>67</v>
      </c>
      <c r="I1" s="133" t="s">
        <v>509</v>
      </c>
      <c r="J1" s="129"/>
      <c r="L1" s="134" t="s">
        <v>510</v>
      </c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  <c r="AA1" s="134"/>
      <c r="AB1" s="134"/>
      <c r="AC1" s="134"/>
      <c r="AD1" s="134"/>
      <c r="AE1" s="134"/>
      <c r="AF1" s="134"/>
      <c r="AG1" s="134"/>
      <c r="AH1" s="134"/>
      <c r="AI1" s="134"/>
      <c r="AJ1" s="134"/>
      <c r="AK1" s="134"/>
      <c r="AL1" s="134"/>
      <c r="AM1" s="134"/>
      <c r="AP1" s="134" t="s">
        <v>511</v>
      </c>
    </row>
    <row r="2" spans="1:42" ht="11.25" customHeight="1" x14ac:dyDescent="0.25">
      <c r="A2" s="133"/>
      <c r="B2" s="133"/>
      <c r="C2" s="133"/>
      <c r="D2" s="133"/>
      <c r="E2" s="133"/>
      <c r="F2" s="133"/>
      <c r="G2" s="133"/>
      <c r="H2" s="133"/>
      <c r="I2" s="133"/>
      <c r="J2" s="129"/>
      <c r="L2" s="134" t="s">
        <v>408</v>
      </c>
      <c r="M2" s="134"/>
      <c r="N2" s="134"/>
      <c r="O2" s="134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  <c r="AA2" s="134"/>
      <c r="AB2" s="134"/>
      <c r="AC2" s="134"/>
      <c r="AD2" s="134"/>
      <c r="AE2" s="134"/>
      <c r="AF2" s="134"/>
      <c r="AG2" s="134"/>
      <c r="AH2" s="134"/>
      <c r="AI2" s="134"/>
      <c r="AJ2" s="134"/>
      <c r="AK2" s="134"/>
      <c r="AL2" s="134"/>
      <c r="AM2" s="134"/>
      <c r="AP2" s="135"/>
    </row>
    <row r="3" spans="1:42" ht="11.25" customHeight="1" x14ac:dyDescent="0.25">
      <c r="A3" s="133"/>
      <c r="B3" s="133"/>
      <c r="C3" s="133"/>
      <c r="D3" s="133"/>
      <c r="E3" s="133"/>
      <c r="F3" s="133"/>
      <c r="G3" s="133"/>
      <c r="H3" s="133"/>
      <c r="I3" s="133"/>
      <c r="J3" s="129"/>
      <c r="L3" s="134" t="s">
        <v>409</v>
      </c>
      <c r="M3" s="134"/>
      <c r="N3" s="134"/>
      <c r="O3" s="134"/>
      <c r="P3" s="134"/>
      <c r="Q3" s="134"/>
      <c r="R3" s="134"/>
      <c r="S3" s="134"/>
      <c r="T3" s="134"/>
      <c r="U3" s="134" t="s">
        <v>418</v>
      </c>
      <c r="V3" s="134"/>
      <c r="W3" s="134"/>
      <c r="X3" s="134"/>
      <c r="Y3" s="134"/>
      <c r="Z3" s="134"/>
      <c r="AA3" s="134"/>
      <c r="AB3" s="134"/>
      <c r="AC3" s="134" t="s">
        <v>426</v>
      </c>
      <c r="AD3" s="134"/>
      <c r="AE3" s="134" t="s">
        <v>428</v>
      </c>
      <c r="AF3" s="134"/>
      <c r="AG3" s="134"/>
      <c r="AH3" s="134" t="s">
        <v>431</v>
      </c>
      <c r="AI3" s="134"/>
      <c r="AJ3" s="134"/>
      <c r="AK3" s="134"/>
      <c r="AL3" s="134"/>
      <c r="AM3" s="134" t="s">
        <v>417</v>
      </c>
      <c r="AP3" s="135"/>
    </row>
    <row r="4" spans="1:42" ht="11.25" customHeight="1" x14ac:dyDescent="0.25">
      <c r="A4" s="133"/>
      <c r="B4" s="133"/>
      <c r="C4" s="133"/>
      <c r="D4" s="133"/>
      <c r="E4" s="133"/>
      <c r="F4" s="133"/>
      <c r="G4" s="133"/>
      <c r="H4" s="133"/>
      <c r="I4" s="133"/>
      <c r="J4" s="129"/>
      <c r="L4" s="40" t="s">
        <v>494</v>
      </c>
      <c r="M4" s="40" t="s">
        <v>410</v>
      </c>
      <c r="N4" s="40" t="s">
        <v>411</v>
      </c>
      <c r="O4" s="40" t="s">
        <v>412</v>
      </c>
      <c r="P4" s="40" t="s">
        <v>413</v>
      </c>
      <c r="Q4" s="40" t="s">
        <v>414</v>
      </c>
      <c r="R4" s="40" t="s">
        <v>415</v>
      </c>
      <c r="S4" s="40" t="s">
        <v>416</v>
      </c>
      <c r="T4" s="40" t="s">
        <v>417</v>
      </c>
      <c r="U4" s="40" t="s">
        <v>419</v>
      </c>
      <c r="V4" s="40" t="s">
        <v>420</v>
      </c>
      <c r="W4" s="40" t="s">
        <v>421</v>
      </c>
      <c r="X4" s="40" t="s">
        <v>422</v>
      </c>
      <c r="Y4" s="40" t="s">
        <v>423</v>
      </c>
      <c r="Z4" s="40" t="s">
        <v>424</v>
      </c>
      <c r="AA4" s="40" t="s">
        <v>425</v>
      </c>
      <c r="AB4" s="40" t="s">
        <v>417</v>
      </c>
      <c r="AC4" s="40" t="s">
        <v>427</v>
      </c>
      <c r="AD4" s="40" t="s">
        <v>417</v>
      </c>
      <c r="AE4" s="40" t="s">
        <v>429</v>
      </c>
      <c r="AF4" s="40" t="s">
        <v>430</v>
      </c>
      <c r="AG4" s="40" t="s">
        <v>417</v>
      </c>
      <c r="AH4" s="40" t="s">
        <v>432</v>
      </c>
      <c r="AI4" s="40" t="s">
        <v>433</v>
      </c>
      <c r="AJ4" s="40" t="s">
        <v>434</v>
      </c>
      <c r="AK4" s="40" t="s">
        <v>435</v>
      </c>
      <c r="AL4" s="40" t="s">
        <v>417</v>
      </c>
      <c r="AM4" s="136"/>
      <c r="AP4" s="135"/>
    </row>
    <row r="5" spans="1:42" ht="11.25" customHeight="1" x14ac:dyDescent="0.25">
      <c r="A5" s="137" t="s">
        <v>34</v>
      </c>
      <c r="B5" s="137" t="s">
        <v>51</v>
      </c>
      <c r="C5" s="137" t="s">
        <v>25</v>
      </c>
      <c r="D5" s="137" t="s">
        <v>25</v>
      </c>
      <c r="E5" s="137" t="s">
        <v>25</v>
      </c>
      <c r="F5" s="137" t="s">
        <v>25</v>
      </c>
      <c r="G5" s="41" t="s">
        <v>76</v>
      </c>
      <c r="H5" s="41" t="s">
        <v>75</v>
      </c>
      <c r="I5" s="41">
        <f>'MERCADO TUSD'!$U$2</f>
        <v>20487</v>
      </c>
      <c r="J5" s="15"/>
      <c r="L5" s="31"/>
      <c r="M5" s="31"/>
      <c r="N5" s="31"/>
      <c r="O5" s="31"/>
      <c r="P5" s="31"/>
      <c r="Q5" s="31"/>
      <c r="R5" s="31"/>
      <c r="S5" s="31"/>
      <c r="T5" s="31"/>
      <c r="U5" s="31">
        <v>0</v>
      </c>
      <c r="V5" s="31">
        <v>0</v>
      </c>
      <c r="W5" s="31">
        <v>0</v>
      </c>
      <c r="X5" s="31">
        <v>0</v>
      </c>
      <c r="Y5" s="31">
        <v>27.296800000000001</v>
      </c>
      <c r="Z5" s="31">
        <v>0</v>
      </c>
      <c r="AA5" s="31">
        <v>0</v>
      </c>
      <c r="AB5" s="31"/>
      <c r="AC5" s="31">
        <v>6.5788000000000002</v>
      </c>
      <c r="AD5" s="31"/>
      <c r="AE5" s="31"/>
      <c r="AF5" s="31"/>
      <c r="AG5" s="31"/>
      <c r="AH5" s="31"/>
      <c r="AI5" s="31"/>
      <c r="AJ5" s="31"/>
      <c r="AK5" s="31"/>
      <c r="AL5" s="31"/>
      <c r="AM5" s="31"/>
      <c r="AP5" s="31">
        <v>1</v>
      </c>
    </row>
    <row r="6" spans="1:42" ht="11.25" customHeight="1" x14ac:dyDescent="0.25">
      <c r="A6" s="137"/>
      <c r="B6" s="137"/>
      <c r="C6" s="137"/>
      <c r="D6" s="137"/>
      <c r="E6" s="137"/>
      <c r="F6" s="137"/>
      <c r="G6" s="41" t="s">
        <v>77</v>
      </c>
      <c r="H6" s="41" t="s">
        <v>75</v>
      </c>
      <c r="I6" s="41">
        <f>'MERCADO TUSD'!$U$3</f>
        <v>21624</v>
      </c>
      <c r="J6" s="15"/>
      <c r="L6" s="31"/>
      <c r="M6" s="31"/>
      <c r="N6" s="31"/>
      <c r="O6" s="31"/>
      <c r="P6" s="31"/>
      <c r="Q6" s="31"/>
      <c r="R6" s="31"/>
      <c r="S6" s="31"/>
      <c r="T6" s="31"/>
      <c r="U6" s="31">
        <v>0</v>
      </c>
      <c r="V6" s="31">
        <v>0</v>
      </c>
      <c r="W6" s="31">
        <v>0</v>
      </c>
      <c r="X6" s="31">
        <v>0</v>
      </c>
      <c r="Y6" s="31">
        <v>15.977600000000001</v>
      </c>
      <c r="Z6" s="31">
        <v>0</v>
      </c>
      <c r="AA6" s="31">
        <v>0</v>
      </c>
      <c r="AB6" s="31"/>
      <c r="AC6" s="31">
        <v>2.8603999999999998</v>
      </c>
      <c r="AD6" s="31"/>
      <c r="AE6" s="31"/>
      <c r="AF6" s="31"/>
      <c r="AG6" s="31"/>
      <c r="AH6" s="31"/>
      <c r="AI6" s="31"/>
      <c r="AJ6" s="31"/>
      <c r="AK6" s="31"/>
      <c r="AL6" s="31"/>
      <c r="AM6" s="31"/>
      <c r="AP6" s="31">
        <v>1</v>
      </c>
    </row>
    <row r="7" spans="1:42" ht="11.25" customHeight="1" x14ac:dyDescent="0.25">
      <c r="A7" s="137"/>
      <c r="B7" s="137"/>
      <c r="C7" s="137"/>
      <c r="D7" s="137"/>
      <c r="E7" s="137"/>
      <c r="F7" s="137"/>
      <c r="G7" s="41" t="s">
        <v>74</v>
      </c>
      <c r="H7" s="41" t="s">
        <v>70</v>
      </c>
      <c r="I7" s="41">
        <f>'MERCADO TUSD'!$U$4</f>
        <v>8675.9390000000003</v>
      </c>
      <c r="J7" s="15"/>
      <c r="L7" s="31"/>
      <c r="M7" s="31"/>
      <c r="N7" s="31"/>
      <c r="O7" s="31"/>
      <c r="P7" s="31"/>
      <c r="Q7" s="31"/>
      <c r="R7" s="31"/>
      <c r="S7" s="31"/>
      <c r="T7" s="31"/>
      <c r="U7" s="31">
        <v>0</v>
      </c>
      <c r="V7" s="31">
        <v>0</v>
      </c>
      <c r="W7" s="31">
        <v>0</v>
      </c>
      <c r="X7" s="31">
        <v>0</v>
      </c>
      <c r="Y7" s="31">
        <v>0</v>
      </c>
      <c r="Z7" s="31">
        <v>0</v>
      </c>
      <c r="AA7" s="31">
        <v>0</v>
      </c>
      <c r="AB7" s="31"/>
      <c r="AC7" s="31">
        <v>0</v>
      </c>
      <c r="AD7" s="31"/>
      <c r="AE7" s="31"/>
      <c r="AF7" s="31"/>
      <c r="AG7" s="31"/>
      <c r="AH7" s="31"/>
      <c r="AI7" s="31"/>
      <c r="AJ7" s="31"/>
      <c r="AK7" s="31"/>
      <c r="AL7" s="31"/>
      <c r="AM7" s="31"/>
      <c r="AP7" s="31">
        <v>1</v>
      </c>
    </row>
    <row r="8" spans="1:42" ht="11.25" customHeight="1" x14ac:dyDescent="0.25">
      <c r="A8" s="137"/>
      <c r="B8" s="137"/>
      <c r="C8" s="137"/>
      <c r="D8" s="137"/>
      <c r="E8" s="42" t="s">
        <v>78</v>
      </c>
      <c r="F8" s="42" t="s">
        <v>25</v>
      </c>
      <c r="G8" s="41" t="s">
        <v>74</v>
      </c>
      <c r="H8" s="41" t="s">
        <v>70</v>
      </c>
      <c r="I8" s="41">
        <f>'MERCADO TUSD'!$U$5</f>
        <v>0</v>
      </c>
      <c r="J8" s="15"/>
      <c r="L8" s="31"/>
      <c r="M8" s="31"/>
      <c r="N8" s="31"/>
      <c r="O8" s="31"/>
      <c r="P8" s="31"/>
      <c r="Q8" s="31"/>
      <c r="R8" s="31"/>
      <c r="S8" s="31"/>
      <c r="T8" s="31"/>
      <c r="U8" s="31">
        <v>0</v>
      </c>
      <c r="V8" s="31">
        <v>0</v>
      </c>
      <c r="W8" s="31">
        <v>0</v>
      </c>
      <c r="X8" s="31">
        <v>0</v>
      </c>
      <c r="Y8" s="31">
        <v>0</v>
      </c>
      <c r="Z8" s="31">
        <v>0</v>
      </c>
      <c r="AA8" s="31">
        <v>0</v>
      </c>
      <c r="AB8" s="31"/>
      <c r="AC8" s="31">
        <v>0</v>
      </c>
      <c r="AD8" s="31"/>
      <c r="AE8" s="31"/>
      <c r="AF8" s="31"/>
      <c r="AG8" s="31"/>
      <c r="AH8" s="31"/>
      <c r="AI8" s="31"/>
      <c r="AJ8" s="31"/>
      <c r="AK8" s="31"/>
      <c r="AL8" s="31"/>
      <c r="AM8" s="31"/>
      <c r="AP8" s="31">
        <v>1</v>
      </c>
    </row>
    <row r="9" spans="1:42" ht="11.25" customHeight="1" x14ac:dyDescent="0.25">
      <c r="A9" s="137"/>
      <c r="B9" s="42" t="s">
        <v>79</v>
      </c>
      <c r="C9" s="42" t="s">
        <v>25</v>
      </c>
      <c r="D9" s="42" t="s">
        <v>25</v>
      </c>
      <c r="E9" s="42" t="s">
        <v>25</v>
      </c>
      <c r="F9" s="42" t="s">
        <v>25</v>
      </c>
      <c r="G9" s="41" t="s">
        <v>9</v>
      </c>
      <c r="H9" s="41" t="s">
        <v>75</v>
      </c>
      <c r="I9" s="41">
        <f>'MERCADO TUSD'!$U$6</f>
        <v>0</v>
      </c>
      <c r="J9" s="15"/>
      <c r="L9" s="31"/>
      <c r="M9" s="31"/>
      <c r="N9" s="31"/>
      <c r="O9" s="31"/>
      <c r="P9" s="31"/>
      <c r="Q9" s="31"/>
      <c r="R9" s="31"/>
      <c r="S9" s="31"/>
      <c r="T9" s="31"/>
      <c r="U9" s="31">
        <v>0</v>
      </c>
      <c r="V9" s="31">
        <v>0</v>
      </c>
      <c r="W9" s="31">
        <v>0</v>
      </c>
      <c r="X9" s="31">
        <v>0</v>
      </c>
      <c r="Y9" s="31">
        <v>0</v>
      </c>
      <c r="Z9" s="31">
        <v>0</v>
      </c>
      <c r="AA9" s="31">
        <v>0</v>
      </c>
      <c r="AB9" s="31"/>
      <c r="AC9" s="31">
        <v>3.2320000000000002</v>
      </c>
      <c r="AD9" s="31"/>
      <c r="AE9" s="31"/>
      <c r="AF9" s="31"/>
      <c r="AG9" s="31"/>
      <c r="AH9" s="31"/>
      <c r="AI9" s="31"/>
      <c r="AJ9" s="31"/>
      <c r="AK9" s="31"/>
      <c r="AL9" s="31"/>
      <c r="AM9" s="31"/>
      <c r="AP9" s="31"/>
    </row>
    <row r="10" spans="1:42" ht="11.25" customHeight="1" x14ac:dyDescent="0.25">
      <c r="A10" s="137"/>
      <c r="B10" s="137" t="s">
        <v>35</v>
      </c>
      <c r="C10" s="137" t="s">
        <v>25</v>
      </c>
      <c r="D10" s="137" t="s">
        <v>25</v>
      </c>
      <c r="E10" s="137" t="s">
        <v>25</v>
      </c>
      <c r="F10" s="137" t="s">
        <v>25</v>
      </c>
      <c r="G10" s="41" t="s">
        <v>9</v>
      </c>
      <c r="H10" s="41" t="s">
        <v>75</v>
      </c>
      <c r="I10" s="41">
        <f>'MERCADO TUSD'!$U$7</f>
        <v>83769</v>
      </c>
      <c r="J10" s="15"/>
      <c r="L10" s="31"/>
      <c r="M10" s="31"/>
      <c r="N10" s="31"/>
      <c r="O10" s="31"/>
      <c r="P10" s="31"/>
      <c r="Q10" s="31"/>
      <c r="R10" s="31"/>
      <c r="S10" s="31"/>
      <c r="T10" s="31"/>
      <c r="U10" s="31">
        <v>0</v>
      </c>
      <c r="V10" s="31">
        <v>0</v>
      </c>
      <c r="W10" s="31">
        <v>0</v>
      </c>
      <c r="X10" s="31">
        <v>0</v>
      </c>
      <c r="Y10" s="31">
        <v>15.977600000000001</v>
      </c>
      <c r="Z10" s="31">
        <v>0</v>
      </c>
      <c r="AA10" s="31">
        <v>0</v>
      </c>
      <c r="AB10" s="31"/>
      <c r="AC10" s="31">
        <v>2.8603999999999998</v>
      </c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P10" s="31">
        <v>1</v>
      </c>
    </row>
    <row r="11" spans="1:42" ht="11.25" customHeight="1" x14ac:dyDescent="0.25">
      <c r="A11" s="137"/>
      <c r="B11" s="137"/>
      <c r="C11" s="137"/>
      <c r="D11" s="137"/>
      <c r="E11" s="137"/>
      <c r="F11" s="137"/>
      <c r="G11" s="41" t="s">
        <v>71</v>
      </c>
      <c r="H11" s="41" t="s">
        <v>70</v>
      </c>
      <c r="I11" s="41">
        <f>'MERCADO TUSD'!$U$8</f>
        <v>2568.357</v>
      </c>
      <c r="J11" s="15"/>
      <c r="L11" s="31"/>
      <c r="M11" s="31"/>
      <c r="N11" s="31"/>
      <c r="O11" s="31"/>
      <c r="P11" s="31"/>
      <c r="Q11" s="31"/>
      <c r="R11" s="31"/>
      <c r="S11" s="31"/>
      <c r="T11" s="31"/>
      <c r="U11" s="31">
        <v>0</v>
      </c>
      <c r="V11" s="31">
        <v>0</v>
      </c>
      <c r="W11" s="31">
        <v>0</v>
      </c>
      <c r="X11" s="31">
        <v>0</v>
      </c>
      <c r="Y11" s="31">
        <v>656.48889999999994</v>
      </c>
      <c r="Z11" s="31">
        <v>0</v>
      </c>
      <c r="AA11" s="31">
        <v>0</v>
      </c>
      <c r="AB11" s="31"/>
      <c r="AC11" s="31">
        <v>158.22069999999999</v>
      </c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P11" s="31">
        <v>1</v>
      </c>
    </row>
    <row r="12" spans="1:42" ht="11.25" customHeight="1" x14ac:dyDescent="0.25">
      <c r="A12" s="137"/>
      <c r="B12" s="137"/>
      <c r="C12" s="137"/>
      <c r="D12" s="137"/>
      <c r="E12" s="137"/>
      <c r="F12" s="137"/>
      <c r="G12" s="41" t="s">
        <v>72</v>
      </c>
      <c r="H12" s="41" t="s">
        <v>70</v>
      </c>
      <c r="I12" s="41">
        <f>'MERCADO TUSD'!$U$9</f>
        <v>26371.822</v>
      </c>
      <c r="J12" s="15"/>
      <c r="L12" s="31"/>
      <c r="M12" s="31"/>
      <c r="N12" s="31"/>
      <c r="O12" s="31"/>
      <c r="P12" s="31"/>
      <c r="Q12" s="31"/>
      <c r="R12" s="31"/>
      <c r="S12" s="31"/>
      <c r="T12" s="31"/>
      <c r="U12" s="31">
        <v>0</v>
      </c>
      <c r="V12" s="31">
        <v>0</v>
      </c>
      <c r="W12" s="31">
        <v>0</v>
      </c>
      <c r="X12" s="31">
        <v>0</v>
      </c>
      <c r="Y12" s="31">
        <v>0</v>
      </c>
      <c r="Z12" s="31">
        <v>0</v>
      </c>
      <c r="AA12" s="31">
        <v>0</v>
      </c>
      <c r="AB12" s="31"/>
      <c r="AC12" s="31">
        <v>0</v>
      </c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P12" s="31">
        <v>1</v>
      </c>
    </row>
    <row r="13" spans="1:42" ht="11.25" customHeight="1" x14ac:dyDescent="0.25">
      <c r="A13" s="137"/>
      <c r="B13" s="137"/>
      <c r="C13" s="137"/>
      <c r="D13" s="137"/>
      <c r="E13" s="137" t="s">
        <v>78</v>
      </c>
      <c r="F13" s="137" t="s">
        <v>25</v>
      </c>
      <c r="G13" s="41" t="s">
        <v>71</v>
      </c>
      <c r="H13" s="41" t="s">
        <v>70</v>
      </c>
      <c r="I13" s="41">
        <f>'MERCADO TUSD'!$U$10</f>
        <v>0</v>
      </c>
      <c r="J13" s="15"/>
      <c r="L13" s="31"/>
      <c r="M13" s="31"/>
      <c r="N13" s="31"/>
      <c r="O13" s="31"/>
      <c r="P13" s="31"/>
      <c r="Q13" s="31"/>
      <c r="R13" s="31"/>
      <c r="S13" s="31"/>
      <c r="T13" s="31"/>
      <c r="U13" s="31">
        <v>0</v>
      </c>
      <c r="V13" s="31">
        <v>0</v>
      </c>
      <c r="W13" s="31">
        <v>0</v>
      </c>
      <c r="X13" s="31">
        <v>0</v>
      </c>
      <c r="Y13" s="31">
        <v>656.48889999999994</v>
      </c>
      <c r="Z13" s="31">
        <v>0</v>
      </c>
      <c r="AA13" s="31">
        <v>0</v>
      </c>
      <c r="AB13" s="31"/>
      <c r="AC13" s="31">
        <v>158.22069999999999</v>
      </c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P13" s="31">
        <v>1</v>
      </c>
    </row>
    <row r="14" spans="1:42" ht="11.25" customHeight="1" x14ac:dyDescent="0.25">
      <c r="A14" s="137"/>
      <c r="B14" s="137"/>
      <c r="C14" s="137"/>
      <c r="D14" s="137"/>
      <c r="E14" s="137"/>
      <c r="F14" s="137"/>
      <c r="G14" s="41" t="s">
        <v>72</v>
      </c>
      <c r="H14" s="41" t="s">
        <v>70</v>
      </c>
      <c r="I14" s="41">
        <f>'MERCADO TUSD'!$U$11</f>
        <v>0</v>
      </c>
      <c r="J14" s="15"/>
      <c r="L14" s="31"/>
      <c r="M14" s="31"/>
      <c r="N14" s="31"/>
      <c r="O14" s="31"/>
      <c r="P14" s="31"/>
      <c r="Q14" s="31"/>
      <c r="R14" s="31"/>
      <c r="S14" s="31"/>
      <c r="T14" s="31"/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/>
      <c r="AC14" s="31">
        <v>0</v>
      </c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P14" s="31">
        <v>1</v>
      </c>
    </row>
    <row r="15" spans="1:42" ht="11.25" customHeight="1" x14ac:dyDescent="0.25">
      <c r="A15" s="137" t="s">
        <v>80</v>
      </c>
      <c r="B15" s="137" t="s">
        <v>79</v>
      </c>
      <c r="C15" s="137" t="s">
        <v>25</v>
      </c>
      <c r="D15" s="137" t="s">
        <v>25</v>
      </c>
      <c r="E15" s="42" t="s">
        <v>81</v>
      </c>
      <c r="F15" s="42" t="s">
        <v>25</v>
      </c>
      <c r="G15" s="41" t="s">
        <v>9</v>
      </c>
      <c r="H15" s="41" t="s">
        <v>75</v>
      </c>
      <c r="I15" s="41">
        <f>'MERCADO TUSD'!$U$12+0.00000001</f>
        <v>1E-8</v>
      </c>
      <c r="J15" s="15"/>
      <c r="L15" s="31"/>
      <c r="M15" s="31"/>
      <c r="N15" s="31"/>
      <c r="O15" s="31"/>
      <c r="P15" s="31"/>
      <c r="Q15" s="31"/>
      <c r="R15" s="31"/>
      <c r="S15" s="31"/>
      <c r="T15" s="31"/>
      <c r="U15" s="31">
        <v>0</v>
      </c>
      <c r="V15" s="31">
        <v>0</v>
      </c>
      <c r="W15" s="31">
        <v>0</v>
      </c>
      <c r="X15" s="31">
        <v>0</v>
      </c>
      <c r="Y15" s="31">
        <v>0</v>
      </c>
      <c r="Z15" s="31">
        <v>0</v>
      </c>
      <c r="AA15" s="31">
        <v>0</v>
      </c>
      <c r="AB15" s="31"/>
      <c r="AC15" s="31">
        <v>4.9804000000000004</v>
      </c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P15" s="31"/>
    </row>
    <row r="16" spans="1:42" ht="11.25" customHeight="1" x14ac:dyDescent="0.25">
      <c r="A16" s="137"/>
      <c r="B16" s="137"/>
      <c r="C16" s="137"/>
      <c r="D16" s="137"/>
      <c r="E16" s="42" t="s">
        <v>82</v>
      </c>
      <c r="F16" s="42" t="s">
        <v>25</v>
      </c>
      <c r="G16" s="41" t="s">
        <v>9</v>
      </c>
      <c r="H16" s="41" t="s">
        <v>75</v>
      </c>
      <c r="I16" s="41">
        <f>'MERCADO TUSD'!$U$13+0.00000001</f>
        <v>1E-8</v>
      </c>
      <c r="J16" s="15"/>
      <c r="L16" s="31"/>
      <c r="M16" s="31"/>
      <c r="N16" s="31"/>
      <c r="O16" s="31"/>
      <c r="P16" s="31"/>
      <c r="Q16" s="31"/>
      <c r="R16" s="31"/>
      <c r="S16" s="31"/>
      <c r="T16" s="31"/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/>
      <c r="AC16" s="31">
        <v>8.5694999999999997</v>
      </c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P16" s="31"/>
    </row>
    <row r="17" spans="1:42" ht="11.25" customHeight="1" x14ac:dyDescent="0.25">
      <c r="A17" s="137" t="s">
        <v>22</v>
      </c>
      <c r="B17" s="137" t="s">
        <v>49</v>
      </c>
      <c r="C17" s="137" t="s">
        <v>24</v>
      </c>
      <c r="D17" s="137" t="s">
        <v>24</v>
      </c>
      <c r="E17" s="137" t="s">
        <v>25</v>
      </c>
      <c r="F17" s="137" t="s">
        <v>25</v>
      </c>
      <c r="G17" s="41" t="s">
        <v>71</v>
      </c>
      <c r="H17" s="41" t="s">
        <v>70</v>
      </c>
      <c r="I17" s="41">
        <f>'MERCADO TUSD'!$U$14</f>
        <v>0</v>
      </c>
      <c r="J17" s="15"/>
      <c r="L17" s="31"/>
      <c r="M17" s="31"/>
      <c r="N17" s="31"/>
      <c r="O17" s="31"/>
      <c r="P17" s="31"/>
      <c r="Q17" s="31"/>
      <c r="R17" s="31"/>
      <c r="S17" s="31"/>
      <c r="T17" s="31"/>
      <c r="U17" s="31">
        <v>0</v>
      </c>
      <c r="V17" s="31">
        <v>0</v>
      </c>
      <c r="W17" s="31">
        <v>0</v>
      </c>
      <c r="X17" s="31">
        <v>0</v>
      </c>
      <c r="Y17" s="31">
        <v>370.16469999999998</v>
      </c>
      <c r="Z17" s="31">
        <v>0</v>
      </c>
      <c r="AA17" s="31">
        <v>0</v>
      </c>
      <c r="AB17" s="31"/>
      <c r="AC17" s="31">
        <v>465.83049999999997</v>
      </c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P17" s="31">
        <v>1</v>
      </c>
    </row>
    <row r="18" spans="1:42" ht="11.25" customHeight="1" x14ac:dyDescent="0.25">
      <c r="A18" s="137"/>
      <c r="B18" s="137"/>
      <c r="C18" s="137"/>
      <c r="D18" s="137"/>
      <c r="E18" s="137"/>
      <c r="F18" s="137"/>
      <c r="G18" s="41" t="s">
        <v>83</v>
      </c>
      <c r="H18" s="41" t="s">
        <v>70</v>
      </c>
      <c r="I18" s="41">
        <f>'MERCADO TUSD'!$U$15</f>
        <v>0</v>
      </c>
      <c r="J18" s="15"/>
      <c r="L18" s="31"/>
      <c r="M18" s="31"/>
      <c r="N18" s="31"/>
      <c r="O18" s="31"/>
      <c r="P18" s="31"/>
      <c r="Q18" s="31"/>
      <c r="R18" s="31"/>
      <c r="S18" s="31"/>
      <c r="T18" s="31"/>
      <c r="U18" s="31">
        <v>0</v>
      </c>
      <c r="V18" s="31">
        <v>0</v>
      </c>
      <c r="W18" s="31">
        <v>0</v>
      </c>
      <c r="X18" s="31">
        <v>0</v>
      </c>
      <c r="Y18" s="31">
        <v>185.08240000000001</v>
      </c>
      <c r="Z18" s="31">
        <v>0</v>
      </c>
      <c r="AA18" s="31">
        <v>0</v>
      </c>
      <c r="AB18" s="31"/>
      <c r="AC18" s="31">
        <v>232.9153</v>
      </c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P18" s="31">
        <v>1</v>
      </c>
    </row>
    <row r="19" spans="1:42" ht="11.25" customHeight="1" x14ac:dyDescent="0.25">
      <c r="A19" s="137"/>
      <c r="B19" s="137"/>
      <c r="C19" s="137"/>
      <c r="D19" s="137"/>
      <c r="E19" s="137"/>
      <c r="F19" s="137"/>
      <c r="G19" s="41" t="s">
        <v>72</v>
      </c>
      <c r="H19" s="41" t="s">
        <v>70</v>
      </c>
      <c r="I19" s="41">
        <f>'MERCADO TUSD'!$U$16</f>
        <v>0</v>
      </c>
      <c r="J19" s="15"/>
      <c r="L19" s="31"/>
      <c r="M19" s="31"/>
      <c r="N19" s="31"/>
      <c r="O19" s="31"/>
      <c r="P19" s="31"/>
      <c r="Q19" s="31"/>
      <c r="R19" s="31"/>
      <c r="S19" s="31"/>
      <c r="T19" s="31"/>
      <c r="U19" s="31">
        <v>0</v>
      </c>
      <c r="V19" s="31">
        <v>0</v>
      </c>
      <c r="W19" s="31">
        <v>0</v>
      </c>
      <c r="X19" s="31">
        <v>0</v>
      </c>
      <c r="Y19" s="31">
        <v>37.016500000000001</v>
      </c>
      <c r="Z19" s="31">
        <v>0</v>
      </c>
      <c r="AA19" s="31">
        <v>0</v>
      </c>
      <c r="AB19" s="31"/>
      <c r="AC19" s="31">
        <v>46.583100000000002</v>
      </c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P19" s="31">
        <v>1</v>
      </c>
    </row>
    <row r="20" spans="1:42" ht="11.25" customHeight="1" x14ac:dyDescent="0.25">
      <c r="A20" s="137"/>
      <c r="B20" s="137" t="s">
        <v>23</v>
      </c>
      <c r="C20" s="137" t="s">
        <v>24</v>
      </c>
      <c r="D20" s="42" t="s">
        <v>24</v>
      </c>
      <c r="E20" s="42" t="s">
        <v>25</v>
      </c>
      <c r="F20" s="42" t="s">
        <v>25</v>
      </c>
      <c r="G20" s="41" t="s">
        <v>74</v>
      </c>
      <c r="H20" s="41" t="s">
        <v>70</v>
      </c>
      <c r="I20" s="41">
        <f>'MERCADO TUSD'!$U$17</f>
        <v>20530.876000000004</v>
      </c>
      <c r="J20" s="15"/>
      <c r="L20" s="31"/>
      <c r="M20" s="31"/>
      <c r="N20" s="31"/>
      <c r="O20" s="31"/>
      <c r="P20" s="31"/>
      <c r="Q20" s="31"/>
      <c r="R20" s="31"/>
      <c r="S20" s="31"/>
      <c r="T20" s="31"/>
      <c r="U20" s="31">
        <v>0</v>
      </c>
      <c r="V20" s="31">
        <v>0</v>
      </c>
      <c r="W20" s="31">
        <v>0</v>
      </c>
      <c r="X20" s="31">
        <v>0</v>
      </c>
      <c r="Y20" s="31">
        <v>105.76139999999999</v>
      </c>
      <c r="Z20" s="31">
        <v>0</v>
      </c>
      <c r="AA20" s="31">
        <v>0</v>
      </c>
      <c r="AB20" s="31"/>
      <c r="AC20" s="31">
        <v>133.09440000000001</v>
      </c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P20" s="31">
        <v>1</v>
      </c>
    </row>
    <row r="21" spans="1:42" ht="11.25" customHeight="1" x14ac:dyDescent="0.25">
      <c r="A21" s="137"/>
      <c r="B21" s="137"/>
      <c r="C21" s="137"/>
      <c r="D21" s="42" t="s">
        <v>28</v>
      </c>
      <c r="E21" s="42" t="s">
        <v>25</v>
      </c>
      <c r="F21" s="42" t="s">
        <v>25</v>
      </c>
      <c r="G21" s="41" t="s">
        <v>74</v>
      </c>
      <c r="H21" s="41" t="s">
        <v>70</v>
      </c>
      <c r="I21" s="41">
        <f>'MERCADO TUSD'!$U$18</f>
        <v>165.006</v>
      </c>
      <c r="J21" s="15"/>
      <c r="L21" s="31"/>
      <c r="M21" s="31"/>
      <c r="N21" s="31"/>
      <c r="O21" s="31"/>
      <c r="P21" s="31"/>
      <c r="Q21" s="31"/>
      <c r="R21" s="31"/>
      <c r="S21" s="31"/>
      <c r="T21" s="31"/>
      <c r="U21" s="31">
        <v>0</v>
      </c>
      <c r="V21" s="31">
        <v>0</v>
      </c>
      <c r="W21" s="31">
        <v>0</v>
      </c>
      <c r="X21" s="31">
        <v>0</v>
      </c>
      <c r="Y21" s="31">
        <f>(1 - CUSTOS!$M$24)*105.7614</f>
        <v>105.76139999999999</v>
      </c>
      <c r="Z21" s="31">
        <v>0</v>
      </c>
      <c r="AA21" s="31">
        <v>0</v>
      </c>
      <c r="AB21" s="31"/>
      <c r="AC21" s="31">
        <f>(1 - CUSTOS!$M$24)*133.0944</f>
        <v>133.09440000000001</v>
      </c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P21" s="31">
        <f>IF((1 - CUSTOS!$M$24)&lt;&gt;0,1/(1 - CUSTOS!$M$24),1)</f>
        <v>1</v>
      </c>
    </row>
    <row r="22" spans="1:42" ht="11.25" customHeight="1" x14ac:dyDescent="0.25">
      <c r="A22" s="137"/>
      <c r="B22" s="137"/>
      <c r="C22" s="137"/>
      <c r="D22" s="42" t="s">
        <v>29</v>
      </c>
      <c r="E22" s="42" t="s">
        <v>25</v>
      </c>
      <c r="F22" s="42" t="s">
        <v>25</v>
      </c>
      <c r="G22" s="41" t="s">
        <v>74</v>
      </c>
      <c r="H22" s="41" t="s">
        <v>70</v>
      </c>
      <c r="I22" s="41">
        <f>'MERCADO TUSD'!$U$19</f>
        <v>350.56600000000003</v>
      </c>
      <c r="J22" s="15"/>
      <c r="L22" s="31"/>
      <c r="M22" s="31"/>
      <c r="N22" s="31"/>
      <c r="O22" s="31"/>
      <c r="P22" s="31"/>
      <c r="Q22" s="31"/>
      <c r="R22" s="31"/>
      <c r="S22" s="31"/>
      <c r="T22" s="31"/>
      <c r="U22" s="31">
        <v>0</v>
      </c>
      <c r="V22" s="31">
        <v>0</v>
      </c>
      <c r="W22" s="31">
        <v>0</v>
      </c>
      <c r="X22" s="31">
        <v>0</v>
      </c>
      <c r="Y22" s="31">
        <f>(1 - CUSTOS!$M$25)*105.7614</f>
        <v>105.76139999999999</v>
      </c>
      <c r="Z22" s="31">
        <v>0</v>
      </c>
      <c r="AA22" s="31">
        <v>0</v>
      </c>
      <c r="AB22" s="31"/>
      <c r="AC22" s="31">
        <f>(1 - CUSTOS!$M$25)*133.0944</f>
        <v>133.09440000000001</v>
      </c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P22" s="31">
        <f>IF((1 - CUSTOS!$M$25)&lt;&gt;0,1/(1 - CUSTOS!$M$25),1)</f>
        <v>1</v>
      </c>
    </row>
    <row r="23" spans="1:42" ht="11.25" customHeight="1" x14ac:dyDescent="0.25">
      <c r="A23" s="137"/>
      <c r="B23" s="137"/>
      <c r="C23" s="137"/>
      <c r="D23" s="42" t="s">
        <v>30</v>
      </c>
      <c r="E23" s="42" t="s">
        <v>25</v>
      </c>
      <c r="F23" s="42" t="s">
        <v>25</v>
      </c>
      <c r="G23" s="41" t="s">
        <v>74</v>
      </c>
      <c r="H23" s="41" t="s">
        <v>70</v>
      </c>
      <c r="I23" s="41">
        <f>'MERCADO TUSD'!$U$20</f>
        <v>338.63600000000002</v>
      </c>
      <c r="J23" s="15"/>
      <c r="L23" s="31"/>
      <c r="M23" s="31"/>
      <c r="N23" s="31"/>
      <c r="O23" s="31"/>
      <c r="P23" s="31"/>
      <c r="Q23" s="31"/>
      <c r="R23" s="31"/>
      <c r="S23" s="31"/>
      <c r="T23" s="31"/>
      <c r="U23" s="31">
        <v>0</v>
      </c>
      <c r="V23" s="31">
        <v>0</v>
      </c>
      <c r="W23" s="31">
        <v>0</v>
      </c>
      <c r="X23" s="31">
        <v>0</v>
      </c>
      <c r="Y23" s="31">
        <f>(1 - CUSTOS!$M$26)*105.7614</f>
        <v>105.76139999999999</v>
      </c>
      <c r="Z23" s="31">
        <v>0</v>
      </c>
      <c r="AA23" s="31">
        <v>0</v>
      </c>
      <c r="AB23" s="31"/>
      <c r="AC23" s="31">
        <f>(1 - CUSTOS!$M$26)*133.0944</f>
        <v>133.09440000000001</v>
      </c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P23" s="31">
        <f>IF((1 - CUSTOS!$M$26)&lt;&gt;0,1/(1 - CUSTOS!$M$26),1)</f>
        <v>1</v>
      </c>
    </row>
    <row r="24" spans="1:42" ht="11.25" customHeight="1" x14ac:dyDescent="0.25">
      <c r="A24" s="137"/>
      <c r="B24" s="137"/>
      <c r="C24" s="137"/>
      <c r="D24" s="42" t="s">
        <v>31</v>
      </c>
      <c r="E24" s="42" t="s">
        <v>25</v>
      </c>
      <c r="F24" s="42" t="s">
        <v>25</v>
      </c>
      <c r="G24" s="41" t="s">
        <v>74</v>
      </c>
      <c r="H24" s="41" t="s">
        <v>70</v>
      </c>
      <c r="I24" s="41">
        <f>'MERCADO TUSD'!$U$21</f>
        <v>113.66699999999999</v>
      </c>
      <c r="J24" s="15"/>
      <c r="L24" s="31"/>
      <c r="M24" s="31"/>
      <c r="N24" s="31"/>
      <c r="O24" s="31"/>
      <c r="P24" s="31"/>
      <c r="Q24" s="31"/>
      <c r="R24" s="31"/>
      <c r="S24" s="31"/>
      <c r="T24" s="31"/>
      <c r="U24" s="31">
        <v>0</v>
      </c>
      <c r="V24" s="31">
        <v>0</v>
      </c>
      <c r="W24" s="31">
        <v>0</v>
      </c>
      <c r="X24" s="31">
        <v>0</v>
      </c>
      <c r="Y24" s="31">
        <f>(1 - CUSTOS!$M$27)*105.7614</f>
        <v>105.76139999999999</v>
      </c>
      <c r="Z24" s="31">
        <v>0</v>
      </c>
      <c r="AA24" s="31">
        <v>0</v>
      </c>
      <c r="AB24" s="31"/>
      <c r="AC24" s="31">
        <f>(1 - CUSTOS!$M$27)*133.0944</f>
        <v>133.09440000000001</v>
      </c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P24" s="31">
        <f>IF((1 - CUSTOS!$M$27)&lt;&gt;0,1/(1 - CUSTOS!$M$27),1)</f>
        <v>1</v>
      </c>
    </row>
    <row r="25" spans="1:42" ht="11.25" customHeight="1" x14ac:dyDescent="0.25">
      <c r="A25" s="137"/>
      <c r="B25" s="137" t="s">
        <v>85</v>
      </c>
      <c r="C25" s="137" t="s">
        <v>24</v>
      </c>
      <c r="D25" s="42" t="s">
        <v>24</v>
      </c>
      <c r="E25" s="42" t="s">
        <v>25</v>
      </c>
      <c r="F25" s="42" t="s">
        <v>25</v>
      </c>
      <c r="G25" s="41" t="s">
        <v>74</v>
      </c>
      <c r="H25" s="41" t="s">
        <v>70</v>
      </c>
      <c r="I25" s="41">
        <f>'MERCADO TUSD'!$U$22</f>
        <v>0</v>
      </c>
      <c r="J25" s="15"/>
      <c r="L25" s="31"/>
      <c r="M25" s="31"/>
      <c r="N25" s="31"/>
      <c r="O25" s="31"/>
      <c r="P25" s="31"/>
      <c r="Q25" s="31"/>
      <c r="R25" s="31"/>
      <c r="S25" s="31"/>
      <c r="T25" s="31"/>
      <c r="U25" s="31">
        <v>0</v>
      </c>
      <c r="V25" s="31">
        <v>0</v>
      </c>
      <c r="W25" s="31">
        <v>0</v>
      </c>
      <c r="X25" s="31">
        <v>0</v>
      </c>
      <c r="Y25" s="31">
        <v>105.76139999999999</v>
      </c>
      <c r="Z25" s="31">
        <v>0</v>
      </c>
      <c r="AA25" s="31">
        <v>0</v>
      </c>
      <c r="AB25" s="31"/>
      <c r="AC25" s="31">
        <v>133.09440000000001</v>
      </c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P25" s="31">
        <v>1</v>
      </c>
    </row>
    <row r="26" spans="1:42" ht="11.25" customHeight="1" x14ac:dyDescent="0.25">
      <c r="A26" s="137"/>
      <c r="B26" s="137"/>
      <c r="C26" s="137"/>
      <c r="D26" s="42" t="s">
        <v>28</v>
      </c>
      <c r="E26" s="42" t="s">
        <v>25</v>
      </c>
      <c r="F26" s="42" t="s">
        <v>25</v>
      </c>
      <c r="G26" s="41" t="s">
        <v>74</v>
      </c>
      <c r="H26" s="41" t="s">
        <v>70</v>
      </c>
      <c r="I26" s="41">
        <f>'MERCADO TUSD'!$U$23</f>
        <v>0</v>
      </c>
      <c r="J26" s="15"/>
      <c r="L26" s="31"/>
      <c r="M26" s="31"/>
      <c r="N26" s="31"/>
      <c r="O26" s="31"/>
      <c r="P26" s="31"/>
      <c r="Q26" s="31"/>
      <c r="R26" s="31"/>
      <c r="S26" s="31"/>
      <c r="T26" s="31"/>
      <c r="U26" s="31">
        <v>0</v>
      </c>
      <c r="V26" s="31">
        <v>0</v>
      </c>
      <c r="W26" s="31">
        <v>0</v>
      </c>
      <c r="X26" s="31">
        <v>0</v>
      </c>
      <c r="Y26" s="31">
        <f>(1 - CUSTOS!$M$24)*105.7614</f>
        <v>105.76139999999999</v>
      </c>
      <c r="Z26" s="31">
        <v>0</v>
      </c>
      <c r="AA26" s="31">
        <v>0</v>
      </c>
      <c r="AB26" s="31"/>
      <c r="AC26" s="31">
        <f>(1 - CUSTOS!$M$24)*133.0944</f>
        <v>133.09440000000001</v>
      </c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P26" s="31">
        <f>IF((1 - CUSTOS!$M$24)&lt;&gt;0,1/(1 - CUSTOS!$M$24),1)</f>
        <v>1</v>
      </c>
    </row>
    <row r="27" spans="1:42" ht="11.25" customHeight="1" x14ac:dyDescent="0.25">
      <c r="A27" s="137"/>
      <c r="B27" s="137"/>
      <c r="C27" s="137"/>
      <c r="D27" s="42" t="s">
        <v>29</v>
      </c>
      <c r="E27" s="42" t="s">
        <v>25</v>
      </c>
      <c r="F27" s="42" t="s">
        <v>25</v>
      </c>
      <c r="G27" s="41" t="s">
        <v>74</v>
      </c>
      <c r="H27" s="41" t="s">
        <v>70</v>
      </c>
      <c r="I27" s="41">
        <f>'MERCADO TUSD'!$U$24</f>
        <v>0</v>
      </c>
      <c r="J27" s="15"/>
      <c r="L27" s="31"/>
      <c r="M27" s="31"/>
      <c r="N27" s="31"/>
      <c r="O27" s="31"/>
      <c r="P27" s="31"/>
      <c r="Q27" s="31"/>
      <c r="R27" s="31"/>
      <c r="S27" s="31"/>
      <c r="T27" s="31"/>
      <c r="U27" s="31">
        <v>0</v>
      </c>
      <c r="V27" s="31">
        <v>0</v>
      </c>
      <c r="W27" s="31">
        <v>0</v>
      </c>
      <c r="X27" s="31">
        <v>0</v>
      </c>
      <c r="Y27" s="31">
        <f>(1 - CUSTOS!$M$25)*105.7614</f>
        <v>105.76139999999999</v>
      </c>
      <c r="Z27" s="31">
        <v>0</v>
      </c>
      <c r="AA27" s="31">
        <v>0</v>
      </c>
      <c r="AB27" s="31"/>
      <c r="AC27" s="31">
        <f>(1 - CUSTOS!$M$25)*133.0944</f>
        <v>133.09440000000001</v>
      </c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P27" s="31">
        <f>IF((1 - CUSTOS!$M$25)&lt;&gt;0,1/(1 - CUSTOS!$M$25),1)</f>
        <v>1</v>
      </c>
    </row>
    <row r="28" spans="1:42" ht="11.25" customHeight="1" x14ac:dyDescent="0.25">
      <c r="A28" s="137"/>
      <c r="B28" s="137"/>
      <c r="C28" s="137"/>
      <c r="D28" s="42" t="s">
        <v>30</v>
      </c>
      <c r="E28" s="42" t="s">
        <v>25</v>
      </c>
      <c r="F28" s="42" t="s">
        <v>25</v>
      </c>
      <c r="G28" s="41" t="s">
        <v>74</v>
      </c>
      <c r="H28" s="41" t="s">
        <v>70</v>
      </c>
      <c r="I28" s="41">
        <f>'MERCADO TUSD'!$U$25</f>
        <v>0</v>
      </c>
      <c r="J28" s="15"/>
      <c r="L28" s="31"/>
      <c r="M28" s="31"/>
      <c r="N28" s="31"/>
      <c r="O28" s="31"/>
      <c r="P28" s="31"/>
      <c r="Q28" s="31"/>
      <c r="R28" s="31"/>
      <c r="S28" s="31"/>
      <c r="T28" s="31"/>
      <c r="U28" s="31">
        <v>0</v>
      </c>
      <c r="V28" s="31">
        <v>0</v>
      </c>
      <c r="W28" s="31">
        <v>0</v>
      </c>
      <c r="X28" s="31">
        <v>0</v>
      </c>
      <c r="Y28" s="31">
        <f>(1 - CUSTOS!$M$26)*105.7614</f>
        <v>105.76139999999999</v>
      </c>
      <c r="Z28" s="31">
        <v>0</v>
      </c>
      <c r="AA28" s="31">
        <v>0</v>
      </c>
      <c r="AB28" s="31"/>
      <c r="AC28" s="31">
        <f>(1 - CUSTOS!$M$26)*133.0944</f>
        <v>133.09440000000001</v>
      </c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P28" s="31">
        <f>IF((1 - CUSTOS!$M$26)&lt;&gt;0,1/(1 - CUSTOS!$M$26),1)</f>
        <v>1</v>
      </c>
    </row>
    <row r="29" spans="1:42" ht="11.25" customHeight="1" x14ac:dyDescent="0.25">
      <c r="A29" s="137"/>
      <c r="B29" s="137"/>
      <c r="C29" s="137"/>
      <c r="D29" s="42" t="s">
        <v>31</v>
      </c>
      <c r="E29" s="42" t="s">
        <v>25</v>
      </c>
      <c r="F29" s="42" t="s">
        <v>25</v>
      </c>
      <c r="G29" s="41" t="s">
        <v>74</v>
      </c>
      <c r="H29" s="41" t="s">
        <v>70</v>
      </c>
      <c r="I29" s="41">
        <f>'MERCADO TUSD'!$U$26</f>
        <v>0</v>
      </c>
      <c r="J29" s="15"/>
      <c r="L29" s="31"/>
      <c r="M29" s="31"/>
      <c r="N29" s="31"/>
      <c r="O29" s="31"/>
      <c r="P29" s="31"/>
      <c r="Q29" s="31"/>
      <c r="R29" s="31"/>
      <c r="S29" s="31"/>
      <c r="T29" s="31"/>
      <c r="U29" s="31">
        <v>0</v>
      </c>
      <c r="V29" s="31">
        <v>0</v>
      </c>
      <c r="W29" s="31">
        <v>0</v>
      </c>
      <c r="X29" s="31">
        <v>0</v>
      </c>
      <c r="Y29" s="31">
        <f>(1 - CUSTOS!$M$27)*105.7614</f>
        <v>105.76139999999999</v>
      </c>
      <c r="Z29" s="31">
        <v>0</v>
      </c>
      <c r="AA29" s="31">
        <v>0</v>
      </c>
      <c r="AB29" s="31"/>
      <c r="AC29" s="31">
        <f>(1 - CUSTOS!$M$27)*133.0944</f>
        <v>133.09440000000001</v>
      </c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P29" s="31">
        <f>IF((1 - CUSTOS!$M$27)&lt;&gt;0,1/(1 - CUSTOS!$M$27),1)</f>
        <v>1</v>
      </c>
    </row>
    <row r="30" spans="1:42" ht="11.25" customHeight="1" x14ac:dyDescent="0.25">
      <c r="A30" s="137" t="s">
        <v>39</v>
      </c>
      <c r="B30" s="137" t="s">
        <v>49</v>
      </c>
      <c r="C30" s="137" t="s">
        <v>40</v>
      </c>
      <c r="D30" s="137" t="s">
        <v>25</v>
      </c>
      <c r="E30" s="137" t="s">
        <v>25</v>
      </c>
      <c r="F30" s="137" t="s">
        <v>25</v>
      </c>
      <c r="G30" s="41" t="s">
        <v>71</v>
      </c>
      <c r="H30" s="41" t="s">
        <v>70</v>
      </c>
      <c r="I30" s="41">
        <f>'MERCADO TUSD'!$U$27</f>
        <v>0</v>
      </c>
      <c r="J30" s="15"/>
      <c r="L30" s="31"/>
      <c r="M30" s="31"/>
      <c r="N30" s="31"/>
      <c r="O30" s="31"/>
      <c r="P30" s="31"/>
      <c r="Q30" s="31"/>
      <c r="R30" s="31"/>
      <c r="S30" s="31"/>
      <c r="T30" s="31"/>
      <c r="U30" s="31">
        <v>0</v>
      </c>
      <c r="V30" s="31">
        <v>0</v>
      </c>
      <c r="W30" s="31">
        <v>0</v>
      </c>
      <c r="X30" s="31">
        <v>0</v>
      </c>
      <c r="Y30" s="31">
        <f>(1 - CUSTOS!$M$28)*280.2676</f>
        <v>280.26760000000002</v>
      </c>
      <c r="Z30" s="31">
        <v>0</v>
      </c>
      <c r="AA30" s="31">
        <v>0</v>
      </c>
      <c r="AB30" s="31"/>
      <c r="AC30" s="31">
        <f>(1 - CUSTOS!$M$28)*352.7003</f>
        <v>352.70030000000003</v>
      </c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P30" s="31">
        <f>IF((1 - CUSTOS!$M$28)&lt;&gt;0,1/(1 - CUSTOS!$M$28),1)</f>
        <v>1</v>
      </c>
    </row>
    <row r="31" spans="1:42" ht="11.25" customHeight="1" x14ac:dyDescent="0.25">
      <c r="A31" s="137"/>
      <c r="B31" s="137"/>
      <c r="C31" s="137"/>
      <c r="D31" s="137"/>
      <c r="E31" s="137"/>
      <c r="F31" s="137"/>
      <c r="G31" s="41" t="s">
        <v>83</v>
      </c>
      <c r="H31" s="41" t="s">
        <v>70</v>
      </c>
      <c r="I31" s="41">
        <f>'MERCADO TUSD'!$U$28</f>
        <v>0</v>
      </c>
      <c r="J31" s="15"/>
      <c r="L31" s="31"/>
      <c r="M31" s="31"/>
      <c r="N31" s="31"/>
      <c r="O31" s="31"/>
      <c r="P31" s="31"/>
      <c r="Q31" s="31"/>
      <c r="R31" s="31"/>
      <c r="S31" s="31"/>
      <c r="T31" s="31"/>
      <c r="U31" s="31">
        <v>0</v>
      </c>
      <c r="V31" s="31">
        <v>0</v>
      </c>
      <c r="W31" s="31">
        <v>0</v>
      </c>
      <c r="X31" s="31">
        <v>0</v>
      </c>
      <c r="Y31" s="31">
        <f>(1 - CUSTOS!$M$28)*168.1606</f>
        <v>168.16059999999999</v>
      </c>
      <c r="Z31" s="31">
        <v>0</v>
      </c>
      <c r="AA31" s="31">
        <v>0</v>
      </c>
      <c r="AB31" s="31"/>
      <c r="AC31" s="31">
        <f>(1 - CUSTOS!$M$28)*211.6202</f>
        <v>211.62020000000001</v>
      </c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P31" s="31">
        <f>IF((1 - CUSTOS!$M$28)&lt;&gt;0,1/(1 - CUSTOS!$M$28),1)</f>
        <v>1</v>
      </c>
    </row>
    <row r="32" spans="1:42" ht="11.25" customHeight="1" x14ac:dyDescent="0.25">
      <c r="A32" s="137"/>
      <c r="B32" s="137"/>
      <c r="C32" s="137"/>
      <c r="D32" s="137"/>
      <c r="E32" s="137"/>
      <c r="F32" s="137"/>
      <c r="G32" s="41" t="s">
        <v>72</v>
      </c>
      <c r="H32" s="41" t="s">
        <v>70</v>
      </c>
      <c r="I32" s="41">
        <f>'MERCADO TUSD'!$U$29</f>
        <v>0</v>
      </c>
      <c r="J32" s="15"/>
      <c r="L32" s="31"/>
      <c r="M32" s="31"/>
      <c r="N32" s="31"/>
      <c r="O32" s="31"/>
      <c r="P32" s="31"/>
      <c r="Q32" s="31"/>
      <c r="R32" s="31"/>
      <c r="S32" s="31"/>
      <c r="T32" s="31"/>
      <c r="U32" s="31">
        <v>0</v>
      </c>
      <c r="V32" s="31">
        <v>0</v>
      </c>
      <c r="W32" s="31">
        <v>0</v>
      </c>
      <c r="X32" s="31">
        <v>0</v>
      </c>
      <c r="Y32" s="31">
        <f>(1 - CUSTOS!$M$28)*56.0535</f>
        <v>56.0535</v>
      </c>
      <c r="Z32" s="31">
        <v>0</v>
      </c>
      <c r="AA32" s="31">
        <v>0</v>
      </c>
      <c r="AB32" s="31"/>
      <c r="AC32" s="31">
        <f>(1 - CUSTOS!$M$28)*70.5401</f>
        <v>70.540099999999995</v>
      </c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P32" s="31">
        <f>IF((1 - CUSTOS!$M$28)&lt;&gt;0,1/(1 - CUSTOS!$M$28),1)</f>
        <v>1</v>
      </c>
    </row>
    <row r="33" spans="1:42" ht="11.25" customHeight="1" x14ac:dyDescent="0.25">
      <c r="A33" s="137"/>
      <c r="B33" s="42" t="s">
        <v>23</v>
      </c>
      <c r="C33" s="42" t="s">
        <v>40</v>
      </c>
      <c r="D33" s="42" t="s">
        <v>25</v>
      </c>
      <c r="E33" s="42" t="s">
        <v>25</v>
      </c>
      <c r="F33" s="42" t="s">
        <v>25</v>
      </c>
      <c r="G33" s="41" t="s">
        <v>74</v>
      </c>
      <c r="H33" s="41" t="s">
        <v>70</v>
      </c>
      <c r="I33" s="41">
        <f>'MERCADO TUSD'!$U$30</f>
        <v>45.472000000000001</v>
      </c>
      <c r="J33" s="15"/>
      <c r="L33" s="31"/>
      <c r="M33" s="31"/>
      <c r="N33" s="31"/>
      <c r="O33" s="31"/>
      <c r="P33" s="31"/>
      <c r="Q33" s="31"/>
      <c r="R33" s="31"/>
      <c r="S33" s="31"/>
      <c r="T33" s="31"/>
      <c r="U33" s="31">
        <v>0</v>
      </c>
      <c r="V33" s="31">
        <v>0</v>
      </c>
      <c r="W33" s="31">
        <v>0</v>
      </c>
      <c r="X33" s="31">
        <v>0</v>
      </c>
      <c r="Y33" s="31">
        <f>(1 - CUSTOS!$M$28)*105.7614</f>
        <v>105.76139999999999</v>
      </c>
      <c r="Z33" s="31">
        <v>0</v>
      </c>
      <c r="AA33" s="31">
        <v>0</v>
      </c>
      <c r="AB33" s="31"/>
      <c r="AC33" s="31">
        <f>(1 - CUSTOS!$M$28)*133.0944</f>
        <v>133.09440000000001</v>
      </c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P33" s="31">
        <f>IF((1 - CUSTOS!$M$28)&lt;&gt;0,1/(1 - CUSTOS!$M$28),1)</f>
        <v>1</v>
      </c>
    </row>
    <row r="34" spans="1:42" ht="11.25" customHeight="1" x14ac:dyDescent="0.25">
      <c r="A34" s="137"/>
      <c r="B34" s="137" t="s">
        <v>49</v>
      </c>
      <c r="C34" s="137" t="s">
        <v>40</v>
      </c>
      <c r="D34" s="137" t="s">
        <v>86</v>
      </c>
      <c r="E34" s="137" t="s">
        <v>25</v>
      </c>
      <c r="F34" s="137" t="s">
        <v>25</v>
      </c>
      <c r="G34" s="41" t="s">
        <v>71</v>
      </c>
      <c r="H34" s="41" t="s">
        <v>70</v>
      </c>
      <c r="I34" s="41">
        <f>'MERCADO TUSD'!$U$31</f>
        <v>0</v>
      </c>
      <c r="J34" s="15"/>
      <c r="L34" s="31"/>
      <c r="M34" s="31"/>
      <c r="N34" s="31"/>
      <c r="O34" s="31"/>
      <c r="P34" s="31"/>
      <c r="Q34" s="31"/>
      <c r="R34" s="31"/>
      <c r="S34" s="31"/>
      <c r="T34" s="31"/>
      <c r="U34" s="31">
        <v>0</v>
      </c>
      <c r="V34" s="31">
        <v>0</v>
      </c>
      <c r="W34" s="31">
        <v>0</v>
      </c>
      <c r="X34" s="31">
        <v>0</v>
      </c>
      <c r="Y34" s="31">
        <f>(1 - CUSTOS!$M$29)*280.2676</f>
        <v>280.26760000000002</v>
      </c>
      <c r="Z34" s="31">
        <v>0</v>
      </c>
      <c r="AA34" s="31">
        <v>0</v>
      </c>
      <c r="AB34" s="31"/>
      <c r="AC34" s="31">
        <f>(1 - CUSTOS!$M$29)*352.7003</f>
        <v>352.70030000000003</v>
      </c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P34" s="31">
        <f>IF((1 - CUSTOS!$M$29)&lt;&gt;0,1/(1 - CUSTOS!$M$29),1)</f>
        <v>1</v>
      </c>
    </row>
    <row r="35" spans="1:42" ht="11.25" customHeight="1" x14ac:dyDescent="0.25">
      <c r="A35" s="137"/>
      <c r="B35" s="137"/>
      <c r="C35" s="137"/>
      <c r="D35" s="137"/>
      <c r="E35" s="137"/>
      <c r="F35" s="137"/>
      <c r="G35" s="41" t="s">
        <v>83</v>
      </c>
      <c r="H35" s="41" t="s">
        <v>70</v>
      </c>
      <c r="I35" s="41">
        <f>'MERCADO TUSD'!$U$32</f>
        <v>0</v>
      </c>
      <c r="J35" s="15"/>
      <c r="L35" s="31"/>
      <c r="M35" s="31"/>
      <c r="N35" s="31"/>
      <c r="O35" s="31"/>
      <c r="P35" s="31"/>
      <c r="Q35" s="31"/>
      <c r="R35" s="31"/>
      <c r="S35" s="31"/>
      <c r="T35" s="31"/>
      <c r="U35" s="31">
        <v>0</v>
      </c>
      <c r="V35" s="31">
        <v>0</v>
      </c>
      <c r="W35" s="31">
        <v>0</v>
      </c>
      <c r="X35" s="31">
        <v>0</v>
      </c>
      <c r="Y35" s="31">
        <f>(1 - CUSTOS!$M$29)*168.1606</f>
        <v>168.16059999999999</v>
      </c>
      <c r="Z35" s="31">
        <v>0</v>
      </c>
      <c r="AA35" s="31">
        <v>0</v>
      </c>
      <c r="AB35" s="31"/>
      <c r="AC35" s="31">
        <f>(1 - CUSTOS!$M$29)*211.6202</f>
        <v>211.62020000000001</v>
      </c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P35" s="31">
        <f>IF((1 - CUSTOS!$M$29)&lt;&gt;0,1/(1 - CUSTOS!$M$29),1)</f>
        <v>1</v>
      </c>
    </row>
    <row r="36" spans="1:42" ht="11.25" customHeight="1" x14ac:dyDescent="0.25">
      <c r="A36" s="137"/>
      <c r="B36" s="137"/>
      <c r="C36" s="137"/>
      <c r="D36" s="137"/>
      <c r="E36" s="137"/>
      <c r="F36" s="137"/>
      <c r="G36" s="41" t="s">
        <v>72</v>
      </c>
      <c r="H36" s="41" t="s">
        <v>70</v>
      </c>
      <c r="I36" s="41">
        <f>'MERCADO TUSD'!$U$33</f>
        <v>0</v>
      </c>
      <c r="J36" s="15"/>
      <c r="L36" s="31"/>
      <c r="M36" s="31"/>
      <c r="N36" s="31"/>
      <c r="O36" s="31"/>
      <c r="P36" s="31"/>
      <c r="Q36" s="31"/>
      <c r="R36" s="31"/>
      <c r="S36" s="31"/>
      <c r="T36" s="31"/>
      <c r="U36" s="31">
        <v>0</v>
      </c>
      <c r="V36" s="31">
        <v>0</v>
      </c>
      <c r="W36" s="31">
        <v>0</v>
      </c>
      <c r="X36" s="31">
        <v>0</v>
      </c>
      <c r="Y36" s="31">
        <f>(1 - CUSTOS!$M$29)*56.0535</f>
        <v>56.0535</v>
      </c>
      <c r="Z36" s="31">
        <v>0</v>
      </c>
      <c r="AA36" s="31">
        <v>0</v>
      </c>
      <c r="AB36" s="31"/>
      <c r="AC36" s="31">
        <f>(1 - CUSTOS!$M$29)*70.5401</f>
        <v>70.540099999999995</v>
      </c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P36" s="31">
        <f>IF((1 - CUSTOS!$M$29)&lt;&gt;0,1/(1 - CUSTOS!$M$29),1)</f>
        <v>1</v>
      </c>
    </row>
    <row r="37" spans="1:42" ht="11.25" customHeight="1" x14ac:dyDescent="0.25">
      <c r="A37" s="137"/>
      <c r="B37" s="42" t="s">
        <v>23</v>
      </c>
      <c r="C37" s="42" t="s">
        <v>40</v>
      </c>
      <c r="D37" s="42" t="s">
        <v>86</v>
      </c>
      <c r="E37" s="42" t="s">
        <v>25</v>
      </c>
      <c r="F37" s="42" t="s">
        <v>25</v>
      </c>
      <c r="G37" s="41" t="s">
        <v>74</v>
      </c>
      <c r="H37" s="41" t="s">
        <v>70</v>
      </c>
      <c r="I37" s="41">
        <f>'MERCADO TUSD'!$U$34</f>
        <v>0</v>
      </c>
      <c r="J37" s="15"/>
      <c r="L37" s="31"/>
      <c r="M37" s="31"/>
      <c r="N37" s="31"/>
      <c r="O37" s="31"/>
      <c r="P37" s="31"/>
      <c r="Q37" s="31"/>
      <c r="R37" s="31"/>
      <c r="S37" s="31"/>
      <c r="T37" s="31"/>
      <c r="U37" s="31">
        <v>0</v>
      </c>
      <c r="V37" s="31">
        <v>0</v>
      </c>
      <c r="W37" s="31">
        <v>0</v>
      </c>
      <c r="X37" s="31">
        <v>0</v>
      </c>
      <c r="Y37" s="31">
        <f>(1 - CUSTOS!$M$29)*105.7614</f>
        <v>105.76139999999999</v>
      </c>
      <c r="Z37" s="31">
        <v>0</v>
      </c>
      <c r="AA37" s="31">
        <v>0</v>
      </c>
      <c r="AB37" s="31"/>
      <c r="AC37" s="31">
        <f>(1 - CUSTOS!$M$29)*133.0944</f>
        <v>133.09440000000001</v>
      </c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P37" s="31">
        <f>IF((1 - CUSTOS!$M$29)&lt;&gt;0,1/(1 - CUSTOS!$M$29),1)</f>
        <v>1</v>
      </c>
    </row>
    <row r="38" spans="1:42" ht="11.25" customHeight="1" x14ac:dyDescent="0.25">
      <c r="A38" s="137"/>
      <c r="B38" s="137" t="s">
        <v>49</v>
      </c>
      <c r="C38" s="137" t="s">
        <v>40</v>
      </c>
      <c r="D38" s="137" t="s">
        <v>87</v>
      </c>
      <c r="E38" s="137" t="s">
        <v>25</v>
      </c>
      <c r="F38" s="137" t="s">
        <v>25</v>
      </c>
      <c r="G38" s="41" t="s">
        <v>71</v>
      </c>
      <c r="H38" s="41" t="s">
        <v>70</v>
      </c>
      <c r="I38" s="41">
        <f>'MERCADO TUSD'!$U$35</f>
        <v>0</v>
      </c>
      <c r="J38" s="15"/>
      <c r="L38" s="31"/>
      <c r="M38" s="31"/>
      <c r="N38" s="31"/>
      <c r="O38" s="31"/>
      <c r="P38" s="31"/>
      <c r="Q38" s="31"/>
      <c r="R38" s="31"/>
      <c r="S38" s="31"/>
      <c r="T38" s="31"/>
      <c r="U38" s="31">
        <v>0</v>
      </c>
      <c r="V38" s="31">
        <v>0</v>
      </c>
      <c r="W38" s="31">
        <v>0</v>
      </c>
      <c r="X38" s="31">
        <v>0</v>
      </c>
      <c r="Y38" s="31">
        <f>(1 - CUSTOS!$M$30)*280.2676</f>
        <v>280.26760000000002</v>
      </c>
      <c r="Z38" s="31">
        <v>0</v>
      </c>
      <c r="AA38" s="31">
        <v>0</v>
      </c>
      <c r="AB38" s="31"/>
      <c r="AC38" s="31">
        <f>(1 - CUSTOS!$M$30)*352.7003</f>
        <v>352.70030000000003</v>
      </c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P38" s="31">
        <f>IF((1 - CUSTOS!$M$30)&lt;&gt;0,1/(1 - CUSTOS!$M$30),1)</f>
        <v>1</v>
      </c>
    </row>
    <row r="39" spans="1:42" ht="11.25" customHeight="1" x14ac:dyDescent="0.25">
      <c r="A39" s="137"/>
      <c r="B39" s="137"/>
      <c r="C39" s="137"/>
      <c r="D39" s="137"/>
      <c r="E39" s="137"/>
      <c r="F39" s="137"/>
      <c r="G39" s="41" t="s">
        <v>83</v>
      </c>
      <c r="H39" s="41" t="s">
        <v>70</v>
      </c>
      <c r="I39" s="41">
        <f>'MERCADO TUSD'!$U$36</f>
        <v>0</v>
      </c>
      <c r="J39" s="15"/>
      <c r="L39" s="31"/>
      <c r="M39" s="31"/>
      <c r="N39" s="31"/>
      <c r="O39" s="31"/>
      <c r="P39" s="31"/>
      <c r="Q39" s="31"/>
      <c r="R39" s="31"/>
      <c r="S39" s="31"/>
      <c r="T39" s="31"/>
      <c r="U39" s="31">
        <v>0</v>
      </c>
      <c r="V39" s="31">
        <v>0</v>
      </c>
      <c r="W39" s="31">
        <v>0</v>
      </c>
      <c r="X39" s="31">
        <v>0</v>
      </c>
      <c r="Y39" s="31">
        <f>(1 - CUSTOS!$M$30)*168.1606</f>
        <v>168.16059999999999</v>
      </c>
      <c r="Z39" s="31">
        <v>0</v>
      </c>
      <c r="AA39" s="31">
        <v>0</v>
      </c>
      <c r="AB39" s="31"/>
      <c r="AC39" s="31">
        <f>(1 - CUSTOS!$M$30)*211.6202</f>
        <v>211.62020000000001</v>
      </c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P39" s="31">
        <f>IF((1 - CUSTOS!$M$30)&lt;&gt;0,1/(1 - CUSTOS!$M$30),1)</f>
        <v>1</v>
      </c>
    </row>
    <row r="40" spans="1:42" ht="11.25" customHeight="1" x14ac:dyDescent="0.25">
      <c r="A40" s="137"/>
      <c r="B40" s="137"/>
      <c r="C40" s="137"/>
      <c r="D40" s="137"/>
      <c r="E40" s="137"/>
      <c r="F40" s="137"/>
      <c r="G40" s="41" t="s">
        <v>72</v>
      </c>
      <c r="H40" s="41" t="s">
        <v>70</v>
      </c>
      <c r="I40" s="41">
        <f>'MERCADO TUSD'!$U$37</f>
        <v>0</v>
      </c>
      <c r="J40" s="15"/>
      <c r="L40" s="31"/>
      <c r="M40" s="31"/>
      <c r="N40" s="31"/>
      <c r="O40" s="31"/>
      <c r="P40" s="31"/>
      <c r="Q40" s="31"/>
      <c r="R40" s="31"/>
      <c r="S40" s="31"/>
      <c r="T40" s="31"/>
      <c r="U40" s="31">
        <v>0</v>
      </c>
      <c r="V40" s="31">
        <v>0</v>
      </c>
      <c r="W40" s="31">
        <v>0</v>
      </c>
      <c r="X40" s="31">
        <v>0</v>
      </c>
      <c r="Y40" s="31">
        <f>(1 - CUSTOS!$M$30)*56.0535</f>
        <v>56.0535</v>
      </c>
      <c r="Z40" s="31">
        <v>0</v>
      </c>
      <c r="AA40" s="31">
        <v>0</v>
      </c>
      <c r="AB40" s="31"/>
      <c r="AC40" s="31">
        <f>(1 - CUSTOS!$M$30)*70.5401</f>
        <v>70.540099999999995</v>
      </c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P40" s="31">
        <f>IF((1 - CUSTOS!$M$30)&lt;&gt;0,1/(1 - CUSTOS!$M$30),1)</f>
        <v>1</v>
      </c>
    </row>
    <row r="41" spans="1:42" ht="11.25" customHeight="1" x14ac:dyDescent="0.25">
      <c r="A41" s="137"/>
      <c r="B41" s="42" t="s">
        <v>23</v>
      </c>
      <c r="C41" s="42" t="s">
        <v>40</v>
      </c>
      <c r="D41" s="42" t="s">
        <v>87</v>
      </c>
      <c r="E41" s="42" t="s">
        <v>25</v>
      </c>
      <c r="F41" s="42" t="s">
        <v>25</v>
      </c>
      <c r="G41" s="41" t="s">
        <v>74</v>
      </c>
      <c r="H41" s="41" t="s">
        <v>70</v>
      </c>
      <c r="I41" s="41">
        <f>'MERCADO TUSD'!$U$38</f>
        <v>0</v>
      </c>
      <c r="J41" s="15"/>
      <c r="L41" s="31"/>
      <c r="M41" s="31"/>
      <c r="N41" s="31"/>
      <c r="O41" s="31"/>
      <c r="P41" s="31"/>
      <c r="Q41" s="31"/>
      <c r="R41" s="31"/>
      <c r="S41" s="31"/>
      <c r="T41" s="31"/>
      <c r="U41" s="31">
        <v>0</v>
      </c>
      <c r="V41" s="31">
        <v>0</v>
      </c>
      <c r="W41" s="31">
        <v>0</v>
      </c>
      <c r="X41" s="31">
        <v>0</v>
      </c>
      <c r="Y41" s="31">
        <f>(1 - CUSTOS!$M$30)*105.7614</f>
        <v>105.76139999999999</v>
      </c>
      <c r="Z41" s="31">
        <v>0</v>
      </c>
      <c r="AA41" s="31">
        <v>0</v>
      </c>
      <c r="AB41" s="31"/>
      <c r="AC41" s="31">
        <f>(1 - CUSTOS!$M$30)*133.0944</f>
        <v>133.09440000000001</v>
      </c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P41" s="31">
        <f>IF((1 - CUSTOS!$M$30)&lt;&gt;0,1/(1 - CUSTOS!$M$30),1)</f>
        <v>1</v>
      </c>
    </row>
    <row r="42" spans="1:42" ht="11.25" customHeight="1" x14ac:dyDescent="0.25">
      <c r="A42" s="137"/>
      <c r="B42" s="137" t="s">
        <v>85</v>
      </c>
      <c r="C42" s="137" t="s">
        <v>40</v>
      </c>
      <c r="D42" s="42" t="s">
        <v>25</v>
      </c>
      <c r="E42" s="42" t="s">
        <v>25</v>
      </c>
      <c r="F42" s="42" t="s">
        <v>25</v>
      </c>
      <c r="G42" s="41" t="s">
        <v>74</v>
      </c>
      <c r="H42" s="41" t="s">
        <v>70</v>
      </c>
      <c r="I42" s="41">
        <f>'MERCADO TUSD'!$U$39</f>
        <v>0</v>
      </c>
      <c r="J42" s="15"/>
      <c r="L42" s="31"/>
      <c r="M42" s="31"/>
      <c r="N42" s="31"/>
      <c r="O42" s="31"/>
      <c r="P42" s="31"/>
      <c r="Q42" s="31"/>
      <c r="R42" s="31"/>
      <c r="S42" s="31"/>
      <c r="T42" s="31"/>
      <c r="U42" s="31">
        <v>0</v>
      </c>
      <c r="V42" s="31">
        <v>0</v>
      </c>
      <c r="W42" s="31">
        <v>0</v>
      </c>
      <c r="X42" s="31">
        <v>0</v>
      </c>
      <c r="Y42" s="31">
        <f>(1 - CUSTOS!$M$28)*105.7614</f>
        <v>105.76139999999999</v>
      </c>
      <c r="Z42" s="31">
        <v>0</v>
      </c>
      <c r="AA42" s="31">
        <v>0</v>
      </c>
      <c r="AB42" s="31"/>
      <c r="AC42" s="31">
        <f>(1 - CUSTOS!$M$28)*133.0944</f>
        <v>133.09440000000001</v>
      </c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P42" s="31">
        <f>IF((1 - CUSTOS!$M$28)&lt;&gt;0,1/(1 - CUSTOS!$M$28),1)</f>
        <v>1</v>
      </c>
    </row>
    <row r="43" spans="1:42" ht="11.25" customHeight="1" x14ac:dyDescent="0.25">
      <c r="A43" s="137"/>
      <c r="B43" s="137"/>
      <c r="C43" s="137"/>
      <c r="D43" s="42" t="s">
        <v>86</v>
      </c>
      <c r="E43" s="42" t="s">
        <v>25</v>
      </c>
      <c r="F43" s="42" t="s">
        <v>25</v>
      </c>
      <c r="G43" s="41" t="s">
        <v>74</v>
      </c>
      <c r="H43" s="41" t="s">
        <v>70</v>
      </c>
      <c r="I43" s="41">
        <f>'MERCADO TUSD'!$U$40</f>
        <v>0</v>
      </c>
      <c r="J43" s="15"/>
      <c r="L43" s="31"/>
      <c r="M43" s="31"/>
      <c r="N43" s="31"/>
      <c r="O43" s="31"/>
      <c r="P43" s="31"/>
      <c r="Q43" s="31"/>
      <c r="R43" s="31"/>
      <c r="S43" s="31"/>
      <c r="T43" s="31"/>
      <c r="U43" s="31">
        <v>0</v>
      </c>
      <c r="V43" s="31">
        <v>0</v>
      </c>
      <c r="W43" s="31">
        <v>0</v>
      </c>
      <c r="X43" s="31">
        <v>0</v>
      </c>
      <c r="Y43" s="31">
        <f>(1 - CUSTOS!$M$29)*105.7614</f>
        <v>105.76139999999999</v>
      </c>
      <c r="Z43" s="31">
        <v>0</v>
      </c>
      <c r="AA43" s="31">
        <v>0</v>
      </c>
      <c r="AB43" s="31"/>
      <c r="AC43" s="31">
        <f>(1 - CUSTOS!$M$29)*133.0944</f>
        <v>133.09440000000001</v>
      </c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P43" s="31">
        <f>IF((1 - CUSTOS!$M$29)&lt;&gt;0,1/(1 - CUSTOS!$M$29),1)</f>
        <v>1</v>
      </c>
    </row>
    <row r="44" spans="1:42" ht="11.25" customHeight="1" x14ac:dyDescent="0.25">
      <c r="A44" s="137"/>
      <c r="B44" s="137"/>
      <c r="C44" s="137"/>
      <c r="D44" s="42" t="s">
        <v>87</v>
      </c>
      <c r="E44" s="42" t="s">
        <v>25</v>
      </c>
      <c r="F44" s="42" t="s">
        <v>25</v>
      </c>
      <c r="G44" s="41" t="s">
        <v>74</v>
      </c>
      <c r="H44" s="41" t="s">
        <v>70</v>
      </c>
      <c r="I44" s="41">
        <f>'MERCADO TUSD'!$U$41</f>
        <v>0</v>
      </c>
      <c r="J44" s="15"/>
      <c r="L44" s="31"/>
      <c r="M44" s="31"/>
      <c r="N44" s="31"/>
      <c r="O44" s="31"/>
      <c r="P44" s="31"/>
      <c r="Q44" s="31"/>
      <c r="R44" s="31"/>
      <c r="S44" s="31"/>
      <c r="T44" s="31"/>
      <c r="U44" s="31">
        <v>0</v>
      </c>
      <c r="V44" s="31">
        <v>0</v>
      </c>
      <c r="W44" s="31">
        <v>0</v>
      </c>
      <c r="X44" s="31">
        <v>0</v>
      </c>
      <c r="Y44" s="31">
        <f>(1 - CUSTOS!$M$30)*105.7614</f>
        <v>105.76139999999999</v>
      </c>
      <c r="Z44" s="31">
        <v>0</v>
      </c>
      <c r="AA44" s="31">
        <v>0</v>
      </c>
      <c r="AB44" s="31"/>
      <c r="AC44" s="31">
        <f>(1 - CUSTOS!$M$30)*133.0944</f>
        <v>133.09440000000001</v>
      </c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P44" s="31">
        <f>IF((1 - CUSTOS!$M$30)&lt;&gt;0,1/(1 - CUSTOS!$M$30),1)</f>
        <v>1</v>
      </c>
    </row>
    <row r="45" spans="1:42" ht="11.25" customHeight="1" x14ac:dyDescent="0.25">
      <c r="A45" s="137" t="s">
        <v>32</v>
      </c>
      <c r="B45" s="137" t="s">
        <v>49</v>
      </c>
      <c r="C45" s="137" t="s">
        <v>25</v>
      </c>
      <c r="D45" s="137" t="s">
        <v>25</v>
      </c>
      <c r="E45" s="137" t="s">
        <v>25</v>
      </c>
      <c r="F45" s="137" t="s">
        <v>25</v>
      </c>
      <c r="G45" s="41" t="s">
        <v>71</v>
      </c>
      <c r="H45" s="41" t="s">
        <v>70</v>
      </c>
      <c r="I45" s="41">
        <f>'MERCADO TUSD'!$U$42</f>
        <v>0.216</v>
      </c>
      <c r="J45" s="15"/>
      <c r="L45" s="31"/>
      <c r="M45" s="31"/>
      <c r="N45" s="31"/>
      <c r="O45" s="31"/>
      <c r="P45" s="31"/>
      <c r="Q45" s="31"/>
      <c r="R45" s="31"/>
      <c r="S45" s="31"/>
      <c r="T45" s="31"/>
      <c r="U45" s="31">
        <v>0</v>
      </c>
      <c r="V45" s="31">
        <v>0</v>
      </c>
      <c r="W45" s="31">
        <v>0</v>
      </c>
      <c r="X45" s="31">
        <v>0</v>
      </c>
      <c r="Y45" s="31">
        <f>(1 - CUSTOS!$M$31)*490.7327</f>
        <v>490.73270000000002</v>
      </c>
      <c r="Z45" s="31">
        <v>0</v>
      </c>
      <c r="AA45" s="31">
        <v>0</v>
      </c>
      <c r="AB45" s="31"/>
      <c r="AC45" s="31">
        <f>(1 - CUSTOS!$M$31)*617.5582</f>
        <v>617.55820000000006</v>
      </c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P45" s="31">
        <f>IF((1 - CUSTOS!$M$31)&lt;&gt;0,1/(1 - CUSTOS!$M$31),1)</f>
        <v>1</v>
      </c>
    </row>
    <row r="46" spans="1:42" ht="11.25" customHeight="1" x14ac:dyDescent="0.25">
      <c r="A46" s="137"/>
      <c r="B46" s="137"/>
      <c r="C46" s="137"/>
      <c r="D46" s="137"/>
      <c r="E46" s="137"/>
      <c r="F46" s="137"/>
      <c r="G46" s="41" t="s">
        <v>83</v>
      </c>
      <c r="H46" s="41" t="s">
        <v>70</v>
      </c>
      <c r="I46" s="41">
        <f>'MERCADO TUSD'!$U$43</f>
        <v>0.24</v>
      </c>
      <c r="J46" s="15"/>
      <c r="L46" s="31"/>
      <c r="M46" s="31"/>
      <c r="N46" s="31"/>
      <c r="O46" s="31"/>
      <c r="P46" s="31"/>
      <c r="Q46" s="31"/>
      <c r="R46" s="31"/>
      <c r="S46" s="31"/>
      <c r="T46" s="31"/>
      <c r="U46" s="31">
        <v>0</v>
      </c>
      <c r="V46" s="31">
        <v>0</v>
      </c>
      <c r="W46" s="31">
        <v>0</v>
      </c>
      <c r="X46" s="31">
        <v>0</v>
      </c>
      <c r="Y46" s="31">
        <f>(1 - CUSTOS!$M$31)*184.0248</f>
        <v>184.0248</v>
      </c>
      <c r="Z46" s="31">
        <v>0</v>
      </c>
      <c r="AA46" s="31">
        <v>0</v>
      </c>
      <c r="AB46" s="31"/>
      <c r="AC46" s="31">
        <f>(1 - CUSTOS!$M$31)*231.5843</f>
        <v>231.58430000000001</v>
      </c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P46" s="31">
        <f>IF((1 - CUSTOS!$M$31)&lt;&gt;0,1/(1 - CUSTOS!$M$31),1)</f>
        <v>1</v>
      </c>
    </row>
    <row r="47" spans="1:42" ht="11.25" customHeight="1" x14ac:dyDescent="0.25">
      <c r="A47" s="137"/>
      <c r="B47" s="137"/>
      <c r="C47" s="137"/>
      <c r="D47" s="137"/>
      <c r="E47" s="137"/>
      <c r="F47" s="137"/>
      <c r="G47" s="41" t="s">
        <v>72</v>
      </c>
      <c r="H47" s="41" t="s">
        <v>70</v>
      </c>
      <c r="I47" s="41">
        <f>'MERCADO TUSD'!$U$44</f>
        <v>3.742</v>
      </c>
      <c r="J47" s="15"/>
      <c r="L47" s="31"/>
      <c r="M47" s="31"/>
      <c r="N47" s="31"/>
      <c r="O47" s="31"/>
      <c r="P47" s="31"/>
      <c r="Q47" s="31"/>
      <c r="R47" s="31"/>
      <c r="S47" s="31"/>
      <c r="T47" s="31"/>
      <c r="U47" s="31">
        <v>0</v>
      </c>
      <c r="V47" s="31">
        <v>0</v>
      </c>
      <c r="W47" s="31">
        <v>0</v>
      </c>
      <c r="X47" s="31">
        <v>0</v>
      </c>
      <c r="Y47" s="31">
        <f>(1 - CUSTOS!$M$31)*61.3416</f>
        <v>61.3416</v>
      </c>
      <c r="Z47" s="31">
        <v>0</v>
      </c>
      <c r="AA47" s="31">
        <v>0</v>
      </c>
      <c r="AB47" s="31"/>
      <c r="AC47" s="31">
        <f>(1 - CUSTOS!$M$31)*77.1948</f>
        <v>77.194800000000001</v>
      </c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P47" s="31">
        <f>IF((1 - CUSTOS!$M$31)&lt;&gt;0,1/(1 - CUSTOS!$M$31),1)</f>
        <v>1</v>
      </c>
    </row>
    <row r="48" spans="1:42" ht="11.25" customHeight="1" x14ac:dyDescent="0.25">
      <c r="A48" s="137"/>
      <c r="B48" s="42" t="s">
        <v>23</v>
      </c>
      <c r="C48" s="42" t="s">
        <v>25</v>
      </c>
      <c r="D48" s="42" t="s">
        <v>25</v>
      </c>
      <c r="E48" s="42" t="s">
        <v>25</v>
      </c>
      <c r="F48" s="42" t="s">
        <v>25</v>
      </c>
      <c r="G48" s="41" t="s">
        <v>74</v>
      </c>
      <c r="H48" s="41" t="s">
        <v>70</v>
      </c>
      <c r="I48" s="41">
        <f>'MERCADO TUSD'!$U$45</f>
        <v>12398.925999999999</v>
      </c>
      <c r="J48" s="15"/>
      <c r="L48" s="31"/>
      <c r="M48" s="31"/>
      <c r="N48" s="31"/>
      <c r="O48" s="31"/>
      <c r="P48" s="31"/>
      <c r="Q48" s="31"/>
      <c r="R48" s="31"/>
      <c r="S48" s="31"/>
      <c r="T48" s="31"/>
      <c r="U48" s="31">
        <v>0</v>
      </c>
      <c r="V48" s="31">
        <v>0</v>
      </c>
      <c r="W48" s="31">
        <v>0</v>
      </c>
      <c r="X48" s="31">
        <v>0</v>
      </c>
      <c r="Y48" s="31">
        <f>(1 - CUSTOS!$M$31)*105.7614</f>
        <v>105.76139999999999</v>
      </c>
      <c r="Z48" s="31">
        <v>0</v>
      </c>
      <c r="AA48" s="31">
        <v>0</v>
      </c>
      <c r="AB48" s="31"/>
      <c r="AC48" s="31">
        <f>(1 - CUSTOS!$M$31)*133.0944</f>
        <v>133.09440000000001</v>
      </c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P48" s="31">
        <f>IF((1 - CUSTOS!$M$31)&lt;&gt;0,1/(1 - CUSTOS!$M$31),1)</f>
        <v>1</v>
      </c>
    </row>
    <row r="49" spans="1:42" ht="11.25" customHeight="1" x14ac:dyDescent="0.25">
      <c r="A49" s="137"/>
      <c r="B49" s="42" t="s">
        <v>85</v>
      </c>
      <c r="C49" s="42" t="s">
        <v>25</v>
      </c>
      <c r="D49" s="42" t="s">
        <v>25</v>
      </c>
      <c r="E49" s="42" t="s">
        <v>25</v>
      </c>
      <c r="F49" s="42" t="s">
        <v>25</v>
      </c>
      <c r="G49" s="41" t="s">
        <v>74</v>
      </c>
      <c r="H49" s="41" t="s">
        <v>70</v>
      </c>
      <c r="I49" s="41">
        <f>'MERCADO TUSD'!$U$46</f>
        <v>0</v>
      </c>
      <c r="J49" s="15"/>
      <c r="L49" s="31"/>
      <c r="M49" s="31"/>
      <c r="N49" s="31"/>
      <c r="O49" s="31"/>
      <c r="P49" s="31"/>
      <c r="Q49" s="31"/>
      <c r="R49" s="31"/>
      <c r="S49" s="31"/>
      <c r="T49" s="31"/>
      <c r="U49" s="31">
        <v>0</v>
      </c>
      <c r="V49" s="31">
        <v>0</v>
      </c>
      <c r="W49" s="31">
        <v>0</v>
      </c>
      <c r="X49" s="31">
        <v>0</v>
      </c>
      <c r="Y49" s="31">
        <f>(1 - CUSTOS!$M$31)*105.7614</f>
        <v>105.76139999999999</v>
      </c>
      <c r="Z49" s="31">
        <v>0</v>
      </c>
      <c r="AA49" s="31">
        <v>0</v>
      </c>
      <c r="AB49" s="31"/>
      <c r="AC49" s="31">
        <f>(1 - CUSTOS!$M$31)*133.0944</f>
        <v>133.09440000000001</v>
      </c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P49" s="31">
        <f>IF((1 - CUSTOS!$M$31)&lt;&gt;0,1/(1 - CUSTOS!$M$31),1)</f>
        <v>1</v>
      </c>
    </row>
    <row r="50" spans="1:42" ht="11.25" customHeight="1" x14ac:dyDescent="0.25">
      <c r="A50" s="137" t="s">
        <v>42</v>
      </c>
      <c r="B50" s="137" t="s">
        <v>23</v>
      </c>
      <c r="C50" s="137" t="s">
        <v>43</v>
      </c>
      <c r="D50" s="42" t="s">
        <v>44</v>
      </c>
      <c r="E50" s="42" t="s">
        <v>25</v>
      </c>
      <c r="F50" s="42" t="s">
        <v>25</v>
      </c>
      <c r="G50" s="41" t="s">
        <v>74</v>
      </c>
      <c r="H50" s="41" t="s">
        <v>70</v>
      </c>
      <c r="I50" s="41">
        <f>'MERCADO TUSD'!$U$47</f>
        <v>3575.7699999999995</v>
      </c>
      <c r="J50" s="15"/>
      <c r="L50" s="31"/>
      <c r="M50" s="31"/>
      <c r="N50" s="31"/>
      <c r="O50" s="31"/>
      <c r="P50" s="31"/>
      <c r="Q50" s="31"/>
      <c r="R50" s="31"/>
      <c r="S50" s="31"/>
      <c r="T50" s="31"/>
      <c r="U50" s="31">
        <v>0</v>
      </c>
      <c r="V50" s="31">
        <v>0</v>
      </c>
      <c r="W50" s="31">
        <v>0</v>
      </c>
      <c r="X50" s="31">
        <v>0</v>
      </c>
      <c r="Y50" s="31">
        <f>(1 - CUSTOS!$M$32)*105.7614</f>
        <v>58.168770000000002</v>
      </c>
      <c r="Z50" s="31">
        <v>0</v>
      </c>
      <c r="AA50" s="31">
        <v>0</v>
      </c>
      <c r="AB50" s="31"/>
      <c r="AC50" s="31">
        <f>(1 - CUSTOS!$M$32)*133.0944</f>
        <v>73.201920000000015</v>
      </c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P50" s="31">
        <f>IF((1 - CUSTOS!$M$32)&lt;&gt;0,1/(1 - CUSTOS!$M$32),1)</f>
        <v>1.8181818181818181</v>
      </c>
    </row>
    <row r="51" spans="1:42" ht="11.25" customHeight="1" x14ac:dyDescent="0.25">
      <c r="A51" s="137"/>
      <c r="B51" s="137"/>
      <c r="C51" s="137"/>
      <c r="D51" s="41" t="s">
        <v>88</v>
      </c>
      <c r="E51" s="41" t="s">
        <v>25</v>
      </c>
      <c r="F51" s="41" t="s">
        <v>25</v>
      </c>
      <c r="G51" s="41" t="s">
        <v>74</v>
      </c>
      <c r="H51" s="41" t="s">
        <v>70</v>
      </c>
      <c r="I51" s="41">
        <f>'MERCADO TUSD'!$U$48</f>
        <v>0</v>
      </c>
      <c r="J51" s="15"/>
      <c r="L51" s="31"/>
      <c r="M51" s="31"/>
      <c r="N51" s="31"/>
      <c r="O51" s="31"/>
      <c r="P51" s="31"/>
      <c r="Q51" s="31"/>
      <c r="R51" s="31"/>
      <c r="S51" s="31"/>
      <c r="T51" s="31"/>
      <c r="U51" s="31">
        <v>0</v>
      </c>
      <c r="V51" s="31">
        <v>0</v>
      </c>
      <c r="W51" s="31">
        <v>0</v>
      </c>
      <c r="X51" s="31">
        <v>0</v>
      </c>
      <c r="Y51" s="31">
        <f>(1 - CUSTOS!$M$33)*105.7614</f>
        <v>63.456839999999993</v>
      </c>
      <c r="Z51" s="31">
        <v>0</v>
      </c>
      <c r="AA51" s="31">
        <v>0</v>
      </c>
      <c r="AB51" s="31"/>
      <c r="AC51" s="31">
        <f>(1 - CUSTOS!$M$33)*133.0944</f>
        <v>79.856639999999999</v>
      </c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P51" s="31">
        <f>IF((1 - CUSTOS!$M$33)&lt;&gt;0,1/(1 - CUSTOS!$M$33),1)</f>
        <v>1.6666666666666667</v>
      </c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C6006-261D-4B0A-A7DD-96E6DB63D0DD}">
  <dimension ref="A1:AP70"/>
  <sheetViews>
    <sheetView showGridLines="0" topLeftCell="D38" workbookViewId="0">
      <selection activeCell="K62" sqref="K62:P6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8" width="10" style="9" bestFit="1" customWidth="1"/>
    <col min="19" max="19" width="8.7109375" style="9" bestFit="1" customWidth="1"/>
    <col min="20" max="20" width="10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" style="9" bestFit="1" customWidth="1"/>
    <col min="31" max="31" width="10.5703125" style="9" bestFit="1" customWidth="1"/>
    <col min="32" max="32" width="7.28515625" style="9" bestFit="1" customWidth="1"/>
    <col min="33" max="33" width="10.5703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0.855468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33" t="s">
        <v>60</v>
      </c>
      <c r="B1" s="133" t="s">
        <v>61</v>
      </c>
      <c r="C1" s="133" t="s">
        <v>62</v>
      </c>
      <c r="D1" s="133" t="s">
        <v>63</v>
      </c>
      <c r="E1" s="133" t="s">
        <v>64</v>
      </c>
      <c r="F1" s="133" t="s">
        <v>15</v>
      </c>
      <c r="G1" s="133" t="s">
        <v>66</v>
      </c>
      <c r="H1" s="133" t="s">
        <v>67</v>
      </c>
      <c r="I1" s="133" t="s">
        <v>509</v>
      </c>
      <c r="J1" s="129"/>
      <c r="L1" s="134" t="s">
        <v>510</v>
      </c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  <c r="AA1" s="134"/>
      <c r="AB1" s="134"/>
      <c r="AC1" s="134"/>
      <c r="AD1" s="134"/>
      <c r="AE1" s="134"/>
      <c r="AF1" s="134"/>
      <c r="AG1" s="134"/>
      <c r="AH1" s="134"/>
      <c r="AI1" s="134"/>
      <c r="AJ1" s="134"/>
      <c r="AK1" s="134"/>
      <c r="AL1" s="134"/>
      <c r="AM1" s="134"/>
      <c r="AP1" s="134" t="s">
        <v>511</v>
      </c>
    </row>
    <row r="2" spans="1:42" ht="11.25" customHeight="1" x14ac:dyDescent="0.25">
      <c r="A2" s="133"/>
      <c r="B2" s="133"/>
      <c r="C2" s="133"/>
      <c r="D2" s="133"/>
      <c r="E2" s="133"/>
      <c r="F2" s="133"/>
      <c r="G2" s="133"/>
      <c r="H2" s="133"/>
      <c r="I2" s="133"/>
      <c r="J2" s="129"/>
      <c r="L2" s="134" t="s">
        <v>408</v>
      </c>
      <c r="M2" s="134"/>
      <c r="N2" s="134"/>
      <c r="O2" s="134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  <c r="AA2" s="134"/>
      <c r="AB2" s="134"/>
      <c r="AC2" s="134"/>
      <c r="AD2" s="134"/>
      <c r="AE2" s="134"/>
      <c r="AF2" s="134"/>
      <c r="AG2" s="134"/>
      <c r="AH2" s="134"/>
      <c r="AI2" s="134"/>
      <c r="AJ2" s="134"/>
      <c r="AK2" s="134"/>
      <c r="AL2" s="134"/>
      <c r="AM2" s="134"/>
      <c r="AP2" s="135"/>
    </row>
    <row r="3" spans="1:42" ht="11.25" customHeight="1" x14ac:dyDescent="0.25">
      <c r="A3" s="133"/>
      <c r="B3" s="133"/>
      <c r="C3" s="133"/>
      <c r="D3" s="133"/>
      <c r="E3" s="133"/>
      <c r="F3" s="133"/>
      <c r="G3" s="133"/>
      <c r="H3" s="133"/>
      <c r="I3" s="133"/>
      <c r="J3" s="129"/>
      <c r="L3" s="134" t="s">
        <v>409</v>
      </c>
      <c r="M3" s="134"/>
      <c r="N3" s="134"/>
      <c r="O3" s="134"/>
      <c r="P3" s="134"/>
      <c r="Q3" s="134"/>
      <c r="R3" s="134"/>
      <c r="S3" s="134"/>
      <c r="T3" s="134"/>
      <c r="U3" s="134" t="s">
        <v>418</v>
      </c>
      <c r="V3" s="134"/>
      <c r="W3" s="134"/>
      <c r="X3" s="134"/>
      <c r="Y3" s="134"/>
      <c r="Z3" s="134"/>
      <c r="AA3" s="134"/>
      <c r="AB3" s="134"/>
      <c r="AC3" s="134" t="s">
        <v>426</v>
      </c>
      <c r="AD3" s="134"/>
      <c r="AE3" s="134" t="s">
        <v>428</v>
      </c>
      <c r="AF3" s="134"/>
      <c r="AG3" s="134"/>
      <c r="AH3" s="134" t="s">
        <v>431</v>
      </c>
      <c r="AI3" s="134"/>
      <c r="AJ3" s="134"/>
      <c r="AK3" s="134"/>
      <c r="AL3" s="134"/>
      <c r="AM3" s="134" t="s">
        <v>417</v>
      </c>
      <c r="AP3" s="135"/>
    </row>
    <row r="4" spans="1:42" ht="11.25" customHeight="1" x14ac:dyDescent="0.25">
      <c r="A4" s="133"/>
      <c r="B4" s="133"/>
      <c r="C4" s="133"/>
      <c r="D4" s="133"/>
      <c r="E4" s="133"/>
      <c r="F4" s="133"/>
      <c r="G4" s="133"/>
      <c r="H4" s="133"/>
      <c r="I4" s="133"/>
      <c r="J4" s="129"/>
      <c r="L4" s="40" t="s">
        <v>494</v>
      </c>
      <c r="M4" s="40" t="s">
        <v>410</v>
      </c>
      <c r="N4" s="40" t="s">
        <v>411</v>
      </c>
      <c r="O4" s="40" t="s">
        <v>412</v>
      </c>
      <c r="P4" s="40" t="s">
        <v>413</v>
      </c>
      <c r="Q4" s="40" t="s">
        <v>414</v>
      </c>
      <c r="R4" s="40" t="s">
        <v>415</v>
      </c>
      <c r="S4" s="40" t="s">
        <v>416</v>
      </c>
      <c r="T4" s="40" t="s">
        <v>417</v>
      </c>
      <c r="U4" s="40" t="s">
        <v>419</v>
      </c>
      <c r="V4" s="40" t="s">
        <v>420</v>
      </c>
      <c r="W4" s="40" t="s">
        <v>421</v>
      </c>
      <c r="X4" s="40" t="s">
        <v>422</v>
      </c>
      <c r="Y4" s="40" t="s">
        <v>423</v>
      </c>
      <c r="Z4" s="40" t="s">
        <v>424</v>
      </c>
      <c r="AA4" s="40" t="s">
        <v>425</v>
      </c>
      <c r="AB4" s="40" t="s">
        <v>417</v>
      </c>
      <c r="AC4" s="40" t="s">
        <v>427</v>
      </c>
      <c r="AD4" s="40" t="s">
        <v>417</v>
      </c>
      <c r="AE4" s="40" t="s">
        <v>429</v>
      </c>
      <c r="AF4" s="40" t="s">
        <v>430</v>
      </c>
      <c r="AG4" s="40" t="s">
        <v>417</v>
      </c>
      <c r="AH4" s="40" t="s">
        <v>432</v>
      </c>
      <c r="AI4" s="40" t="s">
        <v>433</v>
      </c>
      <c r="AJ4" s="40" t="s">
        <v>434</v>
      </c>
      <c r="AK4" s="40" t="s">
        <v>435</v>
      </c>
      <c r="AL4" s="40" t="s">
        <v>417</v>
      </c>
      <c r="AM4" s="136"/>
      <c r="AP4" s="135"/>
    </row>
    <row r="5" spans="1:42" ht="11.25" customHeight="1" x14ac:dyDescent="0.25">
      <c r="A5" s="137" t="s">
        <v>34</v>
      </c>
      <c r="B5" s="137" t="s">
        <v>51</v>
      </c>
      <c r="C5" s="137" t="s">
        <v>25</v>
      </c>
      <c r="D5" s="137" t="s">
        <v>25</v>
      </c>
      <c r="E5" s="137" t="s">
        <v>25</v>
      </c>
      <c r="F5" s="137" t="s">
        <v>25</v>
      </c>
      <c r="G5" s="41" t="s">
        <v>76</v>
      </c>
      <c r="H5" s="41" t="s">
        <v>75</v>
      </c>
      <c r="I5" s="41">
        <f>'MERCADO TUSD'!$U$2</f>
        <v>20487</v>
      </c>
      <c r="J5" s="15"/>
      <c r="L5" s="31">
        <v>0</v>
      </c>
      <c r="M5" s="31">
        <v>0</v>
      </c>
      <c r="N5" s="31">
        <v>0</v>
      </c>
      <c r="O5" s="31">
        <v>0</v>
      </c>
      <c r="P5" s="31">
        <v>0</v>
      </c>
      <c r="Q5" s="31">
        <v>0</v>
      </c>
      <c r="R5" s="31">
        <v>0</v>
      </c>
      <c r="S5" s="31">
        <v>0</v>
      </c>
      <c r="T5" s="31"/>
      <c r="U5" s="31">
        <f>TRANSICAO!$U$5*CUSTOS!$R$3</f>
        <v>0</v>
      </c>
      <c r="V5" s="31">
        <f>TRANSICAO!$V$5*CUSTOS!$R$3</f>
        <v>0</v>
      </c>
      <c r="W5" s="31">
        <f>TRANSICAO!$W$5*CUSTOS!$R$3</f>
        <v>0</v>
      </c>
      <c r="X5" s="31">
        <f>TRANSICAO!$X$5*CUSTOS!$R$3</f>
        <v>0</v>
      </c>
      <c r="Y5" s="31">
        <f>TRANSICAO!$Y$5*CUSTOS!$R$3</f>
        <v>27.296800000000001</v>
      </c>
      <c r="Z5" s="31">
        <f>TRANSICAO!$Z$5*CUSTOS!$R$3</f>
        <v>0</v>
      </c>
      <c r="AA5" s="31">
        <f>TRANSICAO!$AA$5*CUSTOS!$R$3</f>
        <v>0</v>
      </c>
      <c r="AB5" s="31">
        <f>TRANSICAO!$AB$5*CUSTOS!$R$3</f>
        <v>0</v>
      </c>
      <c r="AC5" s="31">
        <f>TRANSICAO!$AC$5*CUSTOS!$R$3</f>
        <v>6.5788000000000002</v>
      </c>
      <c r="AD5" s="31">
        <f>TRANSICAO!$AD$5*CUSTOS!$R$3</f>
        <v>0</v>
      </c>
      <c r="AE5" s="31">
        <v>0</v>
      </c>
      <c r="AF5" s="31">
        <v>0</v>
      </c>
      <c r="AG5" s="31"/>
      <c r="AH5" s="31">
        <v>0</v>
      </c>
      <c r="AI5" s="31">
        <v>0</v>
      </c>
      <c r="AJ5" s="31">
        <v>0</v>
      </c>
      <c r="AK5" s="31">
        <f t="shared" ref="AK5:AK51" si="0">AJ5</f>
        <v>0</v>
      </c>
      <c r="AL5" s="31"/>
      <c r="AM5" s="31"/>
      <c r="AP5" s="31">
        <v>1</v>
      </c>
    </row>
    <row r="6" spans="1:42" ht="11.25" customHeight="1" x14ac:dyDescent="0.25">
      <c r="A6" s="137"/>
      <c r="B6" s="137"/>
      <c r="C6" s="137"/>
      <c r="D6" s="137"/>
      <c r="E6" s="137"/>
      <c r="F6" s="137"/>
      <c r="G6" s="41" t="s">
        <v>77</v>
      </c>
      <c r="H6" s="41" t="s">
        <v>75</v>
      </c>
      <c r="I6" s="41">
        <f>'MERCADO TUSD'!$U$3</f>
        <v>21624</v>
      </c>
      <c r="J6" s="15"/>
      <c r="L6" s="31">
        <v>0</v>
      </c>
      <c r="M6" s="31">
        <v>0</v>
      </c>
      <c r="N6" s="31">
        <v>0</v>
      </c>
      <c r="O6" s="31">
        <v>0</v>
      </c>
      <c r="P6" s="31">
        <v>0</v>
      </c>
      <c r="Q6" s="31">
        <v>0</v>
      </c>
      <c r="R6" s="31">
        <v>0</v>
      </c>
      <c r="S6" s="31">
        <v>0</v>
      </c>
      <c r="T6" s="31"/>
      <c r="U6" s="31">
        <f>TRANSICAO!$U$6*CUSTOS!$R$3</f>
        <v>0</v>
      </c>
      <c r="V6" s="31">
        <f>TRANSICAO!$V$6*CUSTOS!$R$3</f>
        <v>0</v>
      </c>
      <c r="W6" s="31">
        <f>TRANSICAO!$W$6*CUSTOS!$R$3</f>
        <v>0</v>
      </c>
      <c r="X6" s="31">
        <f>TRANSICAO!$X$6*CUSTOS!$R$3</f>
        <v>0</v>
      </c>
      <c r="Y6" s="31">
        <f>TRANSICAO!$Y$6*CUSTOS!$R$3</f>
        <v>15.977600000000001</v>
      </c>
      <c r="Z6" s="31">
        <f>TRANSICAO!$Z$6*CUSTOS!$R$3</f>
        <v>0</v>
      </c>
      <c r="AA6" s="31">
        <f>TRANSICAO!$AA$6*CUSTOS!$R$3</f>
        <v>0</v>
      </c>
      <c r="AB6" s="31">
        <f>TRANSICAO!$AB$6*CUSTOS!$R$3</f>
        <v>0</v>
      </c>
      <c r="AC6" s="31">
        <f>TRANSICAO!$AC$6*CUSTOS!$R$3</f>
        <v>2.8603999999999998</v>
      </c>
      <c r="AD6" s="31">
        <f>TRANSICAO!$AD$6*CUSTOS!$R$3</f>
        <v>0</v>
      </c>
      <c r="AE6" s="31">
        <v>0</v>
      </c>
      <c r="AF6" s="31">
        <v>0</v>
      </c>
      <c r="AG6" s="31"/>
      <c r="AH6" s="31">
        <v>0</v>
      </c>
      <c r="AI6" s="31">
        <v>0</v>
      </c>
      <c r="AJ6" s="31">
        <v>0</v>
      </c>
      <c r="AK6" s="31">
        <f t="shared" si="0"/>
        <v>0</v>
      </c>
      <c r="AL6" s="31"/>
      <c r="AM6" s="31"/>
      <c r="AP6" s="31">
        <v>1</v>
      </c>
    </row>
    <row r="7" spans="1:42" ht="11.25" customHeight="1" x14ac:dyDescent="0.25">
      <c r="A7" s="137"/>
      <c r="B7" s="137"/>
      <c r="C7" s="137"/>
      <c r="D7" s="137"/>
      <c r="E7" s="137"/>
      <c r="F7" s="137"/>
      <c r="G7" s="41" t="s">
        <v>74</v>
      </c>
      <c r="H7" s="41" t="s">
        <v>70</v>
      </c>
      <c r="I7" s="41">
        <f>'MERCADO TUSD'!$U$4</f>
        <v>8675.9390000000003</v>
      </c>
      <c r="J7" s="15"/>
      <c r="L7" s="31">
        <f>0.84</f>
        <v>0.84</v>
      </c>
      <c r="M7" s="31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0.12325402345101433</v>
      </c>
      <c r="N7" s="31">
        <f ca="1">(+M7+O7+R7+U7+V7+W7+X7+Y7+Z7+AA7+AC7+AH7+AI7+AJ7+AK7)*CUSTOS!$M$5</f>
        <v>0.2470366570284874</v>
      </c>
      <c r="O7" s="31">
        <v>1</v>
      </c>
      <c r="P7" s="31">
        <v>1</v>
      </c>
      <c r="Q7" s="31">
        <f>0.84</f>
        <v>0.84</v>
      </c>
      <c r="R7" s="31">
        <v>1</v>
      </c>
      <c r="S7" s="31">
        <v>1</v>
      </c>
      <c r="T7" s="31"/>
      <c r="U7" s="31">
        <f>TRANSICAO!$U$7*CUSTOS!$R$3</f>
        <v>0</v>
      </c>
      <c r="V7" s="31">
        <f>TRANSICAO!$V$7*CUSTOS!$R$3</f>
        <v>0</v>
      </c>
      <c r="W7" s="31">
        <f>TRANSICAO!$W$7*CUSTOS!$R$3</f>
        <v>0</v>
      </c>
      <c r="X7" s="31">
        <f>TRANSICAO!$X$7*CUSTOS!$R$3</f>
        <v>0</v>
      </c>
      <c r="Y7" s="31">
        <f>TRANSICAO!$Y$7*CUSTOS!$R$3</f>
        <v>0</v>
      </c>
      <c r="Z7" s="31">
        <f>TRANSICAO!$Z$7*CUSTOS!$R$3</f>
        <v>0</v>
      </c>
      <c r="AA7" s="31">
        <f>TRANSICAO!$AA$7*CUSTOS!$R$3</f>
        <v>0</v>
      </c>
      <c r="AB7" s="31">
        <f>TRANSICAO!$AB$7*CUSTOS!$R$3</f>
        <v>0</v>
      </c>
      <c r="AC7" s="31">
        <f>TRANSICAO!$AC$7*CUSTOS!$R$3</f>
        <v>0</v>
      </c>
      <c r="AD7" s="31">
        <f>TRANSICAO!$AD$7*CUSTOS!$R$3</f>
        <v>0</v>
      </c>
      <c r="AE7" s="31">
        <v>0</v>
      </c>
      <c r="AF7" s="31">
        <v>0</v>
      </c>
      <c r="AG7" s="31"/>
      <c r="AH7" s="31">
        <v>10.0434</v>
      </c>
      <c r="AI7" s="31">
        <v>10.0434</v>
      </c>
      <c r="AJ7" s="31">
        <f ca="1">$N$63</f>
        <v>1.2468058396988613</v>
      </c>
      <c r="AK7" s="31">
        <f t="shared" ca="1" si="0"/>
        <v>1.2468058396988613</v>
      </c>
      <c r="AL7" s="31"/>
      <c r="AM7" s="31"/>
      <c r="AP7" s="31">
        <v>1</v>
      </c>
    </row>
    <row r="8" spans="1:42" ht="11.25" customHeight="1" x14ac:dyDescent="0.25">
      <c r="A8" s="137"/>
      <c r="B8" s="137"/>
      <c r="C8" s="137"/>
      <c r="D8" s="137"/>
      <c r="E8" s="42" t="s">
        <v>78</v>
      </c>
      <c r="F8" s="42" t="s">
        <v>25</v>
      </c>
      <c r="G8" s="41" t="s">
        <v>74</v>
      </c>
      <c r="H8" s="41" t="s">
        <v>70</v>
      </c>
      <c r="I8" s="41">
        <f>'MERCADO TUSD'!$U$5</f>
        <v>0</v>
      </c>
      <c r="J8" s="15"/>
      <c r="L8" s="31">
        <v>0</v>
      </c>
      <c r="M8" s="31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0.12325402345101433</v>
      </c>
      <c r="N8" s="31">
        <f ca="1">(+M8+O8+R8+U8+V8+W8+X8+Y8+Z8+AA8+AC8+AH8+AI8+AJ8+AK8)*CUSTOS!$M$5</f>
        <v>0.23703665702848739</v>
      </c>
      <c r="O8" s="31">
        <v>1</v>
      </c>
      <c r="P8" s="31">
        <v>0</v>
      </c>
      <c r="Q8" s="31">
        <v>0</v>
      </c>
      <c r="R8" s="31">
        <v>0</v>
      </c>
      <c r="S8" s="31">
        <v>0</v>
      </c>
      <c r="T8" s="31"/>
      <c r="U8" s="31">
        <f>TRANSICAO!$U$8*CUSTOS!$R$3</f>
        <v>0</v>
      </c>
      <c r="V8" s="31">
        <f>TRANSICAO!$V$8*CUSTOS!$R$3</f>
        <v>0</v>
      </c>
      <c r="W8" s="31">
        <f>TRANSICAO!$W$8*CUSTOS!$R$3</f>
        <v>0</v>
      </c>
      <c r="X8" s="31">
        <f>TRANSICAO!$X$8*CUSTOS!$R$3</f>
        <v>0</v>
      </c>
      <c r="Y8" s="31">
        <f>TRANSICAO!$Y$8*CUSTOS!$R$3</f>
        <v>0</v>
      </c>
      <c r="Z8" s="31">
        <f>TRANSICAO!$Z$8*CUSTOS!$R$3</f>
        <v>0</v>
      </c>
      <c r="AA8" s="31">
        <f>TRANSICAO!$AA$8*CUSTOS!$R$3</f>
        <v>0</v>
      </c>
      <c r="AB8" s="31">
        <f>TRANSICAO!$AB$8*CUSTOS!$R$3</f>
        <v>0</v>
      </c>
      <c r="AC8" s="31">
        <f>TRANSICAO!$AC$8*CUSTOS!$R$3</f>
        <v>0</v>
      </c>
      <c r="AD8" s="31">
        <f>TRANSICAO!$AD$8*CUSTOS!$R$3</f>
        <v>0</v>
      </c>
      <c r="AE8" s="31">
        <v>0</v>
      </c>
      <c r="AF8" s="31">
        <v>0</v>
      </c>
      <c r="AG8" s="31"/>
      <c r="AH8" s="31">
        <v>10.0434</v>
      </c>
      <c r="AI8" s="31">
        <v>10.0434</v>
      </c>
      <c r="AJ8" s="31">
        <f ca="1">$N$63</f>
        <v>1.2468058396988613</v>
      </c>
      <c r="AK8" s="31">
        <f t="shared" ca="1" si="0"/>
        <v>1.2468058396988613</v>
      </c>
      <c r="AL8" s="31"/>
      <c r="AM8" s="31"/>
      <c r="AP8" s="31">
        <v>1</v>
      </c>
    </row>
    <row r="9" spans="1:42" ht="11.25" customHeight="1" x14ac:dyDescent="0.25">
      <c r="A9" s="137"/>
      <c r="B9" s="42" t="s">
        <v>79</v>
      </c>
      <c r="C9" s="42" t="s">
        <v>25</v>
      </c>
      <c r="D9" s="42" t="s">
        <v>25</v>
      </c>
      <c r="E9" s="42" t="s">
        <v>25</v>
      </c>
      <c r="F9" s="42" t="s">
        <v>25</v>
      </c>
      <c r="G9" s="41" t="s">
        <v>9</v>
      </c>
      <c r="H9" s="41" t="s">
        <v>75</v>
      </c>
      <c r="I9" s="41">
        <f>'MERCADO TUSD'!$U$6</f>
        <v>0</v>
      </c>
      <c r="J9" s="15"/>
      <c r="L9" s="31">
        <v>0</v>
      </c>
      <c r="M9" s="31">
        <v>1.29E-2</v>
      </c>
      <c r="N9" s="31">
        <f>0.0324</f>
        <v>3.2399999999999998E-2</v>
      </c>
      <c r="O9" s="31">
        <v>0</v>
      </c>
      <c r="P9" s="31">
        <v>0</v>
      </c>
      <c r="Q9" s="31">
        <v>0</v>
      </c>
      <c r="R9" s="31">
        <v>0</v>
      </c>
      <c r="S9" s="31">
        <v>0</v>
      </c>
      <c r="T9" s="31"/>
      <c r="U9" s="31">
        <f>TRANSICAO!$U$9*CUSTOS!$R$4</f>
        <v>0</v>
      </c>
      <c r="V9" s="31">
        <f>TRANSICAO!$V$9*CUSTOS!$R$4</f>
        <v>0</v>
      </c>
      <c r="W9" s="31">
        <f>TRANSICAO!$W$9*CUSTOS!$R$4</f>
        <v>0</v>
      </c>
      <c r="X9" s="31">
        <f>TRANSICAO!$X$9*CUSTOS!$R$4</f>
        <v>0</v>
      </c>
      <c r="Y9" s="31">
        <f>TRANSICAO!$Y$9*CUSTOS!$R$4</f>
        <v>0</v>
      </c>
      <c r="Z9" s="31">
        <f>TRANSICAO!$Z$9*CUSTOS!$R$4</f>
        <v>0</v>
      </c>
      <c r="AA9" s="31">
        <f>TRANSICAO!$AA$9*CUSTOS!$R$4</f>
        <v>0</v>
      </c>
      <c r="AB9" s="31">
        <f>TRANSICAO!$AB$9*CUSTOS!$R$4</f>
        <v>0</v>
      </c>
      <c r="AC9" s="31">
        <f>TRANSICAO!$AC$9*CUSTOS!$R$4</f>
        <v>3.2320000000000002</v>
      </c>
      <c r="AD9" s="31">
        <f>TRANSICAO!$AD$9*CUSTOS!$R$4</f>
        <v>0</v>
      </c>
      <c r="AE9" s="31">
        <v>0</v>
      </c>
      <c r="AF9" s="31">
        <v>0</v>
      </c>
      <c r="AG9" s="31"/>
      <c r="AH9" s="31">
        <v>0</v>
      </c>
      <c r="AI9" s="31">
        <v>0</v>
      </c>
      <c r="AJ9" s="31">
        <v>0</v>
      </c>
      <c r="AK9" s="31">
        <f t="shared" si="0"/>
        <v>0</v>
      </c>
      <c r="AL9" s="31"/>
      <c r="AM9" s="31"/>
      <c r="AP9" s="31"/>
    </row>
    <row r="10" spans="1:42" ht="11.25" customHeight="1" x14ac:dyDescent="0.25">
      <c r="A10" s="137"/>
      <c r="B10" s="137" t="s">
        <v>35</v>
      </c>
      <c r="C10" s="137" t="s">
        <v>25</v>
      </c>
      <c r="D10" s="137" t="s">
        <v>25</v>
      </c>
      <c r="E10" s="137" t="s">
        <v>25</v>
      </c>
      <c r="F10" s="137" t="s">
        <v>25</v>
      </c>
      <c r="G10" s="41" t="s">
        <v>9</v>
      </c>
      <c r="H10" s="41" t="s">
        <v>75</v>
      </c>
      <c r="I10" s="41">
        <f>'MERCADO TUSD'!$U$7</f>
        <v>83769</v>
      </c>
      <c r="J10" s="15"/>
      <c r="L10" s="31">
        <v>0</v>
      </c>
      <c r="M10" s="31">
        <v>0</v>
      </c>
      <c r="N10" s="31">
        <v>0</v>
      </c>
      <c r="O10" s="31">
        <v>0</v>
      </c>
      <c r="P10" s="31">
        <v>0</v>
      </c>
      <c r="Q10" s="31">
        <v>0</v>
      </c>
      <c r="R10" s="31">
        <v>0</v>
      </c>
      <c r="S10" s="31">
        <v>0</v>
      </c>
      <c r="T10" s="31"/>
      <c r="U10" s="31">
        <f>TRANSICAO!$U$10*CUSTOS!$R$3</f>
        <v>0</v>
      </c>
      <c r="V10" s="31">
        <f>TRANSICAO!$V$10*CUSTOS!$R$3</f>
        <v>0</v>
      </c>
      <c r="W10" s="31">
        <f>TRANSICAO!$W$10*CUSTOS!$R$3</f>
        <v>0</v>
      </c>
      <c r="X10" s="31">
        <f>TRANSICAO!$X$10*CUSTOS!$R$3</f>
        <v>0</v>
      </c>
      <c r="Y10" s="31">
        <f>TRANSICAO!$Y$10*CUSTOS!$R$3</f>
        <v>15.977600000000001</v>
      </c>
      <c r="Z10" s="31">
        <f>TRANSICAO!$Z$10*CUSTOS!$R$3</f>
        <v>0</v>
      </c>
      <c r="AA10" s="31">
        <f>TRANSICAO!$AA$10*CUSTOS!$R$3</f>
        <v>0</v>
      </c>
      <c r="AB10" s="31">
        <f>TRANSICAO!$AB$10*CUSTOS!$R$3</f>
        <v>0</v>
      </c>
      <c r="AC10" s="31">
        <f>TRANSICAO!$AC$10*CUSTOS!$R$3</f>
        <v>2.8603999999999998</v>
      </c>
      <c r="AD10" s="31">
        <f>TRANSICAO!$AD$10*CUSTOS!$R$3</f>
        <v>0</v>
      </c>
      <c r="AE10" s="31">
        <v>0</v>
      </c>
      <c r="AF10" s="31">
        <v>0</v>
      </c>
      <c r="AG10" s="31"/>
      <c r="AH10" s="31">
        <v>0</v>
      </c>
      <c r="AI10" s="31">
        <v>0</v>
      </c>
      <c r="AJ10" s="31">
        <v>0</v>
      </c>
      <c r="AK10" s="31">
        <f t="shared" si="0"/>
        <v>0</v>
      </c>
      <c r="AL10" s="31"/>
      <c r="AM10" s="31"/>
      <c r="AP10" s="31">
        <v>1</v>
      </c>
    </row>
    <row r="11" spans="1:42" ht="11.25" customHeight="1" x14ac:dyDescent="0.25">
      <c r="A11" s="137"/>
      <c r="B11" s="137"/>
      <c r="C11" s="137"/>
      <c r="D11" s="137"/>
      <c r="E11" s="137"/>
      <c r="F11" s="137"/>
      <c r="G11" s="41" t="s">
        <v>71</v>
      </c>
      <c r="H11" s="41" t="s">
        <v>70</v>
      </c>
      <c r="I11" s="41">
        <f>'MERCADO TUSD'!$U$8</f>
        <v>2568.357</v>
      </c>
      <c r="J11" s="15"/>
      <c r="L11" s="31">
        <f>0.84</f>
        <v>0.84</v>
      </c>
      <c r="M11" s="31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0.12325402345101433</v>
      </c>
      <c r="N11" s="31">
        <f ca="1">(+M11+O11+R11+U11+V11+W11+X11+Y11+Z11+AA11+AC11+AH11+AI11+AJ11+AK11)*CUSTOS!$M$5</f>
        <v>8.3941326570284875</v>
      </c>
      <c r="O11" s="31">
        <v>1</v>
      </c>
      <c r="P11" s="31">
        <v>1</v>
      </c>
      <c r="Q11" s="31">
        <f>0.84</f>
        <v>0.84</v>
      </c>
      <c r="R11" s="31">
        <v>1</v>
      </c>
      <c r="S11" s="31">
        <v>1</v>
      </c>
      <c r="T11" s="31"/>
      <c r="U11" s="31">
        <f>TRANSICAO!$U$11*CUSTOS!$R$3</f>
        <v>0</v>
      </c>
      <c r="V11" s="31">
        <f>TRANSICAO!$V$11*CUSTOS!$R$3</f>
        <v>0</v>
      </c>
      <c r="W11" s="31">
        <f>TRANSICAO!$W$11*CUSTOS!$R$3</f>
        <v>0</v>
      </c>
      <c r="X11" s="31">
        <f>TRANSICAO!$X$11*CUSTOS!$R$3</f>
        <v>0</v>
      </c>
      <c r="Y11" s="31">
        <f>TRANSICAO!$Y$11*CUSTOS!$R$3</f>
        <v>656.48889999999994</v>
      </c>
      <c r="Z11" s="31">
        <f>TRANSICAO!$Z$11*CUSTOS!$R$3</f>
        <v>0</v>
      </c>
      <c r="AA11" s="31">
        <f>TRANSICAO!$AA$11*CUSTOS!$R$3</f>
        <v>0</v>
      </c>
      <c r="AB11" s="31">
        <f>TRANSICAO!$AB$11*CUSTOS!$R$3</f>
        <v>0</v>
      </c>
      <c r="AC11" s="31">
        <f>TRANSICAO!$AC$11*CUSTOS!$R$3</f>
        <v>158.22069999999999</v>
      </c>
      <c r="AD11" s="31">
        <f>TRANSICAO!$AD$11*CUSTOS!$R$3</f>
        <v>0</v>
      </c>
      <c r="AE11" s="31">
        <v>0</v>
      </c>
      <c r="AF11" s="31">
        <v>0</v>
      </c>
      <c r="AG11" s="31"/>
      <c r="AH11" s="31">
        <v>10.0434</v>
      </c>
      <c r="AI11" s="31">
        <v>10.0434</v>
      </c>
      <c r="AJ11" s="31">
        <f ca="1">$N$63</f>
        <v>1.2468058396988613</v>
      </c>
      <c r="AK11" s="31">
        <f t="shared" ca="1" si="0"/>
        <v>1.2468058396988613</v>
      </c>
      <c r="AL11" s="31"/>
      <c r="AM11" s="31"/>
      <c r="AP11" s="31">
        <v>1</v>
      </c>
    </row>
    <row r="12" spans="1:42" ht="11.25" customHeight="1" x14ac:dyDescent="0.25">
      <c r="A12" s="137"/>
      <c r="B12" s="137"/>
      <c r="C12" s="137"/>
      <c r="D12" s="137"/>
      <c r="E12" s="137"/>
      <c r="F12" s="137"/>
      <c r="G12" s="41" t="s">
        <v>72</v>
      </c>
      <c r="H12" s="41" t="s">
        <v>70</v>
      </c>
      <c r="I12" s="41">
        <f>'MERCADO TUSD'!$U$9</f>
        <v>26371.822</v>
      </c>
      <c r="J12" s="15"/>
      <c r="L12" s="31">
        <f>0.84</f>
        <v>0.84</v>
      </c>
      <c r="M12" s="31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0.12325402345101433</v>
      </c>
      <c r="N12" s="31">
        <f ca="1">(+M12+O12+R12+U12+V12+W12+X12+Y12+Z12+AA12+AC12+AH12+AI12+AJ12+AK12)*CUSTOS!$M$5</f>
        <v>0.2470366570284874</v>
      </c>
      <c r="O12" s="31">
        <v>1</v>
      </c>
      <c r="P12" s="31">
        <v>1</v>
      </c>
      <c r="Q12" s="31">
        <f>0.84</f>
        <v>0.84</v>
      </c>
      <c r="R12" s="31">
        <v>1</v>
      </c>
      <c r="S12" s="31">
        <v>1</v>
      </c>
      <c r="T12" s="31"/>
      <c r="U12" s="31">
        <f>TRANSICAO!$U$12*CUSTOS!$R$3</f>
        <v>0</v>
      </c>
      <c r="V12" s="31">
        <f>TRANSICAO!$V$12*CUSTOS!$R$3</f>
        <v>0</v>
      </c>
      <c r="W12" s="31">
        <f>TRANSICAO!$W$12*CUSTOS!$R$3</f>
        <v>0</v>
      </c>
      <c r="X12" s="31">
        <f>TRANSICAO!$X$12*CUSTOS!$R$3</f>
        <v>0</v>
      </c>
      <c r="Y12" s="31">
        <f>TRANSICAO!$Y$12*CUSTOS!$R$3</f>
        <v>0</v>
      </c>
      <c r="Z12" s="31">
        <f>TRANSICAO!$Z$12*CUSTOS!$R$3</f>
        <v>0</v>
      </c>
      <c r="AA12" s="31">
        <f>TRANSICAO!$AA$12*CUSTOS!$R$3</f>
        <v>0</v>
      </c>
      <c r="AB12" s="31">
        <f>TRANSICAO!$AB$12*CUSTOS!$R$3</f>
        <v>0</v>
      </c>
      <c r="AC12" s="31">
        <f>TRANSICAO!$AC$12*CUSTOS!$R$3</f>
        <v>0</v>
      </c>
      <c r="AD12" s="31">
        <f>TRANSICAO!$AD$12*CUSTOS!$R$3</f>
        <v>0</v>
      </c>
      <c r="AE12" s="31">
        <v>0</v>
      </c>
      <c r="AF12" s="31">
        <v>0</v>
      </c>
      <c r="AG12" s="31"/>
      <c r="AH12" s="31">
        <v>10.0434</v>
      </c>
      <c r="AI12" s="31">
        <v>10.0434</v>
      </c>
      <c r="AJ12" s="31">
        <f ca="1">$N$63</f>
        <v>1.2468058396988613</v>
      </c>
      <c r="AK12" s="31">
        <f t="shared" ca="1" si="0"/>
        <v>1.2468058396988613</v>
      </c>
      <c r="AL12" s="31"/>
      <c r="AM12" s="31"/>
      <c r="AP12" s="31">
        <v>1</v>
      </c>
    </row>
    <row r="13" spans="1:42" ht="11.25" customHeight="1" x14ac:dyDescent="0.25">
      <c r="A13" s="137"/>
      <c r="B13" s="137"/>
      <c r="C13" s="137"/>
      <c r="D13" s="137"/>
      <c r="E13" s="137" t="s">
        <v>78</v>
      </c>
      <c r="F13" s="137" t="s">
        <v>25</v>
      </c>
      <c r="G13" s="41" t="s">
        <v>71</v>
      </c>
      <c r="H13" s="41" t="s">
        <v>70</v>
      </c>
      <c r="I13" s="41">
        <f>'MERCADO TUSD'!$U$10</f>
        <v>0</v>
      </c>
      <c r="J13" s="15"/>
      <c r="L13" s="31">
        <v>0</v>
      </c>
      <c r="M13" s="31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0.12325402345101433</v>
      </c>
      <c r="N13" s="31">
        <f ca="1">(+M13+O13+R13+U13+V13+W13+X13+Y13+Z13+AA13+AC13+AH13+AI13+AJ13+AK13)*CUSTOS!$M$5</f>
        <v>8.384132657028486</v>
      </c>
      <c r="O13" s="31">
        <v>1</v>
      </c>
      <c r="P13" s="31">
        <v>0</v>
      </c>
      <c r="Q13" s="31">
        <v>0</v>
      </c>
      <c r="R13" s="31">
        <v>0</v>
      </c>
      <c r="S13" s="31">
        <v>0</v>
      </c>
      <c r="T13" s="31"/>
      <c r="U13" s="31">
        <f>TRANSICAO!$U$13*CUSTOS!$R$3</f>
        <v>0</v>
      </c>
      <c r="V13" s="31">
        <f>TRANSICAO!$V$13*CUSTOS!$R$3</f>
        <v>0</v>
      </c>
      <c r="W13" s="31">
        <f>TRANSICAO!$W$13*CUSTOS!$R$3</f>
        <v>0</v>
      </c>
      <c r="X13" s="31">
        <f>TRANSICAO!$X$13*CUSTOS!$R$3</f>
        <v>0</v>
      </c>
      <c r="Y13" s="31">
        <f>TRANSICAO!$Y$13*CUSTOS!$R$3</f>
        <v>656.48889999999994</v>
      </c>
      <c r="Z13" s="31">
        <f>TRANSICAO!$Z$13*CUSTOS!$R$3</f>
        <v>0</v>
      </c>
      <c r="AA13" s="31">
        <f>TRANSICAO!$AA$13*CUSTOS!$R$3</f>
        <v>0</v>
      </c>
      <c r="AB13" s="31">
        <f>TRANSICAO!$AB$13*CUSTOS!$R$3</f>
        <v>0</v>
      </c>
      <c r="AC13" s="31">
        <f>TRANSICAO!$AC$13*CUSTOS!$R$3</f>
        <v>158.22069999999999</v>
      </c>
      <c r="AD13" s="31">
        <f>TRANSICAO!$AD$13*CUSTOS!$R$3</f>
        <v>0</v>
      </c>
      <c r="AE13" s="31">
        <v>0</v>
      </c>
      <c r="AF13" s="31">
        <v>0</v>
      </c>
      <c r="AG13" s="31"/>
      <c r="AH13" s="31">
        <v>10.0434</v>
      </c>
      <c r="AI13" s="31">
        <v>10.0434</v>
      </c>
      <c r="AJ13" s="31">
        <f ca="1">$N$63</f>
        <v>1.2468058396988613</v>
      </c>
      <c r="AK13" s="31">
        <f t="shared" ca="1" si="0"/>
        <v>1.2468058396988613</v>
      </c>
      <c r="AL13" s="31"/>
      <c r="AM13" s="31"/>
      <c r="AP13" s="31">
        <v>1</v>
      </c>
    </row>
    <row r="14" spans="1:42" ht="11.25" customHeight="1" x14ac:dyDescent="0.25">
      <c r="A14" s="137"/>
      <c r="B14" s="137"/>
      <c r="C14" s="137"/>
      <c r="D14" s="137"/>
      <c r="E14" s="137"/>
      <c r="F14" s="137"/>
      <c r="G14" s="41" t="s">
        <v>72</v>
      </c>
      <c r="H14" s="41" t="s">
        <v>70</v>
      </c>
      <c r="I14" s="41">
        <f>'MERCADO TUSD'!$U$11</f>
        <v>0</v>
      </c>
      <c r="J14" s="15"/>
      <c r="L14" s="31">
        <v>0</v>
      </c>
      <c r="M14" s="31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0.12325402345101433</v>
      </c>
      <c r="N14" s="31">
        <f ca="1">(+M14+O14+R14+U14+V14+W14+X14+Y14+Z14+AA14+AC14+AH14+AI14+AJ14+AK14)*CUSTOS!$M$5</f>
        <v>0.23703665702848739</v>
      </c>
      <c r="O14" s="31">
        <v>1</v>
      </c>
      <c r="P14" s="31">
        <v>0</v>
      </c>
      <c r="Q14" s="31">
        <v>0</v>
      </c>
      <c r="R14" s="31">
        <v>0</v>
      </c>
      <c r="S14" s="31">
        <v>0</v>
      </c>
      <c r="T14" s="31"/>
      <c r="U14" s="31">
        <f>TRANSICAO!$U$14*CUSTOS!$R$3</f>
        <v>0</v>
      </c>
      <c r="V14" s="31">
        <f>TRANSICAO!$V$14*CUSTOS!$R$3</f>
        <v>0</v>
      </c>
      <c r="W14" s="31">
        <f>TRANSICAO!$W$14*CUSTOS!$R$3</f>
        <v>0</v>
      </c>
      <c r="X14" s="31">
        <f>TRANSICAO!$X$14*CUSTOS!$R$3</f>
        <v>0</v>
      </c>
      <c r="Y14" s="31">
        <f>TRANSICAO!$Y$14*CUSTOS!$R$3</f>
        <v>0</v>
      </c>
      <c r="Z14" s="31">
        <f>TRANSICAO!$Z$14*CUSTOS!$R$3</f>
        <v>0</v>
      </c>
      <c r="AA14" s="31">
        <f>TRANSICAO!$AA$14*CUSTOS!$R$3</f>
        <v>0</v>
      </c>
      <c r="AB14" s="31">
        <f>TRANSICAO!$AB$14*CUSTOS!$R$3</f>
        <v>0</v>
      </c>
      <c r="AC14" s="31">
        <f>TRANSICAO!$AC$14*CUSTOS!$R$3</f>
        <v>0</v>
      </c>
      <c r="AD14" s="31">
        <f>TRANSICAO!$AD$14*CUSTOS!$R$3</f>
        <v>0</v>
      </c>
      <c r="AE14" s="31">
        <v>0</v>
      </c>
      <c r="AF14" s="31">
        <v>0</v>
      </c>
      <c r="AG14" s="31"/>
      <c r="AH14" s="31">
        <v>10.0434</v>
      </c>
      <c r="AI14" s="31">
        <v>10.0434</v>
      </c>
      <c r="AJ14" s="31">
        <f ca="1">$N$63</f>
        <v>1.2468058396988613</v>
      </c>
      <c r="AK14" s="31">
        <f t="shared" ca="1" si="0"/>
        <v>1.2468058396988613</v>
      </c>
      <c r="AL14" s="31"/>
      <c r="AM14" s="31"/>
      <c r="AP14" s="31">
        <v>1</v>
      </c>
    </row>
    <row r="15" spans="1:42" ht="11.25" customHeight="1" x14ac:dyDescent="0.25">
      <c r="A15" s="137" t="s">
        <v>80</v>
      </c>
      <c r="B15" s="137" t="s">
        <v>79</v>
      </c>
      <c r="C15" s="137" t="s">
        <v>25</v>
      </c>
      <c r="D15" s="137" t="s">
        <v>25</v>
      </c>
      <c r="E15" s="42" t="s">
        <v>81</v>
      </c>
      <c r="F15" s="42" t="s">
        <v>25</v>
      </c>
      <c r="G15" s="41" t="s">
        <v>9</v>
      </c>
      <c r="H15" s="41" t="s">
        <v>75</v>
      </c>
      <c r="I15" s="41">
        <f>'MERCADO TUSD'!$U$12+0.00000001</f>
        <v>1E-8</v>
      </c>
      <c r="J15" s="15"/>
      <c r="L15" s="31">
        <v>0</v>
      </c>
      <c r="M15" s="31">
        <v>1.9900000000000001E-2</v>
      </c>
      <c r="N15" s="31">
        <f>0.05</f>
        <v>0.05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/>
      <c r="U15" s="31">
        <f>TRANSICAO!$U$15*CUSTOS!$T$4</f>
        <v>0</v>
      </c>
      <c r="V15" s="31">
        <f>TRANSICAO!$V$15*CUSTOS!$T$4</f>
        <v>0</v>
      </c>
      <c r="W15" s="31">
        <f>TRANSICAO!$W$15*CUSTOS!$T$4</f>
        <v>0</v>
      </c>
      <c r="X15" s="31">
        <f>TRANSICAO!$X$15*CUSTOS!$T$4</f>
        <v>0</v>
      </c>
      <c r="Y15" s="31">
        <f>TRANSICAO!$Y$15*CUSTOS!$T$4</f>
        <v>0</v>
      </c>
      <c r="Z15" s="31">
        <f>TRANSICAO!$Z$15*CUSTOS!$T$4</f>
        <v>0</v>
      </c>
      <c r="AA15" s="31">
        <f>TRANSICAO!$AA$15*CUSTOS!$T$4</f>
        <v>0</v>
      </c>
      <c r="AB15" s="31">
        <f>TRANSICAO!$AB$15*CUSTOS!$T$4</f>
        <v>0</v>
      </c>
      <c r="AC15" s="31">
        <f>TRANSICAO!$AC$15*CUSTOS!$T$4</f>
        <v>4.9804000000000004</v>
      </c>
      <c r="AD15" s="31">
        <f>TRANSICAO!$AD$15*CUSTOS!$T$4</f>
        <v>0</v>
      </c>
      <c r="AE15" s="31">
        <v>0</v>
      </c>
      <c r="AF15" s="31">
        <v>0</v>
      </c>
      <c r="AG15" s="31"/>
      <c r="AH15" s="31">
        <v>0</v>
      </c>
      <c r="AI15" s="31">
        <v>0</v>
      </c>
      <c r="AJ15" s="31">
        <v>0</v>
      </c>
      <c r="AK15" s="31">
        <f t="shared" si="0"/>
        <v>0</v>
      </c>
      <c r="AL15" s="31"/>
      <c r="AM15" s="31"/>
      <c r="AP15" s="31"/>
    </row>
    <row r="16" spans="1:42" ht="11.25" customHeight="1" x14ac:dyDescent="0.25">
      <c r="A16" s="137"/>
      <c r="B16" s="137"/>
      <c r="C16" s="137"/>
      <c r="D16" s="137"/>
      <c r="E16" s="42" t="s">
        <v>82</v>
      </c>
      <c r="F16" s="42" t="s">
        <v>25</v>
      </c>
      <c r="G16" s="41" t="s">
        <v>9</v>
      </c>
      <c r="H16" s="41" t="s">
        <v>75</v>
      </c>
      <c r="I16" s="41">
        <f>'MERCADO TUSD'!$U$13+0.00000001</f>
        <v>1E-8</v>
      </c>
      <c r="J16" s="15"/>
      <c r="L16" s="31">
        <v>0</v>
      </c>
      <c r="M16" s="31">
        <v>1.9900000000000001E-2</v>
      </c>
      <c r="N16" s="31">
        <f>0.05</f>
        <v>0.05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/>
      <c r="U16" s="31">
        <f>TRANSICAO!$U$16*CUSTOS!$T$4</f>
        <v>0</v>
      </c>
      <c r="V16" s="31">
        <f>TRANSICAO!$V$16*CUSTOS!$T$4</f>
        <v>0</v>
      </c>
      <c r="W16" s="31">
        <f>TRANSICAO!$W$16*CUSTOS!$T$4</f>
        <v>0</v>
      </c>
      <c r="X16" s="31">
        <f>TRANSICAO!$X$16*CUSTOS!$T$4</f>
        <v>0</v>
      </c>
      <c r="Y16" s="31">
        <f>TRANSICAO!$Y$16*CUSTOS!$T$4</f>
        <v>0</v>
      </c>
      <c r="Z16" s="31">
        <f>TRANSICAO!$Z$16*CUSTOS!$T$4</f>
        <v>0</v>
      </c>
      <c r="AA16" s="31">
        <f>TRANSICAO!$AA$16*CUSTOS!$T$4</f>
        <v>0</v>
      </c>
      <c r="AB16" s="31">
        <f>TRANSICAO!$AB$16*CUSTOS!$T$4</f>
        <v>0</v>
      </c>
      <c r="AC16" s="31">
        <f>TRANSICAO!$AC$16*CUSTOS!$T$4</f>
        <v>8.5694999999999997</v>
      </c>
      <c r="AD16" s="31">
        <f>TRANSICAO!$AD$16*CUSTOS!$T$4</f>
        <v>0</v>
      </c>
      <c r="AE16" s="31">
        <v>0</v>
      </c>
      <c r="AF16" s="31">
        <v>0</v>
      </c>
      <c r="AG16" s="31"/>
      <c r="AH16" s="31">
        <v>0</v>
      </c>
      <c r="AI16" s="31">
        <v>0</v>
      </c>
      <c r="AJ16" s="31">
        <v>0</v>
      </c>
      <c r="AK16" s="31">
        <f t="shared" si="0"/>
        <v>0</v>
      </c>
      <c r="AL16" s="31"/>
      <c r="AM16" s="31"/>
      <c r="AP16" s="31"/>
    </row>
    <row r="17" spans="1:42" ht="11.25" customHeight="1" x14ac:dyDescent="0.25">
      <c r="A17" s="137" t="s">
        <v>22</v>
      </c>
      <c r="B17" s="137" t="s">
        <v>49</v>
      </c>
      <c r="C17" s="137" t="s">
        <v>24</v>
      </c>
      <c r="D17" s="137" t="s">
        <v>24</v>
      </c>
      <c r="E17" s="137" t="s">
        <v>25</v>
      </c>
      <c r="F17" s="137" t="s">
        <v>25</v>
      </c>
      <c r="G17" s="41" t="s">
        <v>71</v>
      </c>
      <c r="H17" s="41" t="s">
        <v>70</v>
      </c>
      <c r="I17" s="41">
        <f>'MERCADO TUSD'!$U$14</f>
        <v>0</v>
      </c>
      <c r="J17" s="15"/>
      <c r="L17" s="31">
        <f>1</f>
        <v>1</v>
      </c>
      <c r="M17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0.73231771585619554</v>
      </c>
      <c r="N17" s="31">
        <f ca="1">(+M17+O17+R17+U17+V17+W17+X17+Y17+Z17+AA17+AC17+AH17+AI17+AJ17+AK17)*CUSTOS!$M$5</f>
        <v>8.7737337098427002</v>
      </c>
      <c r="O17" s="31">
        <v>1</v>
      </c>
      <c r="P17" s="31">
        <v>1</v>
      </c>
      <c r="Q17" s="31">
        <f>1</f>
        <v>1</v>
      </c>
      <c r="R17" s="31">
        <v>1</v>
      </c>
      <c r="S17" s="31">
        <v>1</v>
      </c>
      <c r="T17" s="31"/>
      <c r="U17" s="31">
        <f>TRANSICAO!$U$17*CUSTOS!$T$3</f>
        <v>0</v>
      </c>
      <c r="V17" s="31">
        <f>TRANSICAO!$V$17*CUSTOS!$T$3</f>
        <v>0</v>
      </c>
      <c r="W17" s="31">
        <f>TRANSICAO!$W$17*CUSTOS!$T$3</f>
        <v>0</v>
      </c>
      <c r="X17" s="31">
        <f>TRANSICAO!$X$17*CUSTOS!$T$3</f>
        <v>0</v>
      </c>
      <c r="Y17" s="31">
        <f>TRANSICAO!$Y$17*CUSTOS!$T$3</f>
        <v>370.16469999999998</v>
      </c>
      <c r="Z17" s="31">
        <f>TRANSICAO!$Z$17*CUSTOS!$T$3</f>
        <v>0</v>
      </c>
      <c r="AA17" s="31">
        <f>TRANSICAO!$AA$17*CUSTOS!$T$3</f>
        <v>0</v>
      </c>
      <c r="AB17" s="31">
        <f>TRANSICAO!$AB$17*CUSTOS!$T$3</f>
        <v>0</v>
      </c>
      <c r="AC17" s="31">
        <f>TRANSICAO!$AC$17*CUSTOS!$T$3</f>
        <v>465.83049999999997</v>
      </c>
      <c r="AD17" s="31">
        <f>TRANSICAO!$AD$17*CUSTOS!$T$3</f>
        <v>0</v>
      </c>
      <c r="AE17" s="31">
        <v>0</v>
      </c>
      <c r="AF17" s="31">
        <v>0</v>
      </c>
      <c r="AG17" s="31"/>
      <c r="AH17" s="31">
        <v>17.460699999999999</v>
      </c>
      <c r="AI17" s="31">
        <v>17.460699999999999</v>
      </c>
      <c r="AJ17" s="31">
        <f ca="1">$N$64</f>
        <v>1.8622266342069633</v>
      </c>
      <c r="AK17" s="31">
        <f t="shared" ca="1" si="0"/>
        <v>1.8622266342069633</v>
      </c>
      <c r="AL17" s="31"/>
      <c r="AM17" s="31"/>
      <c r="AP17" s="31">
        <v>1</v>
      </c>
    </row>
    <row r="18" spans="1:42" ht="11.25" customHeight="1" x14ac:dyDescent="0.25">
      <c r="A18" s="137"/>
      <c r="B18" s="137"/>
      <c r="C18" s="137"/>
      <c r="D18" s="137"/>
      <c r="E18" s="137"/>
      <c r="F18" s="137"/>
      <c r="G18" s="41" t="s">
        <v>83</v>
      </c>
      <c r="H18" s="41" t="s">
        <v>70</v>
      </c>
      <c r="I18" s="41">
        <f>'MERCADO TUSD'!$U$15</f>
        <v>0</v>
      </c>
      <c r="J18" s="15"/>
      <c r="L18" s="31">
        <f>1</f>
        <v>1</v>
      </c>
      <c r="M18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0.73231771585619554</v>
      </c>
      <c r="N18" s="31">
        <f ca="1">(+M18+O18+R18+U18+V18+W18+X18+Y18+Z18+AA18+AC18+AH18+AI18+AJ18+AK18)*CUSTOS!$M$5</f>
        <v>4.5937587098427013</v>
      </c>
      <c r="O18" s="31">
        <v>1</v>
      </c>
      <c r="P18" s="31">
        <v>1</v>
      </c>
      <c r="Q18" s="31">
        <f>1</f>
        <v>1</v>
      </c>
      <c r="R18" s="31">
        <v>1</v>
      </c>
      <c r="S18" s="31">
        <v>1</v>
      </c>
      <c r="T18" s="31"/>
      <c r="U18" s="31">
        <f>TRANSICAO!$U$18*CUSTOS!$T$3</f>
        <v>0</v>
      </c>
      <c r="V18" s="31">
        <f>TRANSICAO!$V$18*CUSTOS!$T$3</f>
        <v>0</v>
      </c>
      <c r="W18" s="31">
        <f>TRANSICAO!$W$18*CUSTOS!$T$3</f>
        <v>0</v>
      </c>
      <c r="X18" s="31">
        <f>TRANSICAO!$X$18*CUSTOS!$T$3</f>
        <v>0</v>
      </c>
      <c r="Y18" s="31">
        <f>TRANSICAO!$Y$18*CUSTOS!$T$3</f>
        <v>185.08240000000001</v>
      </c>
      <c r="Z18" s="31">
        <f>TRANSICAO!$Z$18*CUSTOS!$T$3</f>
        <v>0</v>
      </c>
      <c r="AA18" s="31">
        <f>TRANSICAO!$AA$18*CUSTOS!$T$3</f>
        <v>0</v>
      </c>
      <c r="AB18" s="31">
        <f>TRANSICAO!$AB$18*CUSTOS!$T$3</f>
        <v>0</v>
      </c>
      <c r="AC18" s="31">
        <f>TRANSICAO!$AC$18*CUSTOS!$T$3</f>
        <v>232.9153</v>
      </c>
      <c r="AD18" s="31">
        <f>TRANSICAO!$AD$18*CUSTOS!$T$3</f>
        <v>0</v>
      </c>
      <c r="AE18" s="31">
        <v>0</v>
      </c>
      <c r="AF18" s="31">
        <v>0</v>
      </c>
      <c r="AG18" s="31"/>
      <c r="AH18" s="31">
        <v>17.460699999999999</v>
      </c>
      <c r="AI18" s="31">
        <v>17.460699999999999</v>
      </c>
      <c r="AJ18" s="31">
        <f ca="1">$N$64</f>
        <v>1.8622266342069633</v>
      </c>
      <c r="AK18" s="31">
        <f t="shared" ca="1" si="0"/>
        <v>1.8622266342069633</v>
      </c>
      <c r="AL18" s="31"/>
      <c r="AM18" s="31"/>
      <c r="AP18" s="31">
        <v>1</v>
      </c>
    </row>
    <row r="19" spans="1:42" ht="11.25" customHeight="1" x14ac:dyDescent="0.25">
      <c r="A19" s="137"/>
      <c r="B19" s="137"/>
      <c r="C19" s="137"/>
      <c r="D19" s="137"/>
      <c r="E19" s="137"/>
      <c r="F19" s="137"/>
      <c r="G19" s="41" t="s">
        <v>72</v>
      </c>
      <c r="H19" s="41" t="s">
        <v>70</v>
      </c>
      <c r="I19" s="41">
        <f>'MERCADO TUSD'!$U$16</f>
        <v>0</v>
      </c>
      <c r="J19" s="15"/>
      <c r="L19" s="31">
        <f>1</f>
        <v>1</v>
      </c>
      <c r="M19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0.73231771585619554</v>
      </c>
      <c r="N19" s="31">
        <f ca="1">(+M19+O19+R19+U19+V19+W19+X19+Y19+Z19+AA19+AC19+AH19+AI19+AJ19+AK19)*CUSTOS!$M$5</f>
        <v>1.2497777098427014</v>
      </c>
      <c r="O19" s="31">
        <v>1</v>
      </c>
      <c r="P19" s="31">
        <v>1</v>
      </c>
      <c r="Q19" s="31">
        <f>1</f>
        <v>1</v>
      </c>
      <c r="R19" s="31">
        <v>1</v>
      </c>
      <c r="S19" s="31">
        <v>1</v>
      </c>
      <c r="T19" s="31"/>
      <c r="U19" s="31">
        <f>TRANSICAO!$U$19*CUSTOS!$T$3</f>
        <v>0</v>
      </c>
      <c r="V19" s="31">
        <f>TRANSICAO!$V$19*CUSTOS!$T$3</f>
        <v>0</v>
      </c>
      <c r="W19" s="31">
        <f>TRANSICAO!$W$19*CUSTOS!$T$3</f>
        <v>0</v>
      </c>
      <c r="X19" s="31">
        <f>TRANSICAO!$X$19*CUSTOS!$T$3</f>
        <v>0</v>
      </c>
      <c r="Y19" s="31">
        <f>TRANSICAO!$Y$19*CUSTOS!$T$3</f>
        <v>37.016500000000001</v>
      </c>
      <c r="Z19" s="31">
        <f>TRANSICAO!$Z$19*CUSTOS!$T$3</f>
        <v>0</v>
      </c>
      <c r="AA19" s="31">
        <f>TRANSICAO!$AA$19*CUSTOS!$T$3</f>
        <v>0</v>
      </c>
      <c r="AB19" s="31">
        <f>TRANSICAO!$AB$19*CUSTOS!$T$3</f>
        <v>0</v>
      </c>
      <c r="AC19" s="31">
        <f>TRANSICAO!$AC$19*CUSTOS!$T$3</f>
        <v>46.583100000000002</v>
      </c>
      <c r="AD19" s="31">
        <f>TRANSICAO!$AD$19*CUSTOS!$T$3</f>
        <v>0</v>
      </c>
      <c r="AE19" s="31">
        <v>0</v>
      </c>
      <c r="AF19" s="31">
        <v>0</v>
      </c>
      <c r="AG19" s="31"/>
      <c r="AH19" s="31">
        <v>17.460699999999999</v>
      </c>
      <c r="AI19" s="31">
        <v>17.460699999999999</v>
      </c>
      <c r="AJ19" s="31">
        <f ca="1">$N$64</f>
        <v>1.8622266342069633</v>
      </c>
      <c r="AK19" s="31">
        <f t="shared" ca="1" si="0"/>
        <v>1.8622266342069633</v>
      </c>
      <c r="AL19" s="31"/>
      <c r="AM19" s="31"/>
      <c r="AP19" s="31">
        <v>1</v>
      </c>
    </row>
    <row r="20" spans="1:42" ht="11.25" customHeight="1" x14ac:dyDescent="0.25">
      <c r="A20" s="137"/>
      <c r="B20" s="137" t="s">
        <v>23</v>
      </c>
      <c r="C20" s="137" t="s">
        <v>24</v>
      </c>
      <c r="D20" s="42" t="s">
        <v>24</v>
      </c>
      <c r="E20" s="42" t="s">
        <v>25</v>
      </c>
      <c r="F20" s="42" t="s">
        <v>25</v>
      </c>
      <c r="G20" s="41" t="s">
        <v>74</v>
      </c>
      <c r="H20" s="41" t="s">
        <v>70</v>
      </c>
      <c r="I20" s="41">
        <f>'MERCADO TUSD'!$U$17</f>
        <v>20530.876000000004</v>
      </c>
      <c r="J20" s="15"/>
      <c r="L20" s="31">
        <f>1</f>
        <v>1</v>
      </c>
      <c r="M20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0.73231771585619554</v>
      </c>
      <c r="N20" s="31">
        <f ca="1">(+M20+O20+R20+U20+V20+W20+X20+Y20+Z20+AA20+AC20+AH20+AI20+AJ20+AK20)*CUSTOS!$M$5</f>
        <v>2.8023397098427014</v>
      </c>
      <c r="O20" s="31">
        <v>1</v>
      </c>
      <c r="P20" s="31">
        <v>1</v>
      </c>
      <c r="Q20" s="31">
        <f>1</f>
        <v>1</v>
      </c>
      <c r="R20" s="31">
        <v>1</v>
      </c>
      <c r="S20" s="31">
        <v>1</v>
      </c>
      <c r="T20" s="31"/>
      <c r="U20" s="31">
        <f>TRANSICAO!$U$20*CUSTOS!$T$3</f>
        <v>0</v>
      </c>
      <c r="V20" s="31">
        <f>TRANSICAO!$V$20*CUSTOS!$T$3</f>
        <v>0</v>
      </c>
      <c r="W20" s="31">
        <f>TRANSICAO!$W$20*CUSTOS!$T$3</f>
        <v>0</v>
      </c>
      <c r="X20" s="31">
        <f>TRANSICAO!$X$20*CUSTOS!$T$3</f>
        <v>0</v>
      </c>
      <c r="Y20" s="31">
        <f>TRANSICAO!$Y$20*CUSTOS!$T$3</f>
        <v>105.76139999999999</v>
      </c>
      <c r="Z20" s="31">
        <f>TRANSICAO!$Z$20*CUSTOS!$T$3</f>
        <v>0</v>
      </c>
      <c r="AA20" s="31">
        <f>TRANSICAO!$AA$20*CUSTOS!$T$3</f>
        <v>0</v>
      </c>
      <c r="AB20" s="31">
        <f>TRANSICAO!$AB$20*CUSTOS!$T$3</f>
        <v>0</v>
      </c>
      <c r="AC20" s="31">
        <f>TRANSICAO!$AC$20*CUSTOS!$T$3</f>
        <v>133.09440000000001</v>
      </c>
      <c r="AD20" s="31">
        <f>TRANSICAO!$AD$20*CUSTOS!$T$3</f>
        <v>0</v>
      </c>
      <c r="AE20" s="31">
        <v>0</v>
      </c>
      <c r="AF20" s="31">
        <v>0</v>
      </c>
      <c r="AG20" s="31"/>
      <c r="AH20" s="31">
        <v>17.460699999999999</v>
      </c>
      <c r="AI20" s="31">
        <v>17.460699999999999</v>
      </c>
      <c r="AJ20" s="31">
        <f ca="1">$N$64</f>
        <v>1.8622266342069633</v>
      </c>
      <c r="AK20" s="31">
        <f t="shared" ca="1" si="0"/>
        <v>1.8622266342069633</v>
      </c>
      <c r="AL20" s="31"/>
      <c r="AM20" s="31"/>
      <c r="AP20" s="31">
        <v>1</v>
      </c>
    </row>
    <row r="21" spans="1:42" ht="11.25" customHeight="1" x14ac:dyDescent="0.25">
      <c r="A21" s="137"/>
      <c r="B21" s="137"/>
      <c r="C21" s="137"/>
      <c r="D21" s="42" t="s">
        <v>28</v>
      </c>
      <c r="E21" s="42" t="s">
        <v>25</v>
      </c>
      <c r="F21" s="42" t="s">
        <v>25</v>
      </c>
      <c r="G21" s="41" t="s">
        <v>74</v>
      </c>
      <c r="H21" s="41" t="s">
        <v>70</v>
      </c>
      <c r="I21" s="41">
        <f>'MERCADO TUSD'!$U$18</f>
        <v>165.006</v>
      </c>
      <c r="J21" s="15"/>
      <c r="L21" s="31">
        <v>0</v>
      </c>
      <c r="M21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0.73231771585619554</v>
      </c>
      <c r="N21" s="31">
        <f ca="1">(+M21+O21+R21+U21+V21+W21+X21+Y21+Z21+AA21+AC21+AH21+AI21+AJ21+AK21)*CUSTOS!$M$5</f>
        <v>2.7923397098427012</v>
      </c>
      <c r="O21" s="31">
        <f>1 - CUSTOS!$M$24</f>
        <v>1</v>
      </c>
      <c r="P21" s="31">
        <v>0</v>
      </c>
      <c r="Q21" s="31">
        <v>0</v>
      </c>
      <c r="R21" s="31">
        <v>0</v>
      </c>
      <c r="S21" s="31">
        <f>1 - CUSTOS!$M$24</f>
        <v>1</v>
      </c>
      <c r="T21" s="31"/>
      <c r="U21" s="31">
        <f>TRANSICAO!$U$21*CUSTOS!$T$3</f>
        <v>0</v>
      </c>
      <c r="V21" s="31">
        <f>TRANSICAO!$V$21*CUSTOS!$T$3</f>
        <v>0</v>
      </c>
      <c r="W21" s="31">
        <f>TRANSICAO!$W$21*CUSTOS!$T$3</f>
        <v>0</v>
      </c>
      <c r="X21" s="31">
        <f>TRANSICAO!$X$21*CUSTOS!$T$3</f>
        <v>0</v>
      </c>
      <c r="Y21" s="31">
        <f>TRANSICAO!$Y$21*CUSTOS!$T$3</f>
        <v>105.76139999999999</v>
      </c>
      <c r="Z21" s="31">
        <f>TRANSICAO!$Z$21*CUSTOS!$T$3</f>
        <v>0</v>
      </c>
      <c r="AA21" s="31">
        <f>TRANSICAO!$AA$21*CUSTOS!$T$3</f>
        <v>0</v>
      </c>
      <c r="AB21" s="31">
        <f>TRANSICAO!$AB$21*CUSTOS!$T$3</f>
        <v>0</v>
      </c>
      <c r="AC21" s="31">
        <f>TRANSICAO!$AC$21*CUSTOS!$T$3</f>
        <v>133.09440000000001</v>
      </c>
      <c r="AD21" s="31">
        <f>TRANSICAO!$AD$21*CUSTOS!$T$3</f>
        <v>0</v>
      </c>
      <c r="AE21" s="31">
        <v>0</v>
      </c>
      <c r="AF21" s="31">
        <v>0</v>
      </c>
      <c r="AG21" s="31"/>
      <c r="AH21" s="31">
        <f>(1 - CUSTOS!$M$24)*17.4607</f>
        <v>17.460699999999999</v>
      </c>
      <c r="AI21" s="31">
        <f>(1 - CUSTOS!$M$24)*17.4607</f>
        <v>17.460699999999999</v>
      </c>
      <c r="AJ21" s="31">
        <f ca="1">$N$64*(1-CUSTOS!$M$24)</f>
        <v>1.8622266342069633</v>
      </c>
      <c r="AK21" s="31">
        <f t="shared" ca="1" si="0"/>
        <v>1.8622266342069633</v>
      </c>
      <c r="AL21" s="31"/>
      <c r="AM21" s="31"/>
      <c r="AP21" s="31">
        <f>IF((1 - CUSTOS!$M$24)&lt;&gt;0,1/(1 - CUSTOS!$M$24),1)</f>
        <v>1</v>
      </c>
    </row>
    <row r="22" spans="1:42" ht="11.25" customHeight="1" x14ac:dyDescent="0.25">
      <c r="A22" s="137"/>
      <c r="B22" s="137"/>
      <c r="C22" s="137"/>
      <c r="D22" s="42" t="s">
        <v>29</v>
      </c>
      <c r="E22" s="42" t="s">
        <v>25</v>
      </c>
      <c r="F22" s="42" t="s">
        <v>25</v>
      </c>
      <c r="G22" s="41" t="s">
        <v>74</v>
      </c>
      <c r="H22" s="41" t="s">
        <v>70</v>
      </c>
      <c r="I22" s="41">
        <f>'MERCADO TUSD'!$U$19</f>
        <v>350.56600000000003</v>
      </c>
      <c r="J22" s="15"/>
      <c r="L22" s="31">
        <v>0</v>
      </c>
      <c r="M22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0.73231771585619554</v>
      </c>
      <c r="N22" s="31">
        <f ca="1">(+M22+O22+R22+U22+V22+W22+X22+Y22+Z22+AA22+AC22+AH22+AI22+AJ22+AK22)*CUSTOS!$M$5</f>
        <v>2.7923397098427012</v>
      </c>
      <c r="O22" s="31">
        <f>1 - CUSTOS!$M$25</f>
        <v>1</v>
      </c>
      <c r="P22" s="31">
        <v>0</v>
      </c>
      <c r="Q22" s="31">
        <v>0</v>
      </c>
      <c r="R22" s="31">
        <v>0</v>
      </c>
      <c r="S22" s="31">
        <f>1 - CUSTOS!$M$25</f>
        <v>1</v>
      </c>
      <c r="T22" s="31"/>
      <c r="U22" s="31">
        <f>TRANSICAO!$U$22*CUSTOS!$T$3</f>
        <v>0</v>
      </c>
      <c r="V22" s="31">
        <f>TRANSICAO!$V$22*CUSTOS!$T$3</f>
        <v>0</v>
      </c>
      <c r="W22" s="31">
        <f>TRANSICAO!$W$22*CUSTOS!$T$3</f>
        <v>0</v>
      </c>
      <c r="X22" s="31">
        <f>TRANSICAO!$X$22*CUSTOS!$T$3</f>
        <v>0</v>
      </c>
      <c r="Y22" s="31">
        <f>TRANSICAO!$Y$22*CUSTOS!$T$3</f>
        <v>105.76139999999999</v>
      </c>
      <c r="Z22" s="31">
        <f>TRANSICAO!$Z$22*CUSTOS!$T$3</f>
        <v>0</v>
      </c>
      <c r="AA22" s="31">
        <f>TRANSICAO!$AA$22*CUSTOS!$T$3</f>
        <v>0</v>
      </c>
      <c r="AB22" s="31">
        <f>TRANSICAO!$AB$22*CUSTOS!$T$3</f>
        <v>0</v>
      </c>
      <c r="AC22" s="31">
        <f>TRANSICAO!$AC$22*CUSTOS!$T$3</f>
        <v>133.09440000000001</v>
      </c>
      <c r="AD22" s="31">
        <f>TRANSICAO!$AD$22*CUSTOS!$T$3</f>
        <v>0</v>
      </c>
      <c r="AE22" s="31">
        <v>0</v>
      </c>
      <c r="AF22" s="31">
        <v>0</v>
      </c>
      <c r="AG22" s="31"/>
      <c r="AH22" s="31">
        <f>(1 - CUSTOS!$M$25)*17.4607</f>
        <v>17.460699999999999</v>
      </c>
      <c r="AI22" s="31">
        <f>(1 - CUSTOS!$M$25)*17.4607</f>
        <v>17.460699999999999</v>
      </c>
      <c r="AJ22" s="31">
        <f ca="1">$N$64*(1-CUSTOS!$M$25)</f>
        <v>1.8622266342069633</v>
      </c>
      <c r="AK22" s="31">
        <f t="shared" ca="1" si="0"/>
        <v>1.8622266342069633</v>
      </c>
      <c r="AL22" s="31"/>
      <c r="AM22" s="31"/>
      <c r="AP22" s="31">
        <f>IF((1 - CUSTOS!$M$25)&lt;&gt;0,1/(1 - CUSTOS!$M$25),1)</f>
        <v>1</v>
      </c>
    </row>
    <row r="23" spans="1:42" ht="11.25" customHeight="1" x14ac:dyDescent="0.25">
      <c r="A23" s="137"/>
      <c r="B23" s="137"/>
      <c r="C23" s="137"/>
      <c r="D23" s="42" t="s">
        <v>30</v>
      </c>
      <c r="E23" s="42" t="s">
        <v>25</v>
      </c>
      <c r="F23" s="42" t="s">
        <v>25</v>
      </c>
      <c r="G23" s="41" t="s">
        <v>74</v>
      </c>
      <c r="H23" s="41" t="s">
        <v>70</v>
      </c>
      <c r="I23" s="41">
        <f>'MERCADO TUSD'!$U$20</f>
        <v>338.63600000000002</v>
      </c>
      <c r="J23" s="15"/>
      <c r="L23" s="31">
        <v>0</v>
      </c>
      <c r="M23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0.73231771585619554</v>
      </c>
      <c r="N23" s="31">
        <f ca="1">(+M23+O23+R23+U23+V23+W23+X23+Y23+Z23+AA23+AC23+AH23+AI23+AJ23+AK23)*CUSTOS!$M$5</f>
        <v>2.7923397098427012</v>
      </c>
      <c r="O23" s="31">
        <f>1 - CUSTOS!$M$26</f>
        <v>1</v>
      </c>
      <c r="P23" s="31">
        <v>0</v>
      </c>
      <c r="Q23" s="31">
        <v>0</v>
      </c>
      <c r="R23" s="31">
        <v>0</v>
      </c>
      <c r="S23" s="31">
        <f>1 - CUSTOS!$M$26</f>
        <v>1</v>
      </c>
      <c r="T23" s="31"/>
      <c r="U23" s="31">
        <f>TRANSICAO!$U$23*CUSTOS!$T$3</f>
        <v>0</v>
      </c>
      <c r="V23" s="31">
        <f>TRANSICAO!$V$23*CUSTOS!$T$3</f>
        <v>0</v>
      </c>
      <c r="W23" s="31">
        <f>TRANSICAO!$W$23*CUSTOS!$T$3</f>
        <v>0</v>
      </c>
      <c r="X23" s="31">
        <f>TRANSICAO!$X$23*CUSTOS!$T$3</f>
        <v>0</v>
      </c>
      <c r="Y23" s="31">
        <f>TRANSICAO!$Y$23*CUSTOS!$T$3</f>
        <v>105.76139999999999</v>
      </c>
      <c r="Z23" s="31">
        <f>TRANSICAO!$Z$23*CUSTOS!$T$3</f>
        <v>0</v>
      </c>
      <c r="AA23" s="31">
        <f>TRANSICAO!$AA$23*CUSTOS!$T$3</f>
        <v>0</v>
      </c>
      <c r="AB23" s="31">
        <f>TRANSICAO!$AB$23*CUSTOS!$T$3</f>
        <v>0</v>
      </c>
      <c r="AC23" s="31">
        <f>TRANSICAO!$AC$23*CUSTOS!$T$3</f>
        <v>133.09440000000001</v>
      </c>
      <c r="AD23" s="31">
        <f>TRANSICAO!$AD$23*CUSTOS!$T$3</f>
        <v>0</v>
      </c>
      <c r="AE23" s="31">
        <v>0</v>
      </c>
      <c r="AF23" s="31">
        <v>0</v>
      </c>
      <c r="AG23" s="31"/>
      <c r="AH23" s="31">
        <f>(1 - CUSTOS!$M$26)*17.4607</f>
        <v>17.460699999999999</v>
      </c>
      <c r="AI23" s="31">
        <f>(1 - CUSTOS!$M$26)*17.4607</f>
        <v>17.460699999999999</v>
      </c>
      <c r="AJ23" s="31">
        <f ca="1">$N$64*(1-CUSTOS!$M$26)</f>
        <v>1.8622266342069633</v>
      </c>
      <c r="AK23" s="31">
        <f t="shared" ca="1" si="0"/>
        <v>1.8622266342069633</v>
      </c>
      <c r="AL23" s="31"/>
      <c r="AM23" s="31"/>
      <c r="AP23" s="31">
        <f>IF((1 - CUSTOS!$M$26)&lt;&gt;0,1/(1 - CUSTOS!$M$26),1)</f>
        <v>1</v>
      </c>
    </row>
    <row r="24" spans="1:42" ht="11.25" customHeight="1" x14ac:dyDescent="0.25">
      <c r="A24" s="137"/>
      <c r="B24" s="137"/>
      <c r="C24" s="137"/>
      <c r="D24" s="42" t="s">
        <v>31</v>
      </c>
      <c r="E24" s="42" t="s">
        <v>25</v>
      </c>
      <c r="F24" s="42" t="s">
        <v>25</v>
      </c>
      <c r="G24" s="41" t="s">
        <v>74</v>
      </c>
      <c r="H24" s="41" t="s">
        <v>70</v>
      </c>
      <c r="I24" s="41">
        <f>'MERCADO TUSD'!$U$21</f>
        <v>113.66699999999999</v>
      </c>
      <c r="J24" s="15"/>
      <c r="L24" s="31">
        <v>0</v>
      </c>
      <c r="M24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0.73231771585619554</v>
      </c>
      <c r="N24" s="31">
        <f ca="1">(+M24+O24+R24+U24+V24+W24+X24+Y24+Z24+AA24+AC24+AH24+AI24+AJ24+AK24)*CUSTOS!$M$5</f>
        <v>2.7923397098427012</v>
      </c>
      <c r="O24" s="31">
        <f>1 - CUSTOS!$M$27</f>
        <v>1</v>
      </c>
      <c r="P24" s="31">
        <v>0</v>
      </c>
      <c r="Q24" s="31">
        <v>0</v>
      </c>
      <c r="R24" s="31">
        <v>0</v>
      </c>
      <c r="S24" s="31">
        <f>1 - CUSTOS!$M$27</f>
        <v>1</v>
      </c>
      <c r="T24" s="31"/>
      <c r="U24" s="31">
        <f>TRANSICAO!$U$24*CUSTOS!$T$3</f>
        <v>0</v>
      </c>
      <c r="V24" s="31">
        <f>TRANSICAO!$V$24*CUSTOS!$T$3</f>
        <v>0</v>
      </c>
      <c r="W24" s="31">
        <f>TRANSICAO!$W$24*CUSTOS!$T$3</f>
        <v>0</v>
      </c>
      <c r="X24" s="31">
        <f>TRANSICAO!$X$24*CUSTOS!$T$3</f>
        <v>0</v>
      </c>
      <c r="Y24" s="31">
        <f>TRANSICAO!$Y$24*CUSTOS!$T$3</f>
        <v>105.76139999999999</v>
      </c>
      <c r="Z24" s="31">
        <f>TRANSICAO!$Z$24*CUSTOS!$T$3</f>
        <v>0</v>
      </c>
      <c r="AA24" s="31">
        <f>TRANSICAO!$AA$24*CUSTOS!$T$3</f>
        <v>0</v>
      </c>
      <c r="AB24" s="31">
        <f>TRANSICAO!$AB$24*CUSTOS!$T$3</f>
        <v>0</v>
      </c>
      <c r="AC24" s="31">
        <f>TRANSICAO!$AC$24*CUSTOS!$T$3</f>
        <v>133.09440000000001</v>
      </c>
      <c r="AD24" s="31">
        <f>TRANSICAO!$AD$24*CUSTOS!$T$3</f>
        <v>0</v>
      </c>
      <c r="AE24" s="31">
        <v>0</v>
      </c>
      <c r="AF24" s="31">
        <v>0</v>
      </c>
      <c r="AG24" s="31"/>
      <c r="AH24" s="31">
        <f>(1 - CUSTOS!$M$27)*17.4607</f>
        <v>17.460699999999999</v>
      </c>
      <c r="AI24" s="31">
        <f>(1 - CUSTOS!$M$27)*17.4607</f>
        <v>17.460699999999999</v>
      </c>
      <c r="AJ24" s="31">
        <f ca="1">$N$64*(1-CUSTOS!$M$27)</f>
        <v>1.8622266342069633</v>
      </c>
      <c r="AK24" s="31">
        <f t="shared" ca="1" si="0"/>
        <v>1.8622266342069633</v>
      </c>
      <c r="AL24" s="31"/>
      <c r="AM24" s="31"/>
      <c r="AP24" s="31">
        <f>IF((1 - CUSTOS!$M$27)&lt;&gt;0,1/(1 - CUSTOS!$M$27),1)</f>
        <v>1</v>
      </c>
    </row>
    <row r="25" spans="1:42" ht="11.25" customHeight="1" x14ac:dyDescent="0.25">
      <c r="A25" s="137"/>
      <c r="B25" s="137" t="s">
        <v>85</v>
      </c>
      <c r="C25" s="137" t="s">
        <v>24</v>
      </c>
      <c r="D25" s="42" t="s">
        <v>24</v>
      </c>
      <c r="E25" s="42" t="s">
        <v>25</v>
      </c>
      <c r="F25" s="42" t="s">
        <v>25</v>
      </c>
      <c r="G25" s="41" t="s">
        <v>74</v>
      </c>
      <c r="H25" s="41" t="s">
        <v>70</v>
      </c>
      <c r="I25" s="41">
        <f>'MERCADO TUSD'!$U$22</f>
        <v>0</v>
      </c>
      <c r="J25" s="15"/>
      <c r="L25" s="31">
        <f>1</f>
        <v>1</v>
      </c>
      <c r="M25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0.73231771585619554</v>
      </c>
      <c r="N25" s="31">
        <f ca="1">(+M25+O25+R25+U25+V25+W25+X25+Y25+Z25+AA25+AC25+AH25+AI25+AJ25+AK25)*CUSTOS!$M$5</f>
        <v>2.8023397098427014</v>
      </c>
      <c r="O25" s="31">
        <v>1</v>
      </c>
      <c r="P25" s="31">
        <v>1</v>
      </c>
      <c r="Q25" s="31">
        <f>1</f>
        <v>1</v>
      </c>
      <c r="R25" s="31">
        <v>1</v>
      </c>
      <c r="S25" s="31">
        <v>1</v>
      </c>
      <c r="T25" s="31"/>
      <c r="U25" s="31">
        <f>TRANSICAO!$U$25*CUSTOS!$T$3</f>
        <v>0</v>
      </c>
      <c r="V25" s="31">
        <f>TRANSICAO!$V$25*CUSTOS!$T$3</f>
        <v>0</v>
      </c>
      <c r="W25" s="31">
        <f>TRANSICAO!$W$25*CUSTOS!$T$3</f>
        <v>0</v>
      </c>
      <c r="X25" s="31">
        <f>TRANSICAO!$X$25*CUSTOS!$T$3</f>
        <v>0</v>
      </c>
      <c r="Y25" s="31">
        <f>TRANSICAO!$Y$25*CUSTOS!$T$3</f>
        <v>105.76139999999999</v>
      </c>
      <c r="Z25" s="31">
        <f>TRANSICAO!$Z$25*CUSTOS!$T$3</f>
        <v>0</v>
      </c>
      <c r="AA25" s="31">
        <f>TRANSICAO!$AA$25*CUSTOS!$T$3</f>
        <v>0</v>
      </c>
      <c r="AB25" s="31">
        <f>TRANSICAO!$AB$25*CUSTOS!$T$3</f>
        <v>0</v>
      </c>
      <c r="AC25" s="31">
        <f>TRANSICAO!$AC$25*CUSTOS!$T$3</f>
        <v>133.09440000000001</v>
      </c>
      <c r="AD25" s="31">
        <f>TRANSICAO!$AD$25*CUSTOS!$T$3</f>
        <v>0</v>
      </c>
      <c r="AE25" s="31">
        <v>0</v>
      </c>
      <c r="AF25" s="31">
        <v>0</v>
      </c>
      <c r="AG25" s="31"/>
      <c r="AH25" s="31">
        <v>17.460699999999999</v>
      </c>
      <c r="AI25" s="31">
        <v>17.460699999999999</v>
      </c>
      <c r="AJ25" s="31">
        <f ca="1">$N$64</f>
        <v>1.8622266342069633</v>
      </c>
      <c r="AK25" s="31">
        <f t="shared" ca="1" si="0"/>
        <v>1.8622266342069633</v>
      </c>
      <c r="AL25" s="31"/>
      <c r="AM25" s="31"/>
      <c r="AP25" s="31">
        <v>1</v>
      </c>
    </row>
    <row r="26" spans="1:42" ht="11.25" customHeight="1" x14ac:dyDescent="0.25">
      <c r="A26" s="137"/>
      <c r="B26" s="137"/>
      <c r="C26" s="137"/>
      <c r="D26" s="42" t="s">
        <v>28</v>
      </c>
      <c r="E26" s="42" t="s">
        <v>25</v>
      </c>
      <c r="F26" s="42" t="s">
        <v>25</v>
      </c>
      <c r="G26" s="41" t="s">
        <v>74</v>
      </c>
      <c r="H26" s="41" t="s">
        <v>70</v>
      </c>
      <c r="I26" s="41">
        <f>'MERCADO TUSD'!$U$23</f>
        <v>0</v>
      </c>
      <c r="J26" s="15"/>
      <c r="L26" s="31">
        <v>0</v>
      </c>
      <c r="M26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0.73231771585619554</v>
      </c>
      <c r="N26" s="31">
        <f ca="1">(+M26+O26+R26+U26+V26+W26+X26+Y26+Z26+AA26+AC26+AH26+AI26+AJ26+AK26)*CUSTOS!$M$5</f>
        <v>2.7923397098427012</v>
      </c>
      <c r="O26" s="31">
        <f>1 - CUSTOS!$M$24</f>
        <v>1</v>
      </c>
      <c r="P26" s="31">
        <v>0</v>
      </c>
      <c r="Q26" s="31">
        <v>0</v>
      </c>
      <c r="R26" s="31">
        <v>0</v>
      </c>
      <c r="S26" s="31">
        <f>1 - CUSTOS!$M$24</f>
        <v>1</v>
      </c>
      <c r="T26" s="31"/>
      <c r="U26" s="31">
        <f>TRANSICAO!$U$26*CUSTOS!$T$3</f>
        <v>0</v>
      </c>
      <c r="V26" s="31">
        <f>TRANSICAO!$V$26*CUSTOS!$T$3</f>
        <v>0</v>
      </c>
      <c r="W26" s="31">
        <f>TRANSICAO!$W$26*CUSTOS!$T$3</f>
        <v>0</v>
      </c>
      <c r="X26" s="31">
        <f>TRANSICAO!$X$26*CUSTOS!$T$3</f>
        <v>0</v>
      </c>
      <c r="Y26" s="31">
        <f>TRANSICAO!$Y$26*CUSTOS!$T$3</f>
        <v>105.76139999999999</v>
      </c>
      <c r="Z26" s="31">
        <f>TRANSICAO!$Z$26*CUSTOS!$T$3</f>
        <v>0</v>
      </c>
      <c r="AA26" s="31">
        <f>TRANSICAO!$AA$26*CUSTOS!$T$3</f>
        <v>0</v>
      </c>
      <c r="AB26" s="31">
        <f>TRANSICAO!$AB$26*CUSTOS!$T$3</f>
        <v>0</v>
      </c>
      <c r="AC26" s="31">
        <f>TRANSICAO!$AC$26*CUSTOS!$T$3</f>
        <v>133.09440000000001</v>
      </c>
      <c r="AD26" s="31">
        <f>TRANSICAO!$AD$26*CUSTOS!$T$3</f>
        <v>0</v>
      </c>
      <c r="AE26" s="31">
        <v>0</v>
      </c>
      <c r="AF26" s="31">
        <v>0</v>
      </c>
      <c r="AG26" s="31"/>
      <c r="AH26" s="31">
        <f>(1 - CUSTOS!$M$24)*17.4607</f>
        <v>17.460699999999999</v>
      </c>
      <c r="AI26" s="31">
        <f>(1 - CUSTOS!$M$24)*17.4607</f>
        <v>17.460699999999999</v>
      </c>
      <c r="AJ26" s="31">
        <f ca="1">$N$64*(1-CUSTOS!$M$24)</f>
        <v>1.8622266342069633</v>
      </c>
      <c r="AK26" s="31">
        <f t="shared" ca="1" si="0"/>
        <v>1.8622266342069633</v>
      </c>
      <c r="AL26" s="31"/>
      <c r="AM26" s="31"/>
      <c r="AP26" s="31">
        <f>IF((1 - CUSTOS!$M$24)&lt;&gt;0,1/(1 - CUSTOS!$M$24),1)</f>
        <v>1</v>
      </c>
    </row>
    <row r="27" spans="1:42" ht="11.25" customHeight="1" x14ac:dyDescent="0.25">
      <c r="A27" s="137"/>
      <c r="B27" s="137"/>
      <c r="C27" s="137"/>
      <c r="D27" s="42" t="s">
        <v>29</v>
      </c>
      <c r="E27" s="42" t="s">
        <v>25</v>
      </c>
      <c r="F27" s="42" t="s">
        <v>25</v>
      </c>
      <c r="G27" s="41" t="s">
        <v>74</v>
      </c>
      <c r="H27" s="41" t="s">
        <v>70</v>
      </c>
      <c r="I27" s="41">
        <f>'MERCADO TUSD'!$U$24</f>
        <v>0</v>
      </c>
      <c r="J27" s="15"/>
      <c r="L27" s="31">
        <v>0</v>
      </c>
      <c r="M27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0.73231771585619554</v>
      </c>
      <c r="N27" s="31">
        <f ca="1">(+M27+O27+R27+U27+V27+W27+X27+Y27+Z27+AA27+AC27+AH27+AI27+AJ27+AK27)*CUSTOS!$M$5</f>
        <v>2.7923397098427012</v>
      </c>
      <c r="O27" s="31">
        <f>1 - CUSTOS!$M$25</f>
        <v>1</v>
      </c>
      <c r="P27" s="31">
        <v>0</v>
      </c>
      <c r="Q27" s="31">
        <v>0</v>
      </c>
      <c r="R27" s="31">
        <v>0</v>
      </c>
      <c r="S27" s="31">
        <f>1 - CUSTOS!$M$25</f>
        <v>1</v>
      </c>
      <c r="T27" s="31"/>
      <c r="U27" s="31">
        <f>TRANSICAO!$U$27*CUSTOS!$T$3</f>
        <v>0</v>
      </c>
      <c r="V27" s="31">
        <f>TRANSICAO!$V$27*CUSTOS!$T$3</f>
        <v>0</v>
      </c>
      <c r="W27" s="31">
        <f>TRANSICAO!$W$27*CUSTOS!$T$3</f>
        <v>0</v>
      </c>
      <c r="X27" s="31">
        <f>TRANSICAO!$X$27*CUSTOS!$T$3</f>
        <v>0</v>
      </c>
      <c r="Y27" s="31">
        <f>TRANSICAO!$Y$27*CUSTOS!$T$3</f>
        <v>105.76139999999999</v>
      </c>
      <c r="Z27" s="31">
        <f>TRANSICAO!$Z$27*CUSTOS!$T$3</f>
        <v>0</v>
      </c>
      <c r="AA27" s="31">
        <f>TRANSICAO!$AA$27*CUSTOS!$T$3</f>
        <v>0</v>
      </c>
      <c r="AB27" s="31">
        <f>TRANSICAO!$AB$27*CUSTOS!$T$3</f>
        <v>0</v>
      </c>
      <c r="AC27" s="31">
        <f>TRANSICAO!$AC$27*CUSTOS!$T$3</f>
        <v>133.09440000000001</v>
      </c>
      <c r="AD27" s="31">
        <f>TRANSICAO!$AD$27*CUSTOS!$T$3</f>
        <v>0</v>
      </c>
      <c r="AE27" s="31">
        <v>0</v>
      </c>
      <c r="AF27" s="31">
        <v>0</v>
      </c>
      <c r="AG27" s="31"/>
      <c r="AH27" s="31">
        <f>(1 - CUSTOS!$M$25)*17.4607</f>
        <v>17.460699999999999</v>
      </c>
      <c r="AI27" s="31">
        <f>(1 - CUSTOS!$M$25)*17.4607</f>
        <v>17.460699999999999</v>
      </c>
      <c r="AJ27" s="31">
        <f ca="1">$N$64*(1-CUSTOS!$M$25)</f>
        <v>1.8622266342069633</v>
      </c>
      <c r="AK27" s="31">
        <f t="shared" ca="1" si="0"/>
        <v>1.8622266342069633</v>
      </c>
      <c r="AL27" s="31"/>
      <c r="AM27" s="31"/>
      <c r="AP27" s="31">
        <f>IF((1 - CUSTOS!$M$25)&lt;&gt;0,1/(1 - CUSTOS!$M$25),1)</f>
        <v>1</v>
      </c>
    </row>
    <row r="28" spans="1:42" ht="11.25" customHeight="1" x14ac:dyDescent="0.25">
      <c r="A28" s="137"/>
      <c r="B28" s="137"/>
      <c r="C28" s="137"/>
      <c r="D28" s="42" t="s">
        <v>30</v>
      </c>
      <c r="E28" s="42" t="s">
        <v>25</v>
      </c>
      <c r="F28" s="42" t="s">
        <v>25</v>
      </c>
      <c r="G28" s="41" t="s">
        <v>74</v>
      </c>
      <c r="H28" s="41" t="s">
        <v>70</v>
      </c>
      <c r="I28" s="41">
        <f>'MERCADO TUSD'!$U$25</f>
        <v>0</v>
      </c>
      <c r="J28" s="15"/>
      <c r="L28" s="31">
        <v>0</v>
      </c>
      <c r="M28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0.73231771585619554</v>
      </c>
      <c r="N28" s="31">
        <f ca="1">(+M28+O28+R28+U28+V28+W28+X28+Y28+Z28+AA28+AC28+AH28+AI28+AJ28+AK28)*CUSTOS!$M$5</f>
        <v>2.7923397098427012</v>
      </c>
      <c r="O28" s="31">
        <f>1 - CUSTOS!$M$26</f>
        <v>1</v>
      </c>
      <c r="P28" s="31">
        <v>0</v>
      </c>
      <c r="Q28" s="31">
        <v>0</v>
      </c>
      <c r="R28" s="31">
        <v>0</v>
      </c>
      <c r="S28" s="31">
        <f>1 - CUSTOS!$M$26</f>
        <v>1</v>
      </c>
      <c r="T28" s="31"/>
      <c r="U28" s="31">
        <f>TRANSICAO!$U$28*CUSTOS!$T$3</f>
        <v>0</v>
      </c>
      <c r="V28" s="31">
        <f>TRANSICAO!$V$28*CUSTOS!$T$3</f>
        <v>0</v>
      </c>
      <c r="W28" s="31">
        <f>TRANSICAO!$W$28*CUSTOS!$T$3</f>
        <v>0</v>
      </c>
      <c r="X28" s="31">
        <f>TRANSICAO!$X$28*CUSTOS!$T$3</f>
        <v>0</v>
      </c>
      <c r="Y28" s="31">
        <f>TRANSICAO!$Y$28*CUSTOS!$T$3</f>
        <v>105.76139999999999</v>
      </c>
      <c r="Z28" s="31">
        <f>TRANSICAO!$Z$28*CUSTOS!$T$3</f>
        <v>0</v>
      </c>
      <c r="AA28" s="31">
        <f>TRANSICAO!$AA$28*CUSTOS!$T$3</f>
        <v>0</v>
      </c>
      <c r="AB28" s="31">
        <f>TRANSICAO!$AB$28*CUSTOS!$T$3</f>
        <v>0</v>
      </c>
      <c r="AC28" s="31">
        <f>TRANSICAO!$AC$28*CUSTOS!$T$3</f>
        <v>133.09440000000001</v>
      </c>
      <c r="AD28" s="31">
        <f>TRANSICAO!$AD$28*CUSTOS!$T$3</f>
        <v>0</v>
      </c>
      <c r="AE28" s="31">
        <v>0</v>
      </c>
      <c r="AF28" s="31">
        <v>0</v>
      </c>
      <c r="AG28" s="31"/>
      <c r="AH28" s="31">
        <f>(1 - CUSTOS!$M$26)*17.4607</f>
        <v>17.460699999999999</v>
      </c>
      <c r="AI28" s="31">
        <f>(1 - CUSTOS!$M$26)*17.4607</f>
        <v>17.460699999999999</v>
      </c>
      <c r="AJ28" s="31">
        <f ca="1">$N$64*(1-CUSTOS!$M$26)</f>
        <v>1.8622266342069633</v>
      </c>
      <c r="AK28" s="31">
        <f t="shared" ca="1" si="0"/>
        <v>1.8622266342069633</v>
      </c>
      <c r="AL28" s="31"/>
      <c r="AM28" s="31"/>
      <c r="AP28" s="31">
        <f>IF((1 - CUSTOS!$M$26)&lt;&gt;0,1/(1 - CUSTOS!$M$26),1)</f>
        <v>1</v>
      </c>
    </row>
    <row r="29" spans="1:42" ht="11.25" customHeight="1" x14ac:dyDescent="0.25">
      <c r="A29" s="137"/>
      <c r="B29" s="137"/>
      <c r="C29" s="137"/>
      <c r="D29" s="42" t="s">
        <v>31</v>
      </c>
      <c r="E29" s="42" t="s">
        <v>25</v>
      </c>
      <c r="F29" s="42" t="s">
        <v>25</v>
      </c>
      <c r="G29" s="41" t="s">
        <v>74</v>
      </c>
      <c r="H29" s="41" t="s">
        <v>70</v>
      </c>
      <c r="I29" s="41">
        <f>'MERCADO TUSD'!$U$26</f>
        <v>0</v>
      </c>
      <c r="J29" s="15"/>
      <c r="L29" s="31">
        <v>0</v>
      </c>
      <c r="M29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0.73231771585619554</v>
      </c>
      <c r="N29" s="31">
        <f ca="1">(+M29+O29+R29+U29+V29+W29+X29+Y29+Z29+AA29+AC29+AH29+AI29+AJ29+AK29)*CUSTOS!$M$5</f>
        <v>2.7923397098427012</v>
      </c>
      <c r="O29" s="31">
        <f>1 - CUSTOS!$M$27</f>
        <v>1</v>
      </c>
      <c r="P29" s="31">
        <v>0</v>
      </c>
      <c r="Q29" s="31">
        <v>0</v>
      </c>
      <c r="R29" s="31">
        <v>0</v>
      </c>
      <c r="S29" s="31">
        <f>1 - CUSTOS!$M$27</f>
        <v>1</v>
      </c>
      <c r="T29" s="31"/>
      <c r="U29" s="31">
        <f>TRANSICAO!$U$29*CUSTOS!$T$3</f>
        <v>0</v>
      </c>
      <c r="V29" s="31">
        <f>TRANSICAO!$V$29*CUSTOS!$T$3</f>
        <v>0</v>
      </c>
      <c r="W29" s="31">
        <f>TRANSICAO!$W$29*CUSTOS!$T$3</f>
        <v>0</v>
      </c>
      <c r="X29" s="31">
        <f>TRANSICAO!$X$29*CUSTOS!$T$3</f>
        <v>0</v>
      </c>
      <c r="Y29" s="31">
        <f>TRANSICAO!$Y$29*CUSTOS!$T$3</f>
        <v>105.76139999999999</v>
      </c>
      <c r="Z29" s="31">
        <f>TRANSICAO!$Z$29*CUSTOS!$T$3</f>
        <v>0</v>
      </c>
      <c r="AA29" s="31">
        <f>TRANSICAO!$AA$29*CUSTOS!$T$3</f>
        <v>0</v>
      </c>
      <c r="AB29" s="31">
        <f>TRANSICAO!$AB$29*CUSTOS!$T$3</f>
        <v>0</v>
      </c>
      <c r="AC29" s="31">
        <f>TRANSICAO!$AC$29*CUSTOS!$T$3</f>
        <v>133.09440000000001</v>
      </c>
      <c r="AD29" s="31">
        <f>TRANSICAO!$AD$29*CUSTOS!$T$3</f>
        <v>0</v>
      </c>
      <c r="AE29" s="31">
        <v>0</v>
      </c>
      <c r="AF29" s="31">
        <v>0</v>
      </c>
      <c r="AG29" s="31"/>
      <c r="AH29" s="31">
        <f>(1 - CUSTOS!$M$27)*17.4607</f>
        <v>17.460699999999999</v>
      </c>
      <c r="AI29" s="31">
        <f>(1 - CUSTOS!$M$27)*17.4607</f>
        <v>17.460699999999999</v>
      </c>
      <c r="AJ29" s="31">
        <f ca="1">$N$64*(1-CUSTOS!$M$27)</f>
        <v>1.8622266342069633</v>
      </c>
      <c r="AK29" s="31">
        <f t="shared" ca="1" si="0"/>
        <v>1.8622266342069633</v>
      </c>
      <c r="AL29" s="31"/>
      <c r="AM29" s="31"/>
      <c r="AP29" s="31">
        <f>IF((1 - CUSTOS!$M$27)&lt;&gt;0,1/(1 - CUSTOS!$M$27),1)</f>
        <v>1</v>
      </c>
    </row>
    <row r="30" spans="1:42" ht="11.25" customHeight="1" x14ac:dyDescent="0.25">
      <c r="A30" s="137" t="s">
        <v>39</v>
      </c>
      <c r="B30" s="137" t="s">
        <v>49</v>
      </c>
      <c r="C30" s="137" t="s">
        <v>40</v>
      </c>
      <c r="D30" s="137" t="s">
        <v>25</v>
      </c>
      <c r="E30" s="137" t="s">
        <v>25</v>
      </c>
      <c r="F30" s="137" t="s">
        <v>25</v>
      </c>
      <c r="G30" s="41" t="s">
        <v>71</v>
      </c>
      <c r="H30" s="41" t="s">
        <v>70</v>
      </c>
      <c r="I30" s="41">
        <f>'MERCADO TUSD'!$U$27</f>
        <v>0</v>
      </c>
      <c r="J30" s="15"/>
      <c r="L30" s="31">
        <f>1*(1 - CUSTOS!$M$28)</f>
        <v>1</v>
      </c>
      <c r="M30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0.73231771585619554</v>
      </c>
      <c r="N30" s="31">
        <f ca="1">(+M30+O30+R30+U30+V30+W30+X30+Y30+Z30+AA30+AC30+AH30+AI30+AJ30+AK30)*CUSTOS!$M$5</f>
        <v>6.7434607098427026</v>
      </c>
      <c r="O30" s="31">
        <f>1 - CUSTOS!$M$28</f>
        <v>1</v>
      </c>
      <c r="P30" s="31">
        <f>1 - CUSTOS!$M$28</f>
        <v>1</v>
      </c>
      <c r="Q30" s="31">
        <f>1*(1 - CUSTOS!$M$28)</f>
        <v>1</v>
      </c>
      <c r="R30" s="31">
        <f>1 - CUSTOS!$M$28</f>
        <v>1</v>
      </c>
      <c r="S30" s="31">
        <f>1 - CUSTOS!$M$28</f>
        <v>1</v>
      </c>
      <c r="T30" s="31"/>
      <c r="U30" s="31">
        <f>TRANSICAO!$U$30*CUSTOS!$T$3</f>
        <v>0</v>
      </c>
      <c r="V30" s="31">
        <f>TRANSICAO!$V$30*CUSTOS!$T$3</f>
        <v>0</v>
      </c>
      <c r="W30" s="31">
        <f>TRANSICAO!$W$30*CUSTOS!$T$3</f>
        <v>0</v>
      </c>
      <c r="X30" s="31">
        <f>TRANSICAO!$X$30*CUSTOS!$T$3</f>
        <v>0</v>
      </c>
      <c r="Y30" s="31">
        <f>TRANSICAO!$Y$30*CUSTOS!$T$3</f>
        <v>280.26760000000002</v>
      </c>
      <c r="Z30" s="31">
        <f>TRANSICAO!$Z$30*CUSTOS!$T$3</f>
        <v>0</v>
      </c>
      <c r="AA30" s="31">
        <f>TRANSICAO!$AA$30*CUSTOS!$T$3</f>
        <v>0</v>
      </c>
      <c r="AB30" s="31">
        <f>TRANSICAO!$AB$30*CUSTOS!$T$3</f>
        <v>0</v>
      </c>
      <c r="AC30" s="31">
        <f>TRANSICAO!$AC$30*CUSTOS!$T$3</f>
        <v>352.70030000000003</v>
      </c>
      <c r="AD30" s="31">
        <f>TRANSICAO!$AD$30*CUSTOS!$T$3</f>
        <v>0</v>
      </c>
      <c r="AE30" s="31">
        <v>0</v>
      </c>
      <c r="AF30" s="31">
        <v>0</v>
      </c>
      <c r="AG30" s="31"/>
      <c r="AH30" s="31">
        <f>(1 - CUSTOS!$M$28)*17.4607</f>
        <v>17.460699999999999</v>
      </c>
      <c r="AI30" s="31">
        <f>(1 - CUSTOS!$M$28)*17.4607</f>
        <v>17.460699999999999</v>
      </c>
      <c r="AJ30" s="31">
        <f ca="1">$N$64*(1-CUSTOS!$M$28)</f>
        <v>1.8622266342069633</v>
      </c>
      <c r="AK30" s="31">
        <f t="shared" ca="1" si="0"/>
        <v>1.8622266342069633</v>
      </c>
      <c r="AL30" s="31"/>
      <c r="AM30" s="31"/>
      <c r="AP30" s="31">
        <f>IF((1 - CUSTOS!$M$28)&lt;&gt;0,1/(1 - CUSTOS!$M$28),1)</f>
        <v>1</v>
      </c>
    </row>
    <row r="31" spans="1:42" ht="11.25" customHeight="1" x14ac:dyDescent="0.25">
      <c r="A31" s="137"/>
      <c r="B31" s="137"/>
      <c r="C31" s="137"/>
      <c r="D31" s="137"/>
      <c r="E31" s="137"/>
      <c r="F31" s="137"/>
      <c r="G31" s="41" t="s">
        <v>83</v>
      </c>
      <c r="H31" s="41" t="s">
        <v>70</v>
      </c>
      <c r="I31" s="41">
        <f>'MERCADO TUSD'!$U$28</f>
        <v>0</v>
      </c>
      <c r="J31" s="15"/>
      <c r="L31" s="31">
        <f>1*(1 - CUSTOS!$M$28)</f>
        <v>1</v>
      </c>
      <c r="M31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0.73231771585619554</v>
      </c>
      <c r="N31" s="31">
        <f ca="1">(+M31+O31+R31+U31+V31+W31+X31+Y31+Z31+AA31+AC31+AH31+AI31+AJ31+AK31)*CUSTOS!$M$5</f>
        <v>4.2115897098427011</v>
      </c>
      <c r="O31" s="31">
        <f>1 - CUSTOS!$M$28</f>
        <v>1</v>
      </c>
      <c r="P31" s="31">
        <f>1 - CUSTOS!$M$28</f>
        <v>1</v>
      </c>
      <c r="Q31" s="31">
        <f>1*(1 - CUSTOS!$M$28)</f>
        <v>1</v>
      </c>
      <c r="R31" s="31">
        <f>1 - CUSTOS!$M$28</f>
        <v>1</v>
      </c>
      <c r="S31" s="31">
        <f>1 - CUSTOS!$M$28</f>
        <v>1</v>
      </c>
      <c r="T31" s="31"/>
      <c r="U31" s="31">
        <f>TRANSICAO!$U$31*CUSTOS!$T$3</f>
        <v>0</v>
      </c>
      <c r="V31" s="31">
        <f>TRANSICAO!$V$31*CUSTOS!$T$3</f>
        <v>0</v>
      </c>
      <c r="W31" s="31">
        <f>TRANSICAO!$W$31*CUSTOS!$T$3</f>
        <v>0</v>
      </c>
      <c r="X31" s="31">
        <f>TRANSICAO!$X$31*CUSTOS!$T$3</f>
        <v>0</v>
      </c>
      <c r="Y31" s="31">
        <f>TRANSICAO!$Y$31*CUSTOS!$T$3</f>
        <v>168.16059999999999</v>
      </c>
      <c r="Z31" s="31">
        <f>TRANSICAO!$Z$31*CUSTOS!$T$3</f>
        <v>0</v>
      </c>
      <c r="AA31" s="31">
        <f>TRANSICAO!$AA$31*CUSTOS!$T$3</f>
        <v>0</v>
      </c>
      <c r="AB31" s="31">
        <f>TRANSICAO!$AB$31*CUSTOS!$T$3</f>
        <v>0</v>
      </c>
      <c r="AC31" s="31">
        <f>TRANSICAO!$AC$31*CUSTOS!$T$3</f>
        <v>211.62020000000001</v>
      </c>
      <c r="AD31" s="31">
        <f>TRANSICAO!$AD$31*CUSTOS!$T$3</f>
        <v>0</v>
      </c>
      <c r="AE31" s="31">
        <v>0</v>
      </c>
      <c r="AF31" s="31">
        <v>0</v>
      </c>
      <c r="AG31" s="31"/>
      <c r="AH31" s="31">
        <f>(1 - CUSTOS!$M$28)*17.4607</f>
        <v>17.460699999999999</v>
      </c>
      <c r="AI31" s="31">
        <f>(1 - CUSTOS!$M$28)*17.4607</f>
        <v>17.460699999999999</v>
      </c>
      <c r="AJ31" s="31">
        <f ca="1">$N$64*(1-CUSTOS!$M$28)</f>
        <v>1.8622266342069633</v>
      </c>
      <c r="AK31" s="31">
        <f t="shared" ca="1" si="0"/>
        <v>1.8622266342069633</v>
      </c>
      <c r="AL31" s="31"/>
      <c r="AM31" s="31"/>
      <c r="AP31" s="31">
        <f>IF((1 - CUSTOS!$M$28)&lt;&gt;0,1/(1 - CUSTOS!$M$28),1)</f>
        <v>1</v>
      </c>
    </row>
    <row r="32" spans="1:42" ht="11.25" customHeight="1" x14ac:dyDescent="0.25">
      <c r="A32" s="137"/>
      <c r="B32" s="137"/>
      <c r="C32" s="137"/>
      <c r="D32" s="137"/>
      <c r="E32" s="137"/>
      <c r="F32" s="137"/>
      <c r="G32" s="41" t="s">
        <v>72</v>
      </c>
      <c r="H32" s="41" t="s">
        <v>70</v>
      </c>
      <c r="I32" s="41">
        <f>'MERCADO TUSD'!$U$29</f>
        <v>0</v>
      </c>
      <c r="J32" s="15"/>
      <c r="L32" s="31">
        <f>1*(1 - CUSTOS!$M$28)</f>
        <v>1</v>
      </c>
      <c r="M32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0.73231771585619554</v>
      </c>
      <c r="N32" s="31">
        <f ca="1">(+M32+O32+R32+U32+V32+W32+X32+Y32+Z32+AA32+AC32+AH32+AI32+AJ32+AK32)*CUSTOS!$M$5</f>
        <v>1.6797177098427012</v>
      </c>
      <c r="O32" s="31">
        <f>1 - CUSTOS!$M$28</f>
        <v>1</v>
      </c>
      <c r="P32" s="31">
        <f>1 - CUSTOS!$M$28</f>
        <v>1</v>
      </c>
      <c r="Q32" s="31">
        <f>1*(1 - CUSTOS!$M$28)</f>
        <v>1</v>
      </c>
      <c r="R32" s="31">
        <f>1 - CUSTOS!$M$28</f>
        <v>1</v>
      </c>
      <c r="S32" s="31">
        <f>1 - CUSTOS!$M$28</f>
        <v>1</v>
      </c>
      <c r="T32" s="31"/>
      <c r="U32" s="31">
        <f>TRANSICAO!$U$32*CUSTOS!$T$3</f>
        <v>0</v>
      </c>
      <c r="V32" s="31">
        <f>TRANSICAO!$V$32*CUSTOS!$T$3</f>
        <v>0</v>
      </c>
      <c r="W32" s="31">
        <f>TRANSICAO!$W$32*CUSTOS!$T$3</f>
        <v>0</v>
      </c>
      <c r="X32" s="31">
        <f>TRANSICAO!$X$32*CUSTOS!$T$3</f>
        <v>0</v>
      </c>
      <c r="Y32" s="31">
        <f>TRANSICAO!$Y$32*CUSTOS!$T$3</f>
        <v>56.0535</v>
      </c>
      <c r="Z32" s="31">
        <f>TRANSICAO!$Z$32*CUSTOS!$T$3</f>
        <v>0</v>
      </c>
      <c r="AA32" s="31">
        <f>TRANSICAO!$AA$32*CUSTOS!$T$3</f>
        <v>0</v>
      </c>
      <c r="AB32" s="31">
        <f>TRANSICAO!$AB$32*CUSTOS!$T$3</f>
        <v>0</v>
      </c>
      <c r="AC32" s="31">
        <f>TRANSICAO!$AC$32*CUSTOS!$T$3</f>
        <v>70.540099999999995</v>
      </c>
      <c r="AD32" s="31">
        <f>TRANSICAO!$AD$32*CUSTOS!$T$3</f>
        <v>0</v>
      </c>
      <c r="AE32" s="31">
        <v>0</v>
      </c>
      <c r="AF32" s="31">
        <v>0</v>
      </c>
      <c r="AG32" s="31"/>
      <c r="AH32" s="31">
        <f>(1 - CUSTOS!$M$28)*17.4607</f>
        <v>17.460699999999999</v>
      </c>
      <c r="AI32" s="31">
        <f>(1 - CUSTOS!$M$28)*17.4607</f>
        <v>17.460699999999999</v>
      </c>
      <c r="AJ32" s="31">
        <f ca="1">$N$64*(1-CUSTOS!$M$28)</f>
        <v>1.8622266342069633</v>
      </c>
      <c r="AK32" s="31">
        <f t="shared" ca="1" si="0"/>
        <v>1.8622266342069633</v>
      </c>
      <c r="AL32" s="31"/>
      <c r="AM32" s="31"/>
      <c r="AP32" s="31">
        <f>IF((1 - CUSTOS!$M$28)&lt;&gt;0,1/(1 - CUSTOS!$M$28),1)</f>
        <v>1</v>
      </c>
    </row>
    <row r="33" spans="1:42" ht="11.25" customHeight="1" x14ac:dyDescent="0.25">
      <c r="A33" s="137"/>
      <c r="B33" s="42" t="s">
        <v>23</v>
      </c>
      <c r="C33" s="42" t="s">
        <v>40</v>
      </c>
      <c r="D33" s="42" t="s">
        <v>25</v>
      </c>
      <c r="E33" s="42" t="s">
        <v>25</v>
      </c>
      <c r="F33" s="42" t="s">
        <v>25</v>
      </c>
      <c r="G33" s="41" t="s">
        <v>74</v>
      </c>
      <c r="H33" s="41" t="s">
        <v>70</v>
      </c>
      <c r="I33" s="41">
        <f>'MERCADO TUSD'!$U$30</f>
        <v>45.472000000000001</v>
      </c>
      <c r="J33" s="15"/>
      <c r="L33" s="31">
        <f>1*(1 - CUSTOS!$M$28)</f>
        <v>1</v>
      </c>
      <c r="M33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0.73231771585619554</v>
      </c>
      <c r="N33" s="31">
        <f ca="1">(+M33+O33+R33+U33+V33+W33+X33+Y33+Z33+AA33+AC33+AH33+AI33+AJ33+AK33)*CUSTOS!$M$5</f>
        <v>2.8023397098427014</v>
      </c>
      <c r="O33" s="31">
        <f>1 - CUSTOS!$M$28</f>
        <v>1</v>
      </c>
      <c r="P33" s="31">
        <f>1 - CUSTOS!$M$28</f>
        <v>1</v>
      </c>
      <c r="Q33" s="31">
        <f>1*(1 - CUSTOS!$M$28)</f>
        <v>1</v>
      </c>
      <c r="R33" s="31">
        <f>1 - CUSTOS!$M$28</f>
        <v>1</v>
      </c>
      <c r="S33" s="31">
        <f>1 - CUSTOS!$M$28</f>
        <v>1</v>
      </c>
      <c r="T33" s="31"/>
      <c r="U33" s="31">
        <f>TRANSICAO!$U$33*CUSTOS!$T$3</f>
        <v>0</v>
      </c>
      <c r="V33" s="31">
        <f>TRANSICAO!$V$33*CUSTOS!$T$3</f>
        <v>0</v>
      </c>
      <c r="W33" s="31">
        <f>TRANSICAO!$W$33*CUSTOS!$T$3</f>
        <v>0</v>
      </c>
      <c r="X33" s="31">
        <f>TRANSICAO!$X$33*CUSTOS!$T$3</f>
        <v>0</v>
      </c>
      <c r="Y33" s="31">
        <f>TRANSICAO!$Y$33*CUSTOS!$T$3</f>
        <v>105.76139999999999</v>
      </c>
      <c r="Z33" s="31">
        <f>TRANSICAO!$Z$33*CUSTOS!$T$3</f>
        <v>0</v>
      </c>
      <c r="AA33" s="31">
        <f>TRANSICAO!$AA$33*CUSTOS!$T$3</f>
        <v>0</v>
      </c>
      <c r="AB33" s="31">
        <f>TRANSICAO!$AB$33*CUSTOS!$T$3</f>
        <v>0</v>
      </c>
      <c r="AC33" s="31">
        <f>TRANSICAO!$AC$33*CUSTOS!$T$3</f>
        <v>133.09440000000001</v>
      </c>
      <c r="AD33" s="31">
        <f>TRANSICAO!$AD$33*CUSTOS!$T$3</f>
        <v>0</v>
      </c>
      <c r="AE33" s="31">
        <v>0</v>
      </c>
      <c r="AF33" s="31">
        <v>0</v>
      </c>
      <c r="AG33" s="31"/>
      <c r="AH33" s="31">
        <f>(1 - CUSTOS!$M$28)*17.4607</f>
        <v>17.460699999999999</v>
      </c>
      <c r="AI33" s="31">
        <f>(1 - CUSTOS!$M$28)*17.4607</f>
        <v>17.460699999999999</v>
      </c>
      <c r="AJ33" s="31">
        <f ca="1">$N$64*(1-CUSTOS!$M$28)</f>
        <v>1.8622266342069633</v>
      </c>
      <c r="AK33" s="31">
        <f t="shared" ca="1" si="0"/>
        <v>1.8622266342069633</v>
      </c>
      <c r="AL33" s="31"/>
      <c r="AM33" s="31"/>
      <c r="AP33" s="31">
        <f>IF((1 - CUSTOS!$M$28)&lt;&gt;0,1/(1 - CUSTOS!$M$28),1)</f>
        <v>1</v>
      </c>
    </row>
    <row r="34" spans="1:42" ht="11.25" customHeight="1" x14ac:dyDescent="0.25">
      <c r="A34" s="137"/>
      <c r="B34" s="137" t="s">
        <v>49</v>
      </c>
      <c r="C34" s="137" t="s">
        <v>40</v>
      </c>
      <c r="D34" s="137" t="s">
        <v>86</v>
      </c>
      <c r="E34" s="137" t="s">
        <v>25</v>
      </c>
      <c r="F34" s="137" t="s">
        <v>25</v>
      </c>
      <c r="G34" s="41" t="s">
        <v>71</v>
      </c>
      <c r="H34" s="41" t="s">
        <v>70</v>
      </c>
      <c r="I34" s="41">
        <f>'MERCADO TUSD'!$U$31</f>
        <v>0</v>
      </c>
      <c r="J34" s="15"/>
      <c r="L34" s="31">
        <f>1*(1 - CUSTOS!$M$29)</f>
        <v>1</v>
      </c>
      <c r="M34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0.73231771585619554</v>
      </c>
      <c r="N34" s="31">
        <f ca="1">(+M34+O34+R34+U34+V34+W34+X34+Y34+Z34+AA34+AC34+AH34+AI34+AJ34+AK34)*CUSTOS!$M$5</f>
        <v>6.7434607098427026</v>
      </c>
      <c r="O34" s="31">
        <f>1 - CUSTOS!$M$29</f>
        <v>1</v>
      </c>
      <c r="P34" s="31">
        <f>1 - CUSTOS!$M$29</f>
        <v>1</v>
      </c>
      <c r="Q34" s="31">
        <f>1*(1 - CUSTOS!$M$29)</f>
        <v>1</v>
      </c>
      <c r="R34" s="31">
        <f>1 - CUSTOS!$M$29</f>
        <v>1</v>
      </c>
      <c r="S34" s="31">
        <f>1 - CUSTOS!$M$29</f>
        <v>1</v>
      </c>
      <c r="T34" s="31"/>
      <c r="U34" s="31">
        <f>TRANSICAO!$U$34*CUSTOS!$T$3</f>
        <v>0</v>
      </c>
      <c r="V34" s="31">
        <f>TRANSICAO!$V$34*CUSTOS!$T$3</f>
        <v>0</v>
      </c>
      <c r="W34" s="31">
        <f>TRANSICAO!$W$34*CUSTOS!$T$3</f>
        <v>0</v>
      </c>
      <c r="X34" s="31">
        <f>TRANSICAO!$X$34*CUSTOS!$T$3</f>
        <v>0</v>
      </c>
      <c r="Y34" s="31">
        <f>TRANSICAO!$Y$34*CUSTOS!$T$3</f>
        <v>280.26760000000002</v>
      </c>
      <c r="Z34" s="31">
        <f>TRANSICAO!$Z$34*CUSTOS!$T$3</f>
        <v>0</v>
      </c>
      <c r="AA34" s="31">
        <f>TRANSICAO!$AA$34*CUSTOS!$T$3</f>
        <v>0</v>
      </c>
      <c r="AB34" s="31">
        <f>TRANSICAO!$AB$34*CUSTOS!$T$3</f>
        <v>0</v>
      </c>
      <c r="AC34" s="31">
        <f>TRANSICAO!$AC$34*CUSTOS!$T$3</f>
        <v>352.70030000000003</v>
      </c>
      <c r="AD34" s="31">
        <f>TRANSICAO!$AD$34*CUSTOS!$T$3</f>
        <v>0</v>
      </c>
      <c r="AE34" s="31">
        <v>0</v>
      </c>
      <c r="AF34" s="31">
        <v>0</v>
      </c>
      <c r="AG34" s="31"/>
      <c r="AH34" s="31">
        <f>(1 - CUSTOS!$M$29)*17.4607</f>
        <v>17.460699999999999</v>
      </c>
      <c r="AI34" s="31">
        <f>(1 - CUSTOS!$M$29)*17.4607</f>
        <v>17.460699999999999</v>
      </c>
      <c r="AJ34" s="31">
        <f ca="1">$N$64*(1-CUSTOS!$M$29)</f>
        <v>1.8622266342069633</v>
      </c>
      <c r="AK34" s="31">
        <f t="shared" ca="1" si="0"/>
        <v>1.8622266342069633</v>
      </c>
      <c r="AL34" s="31"/>
      <c r="AM34" s="31"/>
      <c r="AP34" s="31">
        <f>IF((1 - CUSTOS!$M$29)&lt;&gt;0,1/(1 - CUSTOS!$M$29),1)</f>
        <v>1</v>
      </c>
    </row>
    <row r="35" spans="1:42" ht="11.25" customHeight="1" x14ac:dyDescent="0.25">
      <c r="A35" s="137"/>
      <c r="B35" s="137"/>
      <c r="C35" s="137"/>
      <c r="D35" s="137"/>
      <c r="E35" s="137"/>
      <c r="F35" s="137"/>
      <c r="G35" s="41" t="s">
        <v>83</v>
      </c>
      <c r="H35" s="41" t="s">
        <v>70</v>
      </c>
      <c r="I35" s="41">
        <f>'MERCADO TUSD'!$U$32</f>
        <v>0</v>
      </c>
      <c r="J35" s="15"/>
      <c r="L35" s="31">
        <f>1*(1 - CUSTOS!$M$29)</f>
        <v>1</v>
      </c>
      <c r="M35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0.73231771585619554</v>
      </c>
      <c r="N35" s="31">
        <f ca="1">(+M35+O35+R35+U35+V35+W35+X35+Y35+Z35+AA35+AC35+AH35+AI35+AJ35+AK35)*CUSTOS!$M$5</f>
        <v>4.2115897098427011</v>
      </c>
      <c r="O35" s="31">
        <f>1 - CUSTOS!$M$29</f>
        <v>1</v>
      </c>
      <c r="P35" s="31">
        <f>1 - CUSTOS!$M$29</f>
        <v>1</v>
      </c>
      <c r="Q35" s="31">
        <f>1*(1 - CUSTOS!$M$29)</f>
        <v>1</v>
      </c>
      <c r="R35" s="31">
        <f>1 - CUSTOS!$M$29</f>
        <v>1</v>
      </c>
      <c r="S35" s="31">
        <f>1 - CUSTOS!$M$29</f>
        <v>1</v>
      </c>
      <c r="T35" s="31"/>
      <c r="U35" s="31">
        <f>TRANSICAO!$U$35*CUSTOS!$T$3</f>
        <v>0</v>
      </c>
      <c r="V35" s="31">
        <f>TRANSICAO!$V$35*CUSTOS!$T$3</f>
        <v>0</v>
      </c>
      <c r="W35" s="31">
        <f>TRANSICAO!$W$35*CUSTOS!$T$3</f>
        <v>0</v>
      </c>
      <c r="X35" s="31">
        <f>TRANSICAO!$X$35*CUSTOS!$T$3</f>
        <v>0</v>
      </c>
      <c r="Y35" s="31">
        <f>TRANSICAO!$Y$35*CUSTOS!$T$3</f>
        <v>168.16059999999999</v>
      </c>
      <c r="Z35" s="31">
        <f>TRANSICAO!$Z$35*CUSTOS!$T$3</f>
        <v>0</v>
      </c>
      <c r="AA35" s="31">
        <f>TRANSICAO!$AA$35*CUSTOS!$T$3</f>
        <v>0</v>
      </c>
      <c r="AB35" s="31">
        <f>TRANSICAO!$AB$35*CUSTOS!$T$3</f>
        <v>0</v>
      </c>
      <c r="AC35" s="31">
        <f>TRANSICAO!$AC$35*CUSTOS!$T$3</f>
        <v>211.62020000000001</v>
      </c>
      <c r="AD35" s="31">
        <f>TRANSICAO!$AD$35*CUSTOS!$T$3</f>
        <v>0</v>
      </c>
      <c r="AE35" s="31">
        <v>0</v>
      </c>
      <c r="AF35" s="31">
        <v>0</v>
      </c>
      <c r="AG35" s="31"/>
      <c r="AH35" s="31">
        <f>(1 - CUSTOS!$M$29)*17.4607</f>
        <v>17.460699999999999</v>
      </c>
      <c r="AI35" s="31">
        <f>(1 - CUSTOS!$M$29)*17.4607</f>
        <v>17.460699999999999</v>
      </c>
      <c r="AJ35" s="31">
        <f ca="1">$N$64*(1-CUSTOS!$M$29)</f>
        <v>1.8622266342069633</v>
      </c>
      <c r="AK35" s="31">
        <f t="shared" ca="1" si="0"/>
        <v>1.8622266342069633</v>
      </c>
      <c r="AL35" s="31"/>
      <c r="AM35" s="31"/>
      <c r="AP35" s="31">
        <f>IF((1 - CUSTOS!$M$29)&lt;&gt;0,1/(1 - CUSTOS!$M$29),1)</f>
        <v>1</v>
      </c>
    </row>
    <row r="36" spans="1:42" ht="11.25" customHeight="1" x14ac:dyDescent="0.25">
      <c r="A36" s="137"/>
      <c r="B36" s="137"/>
      <c r="C36" s="137"/>
      <c r="D36" s="137"/>
      <c r="E36" s="137"/>
      <c r="F36" s="137"/>
      <c r="G36" s="41" t="s">
        <v>72</v>
      </c>
      <c r="H36" s="41" t="s">
        <v>70</v>
      </c>
      <c r="I36" s="41">
        <f>'MERCADO TUSD'!$U$33</f>
        <v>0</v>
      </c>
      <c r="J36" s="15"/>
      <c r="L36" s="31">
        <f>1*(1 - CUSTOS!$M$29)</f>
        <v>1</v>
      </c>
      <c r="M36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0.73231771585619554</v>
      </c>
      <c r="N36" s="31">
        <f ca="1">(+M36+O36+R36+U36+V36+W36+X36+Y36+Z36+AA36+AC36+AH36+AI36+AJ36+AK36)*CUSTOS!$M$5</f>
        <v>1.6797177098427012</v>
      </c>
      <c r="O36" s="31">
        <f>1 - CUSTOS!$M$29</f>
        <v>1</v>
      </c>
      <c r="P36" s="31">
        <f>1 - CUSTOS!$M$29</f>
        <v>1</v>
      </c>
      <c r="Q36" s="31">
        <f>1*(1 - CUSTOS!$M$29)</f>
        <v>1</v>
      </c>
      <c r="R36" s="31">
        <f>1 - CUSTOS!$M$29</f>
        <v>1</v>
      </c>
      <c r="S36" s="31">
        <f>1 - CUSTOS!$M$29</f>
        <v>1</v>
      </c>
      <c r="T36" s="31"/>
      <c r="U36" s="31">
        <f>TRANSICAO!$U$36*CUSTOS!$T$3</f>
        <v>0</v>
      </c>
      <c r="V36" s="31">
        <f>TRANSICAO!$V$36*CUSTOS!$T$3</f>
        <v>0</v>
      </c>
      <c r="W36" s="31">
        <f>TRANSICAO!$W$36*CUSTOS!$T$3</f>
        <v>0</v>
      </c>
      <c r="X36" s="31">
        <f>TRANSICAO!$X$36*CUSTOS!$T$3</f>
        <v>0</v>
      </c>
      <c r="Y36" s="31">
        <f>TRANSICAO!$Y$36*CUSTOS!$T$3</f>
        <v>56.0535</v>
      </c>
      <c r="Z36" s="31">
        <f>TRANSICAO!$Z$36*CUSTOS!$T$3</f>
        <v>0</v>
      </c>
      <c r="AA36" s="31">
        <f>TRANSICAO!$AA$36*CUSTOS!$T$3</f>
        <v>0</v>
      </c>
      <c r="AB36" s="31">
        <f>TRANSICAO!$AB$36*CUSTOS!$T$3</f>
        <v>0</v>
      </c>
      <c r="AC36" s="31">
        <f>TRANSICAO!$AC$36*CUSTOS!$T$3</f>
        <v>70.540099999999995</v>
      </c>
      <c r="AD36" s="31">
        <f>TRANSICAO!$AD$36*CUSTOS!$T$3</f>
        <v>0</v>
      </c>
      <c r="AE36" s="31">
        <v>0</v>
      </c>
      <c r="AF36" s="31">
        <v>0</v>
      </c>
      <c r="AG36" s="31"/>
      <c r="AH36" s="31">
        <f>(1 - CUSTOS!$M$29)*17.4607</f>
        <v>17.460699999999999</v>
      </c>
      <c r="AI36" s="31">
        <f>(1 - CUSTOS!$M$29)*17.4607</f>
        <v>17.460699999999999</v>
      </c>
      <c r="AJ36" s="31">
        <f ca="1">$N$64*(1-CUSTOS!$M$29)</f>
        <v>1.8622266342069633</v>
      </c>
      <c r="AK36" s="31">
        <f t="shared" ca="1" si="0"/>
        <v>1.8622266342069633</v>
      </c>
      <c r="AL36" s="31"/>
      <c r="AM36" s="31"/>
      <c r="AP36" s="31">
        <f>IF((1 - CUSTOS!$M$29)&lt;&gt;0,1/(1 - CUSTOS!$M$29),1)</f>
        <v>1</v>
      </c>
    </row>
    <row r="37" spans="1:42" ht="11.25" customHeight="1" x14ac:dyDescent="0.25">
      <c r="A37" s="137"/>
      <c r="B37" s="42" t="s">
        <v>23</v>
      </c>
      <c r="C37" s="42" t="s">
        <v>40</v>
      </c>
      <c r="D37" s="42" t="s">
        <v>86</v>
      </c>
      <c r="E37" s="42" t="s">
        <v>25</v>
      </c>
      <c r="F37" s="42" t="s">
        <v>25</v>
      </c>
      <c r="G37" s="41" t="s">
        <v>74</v>
      </c>
      <c r="H37" s="41" t="s">
        <v>70</v>
      </c>
      <c r="I37" s="41">
        <f>'MERCADO TUSD'!$U$34</f>
        <v>0</v>
      </c>
      <c r="J37" s="15"/>
      <c r="L37" s="31">
        <f>1*(1 - CUSTOS!$M$29)</f>
        <v>1</v>
      </c>
      <c r="M37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0.73231771585619554</v>
      </c>
      <c r="N37" s="31">
        <f ca="1">(+M37+O37+R37+U37+V37+W37+X37+Y37+Z37+AA37+AC37+AH37+AI37+AJ37+AK37)*CUSTOS!$M$5</f>
        <v>2.8023397098427014</v>
      </c>
      <c r="O37" s="31">
        <f>1 - CUSTOS!$M$29</f>
        <v>1</v>
      </c>
      <c r="P37" s="31">
        <f>1 - CUSTOS!$M$29</f>
        <v>1</v>
      </c>
      <c r="Q37" s="31">
        <f>1*(1 - CUSTOS!$M$29)</f>
        <v>1</v>
      </c>
      <c r="R37" s="31">
        <f>1 - CUSTOS!$M$29</f>
        <v>1</v>
      </c>
      <c r="S37" s="31">
        <f>1 - CUSTOS!$M$29</f>
        <v>1</v>
      </c>
      <c r="T37" s="31"/>
      <c r="U37" s="31">
        <f>TRANSICAO!$U$37*CUSTOS!$T$3</f>
        <v>0</v>
      </c>
      <c r="V37" s="31">
        <f>TRANSICAO!$V$37*CUSTOS!$T$3</f>
        <v>0</v>
      </c>
      <c r="W37" s="31">
        <f>TRANSICAO!$W$37*CUSTOS!$T$3</f>
        <v>0</v>
      </c>
      <c r="X37" s="31">
        <f>TRANSICAO!$X$37*CUSTOS!$T$3</f>
        <v>0</v>
      </c>
      <c r="Y37" s="31">
        <f>TRANSICAO!$Y$37*CUSTOS!$T$3</f>
        <v>105.76139999999999</v>
      </c>
      <c r="Z37" s="31">
        <f>TRANSICAO!$Z$37*CUSTOS!$T$3</f>
        <v>0</v>
      </c>
      <c r="AA37" s="31">
        <f>TRANSICAO!$AA$37*CUSTOS!$T$3</f>
        <v>0</v>
      </c>
      <c r="AB37" s="31">
        <f>TRANSICAO!$AB$37*CUSTOS!$T$3</f>
        <v>0</v>
      </c>
      <c r="AC37" s="31">
        <f>TRANSICAO!$AC$37*CUSTOS!$T$3</f>
        <v>133.09440000000001</v>
      </c>
      <c r="AD37" s="31">
        <f>TRANSICAO!$AD$37*CUSTOS!$T$3</f>
        <v>0</v>
      </c>
      <c r="AE37" s="31">
        <v>0</v>
      </c>
      <c r="AF37" s="31">
        <v>0</v>
      </c>
      <c r="AG37" s="31"/>
      <c r="AH37" s="31">
        <f>(1 - CUSTOS!$M$29)*17.4607</f>
        <v>17.460699999999999</v>
      </c>
      <c r="AI37" s="31">
        <f>(1 - CUSTOS!$M$29)*17.4607</f>
        <v>17.460699999999999</v>
      </c>
      <c r="AJ37" s="31">
        <f ca="1">$N$64*(1-CUSTOS!$M$29)</f>
        <v>1.8622266342069633</v>
      </c>
      <c r="AK37" s="31">
        <f t="shared" ca="1" si="0"/>
        <v>1.8622266342069633</v>
      </c>
      <c r="AL37" s="31"/>
      <c r="AM37" s="31"/>
      <c r="AP37" s="31">
        <f>IF((1 - CUSTOS!$M$29)&lt;&gt;0,1/(1 - CUSTOS!$M$29),1)</f>
        <v>1</v>
      </c>
    </row>
    <row r="38" spans="1:42" ht="11.25" customHeight="1" x14ac:dyDescent="0.25">
      <c r="A38" s="137"/>
      <c r="B38" s="137" t="s">
        <v>49</v>
      </c>
      <c r="C38" s="137" t="s">
        <v>40</v>
      </c>
      <c r="D38" s="137" t="s">
        <v>87</v>
      </c>
      <c r="E38" s="137" t="s">
        <v>25</v>
      </c>
      <c r="F38" s="137" t="s">
        <v>25</v>
      </c>
      <c r="G38" s="41" t="s">
        <v>71</v>
      </c>
      <c r="H38" s="41" t="s">
        <v>70</v>
      </c>
      <c r="I38" s="41">
        <f>'MERCADO TUSD'!$U$35</f>
        <v>0</v>
      </c>
      <c r="J38" s="15"/>
      <c r="L38" s="31">
        <f>1*(1 - CUSTOS!$M$30)</f>
        <v>1</v>
      </c>
      <c r="M38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0.73231771585619554</v>
      </c>
      <c r="N38" s="31">
        <f ca="1">(+M38+O38+R38+U38+V38+W38+X38+Y38+Z38+AA38+AC38+AH38+AI38+AJ38+AK38)*CUSTOS!$M$5</f>
        <v>6.7434607098427026</v>
      </c>
      <c r="O38" s="31">
        <f>1 - CUSTOS!$M$30</f>
        <v>1</v>
      </c>
      <c r="P38" s="31">
        <f>1 - CUSTOS!$M$30</f>
        <v>1</v>
      </c>
      <c r="Q38" s="31">
        <f>1*(1 - CUSTOS!$M$30)</f>
        <v>1</v>
      </c>
      <c r="R38" s="31">
        <f>1 - CUSTOS!$M$30</f>
        <v>1</v>
      </c>
      <c r="S38" s="31">
        <f>1 - CUSTOS!$M$30</f>
        <v>1</v>
      </c>
      <c r="T38" s="31"/>
      <c r="U38" s="31">
        <f>TRANSICAO!$U$38*CUSTOS!$T$3</f>
        <v>0</v>
      </c>
      <c r="V38" s="31">
        <f>TRANSICAO!$V$38*CUSTOS!$T$3</f>
        <v>0</v>
      </c>
      <c r="W38" s="31">
        <f>TRANSICAO!$W$38*CUSTOS!$T$3</f>
        <v>0</v>
      </c>
      <c r="X38" s="31">
        <f>TRANSICAO!$X$38*CUSTOS!$T$3</f>
        <v>0</v>
      </c>
      <c r="Y38" s="31">
        <f>TRANSICAO!$Y$38*CUSTOS!$T$3</f>
        <v>280.26760000000002</v>
      </c>
      <c r="Z38" s="31">
        <f>TRANSICAO!$Z$38*CUSTOS!$T$3</f>
        <v>0</v>
      </c>
      <c r="AA38" s="31">
        <f>TRANSICAO!$AA$38*CUSTOS!$T$3</f>
        <v>0</v>
      </c>
      <c r="AB38" s="31">
        <f>TRANSICAO!$AB$38*CUSTOS!$T$3</f>
        <v>0</v>
      </c>
      <c r="AC38" s="31">
        <f>TRANSICAO!$AC$38*CUSTOS!$T$3</f>
        <v>352.70030000000003</v>
      </c>
      <c r="AD38" s="31">
        <f>TRANSICAO!$AD$38*CUSTOS!$T$3</f>
        <v>0</v>
      </c>
      <c r="AE38" s="31">
        <v>0</v>
      </c>
      <c r="AF38" s="31">
        <v>0</v>
      </c>
      <c r="AG38" s="31"/>
      <c r="AH38" s="31">
        <f>(1 - CUSTOS!$M$30)*17.4607</f>
        <v>17.460699999999999</v>
      </c>
      <c r="AI38" s="31">
        <f>(1 - CUSTOS!$M$30)*17.4607</f>
        <v>17.460699999999999</v>
      </c>
      <c r="AJ38" s="31">
        <f ca="1">$N$64*(1-CUSTOS!$M$30)</f>
        <v>1.8622266342069633</v>
      </c>
      <c r="AK38" s="31">
        <f t="shared" ca="1" si="0"/>
        <v>1.8622266342069633</v>
      </c>
      <c r="AL38" s="31"/>
      <c r="AM38" s="31"/>
      <c r="AP38" s="31">
        <f>IF((1 - CUSTOS!$M$30)&lt;&gt;0,1/(1 - CUSTOS!$M$30),1)</f>
        <v>1</v>
      </c>
    </row>
    <row r="39" spans="1:42" ht="11.25" customHeight="1" x14ac:dyDescent="0.25">
      <c r="A39" s="137"/>
      <c r="B39" s="137"/>
      <c r="C39" s="137"/>
      <c r="D39" s="137"/>
      <c r="E39" s="137"/>
      <c r="F39" s="137"/>
      <c r="G39" s="41" t="s">
        <v>83</v>
      </c>
      <c r="H39" s="41" t="s">
        <v>70</v>
      </c>
      <c r="I39" s="41">
        <f>'MERCADO TUSD'!$U$36</f>
        <v>0</v>
      </c>
      <c r="J39" s="15"/>
      <c r="L39" s="31">
        <f>1*(1 - CUSTOS!$M$30)</f>
        <v>1</v>
      </c>
      <c r="M39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0.73231771585619554</v>
      </c>
      <c r="N39" s="31">
        <f ca="1">(+M39+O39+R39+U39+V39+W39+X39+Y39+Z39+AA39+AC39+AH39+AI39+AJ39+AK39)*CUSTOS!$M$5</f>
        <v>4.2115897098427011</v>
      </c>
      <c r="O39" s="31">
        <f>1 - CUSTOS!$M$30</f>
        <v>1</v>
      </c>
      <c r="P39" s="31">
        <f>1 - CUSTOS!$M$30</f>
        <v>1</v>
      </c>
      <c r="Q39" s="31">
        <f>1*(1 - CUSTOS!$M$30)</f>
        <v>1</v>
      </c>
      <c r="R39" s="31">
        <f>1 - CUSTOS!$M$30</f>
        <v>1</v>
      </c>
      <c r="S39" s="31">
        <f>1 - CUSTOS!$M$30</f>
        <v>1</v>
      </c>
      <c r="T39" s="31"/>
      <c r="U39" s="31">
        <f>TRANSICAO!$U$39*CUSTOS!$T$3</f>
        <v>0</v>
      </c>
      <c r="V39" s="31">
        <f>TRANSICAO!$V$39*CUSTOS!$T$3</f>
        <v>0</v>
      </c>
      <c r="W39" s="31">
        <f>TRANSICAO!$W$39*CUSTOS!$T$3</f>
        <v>0</v>
      </c>
      <c r="X39" s="31">
        <f>TRANSICAO!$X$39*CUSTOS!$T$3</f>
        <v>0</v>
      </c>
      <c r="Y39" s="31">
        <f>TRANSICAO!$Y$39*CUSTOS!$T$3</f>
        <v>168.16059999999999</v>
      </c>
      <c r="Z39" s="31">
        <f>TRANSICAO!$Z$39*CUSTOS!$T$3</f>
        <v>0</v>
      </c>
      <c r="AA39" s="31">
        <f>TRANSICAO!$AA$39*CUSTOS!$T$3</f>
        <v>0</v>
      </c>
      <c r="AB39" s="31">
        <f>TRANSICAO!$AB$39*CUSTOS!$T$3</f>
        <v>0</v>
      </c>
      <c r="AC39" s="31">
        <f>TRANSICAO!$AC$39*CUSTOS!$T$3</f>
        <v>211.62020000000001</v>
      </c>
      <c r="AD39" s="31">
        <f>TRANSICAO!$AD$39*CUSTOS!$T$3</f>
        <v>0</v>
      </c>
      <c r="AE39" s="31">
        <v>0</v>
      </c>
      <c r="AF39" s="31">
        <v>0</v>
      </c>
      <c r="AG39" s="31"/>
      <c r="AH39" s="31">
        <f>(1 - CUSTOS!$M$30)*17.4607</f>
        <v>17.460699999999999</v>
      </c>
      <c r="AI39" s="31">
        <f>(1 - CUSTOS!$M$30)*17.4607</f>
        <v>17.460699999999999</v>
      </c>
      <c r="AJ39" s="31">
        <f ca="1">$N$64*(1-CUSTOS!$M$30)</f>
        <v>1.8622266342069633</v>
      </c>
      <c r="AK39" s="31">
        <f t="shared" ca="1" si="0"/>
        <v>1.8622266342069633</v>
      </c>
      <c r="AL39" s="31"/>
      <c r="AM39" s="31"/>
      <c r="AP39" s="31">
        <f>IF((1 - CUSTOS!$M$30)&lt;&gt;0,1/(1 - CUSTOS!$M$30),1)</f>
        <v>1</v>
      </c>
    </row>
    <row r="40" spans="1:42" ht="11.25" customHeight="1" x14ac:dyDescent="0.25">
      <c r="A40" s="137"/>
      <c r="B40" s="137"/>
      <c r="C40" s="137"/>
      <c r="D40" s="137"/>
      <c r="E40" s="137"/>
      <c r="F40" s="137"/>
      <c r="G40" s="41" t="s">
        <v>72</v>
      </c>
      <c r="H40" s="41" t="s">
        <v>70</v>
      </c>
      <c r="I40" s="41">
        <f>'MERCADO TUSD'!$U$37</f>
        <v>0</v>
      </c>
      <c r="J40" s="15"/>
      <c r="L40" s="31">
        <f>1*(1 - CUSTOS!$M$30)</f>
        <v>1</v>
      </c>
      <c r="M40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0.73231771585619554</v>
      </c>
      <c r="N40" s="31">
        <f ca="1">(+M40+O40+R40+U40+V40+W40+X40+Y40+Z40+AA40+AC40+AH40+AI40+AJ40+AK40)*CUSTOS!$M$5</f>
        <v>1.6797177098427012</v>
      </c>
      <c r="O40" s="31">
        <f>1 - CUSTOS!$M$30</f>
        <v>1</v>
      </c>
      <c r="P40" s="31">
        <f>1 - CUSTOS!$M$30</f>
        <v>1</v>
      </c>
      <c r="Q40" s="31">
        <f>1*(1 - CUSTOS!$M$30)</f>
        <v>1</v>
      </c>
      <c r="R40" s="31">
        <f>1 - CUSTOS!$M$30</f>
        <v>1</v>
      </c>
      <c r="S40" s="31">
        <f>1 - CUSTOS!$M$30</f>
        <v>1</v>
      </c>
      <c r="T40" s="31"/>
      <c r="U40" s="31">
        <f>TRANSICAO!$U$40*CUSTOS!$T$3</f>
        <v>0</v>
      </c>
      <c r="V40" s="31">
        <f>TRANSICAO!$V$40*CUSTOS!$T$3</f>
        <v>0</v>
      </c>
      <c r="W40" s="31">
        <f>TRANSICAO!$W$40*CUSTOS!$T$3</f>
        <v>0</v>
      </c>
      <c r="X40" s="31">
        <f>TRANSICAO!$X$40*CUSTOS!$T$3</f>
        <v>0</v>
      </c>
      <c r="Y40" s="31">
        <f>TRANSICAO!$Y$40*CUSTOS!$T$3</f>
        <v>56.0535</v>
      </c>
      <c r="Z40" s="31">
        <f>TRANSICAO!$Z$40*CUSTOS!$T$3</f>
        <v>0</v>
      </c>
      <c r="AA40" s="31">
        <f>TRANSICAO!$AA$40*CUSTOS!$T$3</f>
        <v>0</v>
      </c>
      <c r="AB40" s="31">
        <f>TRANSICAO!$AB$40*CUSTOS!$T$3</f>
        <v>0</v>
      </c>
      <c r="AC40" s="31">
        <f>TRANSICAO!$AC$40*CUSTOS!$T$3</f>
        <v>70.540099999999995</v>
      </c>
      <c r="AD40" s="31">
        <f>TRANSICAO!$AD$40*CUSTOS!$T$3</f>
        <v>0</v>
      </c>
      <c r="AE40" s="31">
        <v>0</v>
      </c>
      <c r="AF40" s="31">
        <v>0</v>
      </c>
      <c r="AG40" s="31"/>
      <c r="AH40" s="31">
        <f>(1 - CUSTOS!$M$30)*17.4607</f>
        <v>17.460699999999999</v>
      </c>
      <c r="AI40" s="31">
        <f>(1 - CUSTOS!$M$30)*17.4607</f>
        <v>17.460699999999999</v>
      </c>
      <c r="AJ40" s="31">
        <f ca="1">$N$64*(1-CUSTOS!$M$30)</f>
        <v>1.8622266342069633</v>
      </c>
      <c r="AK40" s="31">
        <f t="shared" ca="1" si="0"/>
        <v>1.8622266342069633</v>
      </c>
      <c r="AL40" s="31"/>
      <c r="AM40" s="31"/>
      <c r="AP40" s="31">
        <f>IF((1 - CUSTOS!$M$30)&lt;&gt;0,1/(1 - CUSTOS!$M$30),1)</f>
        <v>1</v>
      </c>
    </row>
    <row r="41" spans="1:42" ht="11.25" customHeight="1" x14ac:dyDescent="0.25">
      <c r="A41" s="137"/>
      <c r="B41" s="42" t="s">
        <v>23</v>
      </c>
      <c r="C41" s="42" t="s">
        <v>40</v>
      </c>
      <c r="D41" s="42" t="s">
        <v>87</v>
      </c>
      <c r="E41" s="42" t="s">
        <v>25</v>
      </c>
      <c r="F41" s="42" t="s">
        <v>25</v>
      </c>
      <c r="G41" s="41" t="s">
        <v>74</v>
      </c>
      <c r="H41" s="41" t="s">
        <v>70</v>
      </c>
      <c r="I41" s="41">
        <f>'MERCADO TUSD'!$U$38</f>
        <v>0</v>
      </c>
      <c r="J41" s="15"/>
      <c r="L41" s="31">
        <f>1*(1 - CUSTOS!$M$30)</f>
        <v>1</v>
      </c>
      <c r="M41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0.73231771585619554</v>
      </c>
      <c r="N41" s="31">
        <f ca="1">(+M41+O41+R41+U41+V41+W41+X41+Y41+Z41+AA41+AC41+AH41+AI41+AJ41+AK41)*CUSTOS!$M$5</f>
        <v>2.8023397098427014</v>
      </c>
      <c r="O41" s="31">
        <f>1 - CUSTOS!$M$30</f>
        <v>1</v>
      </c>
      <c r="P41" s="31">
        <f>1 - CUSTOS!$M$30</f>
        <v>1</v>
      </c>
      <c r="Q41" s="31">
        <f>1*(1 - CUSTOS!$M$30)</f>
        <v>1</v>
      </c>
      <c r="R41" s="31">
        <f>1 - CUSTOS!$M$30</f>
        <v>1</v>
      </c>
      <c r="S41" s="31">
        <f>1 - CUSTOS!$M$30</f>
        <v>1</v>
      </c>
      <c r="T41" s="31"/>
      <c r="U41" s="31">
        <f>TRANSICAO!$U$41*CUSTOS!$T$3</f>
        <v>0</v>
      </c>
      <c r="V41" s="31">
        <f>TRANSICAO!$V$41*CUSTOS!$T$3</f>
        <v>0</v>
      </c>
      <c r="W41" s="31">
        <f>TRANSICAO!$W$41*CUSTOS!$T$3</f>
        <v>0</v>
      </c>
      <c r="X41" s="31">
        <f>TRANSICAO!$X$41*CUSTOS!$T$3</f>
        <v>0</v>
      </c>
      <c r="Y41" s="31">
        <f>TRANSICAO!$Y$41*CUSTOS!$T$3</f>
        <v>105.76139999999999</v>
      </c>
      <c r="Z41" s="31">
        <f>TRANSICAO!$Z$41*CUSTOS!$T$3</f>
        <v>0</v>
      </c>
      <c r="AA41" s="31">
        <f>TRANSICAO!$AA$41*CUSTOS!$T$3</f>
        <v>0</v>
      </c>
      <c r="AB41" s="31">
        <f>TRANSICAO!$AB$41*CUSTOS!$T$3</f>
        <v>0</v>
      </c>
      <c r="AC41" s="31">
        <f>TRANSICAO!$AC$41*CUSTOS!$T$3</f>
        <v>133.09440000000001</v>
      </c>
      <c r="AD41" s="31">
        <f>TRANSICAO!$AD$41*CUSTOS!$T$3</f>
        <v>0</v>
      </c>
      <c r="AE41" s="31">
        <v>0</v>
      </c>
      <c r="AF41" s="31">
        <v>0</v>
      </c>
      <c r="AG41" s="31"/>
      <c r="AH41" s="31">
        <f>(1 - CUSTOS!$M$30)*17.4607</f>
        <v>17.460699999999999</v>
      </c>
      <c r="AI41" s="31">
        <f>(1 - CUSTOS!$M$30)*17.4607</f>
        <v>17.460699999999999</v>
      </c>
      <c r="AJ41" s="31">
        <f ca="1">$N$64*(1-CUSTOS!$M$30)</f>
        <v>1.8622266342069633</v>
      </c>
      <c r="AK41" s="31">
        <f t="shared" ca="1" si="0"/>
        <v>1.8622266342069633</v>
      </c>
      <c r="AL41" s="31"/>
      <c r="AM41" s="31"/>
      <c r="AP41" s="31">
        <f>IF((1 - CUSTOS!$M$30)&lt;&gt;0,1/(1 - CUSTOS!$M$30),1)</f>
        <v>1</v>
      </c>
    </row>
    <row r="42" spans="1:42" ht="11.25" customHeight="1" x14ac:dyDescent="0.25">
      <c r="A42" s="137"/>
      <c r="B42" s="137" t="s">
        <v>85</v>
      </c>
      <c r="C42" s="137" t="s">
        <v>40</v>
      </c>
      <c r="D42" s="42" t="s">
        <v>25</v>
      </c>
      <c r="E42" s="42" t="s">
        <v>25</v>
      </c>
      <c r="F42" s="42" t="s">
        <v>25</v>
      </c>
      <c r="G42" s="41" t="s">
        <v>74</v>
      </c>
      <c r="H42" s="41" t="s">
        <v>70</v>
      </c>
      <c r="I42" s="41">
        <f>'MERCADO TUSD'!$U$39</f>
        <v>0</v>
      </c>
      <c r="J42" s="15"/>
      <c r="L42" s="31">
        <f>1*(1 - CUSTOS!$M$28)</f>
        <v>1</v>
      </c>
      <c r="M42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0.73231771585619554</v>
      </c>
      <c r="N42" s="31">
        <f ca="1">(+M42+O42+R42+U42+V42+W42+X42+Y42+Z42+AA42+AC42+AH42+AI42+AJ42+AK42)*CUSTOS!$M$5</f>
        <v>2.8023397098427014</v>
      </c>
      <c r="O42" s="31">
        <f>1 - CUSTOS!$M$28</f>
        <v>1</v>
      </c>
      <c r="P42" s="31">
        <f>1 - CUSTOS!$M$28</f>
        <v>1</v>
      </c>
      <c r="Q42" s="31">
        <f>1*(1 - CUSTOS!$M$28)</f>
        <v>1</v>
      </c>
      <c r="R42" s="31">
        <f>1 - CUSTOS!$M$28</f>
        <v>1</v>
      </c>
      <c r="S42" s="31">
        <f>1 - CUSTOS!$M$28</f>
        <v>1</v>
      </c>
      <c r="T42" s="31"/>
      <c r="U42" s="31">
        <f>TRANSICAO!$U$42*CUSTOS!$T$3</f>
        <v>0</v>
      </c>
      <c r="V42" s="31">
        <f>TRANSICAO!$V$42*CUSTOS!$T$3</f>
        <v>0</v>
      </c>
      <c r="W42" s="31">
        <f>TRANSICAO!$W$42*CUSTOS!$T$3</f>
        <v>0</v>
      </c>
      <c r="X42" s="31">
        <f>TRANSICAO!$X$42*CUSTOS!$T$3</f>
        <v>0</v>
      </c>
      <c r="Y42" s="31">
        <f>TRANSICAO!$Y$42*CUSTOS!$T$3</f>
        <v>105.76139999999999</v>
      </c>
      <c r="Z42" s="31">
        <f>TRANSICAO!$Z$42*CUSTOS!$T$3</f>
        <v>0</v>
      </c>
      <c r="AA42" s="31">
        <f>TRANSICAO!$AA$42*CUSTOS!$T$3</f>
        <v>0</v>
      </c>
      <c r="AB42" s="31">
        <f>TRANSICAO!$AB$42*CUSTOS!$T$3</f>
        <v>0</v>
      </c>
      <c r="AC42" s="31">
        <f>TRANSICAO!$AC$42*CUSTOS!$T$3</f>
        <v>133.09440000000001</v>
      </c>
      <c r="AD42" s="31">
        <f>TRANSICAO!$AD$42*CUSTOS!$T$3</f>
        <v>0</v>
      </c>
      <c r="AE42" s="31">
        <v>0</v>
      </c>
      <c r="AF42" s="31">
        <v>0</v>
      </c>
      <c r="AG42" s="31"/>
      <c r="AH42" s="31">
        <f>(1 - CUSTOS!$M$28)*17.4607</f>
        <v>17.460699999999999</v>
      </c>
      <c r="AI42" s="31">
        <f>(1 - CUSTOS!$M$28)*17.4607</f>
        <v>17.460699999999999</v>
      </c>
      <c r="AJ42" s="31">
        <f ca="1">$N$64*(1-CUSTOS!$M$28)</f>
        <v>1.8622266342069633</v>
      </c>
      <c r="AK42" s="31">
        <f t="shared" ca="1" si="0"/>
        <v>1.8622266342069633</v>
      </c>
      <c r="AL42" s="31"/>
      <c r="AM42" s="31"/>
      <c r="AP42" s="31">
        <f>IF((1 - CUSTOS!$M$28)&lt;&gt;0,1/(1 - CUSTOS!$M$28),1)</f>
        <v>1</v>
      </c>
    </row>
    <row r="43" spans="1:42" ht="11.25" customHeight="1" x14ac:dyDescent="0.25">
      <c r="A43" s="137"/>
      <c r="B43" s="137"/>
      <c r="C43" s="137"/>
      <c r="D43" s="42" t="s">
        <v>86</v>
      </c>
      <c r="E43" s="42" t="s">
        <v>25</v>
      </c>
      <c r="F43" s="42" t="s">
        <v>25</v>
      </c>
      <c r="G43" s="41" t="s">
        <v>74</v>
      </c>
      <c r="H43" s="41" t="s">
        <v>70</v>
      </c>
      <c r="I43" s="41">
        <f>'MERCADO TUSD'!$U$40</f>
        <v>0</v>
      </c>
      <c r="J43" s="15"/>
      <c r="L43" s="31">
        <f>1*(1 - CUSTOS!$M$29)</f>
        <v>1</v>
      </c>
      <c r="M43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0.73231771585619554</v>
      </c>
      <c r="N43" s="31">
        <f ca="1">(+M43+O43+R43+U43+V43+W43+X43+Y43+Z43+AA43+AC43+AH43+AI43+AJ43+AK43)*CUSTOS!$M$5</f>
        <v>2.8023397098427014</v>
      </c>
      <c r="O43" s="31">
        <f>1 - CUSTOS!$M$29</f>
        <v>1</v>
      </c>
      <c r="P43" s="31">
        <f>1 - CUSTOS!$M$29</f>
        <v>1</v>
      </c>
      <c r="Q43" s="31">
        <f>1*(1 - CUSTOS!$M$29)</f>
        <v>1</v>
      </c>
      <c r="R43" s="31">
        <f>1 - CUSTOS!$M$29</f>
        <v>1</v>
      </c>
      <c r="S43" s="31">
        <f>1 - CUSTOS!$M$29</f>
        <v>1</v>
      </c>
      <c r="T43" s="31"/>
      <c r="U43" s="31">
        <f>TRANSICAO!$U$43*CUSTOS!$T$3</f>
        <v>0</v>
      </c>
      <c r="V43" s="31">
        <f>TRANSICAO!$V$43*CUSTOS!$T$3</f>
        <v>0</v>
      </c>
      <c r="W43" s="31">
        <f>TRANSICAO!$W$43*CUSTOS!$T$3</f>
        <v>0</v>
      </c>
      <c r="X43" s="31">
        <f>TRANSICAO!$X$43*CUSTOS!$T$3</f>
        <v>0</v>
      </c>
      <c r="Y43" s="31">
        <f>TRANSICAO!$Y$43*CUSTOS!$T$3</f>
        <v>105.76139999999999</v>
      </c>
      <c r="Z43" s="31">
        <f>TRANSICAO!$Z$43*CUSTOS!$T$3</f>
        <v>0</v>
      </c>
      <c r="AA43" s="31">
        <f>TRANSICAO!$AA$43*CUSTOS!$T$3</f>
        <v>0</v>
      </c>
      <c r="AB43" s="31">
        <f>TRANSICAO!$AB$43*CUSTOS!$T$3</f>
        <v>0</v>
      </c>
      <c r="AC43" s="31">
        <f>TRANSICAO!$AC$43*CUSTOS!$T$3</f>
        <v>133.09440000000001</v>
      </c>
      <c r="AD43" s="31">
        <f>TRANSICAO!$AD$43*CUSTOS!$T$3</f>
        <v>0</v>
      </c>
      <c r="AE43" s="31">
        <v>0</v>
      </c>
      <c r="AF43" s="31">
        <v>0</v>
      </c>
      <c r="AG43" s="31"/>
      <c r="AH43" s="31">
        <f>(1 - CUSTOS!$M$29)*17.4607</f>
        <v>17.460699999999999</v>
      </c>
      <c r="AI43" s="31">
        <f>(1 - CUSTOS!$M$29)*17.4607</f>
        <v>17.460699999999999</v>
      </c>
      <c r="AJ43" s="31">
        <f ca="1">$N$64*(1-CUSTOS!$M$29)</f>
        <v>1.8622266342069633</v>
      </c>
      <c r="AK43" s="31">
        <f t="shared" ca="1" si="0"/>
        <v>1.8622266342069633</v>
      </c>
      <c r="AL43" s="31"/>
      <c r="AM43" s="31"/>
      <c r="AP43" s="31">
        <f>IF((1 - CUSTOS!$M$29)&lt;&gt;0,1/(1 - CUSTOS!$M$29),1)</f>
        <v>1</v>
      </c>
    </row>
    <row r="44" spans="1:42" ht="11.25" customHeight="1" x14ac:dyDescent="0.25">
      <c r="A44" s="137"/>
      <c r="B44" s="137"/>
      <c r="C44" s="137"/>
      <c r="D44" s="42" t="s">
        <v>87</v>
      </c>
      <c r="E44" s="42" t="s">
        <v>25</v>
      </c>
      <c r="F44" s="42" t="s">
        <v>25</v>
      </c>
      <c r="G44" s="41" t="s">
        <v>74</v>
      </c>
      <c r="H44" s="41" t="s">
        <v>70</v>
      </c>
      <c r="I44" s="41">
        <f>'MERCADO TUSD'!$U$41</f>
        <v>0</v>
      </c>
      <c r="J44" s="15"/>
      <c r="L44" s="31">
        <f>1*(1 - CUSTOS!$M$30)</f>
        <v>1</v>
      </c>
      <c r="M44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0.73231771585619554</v>
      </c>
      <c r="N44" s="31">
        <f ca="1">(+M44+O44+R44+U44+V44+W44+X44+Y44+Z44+AA44+AC44+AH44+AI44+AJ44+AK44)*CUSTOS!$M$5</f>
        <v>2.8023397098427014</v>
      </c>
      <c r="O44" s="31">
        <f>1 - CUSTOS!$M$30</f>
        <v>1</v>
      </c>
      <c r="P44" s="31">
        <f>1 - CUSTOS!$M$30</f>
        <v>1</v>
      </c>
      <c r="Q44" s="31">
        <f>1*(1 - CUSTOS!$M$30)</f>
        <v>1</v>
      </c>
      <c r="R44" s="31">
        <f>1 - CUSTOS!$M$30</f>
        <v>1</v>
      </c>
      <c r="S44" s="31">
        <f>1 - CUSTOS!$M$30</f>
        <v>1</v>
      </c>
      <c r="T44" s="31"/>
      <c r="U44" s="31">
        <f>TRANSICAO!$U$44*CUSTOS!$T$3</f>
        <v>0</v>
      </c>
      <c r="V44" s="31">
        <f>TRANSICAO!$V$44*CUSTOS!$T$3</f>
        <v>0</v>
      </c>
      <c r="W44" s="31">
        <f>TRANSICAO!$W$44*CUSTOS!$T$3</f>
        <v>0</v>
      </c>
      <c r="X44" s="31">
        <f>TRANSICAO!$X$44*CUSTOS!$T$3</f>
        <v>0</v>
      </c>
      <c r="Y44" s="31">
        <f>TRANSICAO!$Y$44*CUSTOS!$T$3</f>
        <v>105.76139999999999</v>
      </c>
      <c r="Z44" s="31">
        <f>TRANSICAO!$Z$44*CUSTOS!$T$3</f>
        <v>0</v>
      </c>
      <c r="AA44" s="31">
        <f>TRANSICAO!$AA$44*CUSTOS!$T$3</f>
        <v>0</v>
      </c>
      <c r="AB44" s="31">
        <f>TRANSICAO!$AB$44*CUSTOS!$T$3</f>
        <v>0</v>
      </c>
      <c r="AC44" s="31">
        <f>TRANSICAO!$AC$44*CUSTOS!$T$3</f>
        <v>133.09440000000001</v>
      </c>
      <c r="AD44" s="31">
        <f>TRANSICAO!$AD$44*CUSTOS!$T$3</f>
        <v>0</v>
      </c>
      <c r="AE44" s="31">
        <v>0</v>
      </c>
      <c r="AF44" s="31">
        <v>0</v>
      </c>
      <c r="AG44" s="31"/>
      <c r="AH44" s="31">
        <f>(1 - CUSTOS!$M$30)*17.4607</f>
        <v>17.460699999999999</v>
      </c>
      <c r="AI44" s="31">
        <f>(1 - CUSTOS!$M$30)*17.4607</f>
        <v>17.460699999999999</v>
      </c>
      <c r="AJ44" s="31">
        <f ca="1">$N$64*(1-CUSTOS!$M$30)</f>
        <v>1.8622266342069633</v>
      </c>
      <c r="AK44" s="31">
        <f t="shared" ca="1" si="0"/>
        <v>1.8622266342069633</v>
      </c>
      <c r="AL44" s="31"/>
      <c r="AM44" s="31"/>
      <c r="AP44" s="31">
        <f>IF((1 - CUSTOS!$M$30)&lt;&gt;0,1/(1 - CUSTOS!$M$30),1)</f>
        <v>1</v>
      </c>
    </row>
    <row r="45" spans="1:42" ht="11.25" customHeight="1" x14ac:dyDescent="0.25">
      <c r="A45" s="137" t="s">
        <v>32</v>
      </c>
      <c r="B45" s="137" t="s">
        <v>49</v>
      </c>
      <c r="C45" s="137" t="s">
        <v>25</v>
      </c>
      <c r="D45" s="137" t="s">
        <v>25</v>
      </c>
      <c r="E45" s="137" t="s">
        <v>25</v>
      </c>
      <c r="F45" s="137" t="s">
        <v>25</v>
      </c>
      <c r="G45" s="41" t="s">
        <v>71</v>
      </c>
      <c r="H45" s="41" t="s">
        <v>70</v>
      </c>
      <c r="I45" s="41">
        <f>'MERCADO TUSD'!$U$42</f>
        <v>0.216</v>
      </c>
      <c r="J45" s="15"/>
      <c r="L45" s="31">
        <f>1*(1 - CUSTOS!$M$31)</f>
        <v>1</v>
      </c>
      <c r="M45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0.73231771585619554</v>
      </c>
      <c r="N45" s="31">
        <f ca="1">(+M45+O45+R45+U45+V45+W45+X45+Y45+Z45+AA45+AC45+AH45+AI45+AJ45+AK45)*CUSTOS!$M$5</f>
        <v>11.496690709842706</v>
      </c>
      <c r="O45" s="31">
        <f>1 - CUSTOS!$M$31</f>
        <v>1</v>
      </c>
      <c r="P45" s="31">
        <f>1 - CUSTOS!$M$31</f>
        <v>1</v>
      </c>
      <c r="Q45" s="31">
        <f>1*(1 - CUSTOS!$M$31)</f>
        <v>1</v>
      </c>
      <c r="R45" s="31">
        <f>1 - CUSTOS!$M$31</f>
        <v>1</v>
      </c>
      <c r="S45" s="31">
        <f>1 - CUSTOS!$M$31</f>
        <v>1</v>
      </c>
      <c r="T45" s="31"/>
      <c r="U45" s="31">
        <f>TRANSICAO!$U$45*CUSTOS!$T$3</f>
        <v>0</v>
      </c>
      <c r="V45" s="31">
        <f>TRANSICAO!$V$45*CUSTOS!$T$3</f>
        <v>0</v>
      </c>
      <c r="W45" s="31">
        <f>TRANSICAO!$W$45*CUSTOS!$T$3</f>
        <v>0</v>
      </c>
      <c r="X45" s="31">
        <f>TRANSICAO!$X$45*CUSTOS!$T$3</f>
        <v>0</v>
      </c>
      <c r="Y45" s="31">
        <f>TRANSICAO!$Y$45*CUSTOS!$T$3</f>
        <v>490.73270000000002</v>
      </c>
      <c r="Z45" s="31">
        <f>TRANSICAO!$Z$45*CUSTOS!$T$3</f>
        <v>0</v>
      </c>
      <c r="AA45" s="31">
        <f>TRANSICAO!$AA$45*CUSTOS!$T$3</f>
        <v>0</v>
      </c>
      <c r="AB45" s="31">
        <f>TRANSICAO!$AB$45*CUSTOS!$T$3</f>
        <v>0</v>
      </c>
      <c r="AC45" s="31">
        <f>TRANSICAO!$AC$45*CUSTOS!$T$3</f>
        <v>617.55820000000006</v>
      </c>
      <c r="AD45" s="31">
        <f>TRANSICAO!$AD$45*CUSTOS!$T$3</f>
        <v>0</v>
      </c>
      <c r="AE45" s="31">
        <v>0</v>
      </c>
      <c r="AF45" s="31">
        <v>0</v>
      </c>
      <c r="AG45" s="31"/>
      <c r="AH45" s="31">
        <f>(1 - CUSTOS!$M$31)*17.4607</f>
        <v>17.460699999999999</v>
      </c>
      <c r="AI45" s="31">
        <f>(1 - CUSTOS!$M$31)*17.4607</f>
        <v>17.460699999999999</v>
      </c>
      <c r="AJ45" s="31">
        <f ca="1">$N$64*(1-CUSTOS!$M$31)</f>
        <v>1.8622266342069633</v>
      </c>
      <c r="AK45" s="31">
        <f t="shared" ca="1" si="0"/>
        <v>1.8622266342069633</v>
      </c>
      <c r="AL45" s="31"/>
      <c r="AM45" s="31"/>
      <c r="AP45" s="31">
        <f>IF((1 - CUSTOS!$M$31)&lt;&gt;0,1/(1 - CUSTOS!$M$31),1)</f>
        <v>1</v>
      </c>
    </row>
    <row r="46" spans="1:42" ht="11.25" customHeight="1" x14ac:dyDescent="0.25">
      <c r="A46" s="137"/>
      <c r="B46" s="137"/>
      <c r="C46" s="137"/>
      <c r="D46" s="137"/>
      <c r="E46" s="137"/>
      <c r="F46" s="137"/>
      <c r="G46" s="41" t="s">
        <v>83</v>
      </c>
      <c r="H46" s="41" t="s">
        <v>70</v>
      </c>
      <c r="I46" s="41">
        <f>'MERCADO TUSD'!$U$43</f>
        <v>0.24</v>
      </c>
      <c r="J46" s="15"/>
      <c r="L46" s="31">
        <f>1*(1 - CUSTOS!$M$31)</f>
        <v>1</v>
      </c>
      <c r="M46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0.73231771585619554</v>
      </c>
      <c r="N46" s="31">
        <f ca="1">(+M46+O46+R46+U46+V46+W46+X46+Y46+Z46+AA46+AC46+AH46+AI46+AJ46+AK46)*CUSTOS!$M$5</f>
        <v>4.5698727098427012</v>
      </c>
      <c r="O46" s="31">
        <f>1 - CUSTOS!$M$31</f>
        <v>1</v>
      </c>
      <c r="P46" s="31">
        <f>1 - CUSTOS!$M$31</f>
        <v>1</v>
      </c>
      <c r="Q46" s="31">
        <f>1*(1 - CUSTOS!$M$31)</f>
        <v>1</v>
      </c>
      <c r="R46" s="31">
        <f>1 - CUSTOS!$M$31</f>
        <v>1</v>
      </c>
      <c r="S46" s="31">
        <f>1 - CUSTOS!$M$31</f>
        <v>1</v>
      </c>
      <c r="T46" s="31"/>
      <c r="U46" s="31">
        <f>TRANSICAO!$U$46*CUSTOS!$T$3</f>
        <v>0</v>
      </c>
      <c r="V46" s="31">
        <f>TRANSICAO!$V$46*CUSTOS!$T$3</f>
        <v>0</v>
      </c>
      <c r="W46" s="31">
        <f>TRANSICAO!$W$46*CUSTOS!$T$3</f>
        <v>0</v>
      </c>
      <c r="X46" s="31">
        <f>TRANSICAO!$X$46*CUSTOS!$T$3</f>
        <v>0</v>
      </c>
      <c r="Y46" s="31">
        <f>TRANSICAO!$Y$46*CUSTOS!$T$3</f>
        <v>184.0248</v>
      </c>
      <c r="Z46" s="31">
        <f>TRANSICAO!$Z$46*CUSTOS!$T$3</f>
        <v>0</v>
      </c>
      <c r="AA46" s="31">
        <f>TRANSICAO!$AA$46*CUSTOS!$T$3</f>
        <v>0</v>
      </c>
      <c r="AB46" s="31">
        <f>TRANSICAO!$AB$46*CUSTOS!$T$3</f>
        <v>0</v>
      </c>
      <c r="AC46" s="31">
        <f>TRANSICAO!$AC$46*CUSTOS!$T$3</f>
        <v>231.58430000000001</v>
      </c>
      <c r="AD46" s="31">
        <f>TRANSICAO!$AD$46*CUSTOS!$T$3</f>
        <v>0</v>
      </c>
      <c r="AE46" s="31">
        <v>0</v>
      </c>
      <c r="AF46" s="31">
        <v>0</v>
      </c>
      <c r="AG46" s="31"/>
      <c r="AH46" s="31">
        <f>(1 - CUSTOS!$M$31)*17.4607</f>
        <v>17.460699999999999</v>
      </c>
      <c r="AI46" s="31">
        <f>(1 - CUSTOS!$M$31)*17.4607</f>
        <v>17.460699999999999</v>
      </c>
      <c r="AJ46" s="31">
        <f ca="1">$N$64*(1-CUSTOS!$M$31)</f>
        <v>1.8622266342069633</v>
      </c>
      <c r="AK46" s="31">
        <f t="shared" ca="1" si="0"/>
        <v>1.8622266342069633</v>
      </c>
      <c r="AL46" s="31"/>
      <c r="AM46" s="31"/>
      <c r="AP46" s="31">
        <f>IF((1 - CUSTOS!$M$31)&lt;&gt;0,1/(1 - CUSTOS!$M$31),1)</f>
        <v>1</v>
      </c>
    </row>
    <row r="47" spans="1:42" ht="11.25" customHeight="1" x14ac:dyDescent="0.25">
      <c r="A47" s="137"/>
      <c r="B47" s="137"/>
      <c r="C47" s="137"/>
      <c r="D47" s="137"/>
      <c r="E47" s="137"/>
      <c r="F47" s="137"/>
      <c r="G47" s="41" t="s">
        <v>72</v>
      </c>
      <c r="H47" s="41" t="s">
        <v>70</v>
      </c>
      <c r="I47" s="41">
        <f>'MERCADO TUSD'!$U$44</f>
        <v>3.742</v>
      </c>
      <c r="J47" s="15"/>
      <c r="L47" s="31">
        <f>1*(1 - CUSTOS!$M$31)</f>
        <v>1</v>
      </c>
      <c r="M47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0.73231771585619554</v>
      </c>
      <c r="N47" s="31">
        <f ca="1">(+M47+O47+R47+U47+V47+W47+X47+Y47+Z47+AA47+AC47+AH47+AI47+AJ47+AK47)*CUSTOS!$M$5</f>
        <v>1.7991457098427015</v>
      </c>
      <c r="O47" s="31">
        <f>1 - CUSTOS!$M$31</f>
        <v>1</v>
      </c>
      <c r="P47" s="31">
        <f>1 - CUSTOS!$M$31</f>
        <v>1</v>
      </c>
      <c r="Q47" s="31">
        <f>1*(1 - CUSTOS!$M$31)</f>
        <v>1</v>
      </c>
      <c r="R47" s="31">
        <f>1 - CUSTOS!$M$31</f>
        <v>1</v>
      </c>
      <c r="S47" s="31">
        <f>1 - CUSTOS!$M$31</f>
        <v>1</v>
      </c>
      <c r="T47" s="31"/>
      <c r="U47" s="31">
        <f>TRANSICAO!$U$47*CUSTOS!$T$3</f>
        <v>0</v>
      </c>
      <c r="V47" s="31">
        <f>TRANSICAO!$V$47*CUSTOS!$T$3</f>
        <v>0</v>
      </c>
      <c r="W47" s="31">
        <f>TRANSICAO!$W$47*CUSTOS!$T$3</f>
        <v>0</v>
      </c>
      <c r="X47" s="31">
        <f>TRANSICAO!$X$47*CUSTOS!$T$3</f>
        <v>0</v>
      </c>
      <c r="Y47" s="31">
        <f>TRANSICAO!$Y$47*CUSTOS!$T$3</f>
        <v>61.3416</v>
      </c>
      <c r="Z47" s="31">
        <f>TRANSICAO!$Z$47*CUSTOS!$T$3</f>
        <v>0</v>
      </c>
      <c r="AA47" s="31">
        <f>TRANSICAO!$AA$47*CUSTOS!$T$3</f>
        <v>0</v>
      </c>
      <c r="AB47" s="31">
        <f>TRANSICAO!$AB$47*CUSTOS!$T$3</f>
        <v>0</v>
      </c>
      <c r="AC47" s="31">
        <f>TRANSICAO!$AC$47*CUSTOS!$T$3</f>
        <v>77.194800000000001</v>
      </c>
      <c r="AD47" s="31">
        <f>TRANSICAO!$AD$47*CUSTOS!$T$3</f>
        <v>0</v>
      </c>
      <c r="AE47" s="31">
        <v>0</v>
      </c>
      <c r="AF47" s="31">
        <v>0</v>
      </c>
      <c r="AG47" s="31"/>
      <c r="AH47" s="31">
        <f>(1 - CUSTOS!$M$31)*17.4607</f>
        <v>17.460699999999999</v>
      </c>
      <c r="AI47" s="31">
        <f>(1 - CUSTOS!$M$31)*17.4607</f>
        <v>17.460699999999999</v>
      </c>
      <c r="AJ47" s="31">
        <f ca="1">$N$64*(1-CUSTOS!$M$31)</f>
        <v>1.8622266342069633</v>
      </c>
      <c r="AK47" s="31">
        <f t="shared" ca="1" si="0"/>
        <v>1.8622266342069633</v>
      </c>
      <c r="AL47" s="31"/>
      <c r="AM47" s="31"/>
      <c r="AP47" s="31">
        <f>IF((1 - CUSTOS!$M$31)&lt;&gt;0,1/(1 - CUSTOS!$M$31),1)</f>
        <v>1</v>
      </c>
    </row>
    <row r="48" spans="1:42" ht="11.25" customHeight="1" x14ac:dyDescent="0.25">
      <c r="A48" s="137"/>
      <c r="B48" s="42" t="s">
        <v>23</v>
      </c>
      <c r="C48" s="42" t="s">
        <v>25</v>
      </c>
      <c r="D48" s="42" t="s">
        <v>25</v>
      </c>
      <c r="E48" s="42" t="s">
        <v>25</v>
      </c>
      <c r="F48" s="42" t="s">
        <v>25</v>
      </c>
      <c r="G48" s="41" t="s">
        <v>74</v>
      </c>
      <c r="H48" s="41" t="s">
        <v>70</v>
      </c>
      <c r="I48" s="41">
        <f>'MERCADO TUSD'!$U$45</f>
        <v>12398.925999999999</v>
      </c>
      <c r="J48" s="15"/>
      <c r="L48" s="31">
        <f>1*(1 - CUSTOS!$M$31)</f>
        <v>1</v>
      </c>
      <c r="M48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0.73231771585619554</v>
      </c>
      <c r="N48" s="31">
        <f ca="1">(+M48+O48+R48+U48+V48+W48+X48+Y48+Z48+AA48+AC48+AH48+AI48+AJ48+AK48)*CUSTOS!$M$5</f>
        <v>2.8023397098427014</v>
      </c>
      <c r="O48" s="31">
        <f>1 - CUSTOS!$M$31</f>
        <v>1</v>
      </c>
      <c r="P48" s="31">
        <f>1 - CUSTOS!$M$31</f>
        <v>1</v>
      </c>
      <c r="Q48" s="31">
        <f>1*(1 - CUSTOS!$M$31)</f>
        <v>1</v>
      </c>
      <c r="R48" s="31">
        <f>1 - CUSTOS!$M$31</f>
        <v>1</v>
      </c>
      <c r="S48" s="31">
        <f>1 - CUSTOS!$M$31</f>
        <v>1</v>
      </c>
      <c r="T48" s="31"/>
      <c r="U48" s="31">
        <f>TRANSICAO!$U$48*CUSTOS!$T$3</f>
        <v>0</v>
      </c>
      <c r="V48" s="31">
        <f>TRANSICAO!$V$48*CUSTOS!$T$3</f>
        <v>0</v>
      </c>
      <c r="W48" s="31">
        <f>TRANSICAO!$W$48*CUSTOS!$T$3</f>
        <v>0</v>
      </c>
      <c r="X48" s="31">
        <f>TRANSICAO!$X$48*CUSTOS!$T$3</f>
        <v>0</v>
      </c>
      <c r="Y48" s="31">
        <f>TRANSICAO!$Y$48*CUSTOS!$T$3</f>
        <v>105.76139999999999</v>
      </c>
      <c r="Z48" s="31">
        <f>TRANSICAO!$Z$48*CUSTOS!$T$3</f>
        <v>0</v>
      </c>
      <c r="AA48" s="31">
        <f>TRANSICAO!$AA$48*CUSTOS!$T$3</f>
        <v>0</v>
      </c>
      <c r="AB48" s="31">
        <f>TRANSICAO!$AB$48*CUSTOS!$T$3</f>
        <v>0</v>
      </c>
      <c r="AC48" s="31">
        <f>TRANSICAO!$AC$48*CUSTOS!$T$3</f>
        <v>133.09440000000001</v>
      </c>
      <c r="AD48" s="31">
        <f>TRANSICAO!$AD$48*CUSTOS!$T$3</f>
        <v>0</v>
      </c>
      <c r="AE48" s="31">
        <v>0</v>
      </c>
      <c r="AF48" s="31">
        <v>0</v>
      </c>
      <c r="AG48" s="31"/>
      <c r="AH48" s="31">
        <f>(1 - CUSTOS!$M$31)*17.4607</f>
        <v>17.460699999999999</v>
      </c>
      <c r="AI48" s="31">
        <f>(1 - CUSTOS!$M$31)*17.4607</f>
        <v>17.460699999999999</v>
      </c>
      <c r="AJ48" s="31">
        <f ca="1">$N$64*(1-CUSTOS!$M$31)</f>
        <v>1.8622266342069633</v>
      </c>
      <c r="AK48" s="31">
        <f t="shared" ca="1" si="0"/>
        <v>1.8622266342069633</v>
      </c>
      <c r="AL48" s="31"/>
      <c r="AM48" s="31"/>
      <c r="AP48" s="31">
        <f>IF((1 - CUSTOS!$M$31)&lt;&gt;0,1/(1 - CUSTOS!$M$31),1)</f>
        <v>1</v>
      </c>
    </row>
    <row r="49" spans="1:42" ht="11.25" customHeight="1" x14ac:dyDescent="0.25">
      <c r="A49" s="137"/>
      <c r="B49" s="42" t="s">
        <v>85</v>
      </c>
      <c r="C49" s="42" t="s">
        <v>25</v>
      </c>
      <c r="D49" s="42" t="s">
        <v>25</v>
      </c>
      <c r="E49" s="42" t="s">
        <v>25</v>
      </c>
      <c r="F49" s="42" t="s">
        <v>25</v>
      </c>
      <c r="G49" s="41" t="s">
        <v>74</v>
      </c>
      <c r="H49" s="41" t="s">
        <v>70</v>
      </c>
      <c r="I49" s="41">
        <f>'MERCADO TUSD'!$U$46</f>
        <v>0</v>
      </c>
      <c r="J49" s="15"/>
      <c r="L49" s="31">
        <f>1*(1 - CUSTOS!$M$31)</f>
        <v>1</v>
      </c>
      <c r="M49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0.73231771585619554</v>
      </c>
      <c r="N49" s="31">
        <f ca="1">(+M49+O49+R49+U49+V49+W49+X49+Y49+Z49+AA49+AC49+AH49+AI49+AJ49+AK49)*CUSTOS!$M$5</f>
        <v>2.8023397098427014</v>
      </c>
      <c r="O49" s="31">
        <f>1 - CUSTOS!$M$31</f>
        <v>1</v>
      </c>
      <c r="P49" s="31">
        <f>1 - CUSTOS!$M$31</f>
        <v>1</v>
      </c>
      <c r="Q49" s="31">
        <f>1*(1 - CUSTOS!$M$31)</f>
        <v>1</v>
      </c>
      <c r="R49" s="31">
        <f>1 - CUSTOS!$M$31</f>
        <v>1</v>
      </c>
      <c r="S49" s="31">
        <f>1 - CUSTOS!$M$31</f>
        <v>1</v>
      </c>
      <c r="T49" s="31"/>
      <c r="U49" s="31">
        <f>TRANSICAO!$U$49*CUSTOS!$T$3</f>
        <v>0</v>
      </c>
      <c r="V49" s="31">
        <f>TRANSICAO!$V$49*CUSTOS!$T$3</f>
        <v>0</v>
      </c>
      <c r="W49" s="31">
        <f>TRANSICAO!$W$49*CUSTOS!$T$3</f>
        <v>0</v>
      </c>
      <c r="X49" s="31">
        <f>TRANSICAO!$X$49*CUSTOS!$T$3</f>
        <v>0</v>
      </c>
      <c r="Y49" s="31">
        <f>TRANSICAO!$Y$49*CUSTOS!$T$3</f>
        <v>105.76139999999999</v>
      </c>
      <c r="Z49" s="31">
        <f>TRANSICAO!$Z$49*CUSTOS!$T$3</f>
        <v>0</v>
      </c>
      <c r="AA49" s="31">
        <f>TRANSICAO!$AA$49*CUSTOS!$T$3</f>
        <v>0</v>
      </c>
      <c r="AB49" s="31">
        <f>TRANSICAO!$AB$49*CUSTOS!$T$3</f>
        <v>0</v>
      </c>
      <c r="AC49" s="31">
        <f>TRANSICAO!$AC$49*CUSTOS!$T$3</f>
        <v>133.09440000000001</v>
      </c>
      <c r="AD49" s="31">
        <f>TRANSICAO!$AD$49*CUSTOS!$T$3</f>
        <v>0</v>
      </c>
      <c r="AE49" s="31">
        <v>0</v>
      </c>
      <c r="AF49" s="31">
        <v>0</v>
      </c>
      <c r="AG49" s="31"/>
      <c r="AH49" s="31">
        <f>(1 - CUSTOS!$M$31)*17.4607</f>
        <v>17.460699999999999</v>
      </c>
      <c r="AI49" s="31">
        <f>(1 - CUSTOS!$M$31)*17.4607</f>
        <v>17.460699999999999</v>
      </c>
      <c r="AJ49" s="31">
        <f ca="1">$N$64*(1-CUSTOS!$M$31)</f>
        <v>1.8622266342069633</v>
      </c>
      <c r="AK49" s="31">
        <f t="shared" ca="1" si="0"/>
        <v>1.8622266342069633</v>
      </c>
      <c r="AL49" s="31"/>
      <c r="AM49" s="31"/>
      <c r="AP49" s="31">
        <f>IF((1 - CUSTOS!$M$31)&lt;&gt;0,1/(1 - CUSTOS!$M$31),1)</f>
        <v>1</v>
      </c>
    </row>
    <row r="50" spans="1:42" ht="11.25" customHeight="1" x14ac:dyDescent="0.25">
      <c r="A50" s="137" t="s">
        <v>42</v>
      </c>
      <c r="B50" s="137" t="s">
        <v>23</v>
      </c>
      <c r="C50" s="137" t="s">
        <v>43</v>
      </c>
      <c r="D50" s="42" t="s">
        <v>44</v>
      </c>
      <c r="E50" s="42" t="s">
        <v>25</v>
      </c>
      <c r="F50" s="42" t="s">
        <v>25</v>
      </c>
      <c r="G50" s="41" t="s">
        <v>74</v>
      </c>
      <c r="H50" s="41" t="s">
        <v>70</v>
      </c>
      <c r="I50" s="41">
        <f>'MERCADO TUSD'!$U$47</f>
        <v>3575.7699999999995</v>
      </c>
      <c r="J50" s="15"/>
      <c r="L50" s="31">
        <f>1*(1 - CUSTOS!$M$32)</f>
        <v>0.55000000000000004</v>
      </c>
      <c r="M50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CUSTOS!$M$32)</f>
        <v>0.4027747437209076</v>
      </c>
      <c r="N50" s="31">
        <f ca="1">(+M50+O50+R50+U50+V50+W50+X50+Y50+Z50+AA50+AC50+AH50+AI50+AJ50+AK50)*CUSTOS!$M$5</f>
        <v>1.5412868404134858</v>
      </c>
      <c r="O50" s="31">
        <f>1 - CUSTOS!$M$32</f>
        <v>0.55000000000000004</v>
      </c>
      <c r="P50" s="31">
        <f>1 - CUSTOS!$M$32</f>
        <v>0.55000000000000004</v>
      </c>
      <c r="Q50" s="31">
        <f>1*(1 - CUSTOS!$M$32)</f>
        <v>0.55000000000000004</v>
      </c>
      <c r="R50" s="31">
        <f>1 - CUSTOS!$M$32</f>
        <v>0.55000000000000004</v>
      </c>
      <c r="S50" s="31">
        <f>1 - CUSTOS!$M$32</f>
        <v>0.55000000000000004</v>
      </c>
      <c r="T50" s="31"/>
      <c r="U50" s="31">
        <f>TRANSICAO!$U$50*CUSTOS!$T$3</f>
        <v>0</v>
      </c>
      <c r="V50" s="31">
        <f>TRANSICAO!$V$50*CUSTOS!$T$3</f>
        <v>0</v>
      </c>
      <c r="W50" s="31">
        <f>TRANSICAO!$W$50*CUSTOS!$T$3</f>
        <v>0</v>
      </c>
      <c r="X50" s="31">
        <f>TRANSICAO!$X$50*CUSTOS!$T$3</f>
        <v>0</v>
      </c>
      <c r="Y50" s="31">
        <f>TRANSICAO!$Y$50*CUSTOS!$T$3</f>
        <v>58.168770000000002</v>
      </c>
      <c r="Z50" s="31">
        <f>TRANSICAO!$Z$50*CUSTOS!$T$3</f>
        <v>0</v>
      </c>
      <c r="AA50" s="31">
        <f>TRANSICAO!$AA$50*CUSTOS!$T$3</f>
        <v>0</v>
      </c>
      <c r="AB50" s="31">
        <f>TRANSICAO!$AB$50*CUSTOS!$T$3</f>
        <v>0</v>
      </c>
      <c r="AC50" s="31">
        <f>TRANSICAO!$AC$50*CUSTOS!$T$3</f>
        <v>73.201920000000015</v>
      </c>
      <c r="AD50" s="31">
        <f>TRANSICAO!$AD$50*CUSTOS!$T$3</f>
        <v>0</v>
      </c>
      <c r="AE50" s="31">
        <v>0</v>
      </c>
      <c r="AF50" s="31">
        <v>0</v>
      </c>
      <c r="AG50" s="31"/>
      <c r="AH50" s="31">
        <f>(1 - CUSTOS!$M$32)*17.4607</f>
        <v>9.6033850000000012</v>
      </c>
      <c r="AI50" s="31">
        <f>(1 - CUSTOS!$M$32)*17.4607</f>
        <v>9.6033850000000012</v>
      </c>
      <c r="AJ50" s="31">
        <f ca="1">$N$64*(1-CUSTOS!$M$32)</f>
        <v>1.02422464881383</v>
      </c>
      <c r="AK50" s="31">
        <f t="shared" ca="1" si="0"/>
        <v>1.02422464881383</v>
      </c>
      <c r="AL50" s="31"/>
      <c r="AM50" s="31"/>
      <c r="AP50" s="31">
        <f>IF((1 - CUSTOS!$M$32)&lt;&gt;0,1/(1 - CUSTOS!$M$32),1)</f>
        <v>1.8181818181818181</v>
      </c>
    </row>
    <row r="51" spans="1:42" ht="11.25" customHeight="1" x14ac:dyDescent="0.25">
      <c r="A51" s="137"/>
      <c r="B51" s="137"/>
      <c r="C51" s="137"/>
      <c r="D51" s="41" t="s">
        <v>88</v>
      </c>
      <c r="E51" s="41" t="s">
        <v>25</v>
      </c>
      <c r="F51" s="41" t="s">
        <v>25</v>
      </c>
      <c r="G51" s="41" t="s">
        <v>74</v>
      </c>
      <c r="H51" s="41" t="s">
        <v>70</v>
      </c>
      <c r="I51" s="41">
        <f>'MERCADO TUSD'!$U$48</f>
        <v>0</v>
      </c>
      <c r="J51" s="15"/>
      <c r="L51" s="31">
        <f>1*(1 - CUSTOS!$M$33)</f>
        <v>0.6</v>
      </c>
      <c r="M51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CUSTOS!$M$33)</f>
        <v>0.43939062951371732</v>
      </c>
      <c r="N51" s="31">
        <f ca="1">(+M51+O51+R51+U51+V51+W51+X51+Y51+Z51+AA51+AC51+AH51+AI51+AJ51+AK51)*CUSTOS!$M$5</f>
        <v>1.6814038259056208</v>
      </c>
      <c r="O51" s="31">
        <f>1 - CUSTOS!$M$33</f>
        <v>0.6</v>
      </c>
      <c r="P51" s="31">
        <f>1 - CUSTOS!$M$33</f>
        <v>0.6</v>
      </c>
      <c r="Q51" s="31">
        <f>1*(1 - CUSTOS!$M$33)</f>
        <v>0.6</v>
      </c>
      <c r="R51" s="31">
        <f>1 - CUSTOS!$M$33</f>
        <v>0.6</v>
      </c>
      <c r="S51" s="31">
        <f>1 - CUSTOS!$M$33</f>
        <v>0.6</v>
      </c>
      <c r="T51" s="31"/>
      <c r="U51" s="31">
        <f>TRANSICAO!$U$51*CUSTOS!$T$3</f>
        <v>0</v>
      </c>
      <c r="V51" s="31">
        <f>TRANSICAO!$V$51*CUSTOS!$T$3</f>
        <v>0</v>
      </c>
      <c r="W51" s="31">
        <f>TRANSICAO!$W$51*CUSTOS!$T$3</f>
        <v>0</v>
      </c>
      <c r="X51" s="31">
        <f>TRANSICAO!$X$51*CUSTOS!$T$3</f>
        <v>0</v>
      </c>
      <c r="Y51" s="31">
        <f>TRANSICAO!$Y$51*CUSTOS!$T$3</f>
        <v>63.456839999999993</v>
      </c>
      <c r="Z51" s="31">
        <f>TRANSICAO!$Z$51*CUSTOS!$T$3</f>
        <v>0</v>
      </c>
      <c r="AA51" s="31">
        <f>TRANSICAO!$AA$51*CUSTOS!$T$3</f>
        <v>0</v>
      </c>
      <c r="AB51" s="31">
        <f>TRANSICAO!$AB$51*CUSTOS!$T$3</f>
        <v>0</v>
      </c>
      <c r="AC51" s="31">
        <f>TRANSICAO!$AC$51*CUSTOS!$T$3</f>
        <v>79.856639999999999</v>
      </c>
      <c r="AD51" s="31">
        <f>TRANSICAO!$AD$51*CUSTOS!$T$3</f>
        <v>0</v>
      </c>
      <c r="AE51" s="31">
        <v>0</v>
      </c>
      <c r="AF51" s="31">
        <v>0</v>
      </c>
      <c r="AG51" s="31"/>
      <c r="AH51" s="31">
        <f>(1 - CUSTOS!$M$33)*17.4607</f>
        <v>10.476419999999999</v>
      </c>
      <c r="AI51" s="31">
        <f>(1 - CUSTOS!$M$33)*17.4607</f>
        <v>10.476419999999999</v>
      </c>
      <c r="AJ51" s="31">
        <f ca="1">$N$64*(1-CUSTOS!$M$33)</f>
        <v>1.117335980524178</v>
      </c>
      <c r="AK51" s="31">
        <f t="shared" ca="1" si="0"/>
        <v>1.117335980524178</v>
      </c>
      <c r="AL51" s="31"/>
      <c r="AM51" s="31"/>
      <c r="AP51" s="31">
        <f>IF((1 - CUSTOS!$M$33)&lt;&gt;0,1/(1 - CUSTOS!$M$33),1)</f>
        <v>1.6666666666666667</v>
      </c>
    </row>
    <row r="53" spans="1:42" ht="11.25" customHeight="1" x14ac:dyDescent="0.25">
      <c r="K53" s="35" t="s">
        <v>512</v>
      </c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</row>
    <row r="54" spans="1:42" ht="11.25" customHeight="1" x14ac:dyDescent="0.25">
      <c r="K54" s="35" t="s">
        <v>513</v>
      </c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</row>
    <row r="55" spans="1:42" ht="11.25" customHeight="1" x14ac:dyDescent="0.25">
      <c r="K55" s="35" t="s">
        <v>514</v>
      </c>
      <c r="L55" s="31">
        <f>IF(ISERROR(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,0,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</f>
        <v>66543.68462</v>
      </c>
      <c r="M55" s="31">
        <f>IF(ISERROR(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,0,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</f>
        <v>30936.811349881107</v>
      </c>
      <c r="N55" s="31">
        <f ca="1">IF(ISERROR(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,0,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</f>
        <v>130849.36635542494</v>
      </c>
      <c r="O55" s="31">
        <f>IF(ISERROR(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,0,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</f>
        <v>73530.138500000001</v>
      </c>
      <c r="P55" s="31">
        <f>IF(ISERROR(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,0,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</f>
        <v>72562.263500000001</v>
      </c>
      <c r="Q55" s="31">
        <f>IF(ISERROR(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,0,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</f>
        <v>66543.68462</v>
      </c>
      <c r="R55" s="31">
        <f>IF(ISERROR(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,0,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</f>
        <v>72562.263500000001</v>
      </c>
      <c r="S55" s="31">
        <f>IF(ISERROR(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,0,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</f>
        <v>73530.138500000001</v>
      </c>
      <c r="T55" s="31"/>
      <c r="U55" s="31">
        <f>IF(ISERROR(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,0,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</f>
        <v>0</v>
      </c>
      <c r="V55" s="31">
        <f>IF(ISERROR(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,0,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</f>
        <v>0</v>
      </c>
      <c r="W55" s="31">
        <f>IF(ISERROR(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,0,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</f>
        <v>0</v>
      </c>
      <c r="X55" s="31">
        <f>IF(ISERROR(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,0,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</f>
        <v>0</v>
      </c>
      <c r="Y55" s="31">
        <f>IF(ISERROR(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,0,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</f>
        <v>7727507.4059711993</v>
      </c>
      <c r="Z55" s="31">
        <f>IF(ISERROR(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,0,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</f>
        <v>0</v>
      </c>
      <c r="AA55" s="31">
        <f>IF(ISERROR(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,0,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</f>
        <v>0</v>
      </c>
      <c r="AB55" s="31"/>
      <c r="AC55" s="31">
        <f>IF(ISERROR(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,0,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</f>
        <v>5622487.3706788365</v>
      </c>
      <c r="AD55" s="31"/>
      <c r="AE55" s="31">
        <f>IF(ISERROR(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,0,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</f>
        <v>0</v>
      </c>
      <c r="AF55" s="31">
        <f>IF(ISERROR(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,0,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</f>
        <v>0</v>
      </c>
      <c r="AG55" s="31"/>
      <c r="AH55" s="31">
        <f>IF(ISERROR(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,0,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</f>
        <v>1004877.65726555</v>
      </c>
      <c r="AI55" s="31">
        <f>IF(ISERROR(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,0,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</f>
        <v>1004877.65726555</v>
      </c>
      <c r="AJ55" s="31">
        <f ca="1">IF(ISERROR(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,0,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</f>
        <v>113780.04110575635</v>
      </c>
      <c r="AK55" s="31">
        <f ca="1">IF(ISERROR(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,0,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</f>
        <v>113780.04110575635</v>
      </c>
      <c r="AL55" s="31"/>
      <c r="AM55" s="31"/>
    </row>
    <row r="56" spans="1:42" ht="11.25" customHeight="1" x14ac:dyDescent="0.25">
      <c r="K56" s="35" t="s">
        <v>450</v>
      </c>
      <c r="L56" s="31">
        <f>CUSTOS!$D$2</f>
        <v>170367.27770803907</v>
      </c>
      <c r="M56" s="31">
        <f>CUSTOS!$D$3</f>
        <v>32115.181223352905</v>
      </c>
      <c r="N56" s="31">
        <f>CUSTOS!$D$4</f>
        <v>147303.02270457585</v>
      </c>
      <c r="O56" s="31">
        <f>CUSTOS!$D$5</f>
        <v>0</v>
      </c>
      <c r="P56" s="31">
        <f>CUSTOS!$D$6</f>
        <v>0</v>
      </c>
      <c r="Q56" s="31">
        <f>CUSTOS!$D$7</f>
        <v>6229100.7423415985</v>
      </c>
      <c r="R56" s="31">
        <f>CUSTOS!$D$8</f>
        <v>1076201.0144336333</v>
      </c>
      <c r="S56" s="31">
        <f>CUSTOS!$D$9</f>
        <v>0</v>
      </c>
      <c r="T56" s="31">
        <f>CUSTOS!$D$10</f>
        <v>7655087.2384112002</v>
      </c>
      <c r="U56" s="31">
        <f>CUSTOS!$D$11</f>
        <v>0</v>
      </c>
      <c r="V56" s="31">
        <f>IF(SUM(V53:V55)&lt;&gt;0,CUSTOS!$D$12+CUSTOS!$D$16+CUSTOS!$D$17-'TR TUSD'!$Z$54-'TR TUSD'!$AA$54,0)</f>
        <v>0</v>
      </c>
      <c r="W56" s="31">
        <f>CUSTOS!$D$13</f>
        <v>0</v>
      </c>
      <c r="X56" s="31">
        <f>CUSTOS!$D$14</f>
        <v>0</v>
      </c>
      <c r="Y56" s="31">
        <f>IF(SUM(V53:V55)=0,CUSTOS!$D$15+CUSTOS!$D$16+CUSTOS!$D$17-'TR TUSD'!$Z$54-'TR TUSD'!$AA$54,CUSTOS!$D$15)</f>
        <v>8758233.2120063994</v>
      </c>
      <c r="Z56" s="31">
        <f>Z54</f>
        <v>0</v>
      </c>
      <c r="AA56" s="31">
        <f>AA54</f>
        <v>0</v>
      </c>
      <c r="AB56" s="31">
        <f>CUSTOS!$D$18</f>
        <v>8758233.2120063994</v>
      </c>
      <c r="AC56" s="31">
        <f>CUSTOS!$D$19</f>
        <v>5836168.2498144377</v>
      </c>
      <c r="AD56" s="31">
        <f>CUSTOS!$D$20</f>
        <v>5836168.2498144377</v>
      </c>
      <c r="AE56" s="31">
        <f>CUSTOS!$D$21</f>
        <v>0</v>
      </c>
      <c r="AF56" s="31">
        <f>CUSTOS!$D$22</f>
        <v>0</v>
      </c>
      <c r="AG56" s="31">
        <f>CUSTOS!$D$23</f>
        <v>0</v>
      </c>
      <c r="AH56" s="31">
        <f>CUSTOS!$D$24</f>
        <v>1040518.760215919</v>
      </c>
      <c r="AI56" s="31">
        <f>CUSTOS!$D$25</f>
        <v>33461.673428496732</v>
      </c>
      <c r="AJ56" s="31">
        <f>CUSTOS!$D$26</f>
        <v>116776.54346506554</v>
      </c>
      <c r="AK56" s="31">
        <f>CUSTOS!$D$27</f>
        <v>19192.758857639066</v>
      </c>
      <c r="AL56" s="31">
        <f>CUSTOS!$D$28</f>
        <v>1209949.7359671204</v>
      </c>
      <c r="AM56" s="31">
        <f>CUSTOS!$D$29</f>
        <v>23459438.436199158</v>
      </c>
    </row>
    <row r="57" spans="1:42" ht="11.25" customHeight="1" x14ac:dyDescent="0.25">
      <c r="K57" s="35" t="s">
        <v>451</v>
      </c>
      <c r="L57" s="31">
        <f>CUSTOS!$E$2</f>
        <v>3301.4954897160933</v>
      </c>
      <c r="M57" s="31">
        <f>CUSTOS!$E$3</f>
        <v>-709.4579393557384</v>
      </c>
      <c r="N57" s="31">
        <f>CUSTOS!$E$4</f>
        <v>2.7684535812032011E-2</v>
      </c>
      <c r="O57" s="31">
        <f>CUSTOS!$E$5</f>
        <v>0</v>
      </c>
      <c r="P57" s="31">
        <f>CUSTOS!$E$6</f>
        <v>0</v>
      </c>
      <c r="Q57" s="31">
        <f>CUSTOS!$E$7</f>
        <v>93285.851679284708</v>
      </c>
      <c r="R57" s="31">
        <f>CUSTOS!$E$8</f>
        <v>19469.144143643061</v>
      </c>
      <c r="S57" s="31">
        <f>CUSTOS!$E$9</f>
        <v>0</v>
      </c>
      <c r="T57" s="31">
        <f>CUSTOS!$E$10</f>
        <v>115347.06105782394</v>
      </c>
      <c r="U57" s="31">
        <f>CUSTOS!$E$11</f>
        <v>0</v>
      </c>
      <c r="V57" s="31">
        <f>CUSTOS!$E$12</f>
        <v>0</v>
      </c>
      <c r="W57" s="31">
        <f>CUSTOS!$E$13</f>
        <v>0</v>
      </c>
      <c r="X57" s="31">
        <f>CUSTOS!$E$14</f>
        <v>0</v>
      </c>
      <c r="Y57" s="31">
        <f>CUSTOS!$E$15</f>
        <v>400916.46700567618</v>
      </c>
      <c r="Z57" s="31">
        <f>CUSTOS!$E$16</f>
        <v>0</v>
      </c>
      <c r="AA57" s="31">
        <f>CUSTOS!$E$17</f>
        <v>0</v>
      </c>
      <c r="AB57" s="31">
        <f>CUSTOS!$E$18</f>
        <v>400916.46700567618</v>
      </c>
      <c r="AC57" s="31">
        <f>CUSTOS!$E$19</f>
        <v>-95906.210517291445</v>
      </c>
      <c r="AD57" s="31">
        <f>CUSTOS!$E$20</f>
        <v>-95906.210517291445</v>
      </c>
      <c r="AE57" s="31">
        <f>CUSTOS!$E$21</f>
        <v>-2474985.4297311138</v>
      </c>
      <c r="AF57" s="31">
        <f>CUSTOS!$E$22</f>
        <v>0</v>
      </c>
      <c r="AG57" s="31">
        <f>CUSTOS!$E$23</f>
        <v>-2474985.4297311138</v>
      </c>
      <c r="AH57" s="31">
        <f>CUSTOS!$E$24</f>
        <v>-64378.818270429307</v>
      </c>
      <c r="AI57" s="31">
        <f>CUSTOS!$E$25</f>
        <v>-2070.3355624559999</v>
      </c>
      <c r="AJ57" s="31">
        <f>CUSTOS!$E$26</f>
        <v>-7225.1805132531108</v>
      </c>
      <c r="AK57" s="31">
        <f>CUSTOS!$E$27</f>
        <v>2554.9068334908661</v>
      </c>
      <c r="AL57" s="31">
        <f>CUSTOS!$E$28</f>
        <v>-71119.427512647555</v>
      </c>
      <c r="AM57" s="31">
        <f>CUSTOS!$E$29</f>
        <v>-2125747.5396975526</v>
      </c>
    </row>
    <row r="58" spans="1:42" ht="11.25" customHeight="1" x14ac:dyDescent="0.25">
      <c r="K58" s="35" t="s">
        <v>452</v>
      </c>
      <c r="L58" s="31">
        <f>CUSTOS!$F$2</f>
        <v>11176.038919799439</v>
      </c>
      <c r="M58" s="31">
        <f>CUSTOS!$F$3</f>
        <v>0</v>
      </c>
      <c r="N58" s="31">
        <f>CUSTOS!$F$4</f>
        <v>0</v>
      </c>
      <c r="O58" s="31">
        <f>CUSTOS!$F$5</f>
        <v>0</v>
      </c>
      <c r="P58" s="31">
        <f>CUSTOS!$F$6</f>
        <v>0</v>
      </c>
      <c r="Q58" s="31">
        <f>CUSTOS!$F$7</f>
        <v>969884.26800000004</v>
      </c>
      <c r="R58" s="31">
        <f>CUSTOS!$F$8</f>
        <v>232624.6783</v>
      </c>
      <c r="S58" s="31">
        <f>CUSTOS!$F$9</f>
        <v>0</v>
      </c>
      <c r="T58" s="31">
        <f>CUSTOS!$F$10</f>
        <v>1213684.9852197994</v>
      </c>
      <c r="U58" s="31">
        <f>CUSTOS!$F$11</f>
        <v>0</v>
      </c>
      <c r="V58" s="31">
        <f>CUSTOS!$F$12</f>
        <v>0</v>
      </c>
      <c r="W58" s="31">
        <f>CUSTOS!$F$13</f>
        <v>0</v>
      </c>
      <c r="X58" s="31">
        <f>CUSTOS!$F$14</f>
        <v>0</v>
      </c>
      <c r="Y58" s="31">
        <f>CUSTOS!$F$15</f>
        <v>0</v>
      </c>
      <c r="Z58" s="31">
        <f>CUSTOS!$F$16</f>
        <v>0</v>
      </c>
      <c r="AA58" s="31">
        <f>CUSTOS!$F$17</f>
        <v>0</v>
      </c>
      <c r="AB58" s="31">
        <f>CUSTOS!$F$18</f>
        <v>0</v>
      </c>
      <c r="AC58" s="31">
        <f>CUSTOS!$F$19</f>
        <v>0</v>
      </c>
      <c r="AD58" s="31">
        <f>CUSTOS!$F$20</f>
        <v>0</v>
      </c>
      <c r="AE58" s="31">
        <f>CUSTOS!$F$21</f>
        <v>0</v>
      </c>
      <c r="AF58" s="31">
        <f>CUSTOS!$F$22</f>
        <v>0</v>
      </c>
      <c r="AG58" s="31">
        <f>CUSTOS!$F$23</f>
        <v>0</v>
      </c>
      <c r="AH58" s="31">
        <f>CUSTOS!$F$24</f>
        <v>112325.37685601893</v>
      </c>
      <c r="AI58" s="31">
        <f>CUSTOS!$F$25</f>
        <v>3612.2319191140596</v>
      </c>
      <c r="AJ58" s="31">
        <f>CUSTOS!$F$26</f>
        <v>12606.18237189193</v>
      </c>
      <c r="AK58" s="31">
        <f>CUSTOS!$F$27</f>
        <v>0</v>
      </c>
      <c r="AL58" s="31">
        <f>CUSTOS!$F$28</f>
        <v>128543.79114702492</v>
      </c>
      <c r="AM58" s="31">
        <f>CUSTOS!$F$29</f>
        <v>1342228.7763668243</v>
      </c>
    </row>
    <row r="59" spans="1:42" ht="11.25" customHeight="1" x14ac:dyDescent="0.25">
      <c r="K59" s="35" t="s">
        <v>515</v>
      </c>
      <c r="L59" s="31">
        <v>0</v>
      </c>
      <c r="M59" s="31">
        <v>0</v>
      </c>
      <c r="N59" s="31">
        <v>0</v>
      </c>
      <c r="O59" s="31">
        <v>0</v>
      </c>
      <c r="P59" s="31">
        <v>0</v>
      </c>
      <c r="Q59" s="31">
        <v>0</v>
      </c>
      <c r="R59" s="31">
        <v>0</v>
      </c>
      <c r="S59" s="31">
        <v>0</v>
      </c>
      <c r="T59" s="31"/>
      <c r="U59" s="31">
        <v>0</v>
      </c>
      <c r="V59" s="31">
        <v>0</v>
      </c>
      <c r="W59" s="31">
        <v>0</v>
      </c>
      <c r="X59" s="31">
        <v>0</v>
      </c>
      <c r="Y59" s="31">
        <v>0</v>
      </c>
      <c r="Z59" s="31">
        <v>0</v>
      </c>
      <c r="AA59" s="31">
        <v>0</v>
      </c>
      <c r="AB59" s="31"/>
      <c r="AC59" s="31">
        <v>0</v>
      </c>
      <c r="AD59" s="31"/>
      <c r="AE59" s="31">
        <v>0</v>
      </c>
      <c r="AF59" s="31">
        <v>0</v>
      </c>
      <c r="AG59" s="31"/>
      <c r="AH59" s="31">
        <v>0</v>
      </c>
      <c r="AI59" s="31">
        <v>0</v>
      </c>
      <c r="AJ59" s="31">
        <v>0</v>
      </c>
      <c r="AK59" s="31">
        <v>0</v>
      </c>
      <c r="AL59" s="31"/>
      <c r="AM59" s="31"/>
    </row>
    <row r="60" spans="1:42" ht="11.25" customHeight="1" x14ac:dyDescent="0.25">
      <c r="K60" s="35" t="s">
        <v>516</v>
      </c>
      <c r="L60" s="31">
        <f t="shared" ref="L60:S60" si="1">IF((L55+L53)&lt;&gt;0,(L56-L54-L59)/(L55+L53),0)</f>
        <v>2.5602321043826661</v>
      </c>
      <c r="M60" s="31">
        <f t="shared" si="1"/>
        <v>1.0380895710338398</v>
      </c>
      <c r="N60" s="31">
        <f t="shared" ca="1" si="1"/>
        <v>1.1257450212212567</v>
      </c>
      <c r="O60" s="31">
        <f t="shared" si="1"/>
        <v>0</v>
      </c>
      <c r="P60" s="31">
        <f t="shared" si="1"/>
        <v>0</v>
      </c>
      <c r="Q60" s="31">
        <f t="shared" si="1"/>
        <v>93.609194890741207</v>
      </c>
      <c r="R60" s="31">
        <f t="shared" si="1"/>
        <v>14.831414602076647</v>
      </c>
      <c r="S60" s="31">
        <f t="shared" si="1"/>
        <v>0</v>
      </c>
      <c r="T60" s="31"/>
      <c r="U60" s="31">
        <f>IF(U55&lt;&gt;0,(U56-U54-U53-U59)/U55,0)</f>
        <v>0</v>
      </c>
      <c r="V60" s="31">
        <f>IF(V55&lt;&gt;0,(V56-V54-V53-V59)/V55,0)</f>
        <v>0</v>
      </c>
      <c r="W60" s="31">
        <f>IF(W55&lt;&gt;0,(W56-W54-W53-W59)/W55,0)</f>
        <v>0</v>
      </c>
      <c r="X60" s="31">
        <f>IF(X55&lt;&gt;0,(X56-X54-X53-X59)/X55,0)</f>
        <v>0</v>
      </c>
      <c r="Y60" s="31">
        <f>IF(Y55&lt;&gt;0,(Y56-Y54-Y53-Y59)/Y55,0)</f>
        <v>1.1333839945903821</v>
      </c>
      <c r="Z60" s="31"/>
      <c r="AA60" s="31"/>
      <c r="AB60" s="31"/>
      <c r="AC60" s="31">
        <f>IF(AC55&lt;&gt;0,(AC56-AC54-AC53-AC59)/AC55,0)</f>
        <v>1.0380046881474456</v>
      </c>
      <c r="AD60" s="31"/>
      <c r="AE60" s="31">
        <f>IF((AE55+AE53)&lt;&gt;0,(AE56-AE54-AE59)/(AE55+AE53),0)</f>
        <v>0</v>
      </c>
      <c r="AF60" s="31">
        <f>IF((AF55+AF53)&lt;&gt;0,(AF56-AF54-AF59)/(AF55+AF53),0)</f>
        <v>0</v>
      </c>
      <c r="AG60" s="31"/>
      <c r="AH60" s="31">
        <f>IF(AH55&lt;&gt;0,(AH56-AH54-AH53-AH59)/AH55,0)</f>
        <v>1.0354681017063856</v>
      </c>
      <c r="AI60" s="31">
        <f>IF(AI55&lt;&gt;0,(AI56-AI54-AI53-AI59)/AI55,0)</f>
        <v>3.3299251094458471E-2</v>
      </c>
      <c r="AJ60" s="31">
        <f ca="1">IF((AJ55+AJ53)&lt;&gt;0,(AJ56-AJ54-AJ59)/(AJ55+AJ53),0)</f>
        <v>1.026335922629207</v>
      </c>
      <c r="AK60" s="31">
        <f ca="1">IF((AK55+AK53)&lt;&gt;0,(AK56-AK54-AK59)/(AK55+AK53),0)</f>
        <v>0.16868300161536914</v>
      </c>
      <c r="AL60" s="31"/>
      <c r="AM60" s="31"/>
    </row>
    <row r="62" spans="1:42" ht="11.25" customHeight="1" x14ac:dyDescent="0.25">
      <c r="K62" s="43" t="s">
        <v>1030</v>
      </c>
      <c r="L62" s="43" t="s">
        <v>1031</v>
      </c>
      <c r="M62" s="43" t="s">
        <v>1032</v>
      </c>
      <c r="N62" s="43" t="s">
        <v>1033</v>
      </c>
      <c r="O62" s="43" t="s">
        <v>1034</v>
      </c>
      <c r="P62" s="43" t="s">
        <v>1035</v>
      </c>
    </row>
    <row r="63" spans="1:42" ht="11.25" customHeight="1" x14ac:dyDescent="0.25">
      <c r="K63" s="41" t="s">
        <v>34</v>
      </c>
      <c r="L63" s="41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BE'!$I$8+(+'TUSD BE'!$L$10+'TUSD BE'!$M$10+'TUSD BE'!$N$10+'TUSD BE'!$O$10+'TUSD BE'!$P$10+'TUSD BE'!$Q$10+'TUSD BE'!$R$10+'TUSD BE'!$S$10+'TUSD BE'!$U$10+'TUSD BE'!$V$10+'TUSD BE'!$W$10+'TUSD BE'!$X$10+'TUSD BE'!$Y$10+'TUSD BE'!$Z$10+'TUSD BE'!$AA$10+'TUSD BE'!$AC$10+'TUSD BE'!$AH$10+'TUSD BE'!$AI$10)*'TUSD BE'!$I$10+(+'TUSD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</f>
        <v>9367211.6595137417</v>
      </c>
      <c r="M63" s="41">
        <f>+'TUSD BE'!$I$7+'TUSD BE'!$I$8+'TUSD BE'!$I$11+'TUSD BE'!$I$12+'TUSD BE'!$I$13+'TUSD BE'!$I$14</f>
        <v>37616.118000000002</v>
      </c>
      <c r="N63" s="41">
        <f ca="1">IF(AND($L$70&lt;&gt;0,M63&lt;&gt;0),(L63/$L$70*$AJ$56)/M63,0)</f>
        <v>1.2468058396988613</v>
      </c>
      <c r="O63" s="41"/>
      <c r="P63" s="41"/>
    </row>
    <row r="64" spans="1:42" ht="11.25" customHeight="1" x14ac:dyDescent="0.25">
      <c r="K64" s="41" t="s">
        <v>80</v>
      </c>
      <c r="L64" s="41">
        <f ca="1">+$L$65+$L$66+$L$67+$L$68+$L$69</f>
        <v>13956257.474362569</v>
      </c>
      <c r="M64" s="41">
        <f>+$M$65+$M$66+$M$67+$M$68+$M$69</f>
        <v>37523.117000000006</v>
      </c>
      <c r="N64" s="41">
        <f ca="1">IF(AND($L$70&lt;&gt;0,M64&lt;&gt;0),(L64/$L$70*$AJ$56)/M64,0)</f>
        <v>1.8622266342069633</v>
      </c>
      <c r="O64" s="41"/>
      <c r="P64" s="41"/>
    </row>
    <row r="65" spans="11:16" ht="11.25" customHeight="1" x14ac:dyDescent="0.25">
      <c r="K65" s="41" t="s">
        <v>80</v>
      </c>
      <c r="L65" s="41"/>
      <c r="M65" s="41"/>
      <c r="N65" s="41">
        <f ca="1">IF(AND($L$70&lt;&gt;0,M65&lt;&gt;0),(L65/$L$70*$AJ$56)/M65,0)</f>
        <v>0</v>
      </c>
      <c r="O65" s="41"/>
      <c r="P65" s="41"/>
    </row>
    <row r="66" spans="11:16" ht="11.25" customHeight="1" x14ac:dyDescent="0.25">
      <c r="K66" s="41" t="s">
        <v>22</v>
      </c>
      <c r="L66" s="41">
        <f ca="1">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BE'!$I$18+(+'TUSD BE'!$L$19+'TUSD BE'!$M$19+'TUSD BE'!$N$19+'TUSD BE'!$O$19+'TUSD BE'!$P$19+'TUSD BE'!$Q$19+'TUSD BE'!$R$19+'TUSD BE'!$S$19+'TUSD BE'!$U$19+'TUSD BE'!$V$19+'TUSD BE'!$W$19+'TUSD BE'!$X$19+'TUSD BE'!$Y$19+'TUSD BE'!$Z$19+'TUSD BE'!$AA$19+'TUSD BE'!$AC$19+'TUSD BE'!$AH$19+'TUSD BE'!$AI$19)*'TUSD BE'!$I$19+(+'TUSD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</f>
        <v>8311423.9559012176</v>
      </c>
      <c r="M66" s="41">
        <f>+'TUSD BE'!$I$17+'TUSD BE'!$I$18+'TUSD BE'!$I$19+'TUSD BE'!$I$20+'TUSD BE'!$I$21+'TUSD BE'!$I$22+'TUSD BE'!$I$23+'TUSD BE'!$I$24+'TUSD BE'!$I$25+'TUSD BE'!$I$26+'TUSD BE'!$I$27+'TUSD BE'!$I$28+'TUSD BE'!$I$29</f>
        <v>21498.751000000004</v>
      </c>
      <c r="N66" s="41"/>
      <c r="O66" s="41"/>
      <c r="P66" s="41"/>
    </row>
    <row r="67" spans="11:16" ht="11.25" customHeight="1" x14ac:dyDescent="0.25">
      <c r="K67" s="41" t="s">
        <v>39</v>
      </c>
      <c r="L67" s="41">
        <f ca="1">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</f>
        <v>17806.748268700852</v>
      </c>
      <c r="M67" s="41">
        <f>+'TUSD BE'!$I$30+'TUSD BE'!$I$31+'TUSD BE'!$I$32+'TUSD BE'!$I$33+'TUSD BE'!$I$34+'TUSD BE'!$I$35+'TUSD BE'!$I$36+'TUSD BE'!$I$37+'TUSD BE'!$I$38+'TUSD BE'!$I$39+'TUSD BE'!$I$40+'TUSD BE'!$I$41+'TUSD BE'!$I$42+'TUSD BE'!$I$43+'TUSD BE'!$I$44</f>
        <v>45.472000000000001</v>
      </c>
      <c r="N67" s="41"/>
      <c r="O67" s="41"/>
      <c r="P67" s="41"/>
    </row>
    <row r="68" spans="11:16" ht="11.25" customHeight="1" x14ac:dyDescent="0.25">
      <c r="K68" s="41" t="s">
        <v>32</v>
      </c>
      <c r="L68" s="41">
        <f ca="1">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</f>
        <v>4856881.1873894986</v>
      </c>
      <c r="M68" s="41">
        <f>+'TUSD BE'!$I$45+'TUSD BE'!$I$46+'TUSD BE'!$I$47+'TUSD BE'!$I$48+'TUSD BE'!$I$49</f>
        <v>12403.124</v>
      </c>
      <c r="N68" s="41"/>
      <c r="O68" s="41"/>
      <c r="P68" s="41"/>
    </row>
    <row r="69" spans="11:16" ht="11.25" customHeight="1" x14ac:dyDescent="0.25">
      <c r="K69" s="41" t="s">
        <v>42</v>
      </c>
      <c r="L69" s="41">
        <f ca="1">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</f>
        <v>770145.58280315029</v>
      </c>
      <c r="M69" s="41">
        <f>+'TUSD BE'!$I$50+'TUSD BE'!$I$51</f>
        <v>3575.7699999999995</v>
      </c>
      <c r="N69" s="41"/>
      <c r="O69" s="41"/>
      <c r="P69" s="41"/>
    </row>
    <row r="70" spans="11:16" ht="11.25" customHeight="1" x14ac:dyDescent="0.25">
      <c r="K70" s="41"/>
      <c r="L70" s="41">
        <f ca="1">SUM($L$63:$L$69,-$L$64)</f>
        <v>23323469.133876309</v>
      </c>
      <c r="M70" s="41">
        <f>SUM($M$63:$M$69,-$M$64)</f>
        <v>75139.235000000015</v>
      </c>
      <c r="N70" s="41"/>
      <c r="O70" s="41"/>
      <c r="P70" s="41"/>
    </row>
  </sheetData>
  <mergeCells count="73">
    <mergeCell ref="E5:E7"/>
    <mergeCell ref="F5:F7"/>
    <mergeCell ref="B10:B14"/>
    <mergeCell ref="C10:C14"/>
    <mergeCell ref="A15:A16"/>
    <mergeCell ref="B15:B16"/>
    <mergeCell ref="C15:C16"/>
    <mergeCell ref="D15:D16"/>
    <mergeCell ref="A5:A14"/>
    <mergeCell ref="B5:B8"/>
    <mergeCell ref="C5:C8"/>
    <mergeCell ref="D5:D8"/>
    <mergeCell ref="D10:D14"/>
    <mergeCell ref="E10:E12"/>
    <mergeCell ref="F10:F12"/>
    <mergeCell ref="E13:E14"/>
    <mergeCell ref="F13:F14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E38:E40"/>
    <mergeCell ref="F38:F40"/>
    <mergeCell ref="A30:A44"/>
    <mergeCell ref="B30:B32"/>
    <mergeCell ref="C30:C32"/>
    <mergeCell ref="D30:D32"/>
    <mergeCell ref="E30:E32"/>
    <mergeCell ref="F30:F32"/>
    <mergeCell ref="B34:B36"/>
    <mergeCell ref="C34:C36"/>
    <mergeCell ref="D34:D36"/>
    <mergeCell ref="E34:E36"/>
    <mergeCell ref="F1:F4"/>
    <mergeCell ref="E45:E47"/>
    <mergeCell ref="F45:F47"/>
    <mergeCell ref="A50:A51"/>
    <mergeCell ref="B50:B51"/>
    <mergeCell ref="C50:C51"/>
    <mergeCell ref="B42:B44"/>
    <mergeCell ref="C42:C44"/>
    <mergeCell ref="A45:A49"/>
    <mergeCell ref="B45:B47"/>
    <mergeCell ref="C45:C47"/>
    <mergeCell ref="D45:D47"/>
    <mergeCell ref="F34:F36"/>
    <mergeCell ref="B38:B40"/>
    <mergeCell ref="C38:C40"/>
    <mergeCell ref="D38:D40"/>
    <mergeCell ref="A1:A4"/>
    <mergeCell ref="B1:B4"/>
    <mergeCell ref="C1:C4"/>
    <mergeCell ref="D1:D4"/>
    <mergeCell ref="E1:E4"/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6C817-90B2-4232-96DD-627A006E1D70}">
  <dimension ref="A1:AP58"/>
  <sheetViews>
    <sheetView showGridLines="0" topLeftCell="AF38" workbookViewId="0">
      <selection activeCell="AM53" sqref="AM53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7.85546875" style="9" bestFit="1" customWidth="1"/>
    <col min="14" max="14" width="8.7109375" style="9" bestFit="1" customWidth="1"/>
    <col min="15" max="15" width="4.140625" style="9" bestFit="1" customWidth="1"/>
    <col min="16" max="16" width="4.42578125" style="9" bestFit="1" customWidth="1"/>
    <col min="17" max="18" width="10" style="9" bestFit="1" customWidth="1"/>
    <col min="19" max="19" width="8.7109375" style="9" bestFit="1" customWidth="1"/>
    <col min="20" max="20" width="10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" style="9" bestFit="1" customWidth="1"/>
    <col min="31" max="31" width="10.5703125" style="9" bestFit="1" customWidth="1"/>
    <col min="32" max="32" width="7.28515625" style="9" bestFit="1" customWidth="1"/>
    <col min="33" max="33" width="10.5703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0.855468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33" t="s">
        <v>60</v>
      </c>
      <c r="B1" s="133" t="s">
        <v>61</v>
      </c>
      <c r="C1" s="133" t="s">
        <v>62</v>
      </c>
      <c r="D1" s="133" t="s">
        <v>63</v>
      </c>
      <c r="E1" s="133" t="s">
        <v>64</v>
      </c>
      <c r="F1" s="133" t="s">
        <v>15</v>
      </c>
      <c r="G1" s="133" t="s">
        <v>66</v>
      </c>
      <c r="H1" s="133" t="s">
        <v>67</v>
      </c>
      <c r="I1" s="133" t="s">
        <v>509</v>
      </c>
      <c r="J1" s="129"/>
      <c r="L1" s="134" t="s">
        <v>517</v>
      </c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  <c r="AA1" s="134"/>
      <c r="AB1" s="134"/>
      <c r="AC1" s="134"/>
      <c r="AD1" s="134"/>
      <c r="AE1" s="134"/>
      <c r="AF1" s="134"/>
      <c r="AG1" s="134"/>
      <c r="AH1" s="134"/>
      <c r="AI1" s="134"/>
      <c r="AJ1" s="134"/>
      <c r="AK1" s="134"/>
      <c r="AL1" s="134"/>
      <c r="AM1" s="134"/>
      <c r="AP1" s="134" t="s">
        <v>511</v>
      </c>
    </row>
    <row r="2" spans="1:42" ht="11.25" customHeight="1" x14ac:dyDescent="0.25">
      <c r="A2" s="133"/>
      <c r="B2" s="133"/>
      <c r="C2" s="133"/>
      <c r="D2" s="133"/>
      <c r="E2" s="133"/>
      <c r="F2" s="133"/>
      <c r="G2" s="133"/>
      <c r="H2" s="133"/>
      <c r="I2" s="133"/>
      <c r="J2" s="129"/>
      <c r="L2" s="134" t="s">
        <v>408</v>
      </c>
      <c r="M2" s="134"/>
      <c r="N2" s="134"/>
      <c r="O2" s="134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  <c r="AA2" s="134"/>
      <c r="AB2" s="134"/>
      <c r="AC2" s="134"/>
      <c r="AD2" s="134"/>
      <c r="AE2" s="134"/>
      <c r="AF2" s="134"/>
      <c r="AG2" s="134"/>
      <c r="AH2" s="134"/>
      <c r="AI2" s="134"/>
      <c r="AJ2" s="134"/>
      <c r="AK2" s="134"/>
      <c r="AL2" s="134"/>
      <c r="AM2" s="134"/>
      <c r="AP2" s="135"/>
    </row>
    <row r="3" spans="1:42" ht="11.25" customHeight="1" x14ac:dyDescent="0.25">
      <c r="A3" s="133"/>
      <c r="B3" s="133"/>
      <c r="C3" s="133"/>
      <c r="D3" s="133"/>
      <c r="E3" s="133"/>
      <c r="F3" s="133"/>
      <c r="G3" s="133"/>
      <c r="H3" s="133"/>
      <c r="I3" s="133"/>
      <c r="J3" s="129"/>
      <c r="L3" s="134" t="s">
        <v>409</v>
      </c>
      <c r="M3" s="134"/>
      <c r="N3" s="134"/>
      <c r="O3" s="134"/>
      <c r="P3" s="134"/>
      <c r="Q3" s="134"/>
      <c r="R3" s="134"/>
      <c r="S3" s="134"/>
      <c r="T3" s="134"/>
      <c r="U3" s="134" t="s">
        <v>418</v>
      </c>
      <c r="V3" s="134"/>
      <c r="W3" s="134"/>
      <c r="X3" s="134"/>
      <c r="Y3" s="134"/>
      <c r="Z3" s="134"/>
      <c r="AA3" s="134"/>
      <c r="AB3" s="134"/>
      <c r="AC3" s="134" t="s">
        <v>426</v>
      </c>
      <c r="AD3" s="134"/>
      <c r="AE3" s="134" t="s">
        <v>428</v>
      </c>
      <c r="AF3" s="134"/>
      <c r="AG3" s="134"/>
      <c r="AH3" s="134" t="s">
        <v>431</v>
      </c>
      <c r="AI3" s="134"/>
      <c r="AJ3" s="134"/>
      <c r="AK3" s="134"/>
      <c r="AL3" s="134"/>
      <c r="AM3" s="134" t="s">
        <v>417</v>
      </c>
      <c r="AP3" s="135"/>
    </row>
    <row r="4" spans="1:42" ht="11.25" customHeight="1" x14ac:dyDescent="0.25">
      <c r="A4" s="133"/>
      <c r="B4" s="133"/>
      <c r="C4" s="133"/>
      <c r="D4" s="133"/>
      <c r="E4" s="133"/>
      <c r="F4" s="133"/>
      <c r="G4" s="133"/>
      <c r="H4" s="133"/>
      <c r="I4" s="133"/>
      <c r="J4" s="129"/>
      <c r="L4" s="40" t="s">
        <v>494</v>
      </c>
      <c r="M4" s="40" t="s">
        <v>410</v>
      </c>
      <c r="N4" s="40" t="s">
        <v>411</v>
      </c>
      <c r="O4" s="40" t="s">
        <v>412</v>
      </c>
      <c r="P4" s="40" t="s">
        <v>413</v>
      </c>
      <c r="Q4" s="40" t="s">
        <v>414</v>
      </c>
      <c r="R4" s="40" t="s">
        <v>415</v>
      </c>
      <c r="S4" s="40" t="s">
        <v>416</v>
      </c>
      <c r="T4" s="40" t="s">
        <v>417</v>
      </c>
      <c r="U4" s="40" t="s">
        <v>419</v>
      </c>
      <c r="V4" s="40" t="s">
        <v>420</v>
      </c>
      <c r="W4" s="40" t="s">
        <v>421</v>
      </c>
      <c r="X4" s="40" t="s">
        <v>422</v>
      </c>
      <c r="Y4" s="40" t="s">
        <v>423</v>
      </c>
      <c r="Z4" s="40" t="s">
        <v>424</v>
      </c>
      <c r="AA4" s="40" t="s">
        <v>425</v>
      </c>
      <c r="AB4" s="40" t="s">
        <v>417</v>
      </c>
      <c r="AC4" s="40" t="s">
        <v>427</v>
      </c>
      <c r="AD4" s="40" t="s">
        <v>417</v>
      </c>
      <c r="AE4" s="40" t="s">
        <v>429</v>
      </c>
      <c r="AF4" s="40" t="s">
        <v>430</v>
      </c>
      <c r="AG4" s="40" t="s">
        <v>417</v>
      </c>
      <c r="AH4" s="40" t="s">
        <v>432</v>
      </c>
      <c r="AI4" s="40" t="s">
        <v>433</v>
      </c>
      <c r="AJ4" s="40" t="s">
        <v>434</v>
      </c>
      <c r="AK4" s="40" t="s">
        <v>435</v>
      </c>
      <c r="AL4" s="40" t="s">
        <v>417</v>
      </c>
      <c r="AM4" s="136"/>
      <c r="AP4" s="135"/>
    </row>
    <row r="5" spans="1:42" ht="11.25" customHeight="1" x14ac:dyDescent="0.25">
      <c r="A5" s="137" t="s">
        <v>34</v>
      </c>
      <c r="B5" s="137" t="s">
        <v>51</v>
      </c>
      <c r="C5" s="137" t="s">
        <v>25</v>
      </c>
      <c r="D5" s="137" t="s">
        <v>25</v>
      </c>
      <c r="E5" s="137" t="s">
        <v>25</v>
      </c>
      <c r="F5" s="137" t="s">
        <v>25</v>
      </c>
      <c r="G5" s="41" t="s">
        <v>76</v>
      </c>
      <c r="H5" s="41" t="s">
        <v>75</v>
      </c>
      <c r="I5" s="41">
        <f>'MERCADO TUSD'!$U$2</f>
        <v>20487</v>
      </c>
      <c r="J5" s="15"/>
      <c r="L5" s="31">
        <f>'TR TUSD'!$L$5*'TR TUSD'!$L$60</f>
        <v>0</v>
      </c>
      <c r="M5" s="31">
        <f>'TR TUSD'!$M$5*'TR TUSD'!$M$60</f>
        <v>0</v>
      </c>
      <c r="N5" s="31">
        <f ca="1">'TR TUSD'!$N$5*'TR TUSD'!$N$60</f>
        <v>0</v>
      </c>
      <c r="O5" s="31">
        <f>'TR TUSD'!$O$5*'TR TUSD'!$O$60</f>
        <v>0</v>
      </c>
      <c r="P5" s="31">
        <f>'TR TUSD'!$P$5*'TR TUSD'!$P$60</f>
        <v>0</v>
      </c>
      <c r="Q5" s="31">
        <f>'TR TUSD'!$Q$5*'TR TUSD'!$Q$60</f>
        <v>0</v>
      </c>
      <c r="R5" s="31">
        <f>'TR TUSD'!$R$5*'TR TUSD'!$R$60</f>
        <v>0</v>
      </c>
      <c r="S5" s="31">
        <f>'TR TUSD'!$S$5*'TR TUSD'!$S$60</f>
        <v>0</v>
      </c>
      <c r="T5" s="31">
        <f ca="1">SUM($L$5:$S$5)</f>
        <v>0</v>
      </c>
      <c r="U5" s="31">
        <f>'TR TUSD'!$U$5*'TR TUSD'!$U$60</f>
        <v>0</v>
      </c>
      <c r="V5" s="31">
        <f>'TR TUSD'!$V$5*'TR TUSD'!$V$60</f>
        <v>0</v>
      </c>
      <c r="W5" s="31">
        <f>'TR TUSD'!$W$5*'TR TUSD'!$W$60</f>
        <v>0</v>
      </c>
      <c r="X5" s="31">
        <f>'TR TUSD'!$X$5*'TR TUSD'!$X$60</f>
        <v>0</v>
      </c>
      <c r="Y5" s="31">
        <f>'TR TUSD'!$Y$5*'TR TUSD'!$Y$60</f>
        <v>30.937756223534741</v>
      </c>
      <c r="Z5" s="31">
        <f>'TR TUSD'!$Z$5</f>
        <v>0</v>
      </c>
      <c r="AA5" s="31">
        <f>'TR TUSD'!$AA$5</f>
        <v>0</v>
      </c>
      <c r="AB5" s="31">
        <f>SUM($U$5:$AA$5)</f>
        <v>30.937756223534741</v>
      </c>
      <c r="AC5" s="31">
        <f>'TR TUSD'!$AC$5*'TR TUSD'!$AC$60</f>
        <v>6.8288252423844158</v>
      </c>
      <c r="AD5" s="31">
        <f>SUM($AC$5:$AC$5)</f>
        <v>6.8288252423844158</v>
      </c>
      <c r="AE5" s="31">
        <v>0</v>
      </c>
      <c r="AF5" s="31">
        <v>0</v>
      </c>
      <c r="AG5" s="31">
        <f>SUM($AE$5:$AF$5)</f>
        <v>0</v>
      </c>
      <c r="AH5" s="31">
        <f>'TR TUSD'!$AH$5*'TR TUSD'!$AH$60</f>
        <v>0</v>
      </c>
      <c r="AI5" s="31">
        <f>'TR TUSD'!$AI$5*'TR TUSD'!$AI$60</f>
        <v>0</v>
      </c>
      <c r="AJ5" s="31">
        <f ca="1">'TR TUSD'!$AJ$5*'TR TUSD'!$AJ$60</f>
        <v>0</v>
      </c>
      <c r="AK5" s="31">
        <f ca="1">'TR TUSD'!$AK$5*'TR TUSD'!$AK$60</f>
        <v>0</v>
      </c>
      <c r="AL5" s="31">
        <f ca="1">SUM($AH$5:$AK$5)</f>
        <v>0</v>
      </c>
      <c r="AM5" s="31">
        <f ca="1">SUMIF($L$4:$AL$4,"SUBTOTAL",$L$5:$AL$5)</f>
        <v>37.76658146591916</v>
      </c>
      <c r="AP5" s="31">
        <v>1</v>
      </c>
    </row>
    <row r="6" spans="1:42" ht="11.25" customHeight="1" x14ac:dyDescent="0.25">
      <c r="A6" s="137"/>
      <c r="B6" s="137"/>
      <c r="C6" s="137"/>
      <c r="D6" s="137"/>
      <c r="E6" s="137"/>
      <c r="F6" s="137"/>
      <c r="G6" s="41" t="s">
        <v>77</v>
      </c>
      <c r="H6" s="41" t="s">
        <v>75</v>
      </c>
      <c r="I6" s="41">
        <f>'MERCADO TUSD'!$U$3</f>
        <v>21624</v>
      </c>
      <c r="J6" s="15"/>
      <c r="L6" s="31">
        <f>'TR TUSD'!$L$6*'TR TUSD'!$L$60</f>
        <v>0</v>
      </c>
      <c r="M6" s="31">
        <f>'TR TUSD'!$M$6*'TR TUSD'!$M$60</f>
        <v>0</v>
      </c>
      <c r="N6" s="31">
        <f ca="1">'TR TUSD'!$N$6*'TR TUSD'!$N$60</f>
        <v>0</v>
      </c>
      <c r="O6" s="31">
        <f>'TR TUSD'!$O$6*'TR TUSD'!$O$60</f>
        <v>0</v>
      </c>
      <c r="P6" s="31">
        <f>'TR TUSD'!$P$6*'TR TUSD'!$P$60</f>
        <v>0</v>
      </c>
      <c r="Q6" s="31">
        <f>'TR TUSD'!$Q$6*'TR TUSD'!$Q$60</f>
        <v>0</v>
      </c>
      <c r="R6" s="31">
        <f>'TR TUSD'!$R$6*'TR TUSD'!$R$60</f>
        <v>0</v>
      </c>
      <c r="S6" s="31">
        <f>'TR TUSD'!$S$6*'TR TUSD'!$S$60</f>
        <v>0</v>
      </c>
      <c r="T6" s="31">
        <f ca="1">SUM($L$6:$S$6)</f>
        <v>0</v>
      </c>
      <c r="U6" s="31">
        <f>'TR TUSD'!$U$6*'TR TUSD'!$U$60</f>
        <v>0</v>
      </c>
      <c r="V6" s="31">
        <f>'TR TUSD'!$V$6*'TR TUSD'!$V$60</f>
        <v>0</v>
      </c>
      <c r="W6" s="31">
        <f>'TR TUSD'!$W$6*'TR TUSD'!$W$60</f>
        <v>0</v>
      </c>
      <c r="X6" s="31">
        <f>'TR TUSD'!$X$6*'TR TUSD'!$X$60</f>
        <v>0</v>
      </c>
      <c r="Y6" s="31">
        <f>'TR TUSD'!$Y$6*'TR TUSD'!$Y$60</f>
        <v>18.108756111967288</v>
      </c>
      <c r="Z6" s="31">
        <f>'TR TUSD'!$Z$6</f>
        <v>0</v>
      </c>
      <c r="AA6" s="31">
        <f>'TR TUSD'!$AA$6</f>
        <v>0</v>
      </c>
      <c r="AB6" s="31">
        <f>SUM($U$6:$AA$6)</f>
        <v>18.108756111967288</v>
      </c>
      <c r="AC6" s="31">
        <f>'TR TUSD'!$AC$6*'TR TUSD'!$AC$60</f>
        <v>2.9691086099769533</v>
      </c>
      <c r="AD6" s="31">
        <f>SUM($AC$6:$AC$6)</f>
        <v>2.9691086099769533</v>
      </c>
      <c r="AE6" s="31">
        <v>0</v>
      </c>
      <c r="AF6" s="31">
        <v>0</v>
      </c>
      <c r="AG6" s="31">
        <f>SUM($AE$6:$AF$6)</f>
        <v>0</v>
      </c>
      <c r="AH6" s="31">
        <f>'TR TUSD'!$AH$6*'TR TUSD'!$AH$60</f>
        <v>0</v>
      </c>
      <c r="AI6" s="31">
        <f>'TR TUSD'!$AI$6*'TR TUSD'!$AI$60</f>
        <v>0</v>
      </c>
      <c r="AJ6" s="31">
        <f ca="1">'TR TUSD'!$AJ$6*'TR TUSD'!$AJ$60</f>
        <v>0</v>
      </c>
      <c r="AK6" s="31">
        <f ca="1">'TR TUSD'!$AK$6*'TR TUSD'!$AK$60</f>
        <v>0</v>
      </c>
      <c r="AL6" s="31">
        <f ca="1">SUM($AH$6:$AK$6)</f>
        <v>0</v>
      </c>
      <c r="AM6" s="31">
        <f ca="1">SUMIF($L$4:$AL$4,"SUBTOTAL",$L$6:$AL$6)</f>
        <v>21.077864721944241</v>
      </c>
      <c r="AP6" s="31">
        <v>1</v>
      </c>
    </row>
    <row r="7" spans="1:42" ht="11.25" customHeight="1" x14ac:dyDescent="0.25">
      <c r="A7" s="137"/>
      <c r="B7" s="137"/>
      <c r="C7" s="137"/>
      <c r="D7" s="137"/>
      <c r="E7" s="137"/>
      <c r="F7" s="137"/>
      <c r="G7" s="41" t="s">
        <v>74</v>
      </c>
      <c r="H7" s="41" t="s">
        <v>70</v>
      </c>
      <c r="I7" s="41">
        <f>'MERCADO TUSD'!$U$4</f>
        <v>8675.9390000000003</v>
      </c>
      <c r="J7" s="15"/>
      <c r="L7" s="31">
        <f>'TR TUSD'!$L$7*'TR TUSD'!$L$60</f>
        <v>2.1505949676814393</v>
      </c>
      <c r="M7" s="31">
        <f>'TR TUSD'!$M$7*'TR TUSD'!$M$60</f>
        <v>0.1279487163324583</v>
      </c>
      <c r="N7" s="31">
        <f ca="1">'TR TUSD'!$N$7*'TR TUSD'!$N$60</f>
        <v>0.27810028670896286</v>
      </c>
      <c r="O7" s="31">
        <f>'TR TUSD'!$O$7*'TR TUSD'!$O$60</f>
        <v>0</v>
      </c>
      <c r="P7" s="31">
        <f>'TR TUSD'!$P$7*'TR TUSD'!$P$60</f>
        <v>0</v>
      </c>
      <c r="Q7" s="31">
        <f>'TR TUSD'!$Q$7*'TR TUSD'!$Q$60</f>
        <v>78.631723708222609</v>
      </c>
      <c r="R7" s="31">
        <f>'TR TUSD'!$R$7*'TR TUSD'!$R$60</f>
        <v>14.831414602076647</v>
      </c>
      <c r="S7" s="31">
        <f>'TR TUSD'!$S$7*'TR TUSD'!$S$60</f>
        <v>0</v>
      </c>
      <c r="T7" s="31">
        <f ca="1">SUM($L$7:$S$7)</f>
        <v>96.019782281022117</v>
      </c>
      <c r="U7" s="31">
        <f>'TR TUSD'!$U$7*'TR TUSD'!$U$60</f>
        <v>0</v>
      </c>
      <c r="V7" s="31">
        <f>'TR TUSD'!$V$7*'TR TUSD'!$V$60</f>
        <v>0</v>
      </c>
      <c r="W7" s="31">
        <f>'TR TUSD'!$W$7*'TR TUSD'!$W$60</f>
        <v>0</v>
      </c>
      <c r="X7" s="31">
        <f>'TR TUSD'!$X$7*'TR TUSD'!$X$60</f>
        <v>0</v>
      </c>
      <c r="Y7" s="31">
        <f>'TR TUSD'!$Y$7*'TR TUSD'!$Y$60</f>
        <v>0</v>
      </c>
      <c r="Z7" s="31">
        <f>'TR TUSD'!$Z$7</f>
        <v>0</v>
      </c>
      <c r="AA7" s="31">
        <f>'TR TUSD'!$AA$7</f>
        <v>0</v>
      </c>
      <c r="AB7" s="31">
        <f>SUM($U$7:$AA$7)</f>
        <v>0</v>
      </c>
      <c r="AC7" s="31">
        <f>'TR TUSD'!$AC$7*'TR TUSD'!$AC$60</f>
        <v>0</v>
      </c>
      <c r="AD7" s="31">
        <f>SUM($AC$7:$AC$7)</f>
        <v>0</v>
      </c>
      <c r="AE7" s="31">
        <v>0</v>
      </c>
      <c r="AF7" s="31">
        <v>0</v>
      </c>
      <c r="AG7" s="31">
        <f>SUM($AE$7:$AF$7)</f>
        <v>0</v>
      </c>
      <c r="AH7" s="31">
        <f>'TR TUSD'!$AH$7*'TR TUSD'!$AH$60</f>
        <v>10.399620332677912</v>
      </c>
      <c r="AI7" s="31">
        <f>'TR TUSD'!$AI$7*'TR TUSD'!$AI$60</f>
        <v>0.33443769844208421</v>
      </c>
      <c r="AJ7" s="31">
        <f ca="1">'TR TUSD'!$AJ$7*'TR TUSD'!$AJ$60</f>
        <v>1.2796416218268141</v>
      </c>
      <c r="AK7" s="31">
        <f ca="1">'TR TUSD'!$AK$7*'TR TUSD'!$AK$60</f>
        <v>0.21031495147197471</v>
      </c>
      <c r="AL7" s="31">
        <f ca="1">SUM($AH$7:$AK$7)</f>
        <v>12.224014604418786</v>
      </c>
      <c r="AM7" s="31">
        <f ca="1">SUMIF($L$4:$AL$4,"SUBTOTAL",$L$7:$AL$7)</f>
        <v>108.2437968854409</v>
      </c>
      <c r="AP7" s="31">
        <v>1</v>
      </c>
    </row>
    <row r="8" spans="1:42" ht="11.25" customHeight="1" x14ac:dyDescent="0.25">
      <c r="A8" s="137"/>
      <c r="B8" s="137"/>
      <c r="C8" s="137"/>
      <c r="D8" s="137"/>
      <c r="E8" s="42" t="s">
        <v>78</v>
      </c>
      <c r="F8" s="42" t="s">
        <v>25</v>
      </c>
      <c r="G8" s="41" t="s">
        <v>74</v>
      </c>
      <c r="H8" s="41" t="s">
        <v>70</v>
      </c>
      <c r="I8" s="41">
        <f>'MERCADO TUSD'!$U$5</f>
        <v>0</v>
      </c>
      <c r="J8" s="15"/>
      <c r="L8" s="31">
        <f>'TR TUSD'!$L$8*'TR TUSD'!$L$60</f>
        <v>0</v>
      </c>
      <c r="M8" s="31">
        <f>'TR TUSD'!$M$8*'TR TUSD'!$M$60</f>
        <v>0.1279487163324583</v>
      </c>
      <c r="N8" s="31">
        <f ca="1">'TR TUSD'!$N$8*'TR TUSD'!$N$60</f>
        <v>0.26684283649675028</v>
      </c>
      <c r="O8" s="31">
        <f>'TR TUSD'!$O$8*'TR TUSD'!$O$60</f>
        <v>0</v>
      </c>
      <c r="P8" s="31">
        <f>'TR TUSD'!$P$8*'TR TUSD'!$P$60</f>
        <v>0</v>
      </c>
      <c r="Q8" s="31">
        <f>'TR TUSD'!$Q$8*'TR TUSD'!$Q$60</f>
        <v>0</v>
      </c>
      <c r="R8" s="31">
        <f>'TR TUSD'!$R$8*'TR TUSD'!$R$60</f>
        <v>0</v>
      </c>
      <c r="S8" s="31">
        <f>'TR TUSD'!$S$8*'TR TUSD'!$S$60</f>
        <v>0</v>
      </c>
      <c r="T8" s="31">
        <f ca="1">SUM($L$8:$S$8)</f>
        <v>0.39479155282920858</v>
      </c>
      <c r="U8" s="31">
        <f>'TR TUSD'!$U$8*'TR TUSD'!$U$60</f>
        <v>0</v>
      </c>
      <c r="V8" s="31">
        <f>'TR TUSD'!$V$8*'TR TUSD'!$V$60</f>
        <v>0</v>
      </c>
      <c r="W8" s="31">
        <f>'TR TUSD'!$W$8*'TR TUSD'!$W$60</f>
        <v>0</v>
      </c>
      <c r="X8" s="31">
        <f>'TR TUSD'!$X$8*'TR TUSD'!$X$60</f>
        <v>0</v>
      </c>
      <c r="Y8" s="31">
        <f>'TR TUSD'!$Y$8*'TR TUSD'!$Y$60</f>
        <v>0</v>
      </c>
      <c r="Z8" s="31">
        <f>'TR TUSD'!$Z$8</f>
        <v>0</v>
      </c>
      <c r="AA8" s="31">
        <f>'TR TUSD'!$AA$8</f>
        <v>0</v>
      </c>
      <c r="AB8" s="31">
        <f>SUM($U$8:$AA$8)</f>
        <v>0</v>
      </c>
      <c r="AC8" s="31">
        <f>'TR TUSD'!$AC$8*'TR TUSD'!$AC$60</f>
        <v>0</v>
      </c>
      <c r="AD8" s="31">
        <f>SUM($AC$8:$AC$8)</f>
        <v>0</v>
      </c>
      <c r="AE8" s="31">
        <v>0</v>
      </c>
      <c r="AF8" s="31">
        <v>0</v>
      </c>
      <c r="AG8" s="31">
        <f>SUM($AE$8:$AF$8)</f>
        <v>0</v>
      </c>
      <c r="AH8" s="31">
        <f>'TR TUSD'!$AH$8*'TR TUSD'!$AH$60</f>
        <v>10.399620332677912</v>
      </c>
      <c r="AI8" s="31">
        <f>'TR TUSD'!$AI$8*'TR TUSD'!$AI$60</f>
        <v>0.33443769844208421</v>
      </c>
      <c r="AJ8" s="31">
        <f ca="1">'TR TUSD'!$AJ$8*'TR TUSD'!$AJ$60</f>
        <v>1.2796416218268141</v>
      </c>
      <c r="AK8" s="31">
        <f ca="1">'TR TUSD'!$AK$8*'TR TUSD'!$AK$60</f>
        <v>0.21031495147197471</v>
      </c>
      <c r="AL8" s="31">
        <f ca="1">SUM($AH$8:$AK$8)</f>
        <v>12.224014604418786</v>
      </c>
      <c r="AM8" s="31">
        <f ca="1">SUMIF($L$4:$AL$4,"SUBTOTAL",$L$8:$AL$8)</f>
        <v>12.618806157247993</v>
      </c>
      <c r="AP8" s="31">
        <v>1</v>
      </c>
    </row>
    <row r="9" spans="1:42" ht="11.25" customHeight="1" x14ac:dyDescent="0.25">
      <c r="A9" s="137"/>
      <c r="B9" s="42" t="s">
        <v>79</v>
      </c>
      <c r="C9" s="42" t="s">
        <v>25</v>
      </c>
      <c r="D9" s="42" t="s">
        <v>25</v>
      </c>
      <c r="E9" s="42" t="s">
        <v>25</v>
      </c>
      <c r="F9" s="42" t="s">
        <v>25</v>
      </c>
      <c r="G9" s="41" t="s">
        <v>9</v>
      </c>
      <c r="H9" s="41" t="s">
        <v>75</v>
      </c>
      <c r="I9" s="41">
        <f>'MERCADO TUSD'!$U$6</f>
        <v>0</v>
      </c>
      <c r="J9" s="15"/>
      <c r="L9" s="31">
        <f>'TR TUSD'!$L$9*'TR TUSD'!$L$60</f>
        <v>0</v>
      </c>
      <c r="M9" s="31">
        <f>'TR TUSD'!$M$9*'TR TUSD'!$M$60</f>
        <v>1.3391355466336534E-2</v>
      </c>
      <c r="N9" s="31">
        <f ca="1">'TR TUSD'!$N$9*'TR TUSD'!$N$60</f>
        <v>3.6474138687568713E-2</v>
      </c>
      <c r="O9" s="31">
        <f>'TR TUSD'!$O$9*'TR TUSD'!$O$60</f>
        <v>0</v>
      </c>
      <c r="P9" s="31">
        <f>'TR TUSD'!$P$9*'TR TUSD'!$P$60</f>
        <v>0</v>
      </c>
      <c r="Q9" s="31">
        <f>'TR TUSD'!$Q$9*'TR TUSD'!$Q$60</f>
        <v>0</v>
      </c>
      <c r="R9" s="31">
        <f>'TR TUSD'!$R$9*'TR TUSD'!$R$60</f>
        <v>0</v>
      </c>
      <c r="S9" s="31">
        <f>'TR TUSD'!$S$9*'TR TUSD'!$S$60</f>
        <v>0</v>
      </c>
      <c r="T9" s="31">
        <f ca="1">SUM($L$9:$S$9)</f>
        <v>4.9865494153905246E-2</v>
      </c>
      <c r="U9" s="31">
        <f>'TR TUSD'!$U$9*'TR TUSD'!$U$60</f>
        <v>0</v>
      </c>
      <c r="V9" s="31">
        <f>'TR TUSD'!$V$9*'TR TUSD'!$V$60</f>
        <v>0</v>
      </c>
      <c r="W9" s="31">
        <f>'TR TUSD'!$W$9*'TR TUSD'!$W$60</f>
        <v>0</v>
      </c>
      <c r="X9" s="31">
        <f>'TR TUSD'!$X$9*'TR TUSD'!$X$60</f>
        <v>0</v>
      </c>
      <c r="Y9" s="31">
        <f>'TR TUSD'!$Y$9*'TR TUSD'!$Y$60</f>
        <v>0</v>
      </c>
      <c r="Z9" s="31">
        <f>'TR TUSD'!$Z$9*'TR TUSD'!$Z$60</f>
        <v>0</v>
      </c>
      <c r="AA9" s="31">
        <f>'TR TUSD'!$AA$9*'TR TUSD'!$AA$60</f>
        <v>0</v>
      </c>
      <c r="AB9" s="31">
        <f>SUM($U$9:$AA$9)</f>
        <v>0</v>
      </c>
      <c r="AC9" s="31">
        <f>'TR TUSD'!$AC$9*'TR TUSD'!$AC$60</f>
        <v>3.3548311520925447</v>
      </c>
      <c r="AD9" s="31">
        <f>SUM($AC$9:$AC$9)</f>
        <v>3.3548311520925447</v>
      </c>
      <c r="AE9" s="31">
        <v>0</v>
      </c>
      <c r="AF9" s="31">
        <v>0</v>
      </c>
      <c r="AG9" s="31">
        <f>SUM($AE$9:$AF$9)</f>
        <v>0</v>
      </c>
      <c r="AH9" s="31">
        <f>'TR TUSD'!$AH$9*'TR TUSD'!$AH$60</f>
        <v>0</v>
      </c>
      <c r="AI9" s="31">
        <f>'TR TUSD'!$AI$9*'TR TUSD'!$AI$60</f>
        <v>0</v>
      </c>
      <c r="AJ9" s="31">
        <f ca="1">'TR TUSD'!$AJ$9*'TR TUSD'!$AJ$60</f>
        <v>0</v>
      </c>
      <c r="AK9" s="31">
        <f ca="1">'TR TUSD'!$AK$9*'TR TUSD'!$AK$60</f>
        <v>0</v>
      </c>
      <c r="AL9" s="31">
        <f ca="1">SUM($AH$9:$AK$9)</f>
        <v>0</v>
      </c>
      <c r="AM9" s="31">
        <f ca="1">SUMIF($L$4:$AL$4,"SUBTOTAL",$L$9:$AL$9)</f>
        <v>3.4046966462464501</v>
      </c>
      <c r="AP9" s="31"/>
    </row>
    <row r="10" spans="1:42" ht="11.25" customHeight="1" x14ac:dyDescent="0.25">
      <c r="A10" s="137"/>
      <c r="B10" s="137" t="s">
        <v>35</v>
      </c>
      <c r="C10" s="137" t="s">
        <v>25</v>
      </c>
      <c r="D10" s="137" t="s">
        <v>25</v>
      </c>
      <c r="E10" s="137" t="s">
        <v>25</v>
      </c>
      <c r="F10" s="137" t="s">
        <v>25</v>
      </c>
      <c r="G10" s="41" t="s">
        <v>9</v>
      </c>
      <c r="H10" s="41" t="s">
        <v>75</v>
      </c>
      <c r="I10" s="41">
        <f>'MERCADO TUSD'!$U$7</f>
        <v>83769</v>
      </c>
      <c r="J10" s="15"/>
      <c r="L10" s="31">
        <f>'TR TUSD'!$L$10*'TR TUSD'!$L$60</f>
        <v>0</v>
      </c>
      <c r="M10" s="31">
        <f>'TR TUSD'!$M$10*'TR TUSD'!$M$60</f>
        <v>0</v>
      </c>
      <c r="N10" s="31">
        <f ca="1">'TR TUSD'!$N$10*'TR TUSD'!$N$60</f>
        <v>0</v>
      </c>
      <c r="O10" s="31">
        <f>'TR TUSD'!$O$10*'TR TUSD'!$O$60</f>
        <v>0</v>
      </c>
      <c r="P10" s="31">
        <f>'TR TUSD'!$P$10*'TR TUSD'!$P$60</f>
        <v>0</v>
      </c>
      <c r="Q10" s="31">
        <f>'TR TUSD'!$Q$10*'TR TUSD'!$Q$60</f>
        <v>0</v>
      </c>
      <c r="R10" s="31">
        <f>'TR TUSD'!$R$10*'TR TUSD'!$R$60</f>
        <v>0</v>
      </c>
      <c r="S10" s="31">
        <f>'TR TUSD'!$S$10*'TR TUSD'!$S$60</f>
        <v>0</v>
      </c>
      <c r="T10" s="31">
        <f ca="1">SUM($L$10:$S$10)</f>
        <v>0</v>
      </c>
      <c r="U10" s="31">
        <f>'TR TUSD'!$U$10*'TR TUSD'!$U$60</f>
        <v>0</v>
      </c>
      <c r="V10" s="31">
        <f>'TR TUSD'!$V$10*'TR TUSD'!$V$60</f>
        <v>0</v>
      </c>
      <c r="W10" s="31">
        <f>'TR TUSD'!$W$10*'TR TUSD'!$W$60</f>
        <v>0</v>
      </c>
      <c r="X10" s="31">
        <f>'TR TUSD'!$X$10*'TR TUSD'!$X$60</f>
        <v>0</v>
      </c>
      <c r="Y10" s="31">
        <f>'TR TUSD'!$Y$10*'TR TUSD'!$Y$60</f>
        <v>18.108756111967288</v>
      </c>
      <c r="Z10" s="31">
        <f>'TR TUSD'!$Z$10</f>
        <v>0</v>
      </c>
      <c r="AA10" s="31">
        <f>'TR TUSD'!$AA$10</f>
        <v>0</v>
      </c>
      <c r="AB10" s="31">
        <f>SUM($U$10:$AA$10)</f>
        <v>18.108756111967288</v>
      </c>
      <c r="AC10" s="31">
        <f>'TR TUSD'!$AC$10*'TR TUSD'!$AC$60</f>
        <v>2.9691086099769533</v>
      </c>
      <c r="AD10" s="31">
        <f>SUM($AC$10:$AC$10)</f>
        <v>2.9691086099769533</v>
      </c>
      <c r="AE10" s="31">
        <v>0</v>
      </c>
      <c r="AF10" s="31">
        <v>0</v>
      </c>
      <c r="AG10" s="31">
        <f>SUM($AE$10:$AF$10)</f>
        <v>0</v>
      </c>
      <c r="AH10" s="31">
        <f>'TR TUSD'!$AH$10*'TR TUSD'!$AH$60</f>
        <v>0</v>
      </c>
      <c r="AI10" s="31">
        <f>'TR TUSD'!$AI$10*'TR TUSD'!$AI$60</f>
        <v>0</v>
      </c>
      <c r="AJ10" s="31">
        <f ca="1">'TR TUSD'!$AJ$10*'TR TUSD'!$AJ$60</f>
        <v>0</v>
      </c>
      <c r="AK10" s="31">
        <f ca="1">'TR TUSD'!$AK$10*'TR TUSD'!$AK$60</f>
        <v>0</v>
      </c>
      <c r="AL10" s="31">
        <f ca="1">SUM($AH$10:$AK$10)</f>
        <v>0</v>
      </c>
      <c r="AM10" s="31">
        <f ca="1">SUMIF($L$4:$AL$4,"SUBTOTAL",$L$10:$AL$10)</f>
        <v>21.077864721944241</v>
      </c>
      <c r="AP10" s="31">
        <v>1</v>
      </c>
    </row>
    <row r="11" spans="1:42" ht="11.25" customHeight="1" x14ac:dyDescent="0.25">
      <c r="A11" s="137"/>
      <c r="B11" s="137"/>
      <c r="C11" s="137"/>
      <c r="D11" s="137"/>
      <c r="E11" s="137"/>
      <c r="F11" s="137"/>
      <c r="G11" s="41" t="s">
        <v>71</v>
      </c>
      <c r="H11" s="41" t="s">
        <v>70</v>
      </c>
      <c r="I11" s="41">
        <f>'MERCADO TUSD'!$U$8</f>
        <v>2568.357</v>
      </c>
      <c r="J11" s="15"/>
      <c r="L11" s="31">
        <f>'TR TUSD'!$L$11*'TR TUSD'!$L$60</f>
        <v>2.1505949676814393</v>
      </c>
      <c r="M11" s="31">
        <f>'TR TUSD'!$M$11*'TR TUSD'!$M$60</f>
        <v>0.1279487163324583</v>
      </c>
      <c r="N11" s="31">
        <f ca="1">'TR TUSD'!$N$11*'TR TUSD'!$N$60</f>
        <v>9.449653046120579</v>
      </c>
      <c r="O11" s="31">
        <f>'TR TUSD'!$O$11*'TR TUSD'!$O$60</f>
        <v>0</v>
      </c>
      <c r="P11" s="31">
        <f>'TR TUSD'!$P$11*'TR TUSD'!$P$60</f>
        <v>0</v>
      </c>
      <c r="Q11" s="31">
        <f>'TR TUSD'!$Q$11*'TR TUSD'!$Q$60</f>
        <v>78.631723708222609</v>
      </c>
      <c r="R11" s="31">
        <f>'TR TUSD'!$R$11*'TR TUSD'!$R$60</f>
        <v>14.831414602076647</v>
      </c>
      <c r="S11" s="31">
        <f>'TR TUSD'!$S$11*'TR TUSD'!$S$60</f>
        <v>0</v>
      </c>
      <c r="T11" s="31">
        <f ca="1">SUM($L$11:$S$11)</f>
        <v>105.19133504043373</v>
      </c>
      <c r="U11" s="31">
        <f>'TR TUSD'!$U$11*'TR TUSD'!$U$60</f>
        <v>0</v>
      </c>
      <c r="V11" s="31">
        <f>'TR TUSD'!$V$11*'TR TUSD'!$V$60</f>
        <v>0</v>
      </c>
      <c r="W11" s="31">
        <f>'TR TUSD'!$W$11*'TR TUSD'!$W$60</f>
        <v>0</v>
      </c>
      <c r="X11" s="31">
        <f>'TR TUSD'!$X$11*'TR TUSD'!$X$60</f>
        <v>0</v>
      </c>
      <c r="Y11" s="31">
        <f>'TR TUSD'!$Y$11*'TR TUSD'!$Y$60</f>
        <v>744.0540118862458</v>
      </c>
      <c r="Z11" s="31">
        <f>'TR TUSD'!$Z$11</f>
        <v>0</v>
      </c>
      <c r="AA11" s="31">
        <f>'TR TUSD'!$AA$11</f>
        <v>0</v>
      </c>
      <c r="AB11" s="31">
        <f>SUM($U$11:$AA$11)</f>
        <v>744.0540118862458</v>
      </c>
      <c r="AC11" s="31">
        <f>'TR TUSD'!$AC$11*'TR TUSD'!$AC$60</f>
        <v>164.23382836197055</v>
      </c>
      <c r="AD11" s="31">
        <f>SUM($AC$11:$AC$11)</f>
        <v>164.23382836197055</v>
      </c>
      <c r="AE11" s="31">
        <v>0</v>
      </c>
      <c r="AF11" s="31">
        <v>0</v>
      </c>
      <c r="AG11" s="31">
        <f>SUM($AE$11:$AF$11)</f>
        <v>0</v>
      </c>
      <c r="AH11" s="31">
        <f>'TR TUSD'!$AH$11*'TR TUSD'!$AH$60</f>
        <v>10.399620332677912</v>
      </c>
      <c r="AI11" s="31">
        <f>'TR TUSD'!$AI$11*'TR TUSD'!$AI$60</f>
        <v>0.33443769844208421</v>
      </c>
      <c r="AJ11" s="31">
        <f ca="1">'TR TUSD'!$AJ$11*'TR TUSD'!$AJ$60</f>
        <v>1.2796416218268141</v>
      </c>
      <c r="AK11" s="31">
        <f ca="1">'TR TUSD'!$AK$11*'TR TUSD'!$AK$60</f>
        <v>0.21031495147197471</v>
      </c>
      <c r="AL11" s="31">
        <f ca="1">SUM($AH$11:$AK$11)</f>
        <v>12.224014604418786</v>
      </c>
      <c r="AM11" s="31">
        <f ca="1">SUMIF($L$4:$AL$4,"SUBTOTAL",$L$11:$AL$11)</f>
        <v>1025.7031898930688</v>
      </c>
      <c r="AP11" s="31">
        <v>1</v>
      </c>
    </row>
    <row r="12" spans="1:42" ht="11.25" customHeight="1" x14ac:dyDescent="0.25">
      <c r="A12" s="137"/>
      <c r="B12" s="137"/>
      <c r="C12" s="137"/>
      <c r="D12" s="137"/>
      <c r="E12" s="137"/>
      <c r="F12" s="137"/>
      <c r="G12" s="41" t="s">
        <v>72</v>
      </c>
      <c r="H12" s="41" t="s">
        <v>70</v>
      </c>
      <c r="I12" s="41">
        <f>'MERCADO TUSD'!$U$9</f>
        <v>26371.822</v>
      </c>
      <c r="J12" s="15"/>
      <c r="L12" s="31">
        <f>'TR TUSD'!$L$12*'TR TUSD'!$L$60</f>
        <v>2.1505949676814393</v>
      </c>
      <c r="M12" s="31">
        <f>'TR TUSD'!$M$12*'TR TUSD'!$M$60</f>
        <v>0.1279487163324583</v>
      </c>
      <c r="N12" s="31">
        <f ca="1">'TR TUSD'!$N$12*'TR TUSD'!$N$60</f>
        <v>0.27810028670896286</v>
      </c>
      <c r="O12" s="31">
        <f>'TR TUSD'!$O$12*'TR TUSD'!$O$60</f>
        <v>0</v>
      </c>
      <c r="P12" s="31">
        <f>'TR TUSD'!$P$12*'TR TUSD'!$P$60</f>
        <v>0</v>
      </c>
      <c r="Q12" s="31">
        <f>'TR TUSD'!$Q$12*'TR TUSD'!$Q$60</f>
        <v>78.631723708222609</v>
      </c>
      <c r="R12" s="31">
        <f>'TR TUSD'!$R$12*'TR TUSD'!$R$60</f>
        <v>14.831414602076647</v>
      </c>
      <c r="S12" s="31">
        <f>'TR TUSD'!$S$12*'TR TUSD'!$S$60</f>
        <v>0</v>
      </c>
      <c r="T12" s="31">
        <f ca="1">SUM($L$12:$S$12)</f>
        <v>96.019782281022117</v>
      </c>
      <c r="U12" s="31">
        <f>'TR TUSD'!$U$12*'TR TUSD'!$U$60</f>
        <v>0</v>
      </c>
      <c r="V12" s="31">
        <f>'TR TUSD'!$V$12*'TR TUSD'!$V$60</f>
        <v>0</v>
      </c>
      <c r="W12" s="31">
        <f>'TR TUSD'!$W$12*'TR TUSD'!$W$60</f>
        <v>0</v>
      </c>
      <c r="X12" s="31">
        <f>'TR TUSD'!$X$12*'TR TUSD'!$X$60</f>
        <v>0</v>
      </c>
      <c r="Y12" s="31">
        <f>'TR TUSD'!$Y$12*'TR TUSD'!$Y$60</f>
        <v>0</v>
      </c>
      <c r="Z12" s="31">
        <f>'TR TUSD'!$Z$12</f>
        <v>0</v>
      </c>
      <c r="AA12" s="31">
        <f>'TR TUSD'!$AA$12</f>
        <v>0</v>
      </c>
      <c r="AB12" s="31">
        <f>SUM($U$12:$AA$12)</f>
        <v>0</v>
      </c>
      <c r="AC12" s="31">
        <f>'TR TUSD'!$AC$12*'TR TUSD'!$AC$60</f>
        <v>0</v>
      </c>
      <c r="AD12" s="31">
        <f>SUM($AC$12:$AC$12)</f>
        <v>0</v>
      </c>
      <c r="AE12" s="31">
        <v>0</v>
      </c>
      <c r="AF12" s="31">
        <v>0</v>
      </c>
      <c r="AG12" s="31">
        <f>SUM($AE$12:$AF$12)</f>
        <v>0</v>
      </c>
      <c r="AH12" s="31">
        <f>'TR TUSD'!$AH$12*'TR TUSD'!$AH$60</f>
        <v>10.399620332677912</v>
      </c>
      <c r="AI12" s="31">
        <f>'TR TUSD'!$AI$12*'TR TUSD'!$AI$60</f>
        <v>0.33443769844208421</v>
      </c>
      <c r="AJ12" s="31">
        <f ca="1">'TR TUSD'!$AJ$12*'TR TUSD'!$AJ$60</f>
        <v>1.2796416218268141</v>
      </c>
      <c r="AK12" s="31">
        <f ca="1">'TR TUSD'!$AK$12*'TR TUSD'!$AK$60</f>
        <v>0.21031495147197471</v>
      </c>
      <c r="AL12" s="31">
        <f ca="1">SUM($AH$12:$AK$12)</f>
        <v>12.224014604418786</v>
      </c>
      <c r="AM12" s="31">
        <f ca="1">SUMIF($L$4:$AL$4,"SUBTOTAL",$L$12:$AL$12)</f>
        <v>108.2437968854409</v>
      </c>
      <c r="AP12" s="31">
        <v>1</v>
      </c>
    </row>
    <row r="13" spans="1:42" ht="11.25" customHeight="1" x14ac:dyDescent="0.25">
      <c r="A13" s="137"/>
      <c r="B13" s="137"/>
      <c r="C13" s="137"/>
      <c r="D13" s="137"/>
      <c r="E13" s="137" t="s">
        <v>78</v>
      </c>
      <c r="F13" s="137" t="s">
        <v>25</v>
      </c>
      <c r="G13" s="41" t="s">
        <v>71</v>
      </c>
      <c r="H13" s="41" t="s">
        <v>70</v>
      </c>
      <c r="I13" s="41">
        <f>'MERCADO TUSD'!$U$10</f>
        <v>0</v>
      </c>
      <c r="J13" s="15"/>
      <c r="L13" s="31">
        <f>'TR TUSD'!$L$13*'TR TUSD'!$L$60</f>
        <v>0</v>
      </c>
      <c r="M13" s="31">
        <f>'TR TUSD'!$M$13*'TR TUSD'!$M$60</f>
        <v>0.1279487163324583</v>
      </c>
      <c r="N13" s="31">
        <f ca="1">'TR TUSD'!$N$13*'TR TUSD'!$N$60</f>
        <v>9.4383955959083643</v>
      </c>
      <c r="O13" s="31">
        <f>'TR TUSD'!$O$13*'TR TUSD'!$O$60</f>
        <v>0</v>
      </c>
      <c r="P13" s="31">
        <f>'TR TUSD'!$P$13*'TR TUSD'!$P$60</f>
        <v>0</v>
      </c>
      <c r="Q13" s="31">
        <f>'TR TUSD'!$Q$13*'TR TUSD'!$Q$60</f>
        <v>0</v>
      </c>
      <c r="R13" s="31">
        <f>'TR TUSD'!$R$13*'TR TUSD'!$R$60</f>
        <v>0</v>
      </c>
      <c r="S13" s="31">
        <f>'TR TUSD'!$S$13*'TR TUSD'!$S$60</f>
        <v>0</v>
      </c>
      <c r="T13" s="31">
        <f ca="1">SUM($L$13:$S$13)</f>
        <v>9.5663443122408225</v>
      </c>
      <c r="U13" s="31">
        <f>'TR TUSD'!$U$13*'TR TUSD'!$U$60</f>
        <v>0</v>
      </c>
      <c r="V13" s="31">
        <f>'TR TUSD'!$V$13*'TR TUSD'!$V$60</f>
        <v>0</v>
      </c>
      <c r="W13" s="31">
        <f>'TR TUSD'!$W$13*'TR TUSD'!$W$60</f>
        <v>0</v>
      </c>
      <c r="X13" s="31">
        <f>'TR TUSD'!$X$13*'TR TUSD'!$X$60</f>
        <v>0</v>
      </c>
      <c r="Y13" s="31">
        <f>'TR TUSD'!$Y$13*'TR TUSD'!$Y$60</f>
        <v>744.0540118862458</v>
      </c>
      <c r="Z13" s="31">
        <f>'TR TUSD'!$Z$13</f>
        <v>0</v>
      </c>
      <c r="AA13" s="31">
        <f>'TR TUSD'!$AA$13</f>
        <v>0</v>
      </c>
      <c r="AB13" s="31">
        <f>SUM($U$13:$AA$13)</f>
        <v>744.0540118862458</v>
      </c>
      <c r="AC13" s="31">
        <f>'TR TUSD'!$AC$13*'TR TUSD'!$AC$60</f>
        <v>164.23382836197055</v>
      </c>
      <c r="AD13" s="31">
        <f>SUM($AC$13:$AC$13)</f>
        <v>164.23382836197055</v>
      </c>
      <c r="AE13" s="31">
        <v>0</v>
      </c>
      <c r="AF13" s="31">
        <v>0</v>
      </c>
      <c r="AG13" s="31">
        <f>SUM($AE$13:$AF$13)</f>
        <v>0</v>
      </c>
      <c r="AH13" s="31">
        <f>'TR TUSD'!$AH$13*'TR TUSD'!$AH$60</f>
        <v>10.399620332677912</v>
      </c>
      <c r="AI13" s="31">
        <f>'TR TUSD'!$AI$13*'TR TUSD'!$AI$60</f>
        <v>0.33443769844208421</v>
      </c>
      <c r="AJ13" s="31">
        <f ca="1">'TR TUSD'!$AJ$13*'TR TUSD'!$AJ$60</f>
        <v>1.2796416218268141</v>
      </c>
      <c r="AK13" s="31">
        <f ca="1">'TR TUSD'!$AK$13*'TR TUSD'!$AK$60</f>
        <v>0.21031495147197471</v>
      </c>
      <c r="AL13" s="31">
        <f ca="1">SUM($AH$13:$AK$13)</f>
        <v>12.224014604418786</v>
      </c>
      <c r="AM13" s="31">
        <f ca="1">SUMIF($L$4:$AL$4,"SUBTOTAL",$L$13:$AL$13)</f>
        <v>930.07819916487608</v>
      </c>
      <c r="AP13" s="31">
        <v>1</v>
      </c>
    </row>
    <row r="14" spans="1:42" ht="11.25" customHeight="1" x14ac:dyDescent="0.25">
      <c r="A14" s="137"/>
      <c r="B14" s="137"/>
      <c r="C14" s="137"/>
      <c r="D14" s="137"/>
      <c r="E14" s="137"/>
      <c r="F14" s="137"/>
      <c r="G14" s="41" t="s">
        <v>72</v>
      </c>
      <c r="H14" s="41" t="s">
        <v>70</v>
      </c>
      <c r="I14" s="41">
        <f>'MERCADO TUSD'!$U$11</f>
        <v>0</v>
      </c>
      <c r="J14" s="15"/>
      <c r="L14" s="31">
        <f>'TR TUSD'!$L$14*'TR TUSD'!$L$60</f>
        <v>0</v>
      </c>
      <c r="M14" s="31">
        <f>'TR TUSD'!$M$14*'TR TUSD'!$M$60</f>
        <v>0.1279487163324583</v>
      </c>
      <c r="N14" s="31">
        <f ca="1">'TR TUSD'!$N$14*'TR TUSD'!$N$60</f>
        <v>0.26684283649675028</v>
      </c>
      <c r="O14" s="31">
        <f>'TR TUSD'!$O$14*'TR TUSD'!$O$60</f>
        <v>0</v>
      </c>
      <c r="P14" s="31">
        <f>'TR TUSD'!$P$14*'TR TUSD'!$P$60</f>
        <v>0</v>
      </c>
      <c r="Q14" s="31">
        <f>'TR TUSD'!$Q$14*'TR TUSD'!$Q$60</f>
        <v>0</v>
      </c>
      <c r="R14" s="31">
        <f>'TR TUSD'!$R$14*'TR TUSD'!$R$60</f>
        <v>0</v>
      </c>
      <c r="S14" s="31">
        <f>'TR TUSD'!$S$14*'TR TUSD'!$S$60</f>
        <v>0</v>
      </c>
      <c r="T14" s="31">
        <f ca="1">SUM($L$14:$S$14)</f>
        <v>0.39479155282920858</v>
      </c>
      <c r="U14" s="31">
        <f>'TR TUSD'!$U$14*'TR TUSD'!$U$60</f>
        <v>0</v>
      </c>
      <c r="V14" s="31">
        <f>'TR TUSD'!$V$14*'TR TUSD'!$V$60</f>
        <v>0</v>
      </c>
      <c r="W14" s="31">
        <f>'TR TUSD'!$W$14*'TR TUSD'!$W$60</f>
        <v>0</v>
      </c>
      <c r="X14" s="31">
        <f>'TR TUSD'!$X$14*'TR TUSD'!$X$60</f>
        <v>0</v>
      </c>
      <c r="Y14" s="31">
        <f>'TR TUSD'!$Y$14*'TR TUSD'!$Y$60</f>
        <v>0</v>
      </c>
      <c r="Z14" s="31">
        <f>'TR TUSD'!$Z$14</f>
        <v>0</v>
      </c>
      <c r="AA14" s="31">
        <f>'TR TUSD'!$AA$14</f>
        <v>0</v>
      </c>
      <c r="AB14" s="31">
        <f>SUM($U$14:$AA$14)</f>
        <v>0</v>
      </c>
      <c r="AC14" s="31">
        <f>'TR TUSD'!$AC$14*'TR TUSD'!$AC$60</f>
        <v>0</v>
      </c>
      <c r="AD14" s="31">
        <f>SUM($AC$14:$AC$14)</f>
        <v>0</v>
      </c>
      <c r="AE14" s="31">
        <v>0</v>
      </c>
      <c r="AF14" s="31">
        <v>0</v>
      </c>
      <c r="AG14" s="31">
        <f>SUM($AE$14:$AF$14)</f>
        <v>0</v>
      </c>
      <c r="AH14" s="31">
        <f>'TR TUSD'!$AH$14*'TR TUSD'!$AH$60</f>
        <v>10.399620332677912</v>
      </c>
      <c r="AI14" s="31">
        <f>'TR TUSD'!$AI$14*'TR TUSD'!$AI$60</f>
        <v>0.33443769844208421</v>
      </c>
      <c r="AJ14" s="31">
        <f ca="1">'TR TUSD'!$AJ$14*'TR TUSD'!$AJ$60</f>
        <v>1.2796416218268141</v>
      </c>
      <c r="AK14" s="31">
        <f ca="1">'TR TUSD'!$AK$14*'TR TUSD'!$AK$60</f>
        <v>0.21031495147197471</v>
      </c>
      <c r="AL14" s="31">
        <f ca="1">SUM($AH$14:$AK$14)</f>
        <v>12.224014604418786</v>
      </c>
      <c r="AM14" s="31">
        <f ca="1">SUMIF($L$4:$AL$4,"SUBTOTAL",$L$14:$AL$14)</f>
        <v>12.618806157247993</v>
      </c>
      <c r="AP14" s="31">
        <v>1</v>
      </c>
    </row>
    <row r="15" spans="1:42" ht="11.25" customHeight="1" x14ac:dyDescent="0.25">
      <c r="A15" s="137" t="s">
        <v>80</v>
      </c>
      <c r="B15" s="137" t="s">
        <v>79</v>
      </c>
      <c r="C15" s="137" t="s">
        <v>25</v>
      </c>
      <c r="D15" s="137" t="s">
        <v>25</v>
      </c>
      <c r="E15" s="42" t="s">
        <v>81</v>
      </c>
      <c r="F15" s="42" t="s">
        <v>25</v>
      </c>
      <c r="G15" s="41" t="s">
        <v>9</v>
      </c>
      <c r="H15" s="41" t="s">
        <v>75</v>
      </c>
      <c r="I15" s="41">
        <f>'MERCADO TUSD'!$U$12+0.00000001</f>
        <v>1E-8</v>
      </c>
      <c r="J15" s="15"/>
      <c r="L15" s="31">
        <f>'TR TUSD'!$L$15*'TR TUSD'!$L$60</f>
        <v>0</v>
      </c>
      <c r="M15" s="31">
        <f>'TR TUSD'!$M$15*'TR TUSD'!$M$60</f>
        <v>2.0657982463573414E-2</v>
      </c>
      <c r="N15" s="31">
        <f ca="1">'TR TUSD'!$N$15*'TR TUSD'!$N$60</f>
        <v>5.6287251061062839E-2</v>
      </c>
      <c r="O15" s="31">
        <f>'TR TUSD'!$O$15*'TR TUSD'!$O$60</f>
        <v>0</v>
      </c>
      <c r="P15" s="31">
        <f>'TR TUSD'!$P$15*'TR TUSD'!$P$60</f>
        <v>0</v>
      </c>
      <c r="Q15" s="31">
        <f>'TR TUSD'!$Q$15*'TR TUSD'!$Q$60</f>
        <v>0</v>
      </c>
      <c r="R15" s="31">
        <f>'TR TUSD'!$R$15*'TR TUSD'!$R$60</f>
        <v>0</v>
      </c>
      <c r="S15" s="31">
        <f>'TR TUSD'!$S$15*'TR TUSD'!$S$60</f>
        <v>0</v>
      </c>
      <c r="T15" s="31">
        <f ca="1">SUM($L$15:$S$15)</f>
        <v>7.6945233524636253E-2</v>
      </c>
      <c r="U15" s="31">
        <f>'TR TUSD'!$U$15*'TR TUSD'!$U$60</f>
        <v>0</v>
      </c>
      <c r="V15" s="31">
        <f>'TR TUSD'!$V$15*'TR TUSD'!$V$60</f>
        <v>0</v>
      </c>
      <c r="W15" s="31">
        <f>'TR TUSD'!$W$15*'TR TUSD'!$W$60</f>
        <v>0</v>
      </c>
      <c r="X15" s="31">
        <f>'TR TUSD'!$X$15*'TR TUSD'!$X$60</f>
        <v>0</v>
      </c>
      <c r="Y15" s="31">
        <f>'TR TUSD'!$Y$15*'TR TUSD'!$Y$60</f>
        <v>0</v>
      </c>
      <c r="Z15" s="31">
        <f>'TR TUSD'!$Z$15*'TR TUSD'!$Z$60</f>
        <v>0</v>
      </c>
      <c r="AA15" s="31">
        <f>'TR TUSD'!$AA$15*'TR TUSD'!$AA$60</f>
        <v>0</v>
      </c>
      <c r="AB15" s="31">
        <f>SUM($U$15:$AA$15)</f>
        <v>0</v>
      </c>
      <c r="AC15" s="31">
        <f>'TR TUSD'!$AC$15*'TR TUSD'!$AC$60</f>
        <v>5.1696785488495385</v>
      </c>
      <c r="AD15" s="31">
        <f>SUM($AC$15:$AC$15)</f>
        <v>5.1696785488495385</v>
      </c>
      <c r="AE15" s="31">
        <v>0</v>
      </c>
      <c r="AF15" s="31">
        <v>0</v>
      </c>
      <c r="AG15" s="31">
        <f>SUM($AE$15:$AF$15)</f>
        <v>0</v>
      </c>
      <c r="AH15" s="31">
        <f>'TR TUSD'!$AH$15*'TR TUSD'!$AH$60</f>
        <v>0</v>
      </c>
      <c r="AI15" s="31">
        <f>'TR TUSD'!$AI$15*'TR TUSD'!$AI$60</f>
        <v>0</v>
      </c>
      <c r="AJ15" s="31">
        <f ca="1">'TR TUSD'!$AJ$15*'TR TUSD'!$AJ$60</f>
        <v>0</v>
      </c>
      <c r="AK15" s="31">
        <f ca="1">'TR TUSD'!$AK$15*'TR TUSD'!$AK$60</f>
        <v>0</v>
      </c>
      <c r="AL15" s="31">
        <f ca="1">SUM($AH$15:$AK$15)</f>
        <v>0</v>
      </c>
      <c r="AM15" s="31">
        <f ca="1">SUMIF($L$4:$AL$4,"SUBTOTAL",$L$15:$AL$15)</f>
        <v>5.2466237823741748</v>
      </c>
      <c r="AP15" s="31"/>
    </row>
    <row r="16" spans="1:42" ht="11.25" customHeight="1" x14ac:dyDescent="0.25">
      <c r="A16" s="137"/>
      <c r="B16" s="137"/>
      <c r="C16" s="137"/>
      <c r="D16" s="137"/>
      <c r="E16" s="42" t="s">
        <v>82</v>
      </c>
      <c r="F16" s="42" t="s">
        <v>25</v>
      </c>
      <c r="G16" s="41" t="s">
        <v>9</v>
      </c>
      <c r="H16" s="41" t="s">
        <v>75</v>
      </c>
      <c r="I16" s="41">
        <f>'MERCADO TUSD'!$U$13+0.00000001</f>
        <v>1E-8</v>
      </c>
      <c r="J16" s="15"/>
      <c r="L16" s="31">
        <f>'TR TUSD'!$L$16*'TR TUSD'!$L$60</f>
        <v>0</v>
      </c>
      <c r="M16" s="31">
        <f>'TR TUSD'!$M$16*'TR TUSD'!$M$60</f>
        <v>2.0657982463573414E-2</v>
      </c>
      <c r="N16" s="31">
        <f ca="1">'TR TUSD'!$N$16*'TR TUSD'!$N$60</f>
        <v>5.6287251061062839E-2</v>
      </c>
      <c r="O16" s="31">
        <f>'TR TUSD'!$O$16*'TR TUSD'!$O$60</f>
        <v>0</v>
      </c>
      <c r="P16" s="31">
        <f>'TR TUSD'!$P$16*'TR TUSD'!$P$60</f>
        <v>0</v>
      </c>
      <c r="Q16" s="31">
        <f>'TR TUSD'!$Q$16*'TR TUSD'!$Q$60</f>
        <v>0</v>
      </c>
      <c r="R16" s="31">
        <f>'TR TUSD'!$R$16*'TR TUSD'!$R$60</f>
        <v>0</v>
      </c>
      <c r="S16" s="31">
        <f>'TR TUSD'!$S$16*'TR TUSD'!$S$60</f>
        <v>0</v>
      </c>
      <c r="T16" s="31">
        <f ca="1">SUM($L$16:$S$16)</f>
        <v>7.6945233524636253E-2</v>
      </c>
      <c r="U16" s="31">
        <f>'TR TUSD'!$U$16*'TR TUSD'!$U$60</f>
        <v>0</v>
      </c>
      <c r="V16" s="31">
        <f>'TR TUSD'!$V$16*'TR TUSD'!$V$60</f>
        <v>0</v>
      </c>
      <c r="W16" s="31">
        <f>'TR TUSD'!$W$16*'TR TUSD'!$W$60</f>
        <v>0</v>
      </c>
      <c r="X16" s="31">
        <f>'TR TUSD'!$X$16*'TR TUSD'!$X$60</f>
        <v>0</v>
      </c>
      <c r="Y16" s="31">
        <f>'TR TUSD'!$Y$16*'TR TUSD'!$Y$60</f>
        <v>0</v>
      </c>
      <c r="Z16" s="31">
        <f>'TR TUSD'!$Z$16*'TR TUSD'!$Z$60</f>
        <v>0</v>
      </c>
      <c r="AA16" s="31">
        <f>'TR TUSD'!$AA$16*'TR TUSD'!$AA$60</f>
        <v>0</v>
      </c>
      <c r="AB16" s="31">
        <f>SUM($U$16:$AA$16)</f>
        <v>0</v>
      </c>
      <c r="AC16" s="31">
        <f>'TR TUSD'!$AC$16*'TR TUSD'!$AC$60</f>
        <v>8.8951811750795358</v>
      </c>
      <c r="AD16" s="31">
        <f>SUM($AC$16:$AC$16)</f>
        <v>8.8951811750795358</v>
      </c>
      <c r="AE16" s="31">
        <v>0</v>
      </c>
      <c r="AF16" s="31">
        <v>0</v>
      </c>
      <c r="AG16" s="31">
        <f>SUM($AE$16:$AF$16)</f>
        <v>0</v>
      </c>
      <c r="AH16" s="31">
        <f>'TR TUSD'!$AH$16*'TR TUSD'!$AH$60</f>
        <v>0</v>
      </c>
      <c r="AI16" s="31">
        <f>'TR TUSD'!$AI$16*'TR TUSD'!$AI$60</f>
        <v>0</v>
      </c>
      <c r="AJ16" s="31">
        <f ca="1">'TR TUSD'!$AJ$16*'TR TUSD'!$AJ$60</f>
        <v>0</v>
      </c>
      <c r="AK16" s="31">
        <f ca="1">'TR TUSD'!$AK$16*'TR TUSD'!$AK$60</f>
        <v>0</v>
      </c>
      <c r="AL16" s="31">
        <f ca="1">SUM($AH$16:$AK$16)</f>
        <v>0</v>
      </c>
      <c r="AM16" s="31">
        <f ca="1">SUMIF($L$4:$AL$4,"SUBTOTAL",$L$16:$AL$16)</f>
        <v>8.9721264086041721</v>
      </c>
      <c r="AP16" s="31"/>
    </row>
    <row r="17" spans="1:42" ht="11.25" customHeight="1" x14ac:dyDescent="0.25">
      <c r="A17" s="137" t="s">
        <v>22</v>
      </c>
      <c r="B17" s="137" t="s">
        <v>49</v>
      </c>
      <c r="C17" s="137" t="s">
        <v>24</v>
      </c>
      <c r="D17" s="137" t="s">
        <v>24</v>
      </c>
      <c r="E17" s="137" t="s">
        <v>25</v>
      </c>
      <c r="F17" s="137" t="s">
        <v>25</v>
      </c>
      <c r="G17" s="41" t="s">
        <v>71</v>
      </c>
      <c r="H17" s="41" t="s">
        <v>70</v>
      </c>
      <c r="I17" s="41">
        <f>'MERCADO TUSD'!$U$14</f>
        <v>0</v>
      </c>
      <c r="J17" s="15"/>
      <c r="L17" s="31">
        <f>'TR TUSD'!$L$17*'TR TUSD'!$L$60</f>
        <v>2.5602321043826661</v>
      </c>
      <c r="M17" s="31">
        <f>'TR TUSD'!$M$17*'TR TUSD'!$M$60</f>
        <v>0.76021138351363937</v>
      </c>
      <c r="N17" s="31">
        <f ca="1">'TR TUSD'!$N$17*'TR TUSD'!$N$60</f>
        <v>9.8769870413765268</v>
      </c>
      <c r="O17" s="31">
        <f>'TR TUSD'!$O$17*'TR TUSD'!$O$60</f>
        <v>0</v>
      </c>
      <c r="P17" s="31">
        <f>'TR TUSD'!$P$17*'TR TUSD'!$P$60</f>
        <v>0</v>
      </c>
      <c r="Q17" s="31">
        <f>'TR TUSD'!$Q$17*'TR TUSD'!$Q$60</f>
        <v>93.609194890741207</v>
      </c>
      <c r="R17" s="31">
        <f>'TR TUSD'!$R$17*'TR TUSD'!$R$60</f>
        <v>14.831414602076647</v>
      </c>
      <c r="S17" s="31">
        <f>'TR TUSD'!$S$17*'TR TUSD'!$S$60</f>
        <v>0</v>
      </c>
      <c r="T17" s="31">
        <f ca="1">SUM($L$17:$S$17)</f>
        <v>121.63804002209069</v>
      </c>
      <c r="U17" s="31">
        <f>'TR TUSD'!$U$17*'TR TUSD'!$U$60</f>
        <v>0</v>
      </c>
      <c r="V17" s="31">
        <f>'TR TUSD'!$V$17*'TR TUSD'!$V$60</f>
        <v>0</v>
      </c>
      <c r="W17" s="31">
        <f>'TR TUSD'!$W$17*'TR TUSD'!$W$60</f>
        <v>0</v>
      </c>
      <c r="X17" s="31">
        <f>'TR TUSD'!$X$17*'TR TUSD'!$X$60</f>
        <v>0</v>
      </c>
      <c r="Y17" s="31">
        <f>'TR TUSD'!$Y$17*'TR TUSD'!$Y$60</f>
        <v>419.53874634235041</v>
      </c>
      <c r="Z17" s="31">
        <f>'TR TUSD'!$Z$17</f>
        <v>0</v>
      </c>
      <c r="AA17" s="31">
        <f>'TR TUSD'!$AA$17</f>
        <v>0</v>
      </c>
      <c r="AB17" s="31">
        <f>SUM($U$17:$AA$17)</f>
        <v>419.53874634235041</v>
      </c>
      <c r="AC17" s="31">
        <f>'TR TUSD'!$AC$17*'TR TUSD'!$AC$60</f>
        <v>483.53424288206861</v>
      </c>
      <c r="AD17" s="31">
        <f>SUM($AC$17:$AC$17)</f>
        <v>483.53424288206861</v>
      </c>
      <c r="AE17" s="31">
        <v>0</v>
      </c>
      <c r="AF17" s="31">
        <v>0</v>
      </c>
      <c r="AG17" s="31">
        <f>SUM($AE$17:$AF$17)</f>
        <v>0</v>
      </c>
      <c r="AH17" s="31">
        <f>'TR TUSD'!$AH$17*'TR TUSD'!$AH$60</f>
        <v>18.079997883464685</v>
      </c>
      <c r="AI17" s="31">
        <f>'TR TUSD'!$AI$17*'TR TUSD'!$AI$60</f>
        <v>0.58142823358501095</v>
      </c>
      <c r="AJ17" s="31">
        <f ca="1">'TR TUSD'!$AJ$17*'TR TUSD'!$AJ$60</f>
        <v>1.9112700907634865</v>
      </c>
      <c r="AK17" s="31">
        <f ca="1">'TR TUSD'!$AK$17*'TR TUSD'!$AK$60</f>
        <v>0.31412597834611666</v>
      </c>
      <c r="AL17" s="31">
        <f ca="1">SUM($AH$17:$AK$17)</f>
        <v>20.8868221861593</v>
      </c>
      <c r="AM17" s="31">
        <f ca="1">SUMIF($L$4:$AL$4,"SUBTOTAL",$L$17:$AL$17)</f>
        <v>1045.5978514326691</v>
      </c>
      <c r="AP17" s="31">
        <v>1</v>
      </c>
    </row>
    <row r="18" spans="1:42" ht="11.25" customHeight="1" x14ac:dyDescent="0.25">
      <c r="A18" s="137"/>
      <c r="B18" s="137"/>
      <c r="C18" s="137"/>
      <c r="D18" s="137"/>
      <c r="E18" s="137"/>
      <c r="F18" s="137"/>
      <c r="G18" s="41" t="s">
        <v>83</v>
      </c>
      <c r="H18" s="41" t="s">
        <v>70</v>
      </c>
      <c r="I18" s="41">
        <f>'MERCADO TUSD'!$U$15</f>
        <v>0</v>
      </c>
      <c r="J18" s="15"/>
      <c r="L18" s="31">
        <f>'TR TUSD'!$L$18*'TR TUSD'!$L$60</f>
        <v>2.5602321043826661</v>
      </c>
      <c r="M18" s="31">
        <f>'TR TUSD'!$M$18*'TR TUSD'!$M$60</f>
        <v>0.76021138351363937</v>
      </c>
      <c r="N18" s="31">
        <f ca="1">'TR TUSD'!$N$18*'TR TUSD'!$N$60</f>
        <v>5.171400996297205</v>
      </c>
      <c r="O18" s="31">
        <f>'TR TUSD'!$O$18*'TR TUSD'!$O$60</f>
        <v>0</v>
      </c>
      <c r="P18" s="31">
        <f>'TR TUSD'!$P$18*'TR TUSD'!$P$60</f>
        <v>0</v>
      </c>
      <c r="Q18" s="31">
        <f>'TR TUSD'!$Q$18*'TR TUSD'!$Q$60</f>
        <v>93.609194890741207</v>
      </c>
      <c r="R18" s="31">
        <f>'TR TUSD'!$R$18*'TR TUSD'!$R$60</f>
        <v>14.831414602076647</v>
      </c>
      <c r="S18" s="31">
        <f>'TR TUSD'!$S$18*'TR TUSD'!$S$60</f>
        <v>0</v>
      </c>
      <c r="T18" s="31">
        <f ca="1">SUM($L$18:$S$18)</f>
        <v>116.93245397701136</v>
      </c>
      <c r="U18" s="31">
        <f>'TR TUSD'!$U$18*'TR TUSD'!$U$60</f>
        <v>0</v>
      </c>
      <c r="V18" s="31">
        <f>'TR TUSD'!$V$18*'TR TUSD'!$V$60</f>
        <v>0</v>
      </c>
      <c r="W18" s="31">
        <f>'TR TUSD'!$W$18*'TR TUSD'!$W$60</f>
        <v>0</v>
      </c>
      <c r="X18" s="31">
        <f>'TR TUSD'!$X$18*'TR TUSD'!$X$60</f>
        <v>0</v>
      </c>
      <c r="Y18" s="31">
        <f>'TR TUSD'!$Y$18*'TR TUSD'!$Y$60</f>
        <v>209.76942984037495</v>
      </c>
      <c r="Z18" s="31">
        <f>'TR TUSD'!$Z$18</f>
        <v>0</v>
      </c>
      <c r="AA18" s="31">
        <f>'TR TUSD'!$AA$18</f>
        <v>0</v>
      </c>
      <c r="AB18" s="31">
        <f>SUM($U$18:$AA$18)</f>
        <v>209.76942984037495</v>
      </c>
      <c r="AC18" s="31">
        <f>'TR TUSD'!$AC$18*'TR TUSD'!$AC$60</f>
        <v>241.76717334126874</v>
      </c>
      <c r="AD18" s="31">
        <f>SUM($AC$18:$AC$18)</f>
        <v>241.76717334126874</v>
      </c>
      <c r="AE18" s="31">
        <v>0</v>
      </c>
      <c r="AF18" s="31">
        <v>0</v>
      </c>
      <c r="AG18" s="31">
        <f>SUM($AE$18:$AF$18)</f>
        <v>0</v>
      </c>
      <c r="AH18" s="31">
        <f>'TR TUSD'!$AH$18*'TR TUSD'!$AH$60</f>
        <v>18.079997883464685</v>
      </c>
      <c r="AI18" s="31">
        <f>'TR TUSD'!$AI$18*'TR TUSD'!$AI$60</f>
        <v>0.58142823358501095</v>
      </c>
      <c r="AJ18" s="31">
        <f ca="1">'TR TUSD'!$AJ$18*'TR TUSD'!$AJ$60</f>
        <v>1.9112700907634865</v>
      </c>
      <c r="AK18" s="31">
        <f ca="1">'TR TUSD'!$AK$18*'TR TUSD'!$AK$60</f>
        <v>0.31412597834611666</v>
      </c>
      <c r="AL18" s="31">
        <f ca="1">SUM($AH$18:$AK$18)</f>
        <v>20.8868221861593</v>
      </c>
      <c r="AM18" s="31">
        <f ca="1">SUMIF($L$4:$AL$4,"SUBTOTAL",$L$18:$AL$18)</f>
        <v>589.3558793448143</v>
      </c>
      <c r="AP18" s="31">
        <v>1</v>
      </c>
    </row>
    <row r="19" spans="1:42" ht="11.25" customHeight="1" x14ac:dyDescent="0.25">
      <c r="A19" s="137"/>
      <c r="B19" s="137"/>
      <c r="C19" s="137"/>
      <c r="D19" s="137"/>
      <c r="E19" s="137"/>
      <c r="F19" s="137"/>
      <c r="G19" s="41" t="s">
        <v>72</v>
      </c>
      <c r="H19" s="41" t="s">
        <v>70</v>
      </c>
      <c r="I19" s="41">
        <f>'MERCADO TUSD'!$U$16</f>
        <v>0</v>
      </c>
      <c r="J19" s="15"/>
      <c r="L19" s="31">
        <f>'TR TUSD'!$L$19*'TR TUSD'!$L$60</f>
        <v>2.5602321043826661</v>
      </c>
      <c r="M19" s="31">
        <f>'TR TUSD'!$M$19*'TR TUSD'!$M$60</f>
        <v>0.76021138351363937</v>
      </c>
      <c r="N19" s="31">
        <f ca="1">'TR TUSD'!$N$19*'TR TUSD'!$N$60</f>
        <v>1.4069310344887256</v>
      </c>
      <c r="O19" s="31">
        <f>'TR TUSD'!$O$19*'TR TUSD'!$O$60</f>
        <v>0</v>
      </c>
      <c r="P19" s="31">
        <f>'TR TUSD'!$P$19*'TR TUSD'!$P$60</f>
        <v>0</v>
      </c>
      <c r="Q19" s="31">
        <f>'TR TUSD'!$Q$19*'TR TUSD'!$Q$60</f>
        <v>93.609194890741207</v>
      </c>
      <c r="R19" s="31">
        <f>'TR TUSD'!$R$19*'TR TUSD'!$R$60</f>
        <v>14.831414602076647</v>
      </c>
      <c r="S19" s="31">
        <f>'TR TUSD'!$S$19*'TR TUSD'!$S$60</f>
        <v>0</v>
      </c>
      <c r="T19" s="31">
        <f ca="1">SUM($L$19:$S$19)</f>
        <v>113.16798401520289</v>
      </c>
      <c r="U19" s="31">
        <f>'TR TUSD'!$U$19*'TR TUSD'!$U$60</f>
        <v>0</v>
      </c>
      <c r="V19" s="31">
        <f>'TR TUSD'!$V$19*'TR TUSD'!$V$60</f>
        <v>0</v>
      </c>
      <c r="W19" s="31">
        <f>'TR TUSD'!$W$19*'TR TUSD'!$W$60</f>
        <v>0</v>
      </c>
      <c r="X19" s="31">
        <f>'TR TUSD'!$X$19*'TR TUSD'!$X$60</f>
        <v>0</v>
      </c>
      <c r="Y19" s="31">
        <f>'TR TUSD'!$Y$19*'TR TUSD'!$Y$60</f>
        <v>41.953908635754878</v>
      </c>
      <c r="Z19" s="31">
        <f>'TR TUSD'!$Z$19</f>
        <v>0</v>
      </c>
      <c r="AA19" s="31">
        <f>'TR TUSD'!$AA$19</f>
        <v>0</v>
      </c>
      <c r="AB19" s="31">
        <f>SUM($U$19:$AA$19)</f>
        <v>41.953908635754878</v>
      </c>
      <c r="AC19" s="31">
        <f>'TR TUSD'!$AC$19*'TR TUSD'!$AC$60</f>
        <v>48.353476188441277</v>
      </c>
      <c r="AD19" s="31">
        <f>SUM($AC$19:$AC$19)</f>
        <v>48.353476188441277</v>
      </c>
      <c r="AE19" s="31">
        <v>0</v>
      </c>
      <c r="AF19" s="31">
        <v>0</v>
      </c>
      <c r="AG19" s="31">
        <f>SUM($AE$19:$AF$19)</f>
        <v>0</v>
      </c>
      <c r="AH19" s="31">
        <f>'TR TUSD'!$AH$19*'TR TUSD'!$AH$60</f>
        <v>18.079997883464685</v>
      </c>
      <c r="AI19" s="31">
        <f>'TR TUSD'!$AI$19*'TR TUSD'!$AI$60</f>
        <v>0.58142823358501095</v>
      </c>
      <c r="AJ19" s="31">
        <f ca="1">'TR TUSD'!$AJ$19*'TR TUSD'!$AJ$60</f>
        <v>1.9112700907634865</v>
      </c>
      <c r="AK19" s="31">
        <f ca="1">'TR TUSD'!$AK$19*'TR TUSD'!$AK$60</f>
        <v>0.31412597834611666</v>
      </c>
      <c r="AL19" s="31">
        <f ca="1">SUM($AH$19:$AK$19)</f>
        <v>20.8868221861593</v>
      </c>
      <c r="AM19" s="31">
        <f ca="1">SUMIF($L$4:$AL$4,"SUBTOTAL",$L$19:$AL$19)</f>
        <v>224.36219102555833</v>
      </c>
      <c r="AP19" s="31">
        <v>1</v>
      </c>
    </row>
    <row r="20" spans="1:42" ht="11.25" customHeight="1" x14ac:dyDescent="0.25">
      <c r="A20" s="137"/>
      <c r="B20" s="137" t="s">
        <v>23</v>
      </c>
      <c r="C20" s="137" t="s">
        <v>24</v>
      </c>
      <c r="D20" s="42" t="s">
        <v>24</v>
      </c>
      <c r="E20" s="42" t="s">
        <v>25</v>
      </c>
      <c r="F20" s="42" t="s">
        <v>25</v>
      </c>
      <c r="G20" s="41" t="s">
        <v>74</v>
      </c>
      <c r="H20" s="41" t="s">
        <v>70</v>
      </c>
      <c r="I20" s="41">
        <f>'MERCADO TUSD'!$U$17</f>
        <v>20530.876000000004</v>
      </c>
      <c r="J20" s="15"/>
      <c r="L20" s="31">
        <f>'TR TUSD'!$L$20*'TR TUSD'!$L$60</f>
        <v>2.5602321043826661</v>
      </c>
      <c r="M20" s="31">
        <f>'TR TUSD'!$M$20*'TR TUSD'!$M$60</f>
        <v>0.76021138351363937</v>
      </c>
      <c r="N20" s="31">
        <f ca="1">'TR TUSD'!$N$20*'TR TUSD'!$N$60</f>
        <v>3.1547199761260423</v>
      </c>
      <c r="O20" s="31">
        <f>'TR TUSD'!$O$20*'TR TUSD'!$O$60</f>
        <v>0</v>
      </c>
      <c r="P20" s="31">
        <f>'TR TUSD'!$P$20*'TR TUSD'!$P$60</f>
        <v>0</v>
      </c>
      <c r="Q20" s="31">
        <f>'TR TUSD'!$Q$20*'TR TUSD'!$Q$60</f>
        <v>93.609194890741207</v>
      </c>
      <c r="R20" s="31">
        <f>'TR TUSD'!$R$20*'TR TUSD'!$R$60</f>
        <v>14.831414602076647</v>
      </c>
      <c r="S20" s="31">
        <f>'TR TUSD'!$S$20*'TR TUSD'!$S$60</f>
        <v>0</v>
      </c>
      <c r="T20" s="31">
        <f ca="1">SUM($L$20:$S$20)</f>
        <v>114.9157729568402</v>
      </c>
      <c r="U20" s="31">
        <f>'TR TUSD'!$U$20*'TR TUSD'!$U$60</f>
        <v>0</v>
      </c>
      <c r="V20" s="31">
        <f>'TR TUSD'!$V$20*'TR TUSD'!$V$60</f>
        <v>0</v>
      </c>
      <c r="W20" s="31">
        <f>'TR TUSD'!$W$20*'TR TUSD'!$W$60</f>
        <v>0</v>
      </c>
      <c r="X20" s="31">
        <f>'TR TUSD'!$X$20*'TR TUSD'!$X$60</f>
        <v>0</v>
      </c>
      <c r="Y20" s="31">
        <f>'TR TUSD'!$Y$20*'TR TUSD'!$Y$60</f>
        <v>119.86827800547123</v>
      </c>
      <c r="Z20" s="31">
        <f>'TR TUSD'!$Z$20</f>
        <v>0</v>
      </c>
      <c r="AA20" s="31">
        <f>'TR TUSD'!$AA$20</f>
        <v>0</v>
      </c>
      <c r="AB20" s="31">
        <f>SUM($U$20:$AA$20)</f>
        <v>119.86827800547123</v>
      </c>
      <c r="AC20" s="31">
        <f>'TR TUSD'!$AC$20*'TR TUSD'!$AC$60</f>
        <v>138.1526111661714</v>
      </c>
      <c r="AD20" s="31">
        <f>SUM($AC$20:$AC$20)</f>
        <v>138.1526111661714</v>
      </c>
      <c r="AE20" s="31">
        <v>0</v>
      </c>
      <c r="AF20" s="31">
        <v>0</v>
      </c>
      <c r="AG20" s="31">
        <f>SUM($AE$20:$AF$20)</f>
        <v>0</v>
      </c>
      <c r="AH20" s="31">
        <f>'TR TUSD'!$AH$20*'TR TUSD'!$AH$60</f>
        <v>18.079997883464685</v>
      </c>
      <c r="AI20" s="31">
        <f>'TR TUSD'!$AI$20*'TR TUSD'!$AI$60</f>
        <v>0.58142823358501095</v>
      </c>
      <c r="AJ20" s="31">
        <f ca="1">'TR TUSD'!$AJ$20*'TR TUSD'!$AJ$60</f>
        <v>1.9112700907634865</v>
      </c>
      <c r="AK20" s="31">
        <f ca="1">'TR TUSD'!$AK$20*'TR TUSD'!$AK$60</f>
        <v>0.31412597834611666</v>
      </c>
      <c r="AL20" s="31">
        <f ca="1">SUM($AH$20:$AK$20)</f>
        <v>20.8868221861593</v>
      </c>
      <c r="AM20" s="31">
        <f ca="1">SUMIF($L$4:$AL$4,"SUBTOTAL",$L$20:$AL$20)</f>
        <v>393.82348431464209</v>
      </c>
      <c r="AP20" s="31">
        <v>1</v>
      </c>
    </row>
    <row r="21" spans="1:42" ht="11.25" customHeight="1" x14ac:dyDescent="0.25">
      <c r="A21" s="137"/>
      <c r="B21" s="137"/>
      <c r="C21" s="137"/>
      <c r="D21" s="42" t="s">
        <v>28</v>
      </c>
      <c r="E21" s="42" t="s">
        <v>25</v>
      </c>
      <c r="F21" s="42" t="s">
        <v>25</v>
      </c>
      <c r="G21" s="41" t="s">
        <v>74</v>
      </c>
      <c r="H21" s="41" t="s">
        <v>70</v>
      </c>
      <c r="I21" s="41">
        <f>'MERCADO TUSD'!$U$18</f>
        <v>165.006</v>
      </c>
      <c r="J21" s="15"/>
      <c r="L21" s="31">
        <f>'TR TUSD'!$L$21*'TR TUSD'!$L$60</f>
        <v>0</v>
      </c>
      <c r="M21" s="31">
        <f>'TR TUSD'!$M$21*'TR TUSD'!$M$60</f>
        <v>0.76021138351363937</v>
      </c>
      <c r="N21" s="31">
        <f ca="1">'TR TUSD'!$N$21*'TR TUSD'!$N$60</f>
        <v>3.1434625259138294</v>
      </c>
      <c r="O21" s="31">
        <f>'TR TUSD'!$O$21*'TR TUSD'!$O$60</f>
        <v>0</v>
      </c>
      <c r="P21" s="31">
        <f>'TR TUSD'!$P$21*'TR TUSD'!$P$60</f>
        <v>0</v>
      </c>
      <c r="Q21" s="31">
        <f>'TR TUSD'!$Q$21*'TR TUSD'!$Q$60</f>
        <v>0</v>
      </c>
      <c r="R21" s="31">
        <f>'TR TUSD'!$R$21*'TR TUSD'!$R$60</f>
        <v>0</v>
      </c>
      <c r="S21" s="31">
        <f>'TR TUSD'!$S$21*'TR TUSD'!$S$60</f>
        <v>0</v>
      </c>
      <c r="T21" s="31">
        <f ca="1">SUM($L$21:$S$21)</f>
        <v>3.9036739094274688</v>
      </c>
      <c r="U21" s="31">
        <f>'TR TUSD'!$U$21*'TR TUSD'!$U$60</f>
        <v>0</v>
      </c>
      <c r="V21" s="31">
        <f>'TR TUSD'!$V$21*'TR TUSD'!$V$60</f>
        <v>0</v>
      </c>
      <c r="W21" s="31">
        <f>'TR TUSD'!$W$21*'TR TUSD'!$W$60</f>
        <v>0</v>
      </c>
      <c r="X21" s="31">
        <f>'TR TUSD'!$X$21*'TR TUSD'!$X$60</f>
        <v>0</v>
      </c>
      <c r="Y21" s="31">
        <f>'TR TUSD'!$Y$21*'TR TUSD'!$Y$60</f>
        <v>119.86827800547123</v>
      </c>
      <c r="Z21" s="31">
        <f>'TR TUSD'!$Z$21</f>
        <v>0</v>
      </c>
      <c r="AA21" s="31">
        <f>'TR TUSD'!$AA$21</f>
        <v>0</v>
      </c>
      <c r="AB21" s="31">
        <f>SUM($U$21:$AA$21)</f>
        <v>119.86827800547123</v>
      </c>
      <c r="AC21" s="31">
        <f>'TR TUSD'!$AC$21*'TR TUSD'!$AC$60</f>
        <v>138.1526111661714</v>
      </c>
      <c r="AD21" s="31">
        <f>SUM($AC$21:$AC$21)</f>
        <v>138.1526111661714</v>
      </c>
      <c r="AE21" s="31">
        <v>0</v>
      </c>
      <c r="AF21" s="31">
        <v>0</v>
      </c>
      <c r="AG21" s="31">
        <f>SUM($AE$21:$AF$21)</f>
        <v>0</v>
      </c>
      <c r="AH21" s="31">
        <f>'TR TUSD'!$AH$21*'TR TUSD'!$AH$60</f>
        <v>18.079997883464685</v>
      </c>
      <c r="AI21" s="31">
        <f>'TR TUSD'!$AI$21*'TR TUSD'!$AI$60</f>
        <v>0.58142823358501095</v>
      </c>
      <c r="AJ21" s="31">
        <f ca="1">'TR TUSD'!$AJ$21*'TR TUSD'!$AJ$60</f>
        <v>1.9112700907634865</v>
      </c>
      <c r="AK21" s="31">
        <f ca="1">'TR TUSD'!$AK$21*'TR TUSD'!$AK$60</f>
        <v>0.31412597834611666</v>
      </c>
      <c r="AL21" s="31">
        <f ca="1">SUM($AH$21:$AK$21)</f>
        <v>20.8868221861593</v>
      </c>
      <c r="AM21" s="31">
        <f ca="1">SUMIF($L$4:$AL$4,"SUBTOTAL",$L$21:$AL$21)</f>
        <v>282.81138526722941</v>
      </c>
      <c r="AP21" s="31">
        <f>IF((1 - CUSTOS!$M$24)&lt;&gt;0,1/(1 - CUSTOS!$M$24),1)</f>
        <v>1</v>
      </c>
    </row>
    <row r="22" spans="1:42" ht="11.25" customHeight="1" x14ac:dyDescent="0.25">
      <c r="A22" s="137"/>
      <c r="B22" s="137"/>
      <c r="C22" s="137"/>
      <c r="D22" s="42" t="s">
        <v>29</v>
      </c>
      <c r="E22" s="42" t="s">
        <v>25</v>
      </c>
      <c r="F22" s="42" t="s">
        <v>25</v>
      </c>
      <c r="G22" s="41" t="s">
        <v>74</v>
      </c>
      <c r="H22" s="41" t="s">
        <v>70</v>
      </c>
      <c r="I22" s="41">
        <f>'MERCADO TUSD'!$U$19</f>
        <v>350.56600000000003</v>
      </c>
      <c r="J22" s="15"/>
      <c r="L22" s="31">
        <f>'TR TUSD'!$L$22*'TR TUSD'!$L$60</f>
        <v>0</v>
      </c>
      <c r="M22" s="31">
        <f>'TR TUSD'!$M$22*'TR TUSD'!$M$60</f>
        <v>0.76021138351363937</v>
      </c>
      <c r="N22" s="31">
        <f ca="1">'TR TUSD'!$N$22*'TR TUSD'!$N$60</f>
        <v>3.1434625259138294</v>
      </c>
      <c r="O22" s="31">
        <f>'TR TUSD'!$O$22*'TR TUSD'!$O$60</f>
        <v>0</v>
      </c>
      <c r="P22" s="31">
        <f>'TR TUSD'!$P$22*'TR TUSD'!$P$60</f>
        <v>0</v>
      </c>
      <c r="Q22" s="31">
        <f>'TR TUSD'!$Q$22*'TR TUSD'!$Q$60</f>
        <v>0</v>
      </c>
      <c r="R22" s="31">
        <f>'TR TUSD'!$R$22*'TR TUSD'!$R$60</f>
        <v>0</v>
      </c>
      <c r="S22" s="31">
        <f>'TR TUSD'!$S$22*'TR TUSD'!$S$60</f>
        <v>0</v>
      </c>
      <c r="T22" s="31">
        <f ca="1">SUM($L$22:$S$22)</f>
        <v>3.9036739094274688</v>
      </c>
      <c r="U22" s="31">
        <f>'TR TUSD'!$U$22*'TR TUSD'!$U$60</f>
        <v>0</v>
      </c>
      <c r="V22" s="31">
        <f>'TR TUSD'!$V$22*'TR TUSD'!$V$60</f>
        <v>0</v>
      </c>
      <c r="W22" s="31">
        <f>'TR TUSD'!$W$22*'TR TUSD'!$W$60</f>
        <v>0</v>
      </c>
      <c r="X22" s="31">
        <f>'TR TUSD'!$X$22*'TR TUSD'!$X$60</f>
        <v>0</v>
      </c>
      <c r="Y22" s="31">
        <f>'TR TUSD'!$Y$22*'TR TUSD'!$Y$60</f>
        <v>119.86827800547123</v>
      </c>
      <c r="Z22" s="31">
        <f>'TR TUSD'!$Z$22</f>
        <v>0</v>
      </c>
      <c r="AA22" s="31">
        <f>'TR TUSD'!$AA$22</f>
        <v>0</v>
      </c>
      <c r="AB22" s="31">
        <f>SUM($U$22:$AA$22)</f>
        <v>119.86827800547123</v>
      </c>
      <c r="AC22" s="31">
        <f>'TR TUSD'!$AC$22*'TR TUSD'!$AC$60</f>
        <v>138.1526111661714</v>
      </c>
      <c r="AD22" s="31">
        <f>SUM($AC$22:$AC$22)</f>
        <v>138.1526111661714</v>
      </c>
      <c r="AE22" s="31">
        <v>0</v>
      </c>
      <c r="AF22" s="31">
        <v>0</v>
      </c>
      <c r="AG22" s="31">
        <f>SUM($AE$22:$AF$22)</f>
        <v>0</v>
      </c>
      <c r="AH22" s="31">
        <f>'TR TUSD'!$AH$22*'TR TUSD'!$AH$60</f>
        <v>18.079997883464685</v>
      </c>
      <c r="AI22" s="31">
        <f>'TR TUSD'!$AI$22*'TR TUSD'!$AI$60</f>
        <v>0.58142823358501095</v>
      </c>
      <c r="AJ22" s="31">
        <f ca="1">'TR TUSD'!$AJ$22*'TR TUSD'!$AJ$60</f>
        <v>1.9112700907634865</v>
      </c>
      <c r="AK22" s="31">
        <f ca="1">'TR TUSD'!$AK$22*'TR TUSD'!$AK$60</f>
        <v>0.31412597834611666</v>
      </c>
      <c r="AL22" s="31">
        <f ca="1">SUM($AH$22:$AK$22)</f>
        <v>20.8868221861593</v>
      </c>
      <c r="AM22" s="31">
        <f ca="1">SUMIF($L$4:$AL$4,"SUBTOTAL",$L$22:$AL$22)</f>
        <v>282.81138526722941</v>
      </c>
      <c r="AP22" s="31">
        <f>IF((1 - CUSTOS!$M$25)&lt;&gt;0,1/(1 - CUSTOS!$M$25),1)</f>
        <v>1</v>
      </c>
    </row>
    <row r="23" spans="1:42" ht="11.25" customHeight="1" x14ac:dyDescent="0.25">
      <c r="A23" s="137"/>
      <c r="B23" s="137"/>
      <c r="C23" s="137"/>
      <c r="D23" s="42" t="s">
        <v>30</v>
      </c>
      <c r="E23" s="42" t="s">
        <v>25</v>
      </c>
      <c r="F23" s="42" t="s">
        <v>25</v>
      </c>
      <c r="G23" s="41" t="s">
        <v>74</v>
      </c>
      <c r="H23" s="41" t="s">
        <v>70</v>
      </c>
      <c r="I23" s="41">
        <f>'MERCADO TUSD'!$U$20</f>
        <v>338.63600000000002</v>
      </c>
      <c r="J23" s="15"/>
      <c r="L23" s="31">
        <f>'TR TUSD'!$L$23*'TR TUSD'!$L$60</f>
        <v>0</v>
      </c>
      <c r="M23" s="31">
        <f>'TR TUSD'!$M$23*'TR TUSD'!$M$60</f>
        <v>0.76021138351363937</v>
      </c>
      <c r="N23" s="31">
        <f ca="1">'TR TUSD'!$N$23*'TR TUSD'!$N$60</f>
        <v>3.1434625259138294</v>
      </c>
      <c r="O23" s="31">
        <f>'TR TUSD'!$O$23*'TR TUSD'!$O$60</f>
        <v>0</v>
      </c>
      <c r="P23" s="31">
        <f>'TR TUSD'!$P$23*'TR TUSD'!$P$60</f>
        <v>0</v>
      </c>
      <c r="Q23" s="31">
        <f>'TR TUSD'!$Q$23*'TR TUSD'!$Q$60</f>
        <v>0</v>
      </c>
      <c r="R23" s="31">
        <f>'TR TUSD'!$R$23*'TR TUSD'!$R$60</f>
        <v>0</v>
      </c>
      <c r="S23" s="31">
        <f>'TR TUSD'!$S$23*'TR TUSD'!$S$60</f>
        <v>0</v>
      </c>
      <c r="T23" s="31">
        <f ca="1">SUM($L$23:$S$23)</f>
        <v>3.9036739094274688</v>
      </c>
      <c r="U23" s="31">
        <f>'TR TUSD'!$U$23*'TR TUSD'!$U$60</f>
        <v>0</v>
      </c>
      <c r="V23" s="31">
        <f>'TR TUSD'!$V$23*'TR TUSD'!$V$60</f>
        <v>0</v>
      </c>
      <c r="W23" s="31">
        <f>'TR TUSD'!$W$23*'TR TUSD'!$W$60</f>
        <v>0</v>
      </c>
      <c r="X23" s="31">
        <f>'TR TUSD'!$X$23*'TR TUSD'!$X$60</f>
        <v>0</v>
      </c>
      <c r="Y23" s="31">
        <f>'TR TUSD'!$Y$23*'TR TUSD'!$Y$60</f>
        <v>119.86827800547123</v>
      </c>
      <c r="Z23" s="31">
        <f>'TR TUSD'!$Z$23</f>
        <v>0</v>
      </c>
      <c r="AA23" s="31">
        <f>'TR TUSD'!$AA$23</f>
        <v>0</v>
      </c>
      <c r="AB23" s="31">
        <f>SUM($U$23:$AA$23)</f>
        <v>119.86827800547123</v>
      </c>
      <c r="AC23" s="31">
        <f>'TR TUSD'!$AC$23*'TR TUSD'!$AC$60</f>
        <v>138.1526111661714</v>
      </c>
      <c r="AD23" s="31">
        <f>SUM($AC$23:$AC$23)</f>
        <v>138.1526111661714</v>
      </c>
      <c r="AE23" s="31">
        <v>0</v>
      </c>
      <c r="AF23" s="31">
        <v>0</v>
      </c>
      <c r="AG23" s="31">
        <f>SUM($AE$23:$AF$23)</f>
        <v>0</v>
      </c>
      <c r="AH23" s="31">
        <f>'TR TUSD'!$AH$23*'TR TUSD'!$AH$60</f>
        <v>18.079997883464685</v>
      </c>
      <c r="AI23" s="31">
        <f>'TR TUSD'!$AI$23*'TR TUSD'!$AI$60</f>
        <v>0.58142823358501095</v>
      </c>
      <c r="AJ23" s="31">
        <f ca="1">'TR TUSD'!$AJ$23*'TR TUSD'!$AJ$60</f>
        <v>1.9112700907634865</v>
      </c>
      <c r="AK23" s="31">
        <f ca="1">'TR TUSD'!$AK$23*'TR TUSD'!$AK$60</f>
        <v>0.31412597834611666</v>
      </c>
      <c r="AL23" s="31">
        <f ca="1">SUM($AH$23:$AK$23)</f>
        <v>20.8868221861593</v>
      </c>
      <c r="AM23" s="31">
        <f ca="1">SUMIF($L$4:$AL$4,"SUBTOTAL",$L$23:$AL$23)</f>
        <v>282.81138526722941</v>
      </c>
      <c r="AP23" s="31">
        <f>IF((1 - CUSTOS!$M$26)&lt;&gt;0,1/(1 - CUSTOS!$M$26),1)</f>
        <v>1</v>
      </c>
    </row>
    <row r="24" spans="1:42" ht="11.25" customHeight="1" x14ac:dyDescent="0.25">
      <c r="A24" s="137"/>
      <c r="B24" s="137"/>
      <c r="C24" s="137"/>
      <c r="D24" s="42" t="s">
        <v>31</v>
      </c>
      <c r="E24" s="42" t="s">
        <v>25</v>
      </c>
      <c r="F24" s="42" t="s">
        <v>25</v>
      </c>
      <c r="G24" s="41" t="s">
        <v>74</v>
      </c>
      <c r="H24" s="41" t="s">
        <v>70</v>
      </c>
      <c r="I24" s="41">
        <f>'MERCADO TUSD'!$U$21</f>
        <v>113.66699999999999</v>
      </c>
      <c r="J24" s="15"/>
      <c r="L24" s="31">
        <f>'TR TUSD'!$L$24*'TR TUSD'!$L$60</f>
        <v>0</v>
      </c>
      <c r="M24" s="31">
        <f>'TR TUSD'!$M$24*'TR TUSD'!$M$60</f>
        <v>0.76021138351363937</v>
      </c>
      <c r="N24" s="31">
        <f ca="1">'TR TUSD'!$N$24*'TR TUSD'!$N$60</f>
        <v>3.1434625259138294</v>
      </c>
      <c r="O24" s="31">
        <f>'TR TUSD'!$O$24*'TR TUSD'!$O$60</f>
        <v>0</v>
      </c>
      <c r="P24" s="31">
        <f>'TR TUSD'!$P$24*'TR TUSD'!$P$60</f>
        <v>0</v>
      </c>
      <c r="Q24" s="31">
        <f>'TR TUSD'!$Q$24*'TR TUSD'!$Q$60</f>
        <v>0</v>
      </c>
      <c r="R24" s="31">
        <f>'TR TUSD'!$R$24*'TR TUSD'!$R$60</f>
        <v>0</v>
      </c>
      <c r="S24" s="31">
        <f>'TR TUSD'!$S$24*'TR TUSD'!$S$60</f>
        <v>0</v>
      </c>
      <c r="T24" s="31">
        <f ca="1">SUM($L$24:$S$24)</f>
        <v>3.9036739094274688</v>
      </c>
      <c r="U24" s="31">
        <f>'TR TUSD'!$U$24*'TR TUSD'!$U$60</f>
        <v>0</v>
      </c>
      <c r="V24" s="31">
        <f>'TR TUSD'!$V$24*'TR TUSD'!$V$60</f>
        <v>0</v>
      </c>
      <c r="W24" s="31">
        <f>'TR TUSD'!$W$24*'TR TUSD'!$W$60</f>
        <v>0</v>
      </c>
      <c r="X24" s="31">
        <f>'TR TUSD'!$X$24*'TR TUSD'!$X$60</f>
        <v>0</v>
      </c>
      <c r="Y24" s="31">
        <f>'TR TUSD'!$Y$24*'TR TUSD'!$Y$60</f>
        <v>119.86827800547123</v>
      </c>
      <c r="Z24" s="31">
        <f>'TR TUSD'!$Z$24</f>
        <v>0</v>
      </c>
      <c r="AA24" s="31">
        <f>'TR TUSD'!$AA$24</f>
        <v>0</v>
      </c>
      <c r="AB24" s="31">
        <f>SUM($U$24:$AA$24)</f>
        <v>119.86827800547123</v>
      </c>
      <c r="AC24" s="31">
        <f>'TR TUSD'!$AC$24*'TR TUSD'!$AC$60</f>
        <v>138.1526111661714</v>
      </c>
      <c r="AD24" s="31">
        <f>SUM($AC$24:$AC$24)</f>
        <v>138.1526111661714</v>
      </c>
      <c r="AE24" s="31">
        <v>0</v>
      </c>
      <c r="AF24" s="31">
        <v>0</v>
      </c>
      <c r="AG24" s="31">
        <f>SUM($AE$24:$AF$24)</f>
        <v>0</v>
      </c>
      <c r="AH24" s="31">
        <f>'TR TUSD'!$AH$24*'TR TUSD'!$AH$60</f>
        <v>18.079997883464685</v>
      </c>
      <c r="AI24" s="31">
        <f>'TR TUSD'!$AI$24*'TR TUSD'!$AI$60</f>
        <v>0.58142823358501095</v>
      </c>
      <c r="AJ24" s="31">
        <f ca="1">'TR TUSD'!$AJ$24*'TR TUSD'!$AJ$60</f>
        <v>1.9112700907634865</v>
      </c>
      <c r="AK24" s="31">
        <f ca="1">'TR TUSD'!$AK$24*'TR TUSD'!$AK$60</f>
        <v>0.31412597834611666</v>
      </c>
      <c r="AL24" s="31">
        <f ca="1">SUM($AH$24:$AK$24)</f>
        <v>20.8868221861593</v>
      </c>
      <c r="AM24" s="31">
        <f ca="1">SUMIF($L$4:$AL$4,"SUBTOTAL",$L$24:$AL$24)</f>
        <v>282.81138526722941</v>
      </c>
      <c r="AP24" s="31">
        <f>IF((1 - CUSTOS!$M$27)&lt;&gt;0,1/(1 - CUSTOS!$M$27),1)</f>
        <v>1</v>
      </c>
    </row>
    <row r="25" spans="1:42" ht="11.25" customHeight="1" x14ac:dyDescent="0.25">
      <c r="A25" s="137"/>
      <c r="B25" s="137" t="s">
        <v>85</v>
      </c>
      <c r="C25" s="137" t="s">
        <v>24</v>
      </c>
      <c r="D25" s="42" t="s">
        <v>24</v>
      </c>
      <c r="E25" s="42" t="s">
        <v>25</v>
      </c>
      <c r="F25" s="42" t="s">
        <v>25</v>
      </c>
      <c r="G25" s="41" t="s">
        <v>74</v>
      </c>
      <c r="H25" s="41" t="s">
        <v>70</v>
      </c>
      <c r="I25" s="41">
        <f>'MERCADO TUSD'!$U$22</f>
        <v>0</v>
      </c>
      <c r="J25" s="15"/>
      <c r="L25" s="31">
        <f>'TR TUSD'!$L$25*'TR TUSD'!$L$60</f>
        <v>2.5602321043826661</v>
      </c>
      <c r="M25" s="31">
        <f>'TR TUSD'!$M$25*'TR TUSD'!$M$60</f>
        <v>0.76021138351363937</v>
      </c>
      <c r="N25" s="31">
        <f ca="1">'TR TUSD'!$N$25*'TR TUSD'!$N$60</f>
        <v>3.1547199761260423</v>
      </c>
      <c r="O25" s="31">
        <f>'TR TUSD'!$O$25*'TR TUSD'!$O$60</f>
        <v>0</v>
      </c>
      <c r="P25" s="31">
        <f>'TR TUSD'!$P$25*'TR TUSD'!$P$60</f>
        <v>0</v>
      </c>
      <c r="Q25" s="31">
        <f>'TR TUSD'!$Q$25*'TR TUSD'!$Q$60</f>
        <v>93.609194890741207</v>
      </c>
      <c r="R25" s="31">
        <f>'TR TUSD'!$R$25*'TR TUSD'!$R$60</f>
        <v>14.831414602076647</v>
      </c>
      <c r="S25" s="31">
        <f>'TR TUSD'!$S$25*'TR TUSD'!$S$60</f>
        <v>0</v>
      </c>
      <c r="T25" s="31">
        <f ca="1">SUM($L$25:$S$25)</f>
        <v>114.9157729568402</v>
      </c>
      <c r="U25" s="31">
        <f>'TR TUSD'!$U$25*'TR TUSD'!$U$60</f>
        <v>0</v>
      </c>
      <c r="V25" s="31">
        <f>'TR TUSD'!$V$25*'TR TUSD'!$V$60</f>
        <v>0</v>
      </c>
      <c r="W25" s="31">
        <f>'TR TUSD'!$W$25*'TR TUSD'!$W$60</f>
        <v>0</v>
      </c>
      <c r="X25" s="31">
        <f>'TR TUSD'!$X$25*'TR TUSD'!$X$60</f>
        <v>0</v>
      </c>
      <c r="Y25" s="31">
        <f>'TR TUSD'!$Y$25*'TR TUSD'!$Y$60</f>
        <v>119.86827800547123</v>
      </c>
      <c r="Z25" s="31">
        <f>'TR TUSD'!$Z$25</f>
        <v>0</v>
      </c>
      <c r="AA25" s="31">
        <f>'TR TUSD'!$AA$25</f>
        <v>0</v>
      </c>
      <c r="AB25" s="31">
        <f>SUM($U$25:$AA$25)</f>
        <v>119.86827800547123</v>
      </c>
      <c r="AC25" s="31">
        <f>'TR TUSD'!$AC$25*'TR TUSD'!$AC$60</f>
        <v>138.1526111661714</v>
      </c>
      <c r="AD25" s="31">
        <f>SUM($AC$25:$AC$25)</f>
        <v>138.1526111661714</v>
      </c>
      <c r="AE25" s="31">
        <v>0</v>
      </c>
      <c r="AF25" s="31">
        <v>0</v>
      </c>
      <c r="AG25" s="31">
        <f>SUM($AE$25:$AF$25)</f>
        <v>0</v>
      </c>
      <c r="AH25" s="31">
        <f>'TR TUSD'!$AH$25*'TR TUSD'!$AH$60</f>
        <v>18.079997883464685</v>
      </c>
      <c r="AI25" s="31">
        <f>'TR TUSD'!$AI$25*'TR TUSD'!$AI$60</f>
        <v>0.58142823358501095</v>
      </c>
      <c r="AJ25" s="31">
        <f ca="1">'TR TUSD'!$AJ$25*'TR TUSD'!$AJ$60</f>
        <v>1.9112700907634865</v>
      </c>
      <c r="AK25" s="31">
        <f ca="1">'TR TUSD'!$AK$25*'TR TUSD'!$AK$60</f>
        <v>0.31412597834611666</v>
      </c>
      <c r="AL25" s="31">
        <f ca="1">SUM($AH$25:$AK$25)</f>
        <v>20.8868221861593</v>
      </c>
      <c r="AM25" s="31">
        <f ca="1">SUMIF($L$4:$AL$4,"SUBTOTAL",$L$25:$AL$25)</f>
        <v>393.82348431464209</v>
      </c>
      <c r="AP25" s="31">
        <v>1</v>
      </c>
    </row>
    <row r="26" spans="1:42" ht="11.25" customHeight="1" x14ac:dyDescent="0.25">
      <c r="A26" s="137"/>
      <c r="B26" s="137"/>
      <c r="C26" s="137"/>
      <c r="D26" s="42" t="s">
        <v>28</v>
      </c>
      <c r="E26" s="42" t="s">
        <v>25</v>
      </c>
      <c r="F26" s="42" t="s">
        <v>25</v>
      </c>
      <c r="G26" s="41" t="s">
        <v>74</v>
      </c>
      <c r="H26" s="41" t="s">
        <v>70</v>
      </c>
      <c r="I26" s="41">
        <f>'MERCADO TUSD'!$U$23</f>
        <v>0</v>
      </c>
      <c r="J26" s="15"/>
      <c r="L26" s="31">
        <f>'TR TUSD'!$L$26*'TR TUSD'!$L$60</f>
        <v>0</v>
      </c>
      <c r="M26" s="31">
        <f>'TR TUSD'!$M$26*'TR TUSD'!$M$60</f>
        <v>0.76021138351363937</v>
      </c>
      <c r="N26" s="31">
        <f ca="1">'TR TUSD'!$N$26*'TR TUSD'!$N$60</f>
        <v>3.1434625259138294</v>
      </c>
      <c r="O26" s="31">
        <f>'TR TUSD'!$O$26*'TR TUSD'!$O$60</f>
        <v>0</v>
      </c>
      <c r="P26" s="31">
        <f>'TR TUSD'!$P$26*'TR TUSD'!$P$60</f>
        <v>0</v>
      </c>
      <c r="Q26" s="31">
        <f>'TR TUSD'!$Q$26*'TR TUSD'!$Q$60</f>
        <v>0</v>
      </c>
      <c r="R26" s="31">
        <f>'TR TUSD'!$R$26*'TR TUSD'!$R$60</f>
        <v>0</v>
      </c>
      <c r="S26" s="31">
        <f>'TR TUSD'!$S$26*'TR TUSD'!$S$60</f>
        <v>0</v>
      </c>
      <c r="T26" s="31">
        <f ca="1">SUM($L$26:$S$26)</f>
        <v>3.9036739094274688</v>
      </c>
      <c r="U26" s="31">
        <f>'TR TUSD'!$U$26*'TR TUSD'!$U$60</f>
        <v>0</v>
      </c>
      <c r="V26" s="31">
        <f>'TR TUSD'!$V$26*'TR TUSD'!$V$60</f>
        <v>0</v>
      </c>
      <c r="W26" s="31">
        <f>'TR TUSD'!$W$26*'TR TUSD'!$W$60</f>
        <v>0</v>
      </c>
      <c r="X26" s="31">
        <f>'TR TUSD'!$X$26*'TR TUSD'!$X$60</f>
        <v>0</v>
      </c>
      <c r="Y26" s="31">
        <f>'TR TUSD'!$Y$26*'TR TUSD'!$Y$60</f>
        <v>119.86827800547123</v>
      </c>
      <c r="Z26" s="31">
        <f>'TR TUSD'!$Z$26</f>
        <v>0</v>
      </c>
      <c r="AA26" s="31">
        <f>'TR TUSD'!$AA$26</f>
        <v>0</v>
      </c>
      <c r="AB26" s="31">
        <f>SUM($U$26:$AA$26)</f>
        <v>119.86827800547123</v>
      </c>
      <c r="AC26" s="31">
        <f>'TR TUSD'!$AC$26*'TR TUSD'!$AC$60</f>
        <v>138.1526111661714</v>
      </c>
      <c r="AD26" s="31">
        <f>SUM($AC$26:$AC$26)</f>
        <v>138.1526111661714</v>
      </c>
      <c r="AE26" s="31">
        <v>0</v>
      </c>
      <c r="AF26" s="31">
        <v>0</v>
      </c>
      <c r="AG26" s="31">
        <f>SUM($AE$26:$AF$26)</f>
        <v>0</v>
      </c>
      <c r="AH26" s="31">
        <f>'TR TUSD'!$AH$26*'TR TUSD'!$AH$60</f>
        <v>18.079997883464685</v>
      </c>
      <c r="AI26" s="31">
        <f>'TR TUSD'!$AI$26*'TR TUSD'!$AI$60</f>
        <v>0.58142823358501095</v>
      </c>
      <c r="AJ26" s="31">
        <f ca="1">'TR TUSD'!$AJ$26*'TR TUSD'!$AJ$60</f>
        <v>1.9112700907634865</v>
      </c>
      <c r="AK26" s="31">
        <f ca="1">'TR TUSD'!$AK$26*'TR TUSD'!$AK$60</f>
        <v>0.31412597834611666</v>
      </c>
      <c r="AL26" s="31">
        <f ca="1">SUM($AH$26:$AK$26)</f>
        <v>20.8868221861593</v>
      </c>
      <c r="AM26" s="31">
        <f ca="1">SUMIF($L$4:$AL$4,"SUBTOTAL",$L$26:$AL$26)</f>
        <v>282.81138526722941</v>
      </c>
      <c r="AP26" s="31">
        <f>IF((1 - CUSTOS!$M$24)&lt;&gt;0,1/(1 - CUSTOS!$M$24),1)</f>
        <v>1</v>
      </c>
    </row>
    <row r="27" spans="1:42" ht="11.25" customHeight="1" x14ac:dyDescent="0.25">
      <c r="A27" s="137"/>
      <c r="B27" s="137"/>
      <c r="C27" s="137"/>
      <c r="D27" s="42" t="s">
        <v>29</v>
      </c>
      <c r="E27" s="42" t="s">
        <v>25</v>
      </c>
      <c r="F27" s="42" t="s">
        <v>25</v>
      </c>
      <c r="G27" s="41" t="s">
        <v>74</v>
      </c>
      <c r="H27" s="41" t="s">
        <v>70</v>
      </c>
      <c r="I27" s="41">
        <f>'MERCADO TUSD'!$U$24</f>
        <v>0</v>
      </c>
      <c r="J27" s="15"/>
      <c r="L27" s="31">
        <f>'TR TUSD'!$L$27*'TR TUSD'!$L$60</f>
        <v>0</v>
      </c>
      <c r="M27" s="31">
        <f>'TR TUSD'!$M$27*'TR TUSD'!$M$60</f>
        <v>0.76021138351363937</v>
      </c>
      <c r="N27" s="31">
        <f ca="1">'TR TUSD'!$N$27*'TR TUSD'!$N$60</f>
        <v>3.1434625259138294</v>
      </c>
      <c r="O27" s="31">
        <f>'TR TUSD'!$O$27*'TR TUSD'!$O$60</f>
        <v>0</v>
      </c>
      <c r="P27" s="31">
        <f>'TR TUSD'!$P$27*'TR TUSD'!$P$60</f>
        <v>0</v>
      </c>
      <c r="Q27" s="31">
        <f>'TR TUSD'!$Q$27*'TR TUSD'!$Q$60</f>
        <v>0</v>
      </c>
      <c r="R27" s="31">
        <f>'TR TUSD'!$R$27*'TR TUSD'!$R$60</f>
        <v>0</v>
      </c>
      <c r="S27" s="31">
        <f>'TR TUSD'!$S$27*'TR TUSD'!$S$60</f>
        <v>0</v>
      </c>
      <c r="T27" s="31">
        <f ca="1">SUM($L$27:$S$27)</f>
        <v>3.9036739094274688</v>
      </c>
      <c r="U27" s="31">
        <f>'TR TUSD'!$U$27*'TR TUSD'!$U$60</f>
        <v>0</v>
      </c>
      <c r="V27" s="31">
        <f>'TR TUSD'!$V$27*'TR TUSD'!$V$60</f>
        <v>0</v>
      </c>
      <c r="W27" s="31">
        <f>'TR TUSD'!$W$27*'TR TUSD'!$W$60</f>
        <v>0</v>
      </c>
      <c r="X27" s="31">
        <f>'TR TUSD'!$X$27*'TR TUSD'!$X$60</f>
        <v>0</v>
      </c>
      <c r="Y27" s="31">
        <f>'TR TUSD'!$Y$27*'TR TUSD'!$Y$60</f>
        <v>119.86827800547123</v>
      </c>
      <c r="Z27" s="31">
        <f>'TR TUSD'!$Z$27</f>
        <v>0</v>
      </c>
      <c r="AA27" s="31">
        <f>'TR TUSD'!$AA$27</f>
        <v>0</v>
      </c>
      <c r="AB27" s="31">
        <f>SUM($U$27:$AA$27)</f>
        <v>119.86827800547123</v>
      </c>
      <c r="AC27" s="31">
        <f>'TR TUSD'!$AC$27*'TR TUSD'!$AC$60</f>
        <v>138.1526111661714</v>
      </c>
      <c r="AD27" s="31">
        <f>SUM($AC$27:$AC$27)</f>
        <v>138.1526111661714</v>
      </c>
      <c r="AE27" s="31">
        <v>0</v>
      </c>
      <c r="AF27" s="31">
        <v>0</v>
      </c>
      <c r="AG27" s="31">
        <f>SUM($AE$27:$AF$27)</f>
        <v>0</v>
      </c>
      <c r="AH27" s="31">
        <f>'TR TUSD'!$AH$27*'TR TUSD'!$AH$60</f>
        <v>18.079997883464685</v>
      </c>
      <c r="AI27" s="31">
        <f>'TR TUSD'!$AI$27*'TR TUSD'!$AI$60</f>
        <v>0.58142823358501095</v>
      </c>
      <c r="AJ27" s="31">
        <f ca="1">'TR TUSD'!$AJ$27*'TR TUSD'!$AJ$60</f>
        <v>1.9112700907634865</v>
      </c>
      <c r="AK27" s="31">
        <f ca="1">'TR TUSD'!$AK$27*'TR TUSD'!$AK$60</f>
        <v>0.31412597834611666</v>
      </c>
      <c r="AL27" s="31">
        <f ca="1">SUM($AH$27:$AK$27)</f>
        <v>20.8868221861593</v>
      </c>
      <c r="AM27" s="31">
        <f ca="1">SUMIF($L$4:$AL$4,"SUBTOTAL",$L$27:$AL$27)</f>
        <v>282.81138526722941</v>
      </c>
      <c r="AP27" s="31">
        <f>IF((1 - CUSTOS!$M$25)&lt;&gt;0,1/(1 - CUSTOS!$M$25),1)</f>
        <v>1</v>
      </c>
    </row>
    <row r="28" spans="1:42" ht="11.25" customHeight="1" x14ac:dyDescent="0.25">
      <c r="A28" s="137"/>
      <c r="B28" s="137"/>
      <c r="C28" s="137"/>
      <c r="D28" s="42" t="s">
        <v>30</v>
      </c>
      <c r="E28" s="42" t="s">
        <v>25</v>
      </c>
      <c r="F28" s="42" t="s">
        <v>25</v>
      </c>
      <c r="G28" s="41" t="s">
        <v>74</v>
      </c>
      <c r="H28" s="41" t="s">
        <v>70</v>
      </c>
      <c r="I28" s="41">
        <f>'MERCADO TUSD'!$U$25</f>
        <v>0</v>
      </c>
      <c r="J28" s="15"/>
      <c r="L28" s="31">
        <f>'TR TUSD'!$L$28*'TR TUSD'!$L$60</f>
        <v>0</v>
      </c>
      <c r="M28" s="31">
        <f>'TR TUSD'!$M$28*'TR TUSD'!$M$60</f>
        <v>0.76021138351363937</v>
      </c>
      <c r="N28" s="31">
        <f ca="1">'TR TUSD'!$N$28*'TR TUSD'!$N$60</f>
        <v>3.1434625259138294</v>
      </c>
      <c r="O28" s="31">
        <f>'TR TUSD'!$O$28*'TR TUSD'!$O$60</f>
        <v>0</v>
      </c>
      <c r="P28" s="31">
        <f>'TR TUSD'!$P$28*'TR TUSD'!$P$60</f>
        <v>0</v>
      </c>
      <c r="Q28" s="31">
        <f>'TR TUSD'!$Q$28*'TR TUSD'!$Q$60</f>
        <v>0</v>
      </c>
      <c r="R28" s="31">
        <f>'TR TUSD'!$R$28*'TR TUSD'!$R$60</f>
        <v>0</v>
      </c>
      <c r="S28" s="31">
        <f>'TR TUSD'!$S$28*'TR TUSD'!$S$60</f>
        <v>0</v>
      </c>
      <c r="T28" s="31">
        <f ca="1">SUM($L$28:$S$28)</f>
        <v>3.9036739094274688</v>
      </c>
      <c r="U28" s="31">
        <f>'TR TUSD'!$U$28*'TR TUSD'!$U$60</f>
        <v>0</v>
      </c>
      <c r="V28" s="31">
        <f>'TR TUSD'!$V$28*'TR TUSD'!$V$60</f>
        <v>0</v>
      </c>
      <c r="W28" s="31">
        <f>'TR TUSD'!$W$28*'TR TUSD'!$W$60</f>
        <v>0</v>
      </c>
      <c r="X28" s="31">
        <f>'TR TUSD'!$X$28*'TR TUSD'!$X$60</f>
        <v>0</v>
      </c>
      <c r="Y28" s="31">
        <f>'TR TUSD'!$Y$28*'TR TUSD'!$Y$60</f>
        <v>119.86827800547123</v>
      </c>
      <c r="Z28" s="31">
        <f>'TR TUSD'!$Z$28</f>
        <v>0</v>
      </c>
      <c r="AA28" s="31">
        <f>'TR TUSD'!$AA$28</f>
        <v>0</v>
      </c>
      <c r="AB28" s="31">
        <f>SUM($U$28:$AA$28)</f>
        <v>119.86827800547123</v>
      </c>
      <c r="AC28" s="31">
        <f>'TR TUSD'!$AC$28*'TR TUSD'!$AC$60</f>
        <v>138.1526111661714</v>
      </c>
      <c r="AD28" s="31">
        <f>SUM($AC$28:$AC$28)</f>
        <v>138.1526111661714</v>
      </c>
      <c r="AE28" s="31">
        <v>0</v>
      </c>
      <c r="AF28" s="31">
        <v>0</v>
      </c>
      <c r="AG28" s="31">
        <f>SUM($AE$28:$AF$28)</f>
        <v>0</v>
      </c>
      <c r="AH28" s="31">
        <f>'TR TUSD'!$AH$28*'TR TUSD'!$AH$60</f>
        <v>18.079997883464685</v>
      </c>
      <c r="AI28" s="31">
        <f>'TR TUSD'!$AI$28*'TR TUSD'!$AI$60</f>
        <v>0.58142823358501095</v>
      </c>
      <c r="AJ28" s="31">
        <f ca="1">'TR TUSD'!$AJ$28*'TR TUSD'!$AJ$60</f>
        <v>1.9112700907634865</v>
      </c>
      <c r="AK28" s="31">
        <f ca="1">'TR TUSD'!$AK$28*'TR TUSD'!$AK$60</f>
        <v>0.31412597834611666</v>
      </c>
      <c r="AL28" s="31">
        <f ca="1">SUM($AH$28:$AK$28)</f>
        <v>20.8868221861593</v>
      </c>
      <c r="AM28" s="31">
        <f ca="1">SUMIF($L$4:$AL$4,"SUBTOTAL",$L$28:$AL$28)</f>
        <v>282.81138526722941</v>
      </c>
      <c r="AP28" s="31">
        <f>IF((1 - CUSTOS!$M$26)&lt;&gt;0,1/(1 - CUSTOS!$M$26),1)</f>
        <v>1</v>
      </c>
    </row>
    <row r="29" spans="1:42" ht="11.25" customHeight="1" x14ac:dyDescent="0.25">
      <c r="A29" s="137"/>
      <c r="B29" s="137"/>
      <c r="C29" s="137"/>
      <c r="D29" s="42" t="s">
        <v>31</v>
      </c>
      <c r="E29" s="42" t="s">
        <v>25</v>
      </c>
      <c r="F29" s="42" t="s">
        <v>25</v>
      </c>
      <c r="G29" s="41" t="s">
        <v>74</v>
      </c>
      <c r="H29" s="41" t="s">
        <v>70</v>
      </c>
      <c r="I29" s="41">
        <f>'MERCADO TUSD'!$U$26</f>
        <v>0</v>
      </c>
      <c r="J29" s="15"/>
      <c r="L29" s="31">
        <f>'TR TUSD'!$L$29*'TR TUSD'!$L$60</f>
        <v>0</v>
      </c>
      <c r="M29" s="31">
        <f>'TR TUSD'!$M$29*'TR TUSD'!$M$60</f>
        <v>0.76021138351363937</v>
      </c>
      <c r="N29" s="31">
        <f ca="1">'TR TUSD'!$N$29*'TR TUSD'!$N$60</f>
        <v>3.1434625259138294</v>
      </c>
      <c r="O29" s="31">
        <f>'TR TUSD'!$O$29*'TR TUSD'!$O$60</f>
        <v>0</v>
      </c>
      <c r="P29" s="31">
        <f>'TR TUSD'!$P$29*'TR TUSD'!$P$60</f>
        <v>0</v>
      </c>
      <c r="Q29" s="31">
        <f>'TR TUSD'!$Q$29*'TR TUSD'!$Q$60</f>
        <v>0</v>
      </c>
      <c r="R29" s="31">
        <f>'TR TUSD'!$R$29*'TR TUSD'!$R$60</f>
        <v>0</v>
      </c>
      <c r="S29" s="31">
        <f>'TR TUSD'!$S$29*'TR TUSD'!$S$60</f>
        <v>0</v>
      </c>
      <c r="T29" s="31">
        <f ca="1">SUM($L$29:$S$29)</f>
        <v>3.9036739094274688</v>
      </c>
      <c r="U29" s="31">
        <f>'TR TUSD'!$U$29*'TR TUSD'!$U$60</f>
        <v>0</v>
      </c>
      <c r="V29" s="31">
        <f>'TR TUSD'!$V$29*'TR TUSD'!$V$60</f>
        <v>0</v>
      </c>
      <c r="W29" s="31">
        <f>'TR TUSD'!$W$29*'TR TUSD'!$W$60</f>
        <v>0</v>
      </c>
      <c r="X29" s="31">
        <f>'TR TUSD'!$X$29*'TR TUSD'!$X$60</f>
        <v>0</v>
      </c>
      <c r="Y29" s="31">
        <f>'TR TUSD'!$Y$29*'TR TUSD'!$Y$60</f>
        <v>119.86827800547123</v>
      </c>
      <c r="Z29" s="31">
        <f>'TR TUSD'!$Z$29</f>
        <v>0</v>
      </c>
      <c r="AA29" s="31">
        <f>'TR TUSD'!$AA$29</f>
        <v>0</v>
      </c>
      <c r="AB29" s="31">
        <f>SUM($U$29:$AA$29)</f>
        <v>119.86827800547123</v>
      </c>
      <c r="AC29" s="31">
        <f>'TR TUSD'!$AC$29*'TR TUSD'!$AC$60</f>
        <v>138.1526111661714</v>
      </c>
      <c r="AD29" s="31">
        <f>SUM($AC$29:$AC$29)</f>
        <v>138.1526111661714</v>
      </c>
      <c r="AE29" s="31">
        <v>0</v>
      </c>
      <c r="AF29" s="31">
        <v>0</v>
      </c>
      <c r="AG29" s="31">
        <f>SUM($AE$29:$AF$29)</f>
        <v>0</v>
      </c>
      <c r="AH29" s="31">
        <f>'TR TUSD'!$AH$29*'TR TUSD'!$AH$60</f>
        <v>18.079997883464685</v>
      </c>
      <c r="AI29" s="31">
        <f>'TR TUSD'!$AI$29*'TR TUSD'!$AI$60</f>
        <v>0.58142823358501095</v>
      </c>
      <c r="AJ29" s="31">
        <f ca="1">'TR TUSD'!$AJ$29*'TR TUSD'!$AJ$60</f>
        <v>1.9112700907634865</v>
      </c>
      <c r="AK29" s="31">
        <f ca="1">'TR TUSD'!$AK$29*'TR TUSD'!$AK$60</f>
        <v>0.31412597834611666</v>
      </c>
      <c r="AL29" s="31">
        <f ca="1">SUM($AH$29:$AK$29)</f>
        <v>20.8868221861593</v>
      </c>
      <c r="AM29" s="31">
        <f ca="1">SUMIF($L$4:$AL$4,"SUBTOTAL",$L$29:$AL$29)</f>
        <v>282.81138526722941</v>
      </c>
      <c r="AP29" s="31">
        <f>IF((1 - CUSTOS!$M$27)&lt;&gt;0,1/(1 - CUSTOS!$M$27),1)</f>
        <v>1</v>
      </c>
    </row>
    <row r="30" spans="1:42" ht="11.25" customHeight="1" x14ac:dyDescent="0.25">
      <c r="A30" s="137" t="s">
        <v>39</v>
      </c>
      <c r="B30" s="137" t="s">
        <v>49</v>
      </c>
      <c r="C30" s="137" t="s">
        <v>40</v>
      </c>
      <c r="D30" s="137" t="s">
        <v>25</v>
      </c>
      <c r="E30" s="137" t="s">
        <v>25</v>
      </c>
      <c r="F30" s="137" t="s">
        <v>25</v>
      </c>
      <c r="G30" s="41" t="s">
        <v>71</v>
      </c>
      <c r="H30" s="41" t="s">
        <v>70</v>
      </c>
      <c r="I30" s="41">
        <f>'MERCADO TUSD'!$U$27</f>
        <v>0</v>
      </c>
      <c r="J30" s="15"/>
      <c r="L30" s="31">
        <f>'TR TUSD'!$L$30*'TR TUSD'!$L$60</f>
        <v>2.5602321043826661</v>
      </c>
      <c r="M30" s="31">
        <f>'TR TUSD'!$M$30*'TR TUSD'!$M$60</f>
        <v>0.76021138351363937</v>
      </c>
      <c r="N30" s="31">
        <f ca="1">'TR TUSD'!$N$30*'TR TUSD'!$N$60</f>
        <v>7.5914173199065846</v>
      </c>
      <c r="O30" s="31">
        <f>'TR TUSD'!$O$30*'TR TUSD'!$O$60</f>
        <v>0</v>
      </c>
      <c r="P30" s="31">
        <f>'TR TUSD'!$P$30*'TR TUSD'!$P$60</f>
        <v>0</v>
      </c>
      <c r="Q30" s="31">
        <f>'TR TUSD'!$Q$30*'TR TUSD'!$Q$60</f>
        <v>93.609194890741207</v>
      </c>
      <c r="R30" s="31">
        <f>'TR TUSD'!$R$30*'TR TUSD'!$R$60</f>
        <v>14.831414602076647</v>
      </c>
      <c r="S30" s="31">
        <f>'TR TUSD'!$S$30*'TR TUSD'!$S$60</f>
        <v>0</v>
      </c>
      <c r="T30" s="31">
        <f ca="1">SUM($L$30:$S$30)</f>
        <v>119.35247030062075</v>
      </c>
      <c r="U30" s="31">
        <f>'TR TUSD'!$U$30*'TR TUSD'!$U$60</f>
        <v>0</v>
      </c>
      <c r="V30" s="31">
        <f>'TR TUSD'!$V$30*'TR TUSD'!$V$60</f>
        <v>0</v>
      </c>
      <c r="W30" s="31">
        <f>'TR TUSD'!$W$30*'TR TUSD'!$W$60</f>
        <v>0</v>
      </c>
      <c r="X30" s="31">
        <f>'TR TUSD'!$X$30*'TR TUSD'!$X$60</f>
        <v>0</v>
      </c>
      <c r="Y30" s="31">
        <f>'TR TUSD'!$Y$30*'TR TUSD'!$Y$60</f>
        <v>317.65081204225936</v>
      </c>
      <c r="Z30" s="31">
        <f>'TR TUSD'!$Z$30</f>
        <v>0</v>
      </c>
      <c r="AA30" s="31">
        <f>'TR TUSD'!$AA$30</f>
        <v>0</v>
      </c>
      <c r="AB30" s="31">
        <f>SUM($U$30:$AA$30)</f>
        <v>317.65081204225936</v>
      </c>
      <c r="AC30" s="31">
        <f>'TR TUSD'!$AC$30*'TR TUSD'!$AC$60</f>
        <v>366.10456491101053</v>
      </c>
      <c r="AD30" s="31">
        <f>SUM($AC$30:$AC$30)</f>
        <v>366.10456491101053</v>
      </c>
      <c r="AE30" s="31">
        <v>0</v>
      </c>
      <c r="AF30" s="31">
        <v>0</v>
      </c>
      <c r="AG30" s="31">
        <f>SUM($AE$30:$AF$30)</f>
        <v>0</v>
      </c>
      <c r="AH30" s="31">
        <f>'TR TUSD'!$AH$30*'TR TUSD'!$AH$60</f>
        <v>18.079997883464685</v>
      </c>
      <c r="AI30" s="31">
        <f>'TR TUSD'!$AI$30*'TR TUSD'!$AI$60</f>
        <v>0.58142823358501095</v>
      </c>
      <c r="AJ30" s="31">
        <f ca="1">'TR TUSD'!$AJ$30*'TR TUSD'!$AJ$60</f>
        <v>1.9112700907634865</v>
      </c>
      <c r="AK30" s="31">
        <f ca="1">'TR TUSD'!$AK$30*'TR TUSD'!$AK$60</f>
        <v>0.31412597834611666</v>
      </c>
      <c r="AL30" s="31">
        <f ca="1">SUM($AH$30:$AK$30)</f>
        <v>20.8868221861593</v>
      </c>
      <c r="AM30" s="31">
        <f ca="1">SUMIF($L$4:$AL$4,"SUBTOTAL",$L$30:$AL$30)</f>
        <v>823.99466944004996</v>
      </c>
      <c r="AP30" s="31">
        <f>IF((1 - CUSTOS!$M$28)&lt;&gt;0,1/(1 - CUSTOS!$M$28),1)</f>
        <v>1</v>
      </c>
    </row>
    <row r="31" spans="1:42" ht="11.25" customHeight="1" x14ac:dyDescent="0.25">
      <c r="A31" s="137"/>
      <c r="B31" s="137"/>
      <c r="C31" s="137"/>
      <c r="D31" s="137"/>
      <c r="E31" s="137"/>
      <c r="F31" s="137"/>
      <c r="G31" s="41" t="s">
        <v>83</v>
      </c>
      <c r="H31" s="41" t="s">
        <v>70</v>
      </c>
      <c r="I31" s="41">
        <f>'MERCADO TUSD'!$U$28</f>
        <v>0</v>
      </c>
      <c r="J31" s="15"/>
      <c r="L31" s="31">
        <f>'TR TUSD'!$L$31*'TR TUSD'!$L$60</f>
        <v>2.5602321043826661</v>
      </c>
      <c r="M31" s="31">
        <f>'TR TUSD'!$M$31*'TR TUSD'!$M$60</f>
        <v>0.76021138351363937</v>
      </c>
      <c r="N31" s="31">
        <f ca="1">'TR TUSD'!$N$31*'TR TUSD'!$N$60</f>
        <v>4.7411761472820979</v>
      </c>
      <c r="O31" s="31">
        <f>'TR TUSD'!$O$31*'TR TUSD'!$O$60</f>
        <v>0</v>
      </c>
      <c r="P31" s="31">
        <f>'TR TUSD'!$P$31*'TR TUSD'!$P$60</f>
        <v>0</v>
      </c>
      <c r="Q31" s="31">
        <f>'TR TUSD'!$Q$31*'TR TUSD'!$Q$60</f>
        <v>93.609194890741207</v>
      </c>
      <c r="R31" s="31">
        <f>'TR TUSD'!$R$31*'TR TUSD'!$R$60</f>
        <v>14.831414602076647</v>
      </c>
      <c r="S31" s="31">
        <f>'TR TUSD'!$S$31*'TR TUSD'!$S$60</f>
        <v>0</v>
      </c>
      <c r="T31" s="31">
        <f ca="1">SUM($L$31:$S$31)</f>
        <v>116.50222912799626</v>
      </c>
      <c r="U31" s="31">
        <f>'TR TUSD'!$U$31*'TR TUSD'!$U$60</f>
        <v>0</v>
      </c>
      <c r="V31" s="31">
        <f>'TR TUSD'!$V$31*'TR TUSD'!$V$60</f>
        <v>0</v>
      </c>
      <c r="W31" s="31">
        <f>'TR TUSD'!$W$31*'TR TUSD'!$W$60</f>
        <v>0</v>
      </c>
      <c r="X31" s="31">
        <f>'TR TUSD'!$X$31*'TR TUSD'!$X$60</f>
        <v>0</v>
      </c>
      <c r="Y31" s="31">
        <f>'TR TUSD'!$Y$31*'TR TUSD'!$Y$60</f>
        <v>190.59053256071539</v>
      </c>
      <c r="Z31" s="31">
        <f>'TR TUSD'!$Z$31</f>
        <v>0</v>
      </c>
      <c r="AA31" s="31">
        <f>'TR TUSD'!$AA$31</f>
        <v>0</v>
      </c>
      <c r="AB31" s="31">
        <f>SUM($U$31:$AA$31)</f>
        <v>190.59053256071539</v>
      </c>
      <c r="AC31" s="31">
        <f>'TR TUSD'!$AC$31*'TR TUSD'!$AC$60</f>
        <v>219.66275970670009</v>
      </c>
      <c r="AD31" s="31">
        <f>SUM($AC$31:$AC$31)</f>
        <v>219.66275970670009</v>
      </c>
      <c r="AE31" s="31">
        <v>0</v>
      </c>
      <c r="AF31" s="31">
        <v>0</v>
      </c>
      <c r="AG31" s="31">
        <f>SUM($AE$31:$AF$31)</f>
        <v>0</v>
      </c>
      <c r="AH31" s="31">
        <f>'TR TUSD'!$AH$31*'TR TUSD'!$AH$60</f>
        <v>18.079997883464685</v>
      </c>
      <c r="AI31" s="31">
        <f>'TR TUSD'!$AI$31*'TR TUSD'!$AI$60</f>
        <v>0.58142823358501095</v>
      </c>
      <c r="AJ31" s="31">
        <f ca="1">'TR TUSD'!$AJ$31*'TR TUSD'!$AJ$60</f>
        <v>1.9112700907634865</v>
      </c>
      <c r="AK31" s="31">
        <f ca="1">'TR TUSD'!$AK$31*'TR TUSD'!$AK$60</f>
        <v>0.31412597834611666</v>
      </c>
      <c r="AL31" s="31">
        <f ca="1">SUM($AH$31:$AK$31)</f>
        <v>20.8868221861593</v>
      </c>
      <c r="AM31" s="31">
        <f ca="1">SUMIF($L$4:$AL$4,"SUBTOTAL",$L$31:$AL$31)</f>
        <v>547.64234358157103</v>
      </c>
      <c r="AP31" s="31">
        <f>IF((1 - CUSTOS!$M$28)&lt;&gt;0,1/(1 - CUSTOS!$M$28),1)</f>
        <v>1</v>
      </c>
    </row>
    <row r="32" spans="1:42" ht="11.25" customHeight="1" x14ac:dyDescent="0.25">
      <c r="A32" s="137"/>
      <c r="B32" s="137"/>
      <c r="C32" s="137"/>
      <c r="D32" s="137"/>
      <c r="E32" s="137"/>
      <c r="F32" s="137"/>
      <c r="G32" s="41" t="s">
        <v>72</v>
      </c>
      <c r="H32" s="41" t="s">
        <v>70</v>
      </c>
      <c r="I32" s="41">
        <f>'MERCADO TUSD'!$U$29</f>
        <v>0</v>
      </c>
      <c r="J32" s="15"/>
      <c r="L32" s="31">
        <f>'TR TUSD'!$L$32*'TR TUSD'!$L$60</f>
        <v>2.5602321043826661</v>
      </c>
      <c r="M32" s="31">
        <f>'TR TUSD'!$M$32*'TR TUSD'!$M$60</f>
        <v>0.76021138351363937</v>
      </c>
      <c r="N32" s="31">
        <f ca="1">'TR TUSD'!$N$32*'TR TUSD'!$N$60</f>
        <v>1.8909338489125924</v>
      </c>
      <c r="O32" s="31">
        <f>'TR TUSD'!$O$32*'TR TUSD'!$O$60</f>
        <v>0</v>
      </c>
      <c r="P32" s="31">
        <f>'TR TUSD'!$P$32*'TR TUSD'!$P$60</f>
        <v>0</v>
      </c>
      <c r="Q32" s="31">
        <f>'TR TUSD'!$Q$32*'TR TUSD'!$Q$60</f>
        <v>93.609194890741207</v>
      </c>
      <c r="R32" s="31">
        <f>'TR TUSD'!$R$32*'TR TUSD'!$R$60</f>
        <v>14.831414602076647</v>
      </c>
      <c r="S32" s="31">
        <f>'TR TUSD'!$S$32*'TR TUSD'!$S$60</f>
        <v>0</v>
      </c>
      <c r="T32" s="31">
        <f ca="1">SUM($L$32:$S$32)</f>
        <v>113.65198682962675</v>
      </c>
      <c r="U32" s="31">
        <f>'TR TUSD'!$U$32*'TR TUSD'!$U$60</f>
        <v>0</v>
      </c>
      <c r="V32" s="31">
        <f>'TR TUSD'!$V$32*'TR TUSD'!$V$60</f>
        <v>0</v>
      </c>
      <c r="W32" s="31">
        <f>'TR TUSD'!$W$32*'TR TUSD'!$W$60</f>
        <v>0</v>
      </c>
      <c r="X32" s="31">
        <f>'TR TUSD'!$X$32*'TR TUSD'!$X$60</f>
        <v>0</v>
      </c>
      <c r="Y32" s="31">
        <f>'TR TUSD'!$Y$32*'TR TUSD'!$Y$60</f>
        <v>63.530139740771979</v>
      </c>
      <c r="Z32" s="31">
        <f>'TR TUSD'!$Z$32</f>
        <v>0</v>
      </c>
      <c r="AA32" s="31">
        <f>'TR TUSD'!$AA$32</f>
        <v>0</v>
      </c>
      <c r="AB32" s="31">
        <f>SUM($U$32:$AA$32)</f>
        <v>63.530139740771979</v>
      </c>
      <c r="AC32" s="31">
        <f>'TR TUSD'!$AC$32*'TR TUSD'!$AC$60</f>
        <v>73.220954502389617</v>
      </c>
      <c r="AD32" s="31">
        <f>SUM($AC$32:$AC$32)</f>
        <v>73.220954502389617</v>
      </c>
      <c r="AE32" s="31">
        <v>0</v>
      </c>
      <c r="AF32" s="31">
        <v>0</v>
      </c>
      <c r="AG32" s="31">
        <f>SUM($AE$32:$AF$32)</f>
        <v>0</v>
      </c>
      <c r="AH32" s="31">
        <f>'TR TUSD'!$AH$32*'TR TUSD'!$AH$60</f>
        <v>18.079997883464685</v>
      </c>
      <c r="AI32" s="31">
        <f>'TR TUSD'!$AI$32*'TR TUSD'!$AI$60</f>
        <v>0.58142823358501095</v>
      </c>
      <c r="AJ32" s="31">
        <f ca="1">'TR TUSD'!$AJ$32*'TR TUSD'!$AJ$60</f>
        <v>1.9112700907634865</v>
      </c>
      <c r="AK32" s="31">
        <f ca="1">'TR TUSD'!$AK$32*'TR TUSD'!$AK$60</f>
        <v>0.31412597834611666</v>
      </c>
      <c r="AL32" s="31">
        <f ca="1">SUM($AH$32:$AK$32)</f>
        <v>20.8868221861593</v>
      </c>
      <c r="AM32" s="31">
        <f ca="1">SUMIF($L$4:$AL$4,"SUBTOTAL",$L$32:$AL$32)</f>
        <v>271.28990325894767</v>
      </c>
      <c r="AP32" s="31">
        <f>IF((1 - CUSTOS!$M$28)&lt;&gt;0,1/(1 - CUSTOS!$M$28),1)</f>
        <v>1</v>
      </c>
    </row>
    <row r="33" spans="1:42" ht="11.25" customHeight="1" x14ac:dyDescent="0.25">
      <c r="A33" s="137"/>
      <c r="B33" s="42" t="s">
        <v>23</v>
      </c>
      <c r="C33" s="42" t="s">
        <v>40</v>
      </c>
      <c r="D33" s="42" t="s">
        <v>25</v>
      </c>
      <c r="E33" s="42" t="s">
        <v>25</v>
      </c>
      <c r="F33" s="42" t="s">
        <v>25</v>
      </c>
      <c r="G33" s="41" t="s">
        <v>74</v>
      </c>
      <c r="H33" s="41" t="s">
        <v>70</v>
      </c>
      <c r="I33" s="41">
        <f>'MERCADO TUSD'!$U$30</f>
        <v>45.472000000000001</v>
      </c>
      <c r="J33" s="15"/>
      <c r="L33" s="31">
        <f>'TR TUSD'!$L$33*'TR TUSD'!$L$60</f>
        <v>2.5602321043826661</v>
      </c>
      <c r="M33" s="31">
        <f>'TR TUSD'!$M$33*'TR TUSD'!$M$60</f>
        <v>0.76021138351363937</v>
      </c>
      <c r="N33" s="31">
        <f ca="1">'TR TUSD'!$N$33*'TR TUSD'!$N$60</f>
        <v>3.1547199761260423</v>
      </c>
      <c r="O33" s="31">
        <f>'TR TUSD'!$O$33*'TR TUSD'!$O$60</f>
        <v>0</v>
      </c>
      <c r="P33" s="31">
        <f>'TR TUSD'!$P$33*'TR TUSD'!$P$60</f>
        <v>0</v>
      </c>
      <c r="Q33" s="31">
        <f>'TR TUSD'!$Q$33*'TR TUSD'!$Q$60</f>
        <v>93.609194890741207</v>
      </c>
      <c r="R33" s="31">
        <f>'TR TUSD'!$R$33*'TR TUSD'!$R$60</f>
        <v>14.831414602076647</v>
      </c>
      <c r="S33" s="31">
        <f>'TR TUSD'!$S$33*'TR TUSD'!$S$60</f>
        <v>0</v>
      </c>
      <c r="T33" s="31">
        <f ca="1">SUM($L$33:$S$33)</f>
        <v>114.9157729568402</v>
      </c>
      <c r="U33" s="31">
        <f>'TR TUSD'!$U$33*'TR TUSD'!$U$60</f>
        <v>0</v>
      </c>
      <c r="V33" s="31">
        <f>'TR TUSD'!$V$33*'TR TUSD'!$V$60</f>
        <v>0</v>
      </c>
      <c r="W33" s="31">
        <f>'TR TUSD'!$W$33*'TR TUSD'!$W$60</f>
        <v>0</v>
      </c>
      <c r="X33" s="31">
        <f>'TR TUSD'!$X$33*'TR TUSD'!$X$60</f>
        <v>0</v>
      </c>
      <c r="Y33" s="31">
        <f>'TR TUSD'!$Y$33*'TR TUSD'!$Y$60</f>
        <v>119.86827800547123</v>
      </c>
      <c r="Z33" s="31">
        <f>'TR TUSD'!$Z$33</f>
        <v>0</v>
      </c>
      <c r="AA33" s="31">
        <f>'TR TUSD'!$AA$33</f>
        <v>0</v>
      </c>
      <c r="AB33" s="31">
        <f>SUM($U$33:$AA$33)</f>
        <v>119.86827800547123</v>
      </c>
      <c r="AC33" s="31">
        <f>'TR TUSD'!$AC$33*'TR TUSD'!$AC$60</f>
        <v>138.1526111661714</v>
      </c>
      <c r="AD33" s="31">
        <f>SUM($AC$33:$AC$33)</f>
        <v>138.1526111661714</v>
      </c>
      <c r="AE33" s="31">
        <v>0</v>
      </c>
      <c r="AF33" s="31">
        <v>0</v>
      </c>
      <c r="AG33" s="31">
        <f>SUM($AE$33:$AF$33)</f>
        <v>0</v>
      </c>
      <c r="AH33" s="31">
        <f>'TR TUSD'!$AH$33*'TR TUSD'!$AH$60</f>
        <v>18.079997883464685</v>
      </c>
      <c r="AI33" s="31">
        <f>'TR TUSD'!$AI$33*'TR TUSD'!$AI$60</f>
        <v>0.58142823358501095</v>
      </c>
      <c r="AJ33" s="31">
        <f ca="1">'TR TUSD'!$AJ$33*'TR TUSD'!$AJ$60</f>
        <v>1.9112700907634865</v>
      </c>
      <c r="AK33" s="31">
        <f ca="1">'TR TUSD'!$AK$33*'TR TUSD'!$AK$60</f>
        <v>0.31412597834611666</v>
      </c>
      <c r="AL33" s="31">
        <f ca="1">SUM($AH$33:$AK$33)</f>
        <v>20.8868221861593</v>
      </c>
      <c r="AM33" s="31">
        <f ca="1">SUMIF($L$4:$AL$4,"SUBTOTAL",$L$33:$AL$33)</f>
        <v>393.82348431464209</v>
      </c>
      <c r="AP33" s="31">
        <f>IF((1 - CUSTOS!$M$28)&lt;&gt;0,1/(1 - CUSTOS!$M$28),1)</f>
        <v>1</v>
      </c>
    </row>
    <row r="34" spans="1:42" ht="11.25" customHeight="1" x14ac:dyDescent="0.25">
      <c r="A34" s="137"/>
      <c r="B34" s="137" t="s">
        <v>49</v>
      </c>
      <c r="C34" s="137" t="s">
        <v>40</v>
      </c>
      <c r="D34" s="137" t="s">
        <v>86</v>
      </c>
      <c r="E34" s="137" t="s">
        <v>25</v>
      </c>
      <c r="F34" s="137" t="s">
        <v>25</v>
      </c>
      <c r="G34" s="41" t="s">
        <v>71</v>
      </c>
      <c r="H34" s="41" t="s">
        <v>70</v>
      </c>
      <c r="I34" s="41">
        <f>'MERCADO TUSD'!$U$31</f>
        <v>0</v>
      </c>
      <c r="J34" s="15"/>
      <c r="L34" s="31">
        <f>'TR TUSD'!$L$34*'TR TUSD'!$L$60</f>
        <v>2.5602321043826661</v>
      </c>
      <c r="M34" s="31">
        <f>'TR TUSD'!$M$34*'TR TUSD'!$M$60</f>
        <v>0.76021138351363937</v>
      </c>
      <c r="N34" s="31">
        <f ca="1">'TR TUSD'!$N$34*'TR TUSD'!$N$60</f>
        <v>7.5914173199065846</v>
      </c>
      <c r="O34" s="31">
        <f>'TR TUSD'!$O$34*'TR TUSD'!$O$60</f>
        <v>0</v>
      </c>
      <c r="P34" s="31">
        <f>'TR TUSD'!$P$34*'TR TUSD'!$P$60</f>
        <v>0</v>
      </c>
      <c r="Q34" s="31">
        <f>'TR TUSD'!$Q$34*'TR TUSD'!$Q$60</f>
        <v>93.609194890741207</v>
      </c>
      <c r="R34" s="31">
        <f>'TR TUSD'!$R$34*'TR TUSD'!$R$60</f>
        <v>14.831414602076647</v>
      </c>
      <c r="S34" s="31">
        <f>'TR TUSD'!$S$34*'TR TUSD'!$S$60</f>
        <v>0</v>
      </c>
      <c r="T34" s="31">
        <f ca="1">SUM($L$34:$S$34)</f>
        <v>119.35247030062075</v>
      </c>
      <c r="U34" s="31">
        <f>'TR TUSD'!$U$34*'TR TUSD'!$U$60</f>
        <v>0</v>
      </c>
      <c r="V34" s="31">
        <f>'TR TUSD'!$V$34*'TR TUSD'!$V$60</f>
        <v>0</v>
      </c>
      <c r="W34" s="31">
        <f>'TR TUSD'!$W$34*'TR TUSD'!$W$60</f>
        <v>0</v>
      </c>
      <c r="X34" s="31">
        <f>'TR TUSD'!$X$34*'TR TUSD'!$X$60</f>
        <v>0</v>
      </c>
      <c r="Y34" s="31">
        <f>'TR TUSD'!$Y$34*'TR TUSD'!$Y$60</f>
        <v>317.65081204225936</v>
      </c>
      <c r="Z34" s="31">
        <f>'TR TUSD'!$Z$34</f>
        <v>0</v>
      </c>
      <c r="AA34" s="31">
        <f>'TR TUSD'!$AA$34</f>
        <v>0</v>
      </c>
      <c r="AB34" s="31">
        <f>SUM($U$34:$AA$34)</f>
        <v>317.65081204225936</v>
      </c>
      <c r="AC34" s="31">
        <f>'TR TUSD'!$AC$34*'TR TUSD'!$AC$60</f>
        <v>366.10456491101053</v>
      </c>
      <c r="AD34" s="31">
        <f>SUM($AC$34:$AC$34)</f>
        <v>366.10456491101053</v>
      </c>
      <c r="AE34" s="31">
        <v>0</v>
      </c>
      <c r="AF34" s="31">
        <v>0</v>
      </c>
      <c r="AG34" s="31">
        <f>SUM($AE$34:$AF$34)</f>
        <v>0</v>
      </c>
      <c r="AH34" s="31">
        <f>'TR TUSD'!$AH$34*'TR TUSD'!$AH$60</f>
        <v>18.079997883464685</v>
      </c>
      <c r="AI34" s="31">
        <f>'TR TUSD'!$AI$34*'TR TUSD'!$AI$60</f>
        <v>0.58142823358501095</v>
      </c>
      <c r="AJ34" s="31">
        <f ca="1">'TR TUSD'!$AJ$34*'TR TUSD'!$AJ$60</f>
        <v>1.9112700907634865</v>
      </c>
      <c r="AK34" s="31">
        <f ca="1">'TR TUSD'!$AK$34*'TR TUSD'!$AK$60</f>
        <v>0.31412597834611666</v>
      </c>
      <c r="AL34" s="31">
        <f ca="1">SUM($AH$34:$AK$34)</f>
        <v>20.8868221861593</v>
      </c>
      <c r="AM34" s="31">
        <f ca="1">SUMIF($L$4:$AL$4,"SUBTOTAL",$L$34:$AL$34)</f>
        <v>823.99466944004996</v>
      </c>
      <c r="AP34" s="31">
        <f>IF((1 - CUSTOS!$M$29)&lt;&gt;0,1/(1 - CUSTOS!$M$29),1)</f>
        <v>1</v>
      </c>
    </row>
    <row r="35" spans="1:42" ht="11.25" customHeight="1" x14ac:dyDescent="0.25">
      <c r="A35" s="137"/>
      <c r="B35" s="137"/>
      <c r="C35" s="137"/>
      <c r="D35" s="137"/>
      <c r="E35" s="137"/>
      <c r="F35" s="137"/>
      <c r="G35" s="41" t="s">
        <v>83</v>
      </c>
      <c r="H35" s="41" t="s">
        <v>70</v>
      </c>
      <c r="I35" s="41">
        <f>'MERCADO TUSD'!$U$32</f>
        <v>0</v>
      </c>
      <c r="J35" s="15"/>
      <c r="L35" s="31">
        <f>'TR TUSD'!$L$35*'TR TUSD'!$L$60</f>
        <v>2.5602321043826661</v>
      </c>
      <c r="M35" s="31">
        <f>'TR TUSD'!$M$35*'TR TUSD'!$M$60</f>
        <v>0.76021138351363937</v>
      </c>
      <c r="N35" s="31">
        <f ca="1">'TR TUSD'!$N$35*'TR TUSD'!$N$60</f>
        <v>4.7411761472820979</v>
      </c>
      <c r="O35" s="31">
        <f>'TR TUSD'!$O$35*'TR TUSD'!$O$60</f>
        <v>0</v>
      </c>
      <c r="P35" s="31">
        <f>'TR TUSD'!$P$35*'TR TUSD'!$P$60</f>
        <v>0</v>
      </c>
      <c r="Q35" s="31">
        <f>'TR TUSD'!$Q$35*'TR TUSD'!$Q$60</f>
        <v>93.609194890741207</v>
      </c>
      <c r="R35" s="31">
        <f>'TR TUSD'!$R$35*'TR TUSD'!$R$60</f>
        <v>14.831414602076647</v>
      </c>
      <c r="S35" s="31">
        <f>'TR TUSD'!$S$35*'TR TUSD'!$S$60</f>
        <v>0</v>
      </c>
      <c r="T35" s="31">
        <f ca="1">SUM($L$35:$S$35)</f>
        <v>116.50222912799626</v>
      </c>
      <c r="U35" s="31">
        <f>'TR TUSD'!$U$35*'TR TUSD'!$U$60</f>
        <v>0</v>
      </c>
      <c r="V35" s="31">
        <f>'TR TUSD'!$V$35*'TR TUSD'!$V$60</f>
        <v>0</v>
      </c>
      <c r="W35" s="31">
        <f>'TR TUSD'!$W$35*'TR TUSD'!$W$60</f>
        <v>0</v>
      </c>
      <c r="X35" s="31">
        <f>'TR TUSD'!$X$35*'TR TUSD'!$X$60</f>
        <v>0</v>
      </c>
      <c r="Y35" s="31">
        <f>'TR TUSD'!$Y$35*'TR TUSD'!$Y$60</f>
        <v>190.59053256071539</v>
      </c>
      <c r="Z35" s="31">
        <f>'TR TUSD'!$Z$35</f>
        <v>0</v>
      </c>
      <c r="AA35" s="31">
        <f>'TR TUSD'!$AA$35</f>
        <v>0</v>
      </c>
      <c r="AB35" s="31">
        <f>SUM($U$35:$AA$35)</f>
        <v>190.59053256071539</v>
      </c>
      <c r="AC35" s="31">
        <f>'TR TUSD'!$AC$35*'TR TUSD'!$AC$60</f>
        <v>219.66275970670009</v>
      </c>
      <c r="AD35" s="31">
        <f>SUM($AC$35:$AC$35)</f>
        <v>219.66275970670009</v>
      </c>
      <c r="AE35" s="31">
        <v>0</v>
      </c>
      <c r="AF35" s="31">
        <v>0</v>
      </c>
      <c r="AG35" s="31">
        <f>SUM($AE$35:$AF$35)</f>
        <v>0</v>
      </c>
      <c r="AH35" s="31">
        <f>'TR TUSD'!$AH$35*'TR TUSD'!$AH$60</f>
        <v>18.079997883464685</v>
      </c>
      <c r="AI35" s="31">
        <f>'TR TUSD'!$AI$35*'TR TUSD'!$AI$60</f>
        <v>0.58142823358501095</v>
      </c>
      <c r="AJ35" s="31">
        <f ca="1">'TR TUSD'!$AJ$35*'TR TUSD'!$AJ$60</f>
        <v>1.9112700907634865</v>
      </c>
      <c r="AK35" s="31">
        <f ca="1">'TR TUSD'!$AK$35*'TR TUSD'!$AK$60</f>
        <v>0.31412597834611666</v>
      </c>
      <c r="AL35" s="31">
        <f ca="1">SUM($AH$35:$AK$35)</f>
        <v>20.8868221861593</v>
      </c>
      <c r="AM35" s="31">
        <f ca="1">SUMIF($L$4:$AL$4,"SUBTOTAL",$L$35:$AL$35)</f>
        <v>547.64234358157103</v>
      </c>
      <c r="AP35" s="31">
        <f>IF((1 - CUSTOS!$M$29)&lt;&gt;0,1/(1 - CUSTOS!$M$29),1)</f>
        <v>1</v>
      </c>
    </row>
    <row r="36" spans="1:42" ht="11.25" customHeight="1" x14ac:dyDescent="0.25">
      <c r="A36" s="137"/>
      <c r="B36" s="137"/>
      <c r="C36" s="137"/>
      <c r="D36" s="137"/>
      <c r="E36" s="137"/>
      <c r="F36" s="137"/>
      <c r="G36" s="41" t="s">
        <v>72</v>
      </c>
      <c r="H36" s="41" t="s">
        <v>70</v>
      </c>
      <c r="I36" s="41">
        <f>'MERCADO TUSD'!$U$33</f>
        <v>0</v>
      </c>
      <c r="J36" s="15"/>
      <c r="L36" s="31">
        <f>'TR TUSD'!$L$36*'TR TUSD'!$L$60</f>
        <v>2.5602321043826661</v>
      </c>
      <c r="M36" s="31">
        <f>'TR TUSD'!$M$36*'TR TUSD'!$M$60</f>
        <v>0.76021138351363937</v>
      </c>
      <c r="N36" s="31">
        <f ca="1">'TR TUSD'!$N$36*'TR TUSD'!$N$60</f>
        <v>1.8909338489125924</v>
      </c>
      <c r="O36" s="31">
        <f>'TR TUSD'!$O$36*'TR TUSD'!$O$60</f>
        <v>0</v>
      </c>
      <c r="P36" s="31">
        <f>'TR TUSD'!$P$36*'TR TUSD'!$P$60</f>
        <v>0</v>
      </c>
      <c r="Q36" s="31">
        <f>'TR TUSD'!$Q$36*'TR TUSD'!$Q$60</f>
        <v>93.609194890741207</v>
      </c>
      <c r="R36" s="31">
        <f>'TR TUSD'!$R$36*'TR TUSD'!$R$60</f>
        <v>14.831414602076647</v>
      </c>
      <c r="S36" s="31">
        <f>'TR TUSD'!$S$36*'TR TUSD'!$S$60</f>
        <v>0</v>
      </c>
      <c r="T36" s="31">
        <f ca="1">SUM($L$36:$S$36)</f>
        <v>113.65198682962675</v>
      </c>
      <c r="U36" s="31">
        <f>'TR TUSD'!$U$36*'TR TUSD'!$U$60</f>
        <v>0</v>
      </c>
      <c r="V36" s="31">
        <f>'TR TUSD'!$V$36*'TR TUSD'!$V$60</f>
        <v>0</v>
      </c>
      <c r="W36" s="31">
        <f>'TR TUSD'!$W$36*'TR TUSD'!$W$60</f>
        <v>0</v>
      </c>
      <c r="X36" s="31">
        <f>'TR TUSD'!$X$36*'TR TUSD'!$X$60</f>
        <v>0</v>
      </c>
      <c r="Y36" s="31">
        <f>'TR TUSD'!$Y$36*'TR TUSD'!$Y$60</f>
        <v>63.530139740771979</v>
      </c>
      <c r="Z36" s="31">
        <f>'TR TUSD'!$Z$36</f>
        <v>0</v>
      </c>
      <c r="AA36" s="31">
        <f>'TR TUSD'!$AA$36</f>
        <v>0</v>
      </c>
      <c r="AB36" s="31">
        <f>SUM($U$36:$AA$36)</f>
        <v>63.530139740771979</v>
      </c>
      <c r="AC36" s="31">
        <f>'TR TUSD'!$AC$36*'TR TUSD'!$AC$60</f>
        <v>73.220954502389617</v>
      </c>
      <c r="AD36" s="31">
        <f>SUM($AC$36:$AC$36)</f>
        <v>73.220954502389617</v>
      </c>
      <c r="AE36" s="31">
        <v>0</v>
      </c>
      <c r="AF36" s="31">
        <v>0</v>
      </c>
      <c r="AG36" s="31">
        <f>SUM($AE$36:$AF$36)</f>
        <v>0</v>
      </c>
      <c r="AH36" s="31">
        <f>'TR TUSD'!$AH$36*'TR TUSD'!$AH$60</f>
        <v>18.079997883464685</v>
      </c>
      <c r="AI36" s="31">
        <f>'TR TUSD'!$AI$36*'TR TUSD'!$AI$60</f>
        <v>0.58142823358501095</v>
      </c>
      <c r="AJ36" s="31">
        <f ca="1">'TR TUSD'!$AJ$36*'TR TUSD'!$AJ$60</f>
        <v>1.9112700907634865</v>
      </c>
      <c r="AK36" s="31">
        <f ca="1">'TR TUSD'!$AK$36*'TR TUSD'!$AK$60</f>
        <v>0.31412597834611666</v>
      </c>
      <c r="AL36" s="31">
        <f ca="1">SUM($AH$36:$AK$36)</f>
        <v>20.8868221861593</v>
      </c>
      <c r="AM36" s="31">
        <f ca="1">SUMIF($L$4:$AL$4,"SUBTOTAL",$L$36:$AL$36)</f>
        <v>271.28990325894767</v>
      </c>
      <c r="AP36" s="31">
        <f>IF((1 - CUSTOS!$M$29)&lt;&gt;0,1/(1 - CUSTOS!$M$29),1)</f>
        <v>1</v>
      </c>
    </row>
    <row r="37" spans="1:42" ht="11.25" customHeight="1" x14ac:dyDescent="0.25">
      <c r="A37" s="137"/>
      <c r="B37" s="42" t="s">
        <v>23</v>
      </c>
      <c r="C37" s="42" t="s">
        <v>40</v>
      </c>
      <c r="D37" s="42" t="s">
        <v>86</v>
      </c>
      <c r="E37" s="42" t="s">
        <v>25</v>
      </c>
      <c r="F37" s="42" t="s">
        <v>25</v>
      </c>
      <c r="G37" s="41" t="s">
        <v>74</v>
      </c>
      <c r="H37" s="41" t="s">
        <v>70</v>
      </c>
      <c r="I37" s="41">
        <f>'MERCADO TUSD'!$U$34</f>
        <v>0</v>
      </c>
      <c r="J37" s="15"/>
      <c r="L37" s="31">
        <f>'TR TUSD'!$L$37*'TR TUSD'!$L$60</f>
        <v>2.5602321043826661</v>
      </c>
      <c r="M37" s="31">
        <f>'TR TUSD'!$M$37*'TR TUSD'!$M$60</f>
        <v>0.76021138351363937</v>
      </c>
      <c r="N37" s="31">
        <f ca="1">'TR TUSD'!$N$37*'TR TUSD'!$N$60</f>
        <v>3.1547199761260423</v>
      </c>
      <c r="O37" s="31">
        <f>'TR TUSD'!$O$37*'TR TUSD'!$O$60</f>
        <v>0</v>
      </c>
      <c r="P37" s="31">
        <f>'TR TUSD'!$P$37*'TR TUSD'!$P$60</f>
        <v>0</v>
      </c>
      <c r="Q37" s="31">
        <f>'TR TUSD'!$Q$37*'TR TUSD'!$Q$60</f>
        <v>93.609194890741207</v>
      </c>
      <c r="R37" s="31">
        <f>'TR TUSD'!$R$37*'TR TUSD'!$R$60</f>
        <v>14.831414602076647</v>
      </c>
      <c r="S37" s="31">
        <f>'TR TUSD'!$S$37*'TR TUSD'!$S$60</f>
        <v>0</v>
      </c>
      <c r="T37" s="31">
        <f ca="1">SUM($L$37:$S$37)</f>
        <v>114.9157729568402</v>
      </c>
      <c r="U37" s="31">
        <f>'TR TUSD'!$U$37*'TR TUSD'!$U$60</f>
        <v>0</v>
      </c>
      <c r="V37" s="31">
        <f>'TR TUSD'!$V$37*'TR TUSD'!$V$60</f>
        <v>0</v>
      </c>
      <c r="W37" s="31">
        <f>'TR TUSD'!$W$37*'TR TUSD'!$W$60</f>
        <v>0</v>
      </c>
      <c r="X37" s="31">
        <f>'TR TUSD'!$X$37*'TR TUSD'!$X$60</f>
        <v>0</v>
      </c>
      <c r="Y37" s="31">
        <f>'TR TUSD'!$Y$37*'TR TUSD'!$Y$60</f>
        <v>119.86827800547123</v>
      </c>
      <c r="Z37" s="31">
        <f>'TR TUSD'!$Z$37</f>
        <v>0</v>
      </c>
      <c r="AA37" s="31">
        <f>'TR TUSD'!$AA$37</f>
        <v>0</v>
      </c>
      <c r="AB37" s="31">
        <f>SUM($U$37:$AA$37)</f>
        <v>119.86827800547123</v>
      </c>
      <c r="AC37" s="31">
        <f>'TR TUSD'!$AC$37*'TR TUSD'!$AC$60</f>
        <v>138.1526111661714</v>
      </c>
      <c r="AD37" s="31">
        <f>SUM($AC$37:$AC$37)</f>
        <v>138.1526111661714</v>
      </c>
      <c r="AE37" s="31">
        <v>0</v>
      </c>
      <c r="AF37" s="31">
        <v>0</v>
      </c>
      <c r="AG37" s="31">
        <f>SUM($AE$37:$AF$37)</f>
        <v>0</v>
      </c>
      <c r="AH37" s="31">
        <f>'TR TUSD'!$AH$37*'TR TUSD'!$AH$60</f>
        <v>18.079997883464685</v>
      </c>
      <c r="AI37" s="31">
        <f>'TR TUSD'!$AI$37*'TR TUSD'!$AI$60</f>
        <v>0.58142823358501095</v>
      </c>
      <c r="AJ37" s="31">
        <f ca="1">'TR TUSD'!$AJ$37*'TR TUSD'!$AJ$60</f>
        <v>1.9112700907634865</v>
      </c>
      <c r="AK37" s="31">
        <f ca="1">'TR TUSD'!$AK$37*'TR TUSD'!$AK$60</f>
        <v>0.31412597834611666</v>
      </c>
      <c r="AL37" s="31">
        <f ca="1">SUM($AH$37:$AK$37)</f>
        <v>20.8868221861593</v>
      </c>
      <c r="AM37" s="31">
        <f ca="1">SUMIF($L$4:$AL$4,"SUBTOTAL",$L$37:$AL$37)</f>
        <v>393.82348431464209</v>
      </c>
      <c r="AP37" s="31">
        <f>IF((1 - CUSTOS!$M$29)&lt;&gt;0,1/(1 - CUSTOS!$M$29),1)</f>
        <v>1</v>
      </c>
    </row>
    <row r="38" spans="1:42" ht="11.25" customHeight="1" x14ac:dyDescent="0.25">
      <c r="A38" s="137"/>
      <c r="B38" s="137" t="s">
        <v>49</v>
      </c>
      <c r="C38" s="137" t="s">
        <v>40</v>
      </c>
      <c r="D38" s="137" t="s">
        <v>87</v>
      </c>
      <c r="E38" s="137" t="s">
        <v>25</v>
      </c>
      <c r="F38" s="137" t="s">
        <v>25</v>
      </c>
      <c r="G38" s="41" t="s">
        <v>71</v>
      </c>
      <c r="H38" s="41" t="s">
        <v>70</v>
      </c>
      <c r="I38" s="41">
        <f>'MERCADO TUSD'!$U$35</f>
        <v>0</v>
      </c>
      <c r="J38" s="15"/>
      <c r="L38" s="31">
        <f>'TR TUSD'!$L$38*'TR TUSD'!$L$60</f>
        <v>2.5602321043826661</v>
      </c>
      <c r="M38" s="31">
        <f>'TR TUSD'!$M$38*'TR TUSD'!$M$60</f>
        <v>0.76021138351363937</v>
      </c>
      <c r="N38" s="31">
        <f ca="1">'TR TUSD'!$N$38*'TR TUSD'!$N$60</f>
        <v>7.5914173199065846</v>
      </c>
      <c r="O38" s="31">
        <f>'TR TUSD'!$O$38*'TR TUSD'!$O$60</f>
        <v>0</v>
      </c>
      <c r="P38" s="31">
        <f>'TR TUSD'!$P$38*'TR TUSD'!$P$60</f>
        <v>0</v>
      </c>
      <c r="Q38" s="31">
        <f>'TR TUSD'!$Q$38*'TR TUSD'!$Q$60</f>
        <v>93.609194890741207</v>
      </c>
      <c r="R38" s="31">
        <f>'TR TUSD'!$R$38*'TR TUSD'!$R$60</f>
        <v>14.831414602076647</v>
      </c>
      <c r="S38" s="31">
        <f>'TR TUSD'!$S$38*'TR TUSD'!$S$60</f>
        <v>0</v>
      </c>
      <c r="T38" s="31">
        <f ca="1">SUM($L$38:$S$38)</f>
        <v>119.35247030062075</v>
      </c>
      <c r="U38" s="31">
        <f>'TR TUSD'!$U$38*'TR TUSD'!$U$60</f>
        <v>0</v>
      </c>
      <c r="V38" s="31">
        <f>'TR TUSD'!$V$38*'TR TUSD'!$V$60</f>
        <v>0</v>
      </c>
      <c r="W38" s="31">
        <f>'TR TUSD'!$W$38*'TR TUSD'!$W$60</f>
        <v>0</v>
      </c>
      <c r="X38" s="31">
        <f>'TR TUSD'!$X$38*'TR TUSD'!$X$60</f>
        <v>0</v>
      </c>
      <c r="Y38" s="31">
        <f>'TR TUSD'!$Y$38*'TR TUSD'!$Y$60</f>
        <v>317.65081204225936</v>
      </c>
      <c r="Z38" s="31">
        <f>'TR TUSD'!$Z$38</f>
        <v>0</v>
      </c>
      <c r="AA38" s="31">
        <f>'TR TUSD'!$AA$38</f>
        <v>0</v>
      </c>
      <c r="AB38" s="31">
        <f>SUM($U$38:$AA$38)</f>
        <v>317.65081204225936</v>
      </c>
      <c r="AC38" s="31">
        <f>'TR TUSD'!$AC$38*'TR TUSD'!$AC$60</f>
        <v>366.10456491101053</v>
      </c>
      <c r="AD38" s="31">
        <f>SUM($AC$38:$AC$38)</f>
        <v>366.10456491101053</v>
      </c>
      <c r="AE38" s="31">
        <v>0</v>
      </c>
      <c r="AF38" s="31">
        <v>0</v>
      </c>
      <c r="AG38" s="31">
        <f>SUM($AE$38:$AF$38)</f>
        <v>0</v>
      </c>
      <c r="AH38" s="31">
        <f>'TR TUSD'!$AH$38*'TR TUSD'!$AH$60</f>
        <v>18.079997883464685</v>
      </c>
      <c r="AI38" s="31">
        <f>'TR TUSD'!$AI$38*'TR TUSD'!$AI$60</f>
        <v>0.58142823358501095</v>
      </c>
      <c r="AJ38" s="31">
        <f ca="1">'TR TUSD'!$AJ$38*'TR TUSD'!$AJ$60</f>
        <v>1.9112700907634865</v>
      </c>
      <c r="AK38" s="31">
        <f ca="1">'TR TUSD'!$AK$38*'TR TUSD'!$AK$60</f>
        <v>0.31412597834611666</v>
      </c>
      <c r="AL38" s="31">
        <f ca="1">SUM($AH$38:$AK$38)</f>
        <v>20.8868221861593</v>
      </c>
      <c r="AM38" s="31">
        <f ca="1">SUMIF($L$4:$AL$4,"SUBTOTAL",$L$38:$AL$38)</f>
        <v>823.99466944004996</v>
      </c>
      <c r="AP38" s="31">
        <f>IF((1 - CUSTOS!$M$30)&lt;&gt;0,1/(1 - CUSTOS!$M$30),1)</f>
        <v>1</v>
      </c>
    </row>
    <row r="39" spans="1:42" ht="11.25" customHeight="1" x14ac:dyDescent="0.25">
      <c r="A39" s="137"/>
      <c r="B39" s="137"/>
      <c r="C39" s="137"/>
      <c r="D39" s="137"/>
      <c r="E39" s="137"/>
      <c r="F39" s="137"/>
      <c r="G39" s="41" t="s">
        <v>83</v>
      </c>
      <c r="H39" s="41" t="s">
        <v>70</v>
      </c>
      <c r="I39" s="41">
        <f>'MERCADO TUSD'!$U$36</f>
        <v>0</v>
      </c>
      <c r="J39" s="15"/>
      <c r="L39" s="31">
        <f>'TR TUSD'!$L$39*'TR TUSD'!$L$60</f>
        <v>2.5602321043826661</v>
      </c>
      <c r="M39" s="31">
        <f>'TR TUSD'!$M$39*'TR TUSD'!$M$60</f>
        <v>0.76021138351363937</v>
      </c>
      <c r="N39" s="31">
        <f ca="1">'TR TUSD'!$N$39*'TR TUSD'!$N$60</f>
        <v>4.7411761472820979</v>
      </c>
      <c r="O39" s="31">
        <f>'TR TUSD'!$O$39*'TR TUSD'!$O$60</f>
        <v>0</v>
      </c>
      <c r="P39" s="31">
        <f>'TR TUSD'!$P$39*'TR TUSD'!$P$60</f>
        <v>0</v>
      </c>
      <c r="Q39" s="31">
        <f>'TR TUSD'!$Q$39*'TR TUSD'!$Q$60</f>
        <v>93.609194890741207</v>
      </c>
      <c r="R39" s="31">
        <f>'TR TUSD'!$R$39*'TR TUSD'!$R$60</f>
        <v>14.831414602076647</v>
      </c>
      <c r="S39" s="31">
        <f>'TR TUSD'!$S$39*'TR TUSD'!$S$60</f>
        <v>0</v>
      </c>
      <c r="T39" s="31">
        <f ca="1">SUM($L$39:$S$39)</f>
        <v>116.50222912799626</v>
      </c>
      <c r="U39" s="31">
        <f>'TR TUSD'!$U$39*'TR TUSD'!$U$60</f>
        <v>0</v>
      </c>
      <c r="V39" s="31">
        <f>'TR TUSD'!$V$39*'TR TUSD'!$V$60</f>
        <v>0</v>
      </c>
      <c r="W39" s="31">
        <f>'TR TUSD'!$W$39*'TR TUSD'!$W$60</f>
        <v>0</v>
      </c>
      <c r="X39" s="31">
        <f>'TR TUSD'!$X$39*'TR TUSD'!$X$60</f>
        <v>0</v>
      </c>
      <c r="Y39" s="31">
        <f>'TR TUSD'!$Y$39*'TR TUSD'!$Y$60</f>
        <v>190.59053256071539</v>
      </c>
      <c r="Z39" s="31">
        <f>'TR TUSD'!$Z$39</f>
        <v>0</v>
      </c>
      <c r="AA39" s="31">
        <f>'TR TUSD'!$AA$39</f>
        <v>0</v>
      </c>
      <c r="AB39" s="31">
        <f>SUM($U$39:$AA$39)</f>
        <v>190.59053256071539</v>
      </c>
      <c r="AC39" s="31">
        <f>'TR TUSD'!$AC$39*'TR TUSD'!$AC$60</f>
        <v>219.66275970670009</v>
      </c>
      <c r="AD39" s="31">
        <f>SUM($AC$39:$AC$39)</f>
        <v>219.66275970670009</v>
      </c>
      <c r="AE39" s="31">
        <v>0</v>
      </c>
      <c r="AF39" s="31">
        <v>0</v>
      </c>
      <c r="AG39" s="31">
        <f>SUM($AE$39:$AF$39)</f>
        <v>0</v>
      </c>
      <c r="AH39" s="31">
        <f>'TR TUSD'!$AH$39*'TR TUSD'!$AH$60</f>
        <v>18.079997883464685</v>
      </c>
      <c r="AI39" s="31">
        <f>'TR TUSD'!$AI$39*'TR TUSD'!$AI$60</f>
        <v>0.58142823358501095</v>
      </c>
      <c r="AJ39" s="31">
        <f ca="1">'TR TUSD'!$AJ$39*'TR TUSD'!$AJ$60</f>
        <v>1.9112700907634865</v>
      </c>
      <c r="AK39" s="31">
        <f ca="1">'TR TUSD'!$AK$39*'TR TUSD'!$AK$60</f>
        <v>0.31412597834611666</v>
      </c>
      <c r="AL39" s="31">
        <f ca="1">SUM($AH$39:$AK$39)</f>
        <v>20.8868221861593</v>
      </c>
      <c r="AM39" s="31">
        <f ca="1">SUMIF($L$4:$AL$4,"SUBTOTAL",$L$39:$AL$39)</f>
        <v>547.64234358157103</v>
      </c>
      <c r="AP39" s="31">
        <f>IF((1 - CUSTOS!$M$30)&lt;&gt;0,1/(1 - CUSTOS!$M$30),1)</f>
        <v>1</v>
      </c>
    </row>
    <row r="40" spans="1:42" ht="11.25" customHeight="1" x14ac:dyDescent="0.25">
      <c r="A40" s="137"/>
      <c r="B40" s="137"/>
      <c r="C40" s="137"/>
      <c r="D40" s="137"/>
      <c r="E40" s="137"/>
      <c r="F40" s="137"/>
      <c r="G40" s="41" t="s">
        <v>72</v>
      </c>
      <c r="H40" s="41" t="s">
        <v>70</v>
      </c>
      <c r="I40" s="41">
        <f>'MERCADO TUSD'!$U$37</f>
        <v>0</v>
      </c>
      <c r="J40" s="15"/>
      <c r="L40" s="31">
        <f>'TR TUSD'!$L$40*'TR TUSD'!$L$60</f>
        <v>2.5602321043826661</v>
      </c>
      <c r="M40" s="31">
        <f>'TR TUSD'!$M$40*'TR TUSD'!$M$60</f>
        <v>0.76021138351363937</v>
      </c>
      <c r="N40" s="31">
        <f ca="1">'TR TUSD'!$N$40*'TR TUSD'!$N$60</f>
        <v>1.8909338489125924</v>
      </c>
      <c r="O40" s="31">
        <f>'TR TUSD'!$O$40*'TR TUSD'!$O$60</f>
        <v>0</v>
      </c>
      <c r="P40" s="31">
        <f>'TR TUSD'!$P$40*'TR TUSD'!$P$60</f>
        <v>0</v>
      </c>
      <c r="Q40" s="31">
        <f>'TR TUSD'!$Q$40*'TR TUSD'!$Q$60</f>
        <v>93.609194890741207</v>
      </c>
      <c r="R40" s="31">
        <f>'TR TUSD'!$R$40*'TR TUSD'!$R$60</f>
        <v>14.831414602076647</v>
      </c>
      <c r="S40" s="31">
        <f>'TR TUSD'!$S$40*'TR TUSD'!$S$60</f>
        <v>0</v>
      </c>
      <c r="T40" s="31">
        <f ca="1">SUM($L$40:$S$40)</f>
        <v>113.65198682962675</v>
      </c>
      <c r="U40" s="31">
        <f>'TR TUSD'!$U$40*'TR TUSD'!$U$60</f>
        <v>0</v>
      </c>
      <c r="V40" s="31">
        <f>'TR TUSD'!$V$40*'TR TUSD'!$V$60</f>
        <v>0</v>
      </c>
      <c r="W40" s="31">
        <f>'TR TUSD'!$W$40*'TR TUSD'!$W$60</f>
        <v>0</v>
      </c>
      <c r="X40" s="31">
        <f>'TR TUSD'!$X$40*'TR TUSD'!$X$60</f>
        <v>0</v>
      </c>
      <c r="Y40" s="31">
        <f>'TR TUSD'!$Y$40*'TR TUSD'!$Y$60</f>
        <v>63.530139740771979</v>
      </c>
      <c r="Z40" s="31">
        <f>'TR TUSD'!$Z$40</f>
        <v>0</v>
      </c>
      <c r="AA40" s="31">
        <f>'TR TUSD'!$AA$40</f>
        <v>0</v>
      </c>
      <c r="AB40" s="31">
        <f>SUM($U$40:$AA$40)</f>
        <v>63.530139740771979</v>
      </c>
      <c r="AC40" s="31">
        <f>'TR TUSD'!$AC$40*'TR TUSD'!$AC$60</f>
        <v>73.220954502389617</v>
      </c>
      <c r="AD40" s="31">
        <f>SUM($AC$40:$AC$40)</f>
        <v>73.220954502389617</v>
      </c>
      <c r="AE40" s="31">
        <v>0</v>
      </c>
      <c r="AF40" s="31">
        <v>0</v>
      </c>
      <c r="AG40" s="31">
        <f>SUM($AE$40:$AF$40)</f>
        <v>0</v>
      </c>
      <c r="AH40" s="31">
        <f>'TR TUSD'!$AH$40*'TR TUSD'!$AH$60</f>
        <v>18.079997883464685</v>
      </c>
      <c r="AI40" s="31">
        <f>'TR TUSD'!$AI$40*'TR TUSD'!$AI$60</f>
        <v>0.58142823358501095</v>
      </c>
      <c r="AJ40" s="31">
        <f ca="1">'TR TUSD'!$AJ$40*'TR TUSD'!$AJ$60</f>
        <v>1.9112700907634865</v>
      </c>
      <c r="AK40" s="31">
        <f ca="1">'TR TUSD'!$AK$40*'TR TUSD'!$AK$60</f>
        <v>0.31412597834611666</v>
      </c>
      <c r="AL40" s="31">
        <f ca="1">SUM($AH$40:$AK$40)</f>
        <v>20.8868221861593</v>
      </c>
      <c r="AM40" s="31">
        <f ca="1">SUMIF($L$4:$AL$4,"SUBTOTAL",$L$40:$AL$40)</f>
        <v>271.28990325894767</v>
      </c>
      <c r="AP40" s="31">
        <f>IF((1 - CUSTOS!$M$30)&lt;&gt;0,1/(1 - CUSTOS!$M$30),1)</f>
        <v>1</v>
      </c>
    </row>
    <row r="41" spans="1:42" ht="11.25" customHeight="1" x14ac:dyDescent="0.25">
      <c r="A41" s="137"/>
      <c r="B41" s="42" t="s">
        <v>23</v>
      </c>
      <c r="C41" s="42" t="s">
        <v>40</v>
      </c>
      <c r="D41" s="42" t="s">
        <v>87</v>
      </c>
      <c r="E41" s="42" t="s">
        <v>25</v>
      </c>
      <c r="F41" s="42" t="s">
        <v>25</v>
      </c>
      <c r="G41" s="41" t="s">
        <v>74</v>
      </c>
      <c r="H41" s="41" t="s">
        <v>70</v>
      </c>
      <c r="I41" s="41">
        <f>'MERCADO TUSD'!$U$38</f>
        <v>0</v>
      </c>
      <c r="J41" s="15"/>
      <c r="L41" s="31">
        <f>'TR TUSD'!$L$41*'TR TUSD'!$L$60</f>
        <v>2.5602321043826661</v>
      </c>
      <c r="M41" s="31">
        <f>'TR TUSD'!$M$41*'TR TUSD'!$M$60</f>
        <v>0.76021138351363937</v>
      </c>
      <c r="N41" s="31">
        <f ca="1">'TR TUSD'!$N$41*'TR TUSD'!$N$60</f>
        <v>3.1547199761260423</v>
      </c>
      <c r="O41" s="31">
        <f>'TR TUSD'!$O$41*'TR TUSD'!$O$60</f>
        <v>0</v>
      </c>
      <c r="P41" s="31">
        <f>'TR TUSD'!$P$41*'TR TUSD'!$P$60</f>
        <v>0</v>
      </c>
      <c r="Q41" s="31">
        <f>'TR TUSD'!$Q$41*'TR TUSD'!$Q$60</f>
        <v>93.609194890741207</v>
      </c>
      <c r="R41" s="31">
        <f>'TR TUSD'!$R$41*'TR TUSD'!$R$60</f>
        <v>14.831414602076647</v>
      </c>
      <c r="S41" s="31">
        <f>'TR TUSD'!$S$41*'TR TUSD'!$S$60</f>
        <v>0</v>
      </c>
      <c r="T41" s="31">
        <f ca="1">SUM($L$41:$S$41)</f>
        <v>114.9157729568402</v>
      </c>
      <c r="U41" s="31">
        <f>'TR TUSD'!$U$41*'TR TUSD'!$U$60</f>
        <v>0</v>
      </c>
      <c r="V41" s="31">
        <f>'TR TUSD'!$V$41*'TR TUSD'!$V$60</f>
        <v>0</v>
      </c>
      <c r="W41" s="31">
        <f>'TR TUSD'!$W$41*'TR TUSD'!$W$60</f>
        <v>0</v>
      </c>
      <c r="X41" s="31">
        <f>'TR TUSD'!$X$41*'TR TUSD'!$X$60</f>
        <v>0</v>
      </c>
      <c r="Y41" s="31">
        <f>'TR TUSD'!$Y$41*'TR TUSD'!$Y$60</f>
        <v>119.86827800547123</v>
      </c>
      <c r="Z41" s="31">
        <f>'TR TUSD'!$Z$41</f>
        <v>0</v>
      </c>
      <c r="AA41" s="31">
        <f>'TR TUSD'!$AA$41</f>
        <v>0</v>
      </c>
      <c r="AB41" s="31">
        <f>SUM($U$41:$AA$41)</f>
        <v>119.86827800547123</v>
      </c>
      <c r="AC41" s="31">
        <f>'TR TUSD'!$AC$41*'TR TUSD'!$AC$60</f>
        <v>138.1526111661714</v>
      </c>
      <c r="AD41" s="31">
        <f>SUM($AC$41:$AC$41)</f>
        <v>138.1526111661714</v>
      </c>
      <c r="AE41" s="31">
        <v>0</v>
      </c>
      <c r="AF41" s="31">
        <v>0</v>
      </c>
      <c r="AG41" s="31">
        <f>SUM($AE$41:$AF$41)</f>
        <v>0</v>
      </c>
      <c r="AH41" s="31">
        <f>'TR TUSD'!$AH$41*'TR TUSD'!$AH$60</f>
        <v>18.079997883464685</v>
      </c>
      <c r="AI41" s="31">
        <f>'TR TUSD'!$AI$41*'TR TUSD'!$AI$60</f>
        <v>0.58142823358501095</v>
      </c>
      <c r="AJ41" s="31">
        <f ca="1">'TR TUSD'!$AJ$41*'TR TUSD'!$AJ$60</f>
        <v>1.9112700907634865</v>
      </c>
      <c r="AK41" s="31">
        <f ca="1">'TR TUSD'!$AK$41*'TR TUSD'!$AK$60</f>
        <v>0.31412597834611666</v>
      </c>
      <c r="AL41" s="31">
        <f ca="1">SUM($AH$41:$AK$41)</f>
        <v>20.8868221861593</v>
      </c>
      <c r="AM41" s="31">
        <f ca="1">SUMIF($L$4:$AL$4,"SUBTOTAL",$L$41:$AL$41)</f>
        <v>393.82348431464209</v>
      </c>
      <c r="AP41" s="31">
        <f>IF((1 - CUSTOS!$M$30)&lt;&gt;0,1/(1 - CUSTOS!$M$30),1)</f>
        <v>1</v>
      </c>
    </row>
    <row r="42" spans="1:42" ht="11.25" customHeight="1" x14ac:dyDescent="0.25">
      <c r="A42" s="137"/>
      <c r="B42" s="137" t="s">
        <v>85</v>
      </c>
      <c r="C42" s="137" t="s">
        <v>40</v>
      </c>
      <c r="D42" s="42" t="s">
        <v>25</v>
      </c>
      <c r="E42" s="42" t="s">
        <v>25</v>
      </c>
      <c r="F42" s="42" t="s">
        <v>25</v>
      </c>
      <c r="G42" s="41" t="s">
        <v>74</v>
      </c>
      <c r="H42" s="41" t="s">
        <v>70</v>
      </c>
      <c r="I42" s="41">
        <f>'MERCADO TUSD'!$U$39</f>
        <v>0</v>
      </c>
      <c r="J42" s="15"/>
      <c r="L42" s="31">
        <f>'TR TUSD'!$L$42*'TR TUSD'!$L$60</f>
        <v>2.5602321043826661</v>
      </c>
      <c r="M42" s="31">
        <f>'TR TUSD'!$M$42*'TR TUSD'!$M$60</f>
        <v>0.76021138351363937</v>
      </c>
      <c r="N42" s="31">
        <f ca="1">'TR TUSD'!$N$42*'TR TUSD'!$N$60</f>
        <v>3.1547199761260423</v>
      </c>
      <c r="O42" s="31">
        <f>'TR TUSD'!$O$42*'TR TUSD'!$O$60</f>
        <v>0</v>
      </c>
      <c r="P42" s="31">
        <f>'TR TUSD'!$P$42*'TR TUSD'!$P$60</f>
        <v>0</v>
      </c>
      <c r="Q42" s="31">
        <f>'TR TUSD'!$Q$42*'TR TUSD'!$Q$60</f>
        <v>93.609194890741207</v>
      </c>
      <c r="R42" s="31">
        <f>'TR TUSD'!$R$42*'TR TUSD'!$R$60</f>
        <v>14.831414602076647</v>
      </c>
      <c r="S42" s="31">
        <f>'TR TUSD'!$S$42*'TR TUSD'!$S$60</f>
        <v>0</v>
      </c>
      <c r="T42" s="31">
        <f ca="1">SUM($L$42:$S$42)</f>
        <v>114.9157729568402</v>
      </c>
      <c r="U42" s="31">
        <f>'TR TUSD'!$U$42*'TR TUSD'!$U$60</f>
        <v>0</v>
      </c>
      <c r="V42" s="31">
        <f>'TR TUSD'!$V$42*'TR TUSD'!$V$60</f>
        <v>0</v>
      </c>
      <c r="W42" s="31">
        <f>'TR TUSD'!$W$42*'TR TUSD'!$W$60</f>
        <v>0</v>
      </c>
      <c r="X42" s="31">
        <f>'TR TUSD'!$X$42*'TR TUSD'!$X$60</f>
        <v>0</v>
      </c>
      <c r="Y42" s="31">
        <f>'TR TUSD'!$Y$42*'TR TUSD'!$Y$60</f>
        <v>119.86827800547123</v>
      </c>
      <c r="Z42" s="31">
        <f>'TR TUSD'!$Z$42</f>
        <v>0</v>
      </c>
      <c r="AA42" s="31">
        <f>'TR TUSD'!$AA$42</f>
        <v>0</v>
      </c>
      <c r="AB42" s="31">
        <f>SUM($U$42:$AA$42)</f>
        <v>119.86827800547123</v>
      </c>
      <c r="AC42" s="31">
        <f>'TR TUSD'!$AC$42*'TR TUSD'!$AC$60</f>
        <v>138.1526111661714</v>
      </c>
      <c r="AD42" s="31">
        <f>SUM($AC$42:$AC$42)</f>
        <v>138.1526111661714</v>
      </c>
      <c r="AE42" s="31">
        <v>0</v>
      </c>
      <c r="AF42" s="31">
        <v>0</v>
      </c>
      <c r="AG42" s="31">
        <f>SUM($AE$42:$AF$42)</f>
        <v>0</v>
      </c>
      <c r="AH42" s="31">
        <f>'TR TUSD'!$AH$42*'TR TUSD'!$AH$60</f>
        <v>18.079997883464685</v>
      </c>
      <c r="AI42" s="31">
        <f>'TR TUSD'!$AI$42*'TR TUSD'!$AI$60</f>
        <v>0.58142823358501095</v>
      </c>
      <c r="AJ42" s="31">
        <f ca="1">'TR TUSD'!$AJ$42*'TR TUSD'!$AJ$60</f>
        <v>1.9112700907634865</v>
      </c>
      <c r="AK42" s="31">
        <f ca="1">'TR TUSD'!$AK$42*'TR TUSD'!$AK$60</f>
        <v>0.31412597834611666</v>
      </c>
      <c r="AL42" s="31">
        <f ca="1">SUM($AH$42:$AK$42)</f>
        <v>20.8868221861593</v>
      </c>
      <c r="AM42" s="31">
        <f ca="1">SUMIF($L$4:$AL$4,"SUBTOTAL",$L$42:$AL$42)</f>
        <v>393.82348431464209</v>
      </c>
      <c r="AP42" s="31">
        <f>IF((1 - CUSTOS!$M$28)&lt;&gt;0,1/(1 - CUSTOS!$M$28),1)</f>
        <v>1</v>
      </c>
    </row>
    <row r="43" spans="1:42" ht="11.25" customHeight="1" x14ac:dyDescent="0.25">
      <c r="A43" s="137"/>
      <c r="B43" s="137"/>
      <c r="C43" s="137"/>
      <c r="D43" s="42" t="s">
        <v>86</v>
      </c>
      <c r="E43" s="42" t="s">
        <v>25</v>
      </c>
      <c r="F43" s="42" t="s">
        <v>25</v>
      </c>
      <c r="G43" s="41" t="s">
        <v>74</v>
      </c>
      <c r="H43" s="41" t="s">
        <v>70</v>
      </c>
      <c r="I43" s="41">
        <f>'MERCADO TUSD'!$U$40</f>
        <v>0</v>
      </c>
      <c r="J43" s="15"/>
      <c r="L43" s="31">
        <f>'TR TUSD'!$L$43*'TR TUSD'!$L$60</f>
        <v>2.5602321043826661</v>
      </c>
      <c r="M43" s="31">
        <f>'TR TUSD'!$M$43*'TR TUSD'!$M$60</f>
        <v>0.76021138351363937</v>
      </c>
      <c r="N43" s="31">
        <f ca="1">'TR TUSD'!$N$43*'TR TUSD'!$N$60</f>
        <v>3.1547199761260423</v>
      </c>
      <c r="O43" s="31">
        <f>'TR TUSD'!$O$43*'TR TUSD'!$O$60</f>
        <v>0</v>
      </c>
      <c r="P43" s="31">
        <f>'TR TUSD'!$P$43*'TR TUSD'!$P$60</f>
        <v>0</v>
      </c>
      <c r="Q43" s="31">
        <f>'TR TUSD'!$Q$43*'TR TUSD'!$Q$60</f>
        <v>93.609194890741207</v>
      </c>
      <c r="R43" s="31">
        <f>'TR TUSD'!$R$43*'TR TUSD'!$R$60</f>
        <v>14.831414602076647</v>
      </c>
      <c r="S43" s="31">
        <f>'TR TUSD'!$S$43*'TR TUSD'!$S$60</f>
        <v>0</v>
      </c>
      <c r="T43" s="31">
        <f ca="1">SUM($L$43:$S$43)</f>
        <v>114.9157729568402</v>
      </c>
      <c r="U43" s="31">
        <f>'TR TUSD'!$U$43*'TR TUSD'!$U$60</f>
        <v>0</v>
      </c>
      <c r="V43" s="31">
        <f>'TR TUSD'!$V$43*'TR TUSD'!$V$60</f>
        <v>0</v>
      </c>
      <c r="W43" s="31">
        <f>'TR TUSD'!$W$43*'TR TUSD'!$W$60</f>
        <v>0</v>
      </c>
      <c r="X43" s="31">
        <f>'TR TUSD'!$X$43*'TR TUSD'!$X$60</f>
        <v>0</v>
      </c>
      <c r="Y43" s="31">
        <f>'TR TUSD'!$Y$43*'TR TUSD'!$Y$60</f>
        <v>119.86827800547123</v>
      </c>
      <c r="Z43" s="31">
        <f>'TR TUSD'!$Z$43</f>
        <v>0</v>
      </c>
      <c r="AA43" s="31">
        <f>'TR TUSD'!$AA$43</f>
        <v>0</v>
      </c>
      <c r="AB43" s="31">
        <f>SUM($U$43:$AA$43)</f>
        <v>119.86827800547123</v>
      </c>
      <c r="AC43" s="31">
        <f>'TR TUSD'!$AC$43*'TR TUSD'!$AC$60</f>
        <v>138.1526111661714</v>
      </c>
      <c r="AD43" s="31">
        <f>SUM($AC$43:$AC$43)</f>
        <v>138.1526111661714</v>
      </c>
      <c r="AE43" s="31">
        <v>0</v>
      </c>
      <c r="AF43" s="31">
        <v>0</v>
      </c>
      <c r="AG43" s="31">
        <f>SUM($AE$43:$AF$43)</f>
        <v>0</v>
      </c>
      <c r="AH43" s="31">
        <f>'TR TUSD'!$AH$43*'TR TUSD'!$AH$60</f>
        <v>18.079997883464685</v>
      </c>
      <c r="AI43" s="31">
        <f>'TR TUSD'!$AI$43*'TR TUSD'!$AI$60</f>
        <v>0.58142823358501095</v>
      </c>
      <c r="AJ43" s="31">
        <f ca="1">'TR TUSD'!$AJ$43*'TR TUSD'!$AJ$60</f>
        <v>1.9112700907634865</v>
      </c>
      <c r="AK43" s="31">
        <f ca="1">'TR TUSD'!$AK$43*'TR TUSD'!$AK$60</f>
        <v>0.31412597834611666</v>
      </c>
      <c r="AL43" s="31">
        <f ca="1">SUM($AH$43:$AK$43)</f>
        <v>20.8868221861593</v>
      </c>
      <c r="AM43" s="31">
        <f ca="1">SUMIF($L$4:$AL$4,"SUBTOTAL",$L$43:$AL$43)</f>
        <v>393.82348431464209</v>
      </c>
      <c r="AP43" s="31">
        <f>IF((1 - CUSTOS!$M$29)&lt;&gt;0,1/(1 - CUSTOS!$M$29),1)</f>
        <v>1</v>
      </c>
    </row>
    <row r="44" spans="1:42" ht="11.25" customHeight="1" x14ac:dyDescent="0.25">
      <c r="A44" s="137"/>
      <c r="B44" s="137"/>
      <c r="C44" s="137"/>
      <c r="D44" s="42" t="s">
        <v>87</v>
      </c>
      <c r="E44" s="42" t="s">
        <v>25</v>
      </c>
      <c r="F44" s="42" t="s">
        <v>25</v>
      </c>
      <c r="G44" s="41" t="s">
        <v>74</v>
      </c>
      <c r="H44" s="41" t="s">
        <v>70</v>
      </c>
      <c r="I44" s="41">
        <f>'MERCADO TUSD'!$U$41</f>
        <v>0</v>
      </c>
      <c r="J44" s="15"/>
      <c r="L44" s="31">
        <f>'TR TUSD'!$L$44*'TR TUSD'!$L$60</f>
        <v>2.5602321043826661</v>
      </c>
      <c r="M44" s="31">
        <f>'TR TUSD'!$M$44*'TR TUSD'!$M$60</f>
        <v>0.76021138351363937</v>
      </c>
      <c r="N44" s="31">
        <f ca="1">'TR TUSD'!$N$44*'TR TUSD'!$N$60</f>
        <v>3.1547199761260423</v>
      </c>
      <c r="O44" s="31">
        <f>'TR TUSD'!$O$44*'TR TUSD'!$O$60</f>
        <v>0</v>
      </c>
      <c r="P44" s="31">
        <f>'TR TUSD'!$P$44*'TR TUSD'!$P$60</f>
        <v>0</v>
      </c>
      <c r="Q44" s="31">
        <f>'TR TUSD'!$Q$44*'TR TUSD'!$Q$60</f>
        <v>93.609194890741207</v>
      </c>
      <c r="R44" s="31">
        <f>'TR TUSD'!$R$44*'TR TUSD'!$R$60</f>
        <v>14.831414602076647</v>
      </c>
      <c r="S44" s="31">
        <f>'TR TUSD'!$S$44*'TR TUSD'!$S$60</f>
        <v>0</v>
      </c>
      <c r="T44" s="31">
        <f ca="1">SUM($L$44:$S$44)</f>
        <v>114.9157729568402</v>
      </c>
      <c r="U44" s="31">
        <f>'TR TUSD'!$U$44*'TR TUSD'!$U$60</f>
        <v>0</v>
      </c>
      <c r="V44" s="31">
        <f>'TR TUSD'!$V$44*'TR TUSD'!$V$60</f>
        <v>0</v>
      </c>
      <c r="W44" s="31">
        <f>'TR TUSD'!$W$44*'TR TUSD'!$W$60</f>
        <v>0</v>
      </c>
      <c r="X44" s="31">
        <f>'TR TUSD'!$X$44*'TR TUSD'!$X$60</f>
        <v>0</v>
      </c>
      <c r="Y44" s="31">
        <f>'TR TUSD'!$Y$44*'TR TUSD'!$Y$60</f>
        <v>119.86827800547123</v>
      </c>
      <c r="Z44" s="31">
        <f>'TR TUSD'!$Z$44</f>
        <v>0</v>
      </c>
      <c r="AA44" s="31">
        <f>'TR TUSD'!$AA$44</f>
        <v>0</v>
      </c>
      <c r="AB44" s="31">
        <f>SUM($U$44:$AA$44)</f>
        <v>119.86827800547123</v>
      </c>
      <c r="AC44" s="31">
        <f>'TR TUSD'!$AC$44*'TR TUSD'!$AC$60</f>
        <v>138.1526111661714</v>
      </c>
      <c r="AD44" s="31">
        <f>SUM($AC$44:$AC$44)</f>
        <v>138.1526111661714</v>
      </c>
      <c r="AE44" s="31">
        <v>0</v>
      </c>
      <c r="AF44" s="31">
        <v>0</v>
      </c>
      <c r="AG44" s="31">
        <f>SUM($AE$44:$AF$44)</f>
        <v>0</v>
      </c>
      <c r="AH44" s="31">
        <f>'TR TUSD'!$AH$44*'TR TUSD'!$AH$60</f>
        <v>18.079997883464685</v>
      </c>
      <c r="AI44" s="31">
        <f>'TR TUSD'!$AI$44*'TR TUSD'!$AI$60</f>
        <v>0.58142823358501095</v>
      </c>
      <c r="AJ44" s="31">
        <f ca="1">'TR TUSD'!$AJ$44*'TR TUSD'!$AJ$60</f>
        <v>1.9112700907634865</v>
      </c>
      <c r="AK44" s="31">
        <f ca="1">'TR TUSD'!$AK$44*'TR TUSD'!$AK$60</f>
        <v>0.31412597834611666</v>
      </c>
      <c r="AL44" s="31">
        <f ca="1">SUM($AH$44:$AK$44)</f>
        <v>20.8868221861593</v>
      </c>
      <c r="AM44" s="31">
        <f ca="1">SUMIF($L$4:$AL$4,"SUBTOTAL",$L$44:$AL$44)</f>
        <v>393.82348431464209</v>
      </c>
      <c r="AP44" s="31">
        <f>IF((1 - CUSTOS!$M$30)&lt;&gt;0,1/(1 - CUSTOS!$M$30),1)</f>
        <v>1</v>
      </c>
    </row>
    <row r="45" spans="1:42" ht="11.25" customHeight="1" x14ac:dyDescent="0.25">
      <c r="A45" s="137" t="s">
        <v>32</v>
      </c>
      <c r="B45" s="137" t="s">
        <v>49</v>
      </c>
      <c r="C45" s="137" t="s">
        <v>25</v>
      </c>
      <c r="D45" s="137" t="s">
        <v>25</v>
      </c>
      <c r="E45" s="137" t="s">
        <v>25</v>
      </c>
      <c r="F45" s="137" t="s">
        <v>25</v>
      </c>
      <c r="G45" s="41" t="s">
        <v>71</v>
      </c>
      <c r="H45" s="41" t="s">
        <v>70</v>
      </c>
      <c r="I45" s="41">
        <f>'MERCADO TUSD'!$U$42</f>
        <v>0.216</v>
      </c>
      <c r="J45" s="15"/>
      <c r="L45" s="31">
        <f>'TR TUSD'!$L$45*'TR TUSD'!$L$60</f>
        <v>2.5602321043826661</v>
      </c>
      <c r="M45" s="31">
        <f>'TR TUSD'!$M$45*'TR TUSD'!$M$60</f>
        <v>0.76021138351363937</v>
      </c>
      <c r="N45" s="31">
        <f ca="1">'TR TUSD'!$N$45*'TR TUSD'!$N$60</f>
        <v>12.942342327126102</v>
      </c>
      <c r="O45" s="31">
        <f>'TR TUSD'!$O$45*'TR TUSD'!$O$60</f>
        <v>0</v>
      </c>
      <c r="P45" s="31">
        <f>'TR TUSD'!$P$45*'TR TUSD'!$P$60</f>
        <v>0</v>
      </c>
      <c r="Q45" s="31">
        <f>'TR TUSD'!$Q$45*'TR TUSD'!$Q$60</f>
        <v>93.609194890741207</v>
      </c>
      <c r="R45" s="31">
        <f>'TR TUSD'!$R$45*'TR TUSD'!$R$60</f>
        <v>14.831414602076647</v>
      </c>
      <c r="S45" s="31">
        <f>'TR TUSD'!$S$45*'TR TUSD'!$S$60</f>
        <v>0</v>
      </c>
      <c r="T45" s="31">
        <f ca="1">SUM($L$45:$S$45)</f>
        <v>124.70339530784027</v>
      </c>
      <c r="U45" s="31">
        <f>'TR TUSD'!$U$45*'TR TUSD'!$U$60</f>
        <v>0</v>
      </c>
      <c r="V45" s="31">
        <f>'TR TUSD'!$V$45*'TR TUSD'!$V$60</f>
        <v>0</v>
      </c>
      <c r="W45" s="31">
        <f>'TR TUSD'!$W$45*'TR TUSD'!$W$60</f>
        <v>0</v>
      </c>
      <c r="X45" s="31">
        <f>'TR TUSD'!$X$45*'TR TUSD'!$X$60</f>
        <v>0</v>
      </c>
      <c r="Y45" s="31">
        <f>'TR TUSD'!$Y$45*'TR TUSD'!$Y$60</f>
        <v>556.18858780212361</v>
      </c>
      <c r="Z45" s="31">
        <f>'TR TUSD'!$Z$45</f>
        <v>0</v>
      </c>
      <c r="AA45" s="31">
        <f>'TR TUSD'!$AA$45</f>
        <v>0</v>
      </c>
      <c r="AB45" s="31">
        <f>SUM($U$45:$AA$45)</f>
        <v>556.18858780212361</v>
      </c>
      <c r="AC45" s="31">
        <f>'TR TUSD'!$AC$45*'TR TUSD'!$AC$60</f>
        <v>641.02830680389786</v>
      </c>
      <c r="AD45" s="31">
        <f>SUM($AC$45:$AC$45)</f>
        <v>641.02830680389786</v>
      </c>
      <c r="AE45" s="31">
        <v>0</v>
      </c>
      <c r="AF45" s="31">
        <v>0</v>
      </c>
      <c r="AG45" s="31">
        <f>SUM($AE$45:$AF$45)</f>
        <v>0</v>
      </c>
      <c r="AH45" s="31">
        <f>'TR TUSD'!$AH$45*'TR TUSD'!$AH$60</f>
        <v>18.079997883464685</v>
      </c>
      <c r="AI45" s="31">
        <f>'TR TUSD'!$AI$45*'TR TUSD'!$AI$60</f>
        <v>0.58142823358501095</v>
      </c>
      <c r="AJ45" s="31">
        <f ca="1">'TR TUSD'!$AJ$45*'TR TUSD'!$AJ$60</f>
        <v>1.9112700907634865</v>
      </c>
      <c r="AK45" s="31">
        <f ca="1">'TR TUSD'!$AK$45*'TR TUSD'!$AK$60</f>
        <v>0.31412597834611666</v>
      </c>
      <c r="AL45" s="31">
        <f ca="1">SUM($AH$45:$AK$45)</f>
        <v>20.8868221861593</v>
      </c>
      <c r="AM45" s="31">
        <f ca="1">SUMIF($L$4:$AL$4,"SUBTOTAL",$L$45:$AL$45)</f>
        <v>1342.8071121000212</v>
      </c>
      <c r="AP45" s="31">
        <f>IF((1 - CUSTOS!$M$31)&lt;&gt;0,1/(1 - CUSTOS!$M$31),1)</f>
        <v>1</v>
      </c>
    </row>
    <row r="46" spans="1:42" ht="11.25" customHeight="1" x14ac:dyDescent="0.25">
      <c r="A46" s="137"/>
      <c r="B46" s="137"/>
      <c r="C46" s="137"/>
      <c r="D46" s="137"/>
      <c r="E46" s="137"/>
      <c r="F46" s="137"/>
      <c r="G46" s="41" t="s">
        <v>83</v>
      </c>
      <c r="H46" s="41" t="s">
        <v>70</v>
      </c>
      <c r="I46" s="41">
        <f>'MERCADO TUSD'!$U$43</f>
        <v>0.24</v>
      </c>
      <c r="J46" s="15"/>
      <c r="L46" s="31">
        <f>'TR TUSD'!$L$46*'TR TUSD'!$L$60</f>
        <v>2.5602321043826661</v>
      </c>
      <c r="M46" s="31">
        <f>'TR TUSD'!$M$46*'TR TUSD'!$M$60</f>
        <v>0.76021138351363937</v>
      </c>
      <c r="N46" s="31">
        <f ca="1">'TR TUSD'!$N$46*'TR TUSD'!$N$60</f>
        <v>5.144511450720314</v>
      </c>
      <c r="O46" s="31">
        <f>'TR TUSD'!$O$46*'TR TUSD'!$O$60</f>
        <v>0</v>
      </c>
      <c r="P46" s="31">
        <f>'TR TUSD'!$P$46*'TR TUSD'!$P$60</f>
        <v>0</v>
      </c>
      <c r="Q46" s="31">
        <f>'TR TUSD'!$Q$46*'TR TUSD'!$Q$60</f>
        <v>93.609194890741207</v>
      </c>
      <c r="R46" s="31">
        <f>'TR TUSD'!$R$46*'TR TUSD'!$R$60</f>
        <v>14.831414602076647</v>
      </c>
      <c r="S46" s="31">
        <f>'TR TUSD'!$S$46*'TR TUSD'!$S$60</f>
        <v>0</v>
      </c>
      <c r="T46" s="31">
        <f ca="1">SUM($L$46:$S$46)</f>
        <v>116.90556443143447</v>
      </c>
      <c r="U46" s="31">
        <f>'TR TUSD'!$U$46*'TR TUSD'!$U$60</f>
        <v>0</v>
      </c>
      <c r="V46" s="31">
        <f>'TR TUSD'!$V$46*'TR TUSD'!$V$60</f>
        <v>0</v>
      </c>
      <c r="W46" s="31">
        <f>'TR TUSD'!$W$46*'TR TUSD'!$W$60</f>
        <v>0</v>
      </c>
      <c r="X46" s="31">
        <f>'TR TUSD'!$X$46*'TR TUSD'!$X$60</f>
        <v>0</v>
      </c>
      <c r="Y46" s="31">
        <f>'TR TUSD'!$Y$46*'TR TUSD'!$Y$60</f>
        <v>208.57076292769614</v>
      </c>
      <c r="Z46" s="31">
        <f>'TR TUSD'!$Z$46</f>
        <v>0</v>
      </c>
      <c r="AA46" s="31">
        <f>'TR TUSD'!$AA$46</f>
        <v>0</v>
      </c>
      <c r="AB46" s="31">
        <f>SUM($U$46:$AA$46)</f>
        <v>208.57076292769614</v>
      </c>
      <c r="AC46" s="31">
        <f>'TR TUSD'!$AC$46*'TR TUSD'!$AC$60</f>
        <v>240.38558910134449</v>
      </c>
      <c r="AD46" s="31">
        <f>SUM($AC$46:$AC$46)</f>
        <v>240.38558910134449</v>
      </c>
      <c r="AE46" s="31">
        <v>0</v>
      </c>
      <c r="AF46" s="31">
        <v>0</v>
      </c>
      <c r="AG46" s="31">
        <f>SUM($AE$46:$AF$46)</f>
        <v>0</v>
      </c>
      <c r="AH46" s="31">
        <f>'TR TUSD'!$AH$46*'TR TUSD'!$AH$60</f>
        <v>18.079997883464685</v>
      </c>
      <c r="AI46" s="31">
        <f>'TR TUSD'!$AI$46*'TR TUSD'!$AI$60</f>
        <v>0.58142823358501095</v>
      </c>
      <c r="AJ46" s="31">
        <f ca="1">'TR TUSD'!$AJ$46*'TR TUSD'!$AJ$60</f>
        <v>1.9112700907634865</v>
      </c>
      <c r="AK46" s="31">
        <f ca="1">'TR TUSD'!$AK$46*'TR TUSD'!$AK$60</f>
        <v>0.31412597834611666</v>
      </c>
      <c r="AL46" s="31">
        <f ca="1">SUM($AH$46:$AK$46)</f>
        <v>20.8868221861593</v>
      </c>
      <c r="AM46" s="31">
        <f ca="1">SUMIF($L$4:$AL$4,"SUBTOTAL",$L$46:$AL$46)</f>
        <v>586.74873864663437</v>
      </c>
      <c r="AP46" s="31">
        <f>IF((1 - CUSTOS!$M$31)&lt;&gt;0,1/(1 - CUSTOS!$M$31),1)</f>
        <v>1</v>
      </c>
    </row>
    <row r="47" spans="1:42" ht="11.25" customHeight="1" x14ac:dyDescent="0.25">
      <c r="A47" s="137"/>
      <c r="B47" s="137"/>
      <c r="C47" s="137"/>
      <c r="D47" s="137"/>
      <c r="E47" s="137"/>
      <c r="F47" s="137"/>
      <c r="G47" s="41" t="s">
        <v>72</v>
      </c>
      <c r="H47" s="41" t="s">
        <v>70</v>
      </c>
      <c r="I47" s="41">
        <f>'MERCADO TUSD'!$U$44</f>
        <v>3.742</v>
      </c>
      <c r="J47" s="15"/>
      <c r="L47" s="31">
        <f>'TR TUSD'!$L$47*'TR TUSD'!$L$60</f>
        <v>2.5602321043826661</v>
      </c>
      <c r="M47" s="31">
        <f>'TR TUSD'!$M$47*'TR TUSD'!$M$60</f>
        <v>0.76021138351363937</v>
      </c>
      <c r="N47" s="31">
        <f ca="1">'TR TUSD'!$N$47*'TR TUSD'!$N$60</f>
        <v>2.0253793253070049</v>
      </c>
      <c r="O47" s="31">
        <f>'TR TUSD'!$O$47*'TR TUSD'!$O$60</f>
        <v>0</v>
      </c>
      <c r="P47" s="31">
        <f>'TR TUSD'!$P$47*'TR TUSD'!$P$60</f>
        <v>0</v>
      </c>
      <c r="Q47" s="31">
        <f>'TR TUSD'!$Q$47*'TR TUSD'!$Q$60</f>
        <v>93.609194890741207</v>
      </c>
      <c r="R47" s="31">
        <f>'TR TUSD'!$R$47*'TR TUSD'!$R$60</f>
        <v>14.831414602076647</v>
      </c>
      <c r="S47" s="31">
        <f>'TR TUSD'!$S$47*'TR TUSD'!$S$60</f>
        <v>0</v>
      </c>
      <c r="T47" s="31">
        <f ca="1">SUM($L$47:$S$47)</f>
        <v>113.78643230602117</v>
      </c>
      <c r="U47" s="31">
        <f>'TR TUSD'!$U$47*'TR TUSD'!$U$60</f>
        <v>0</v>
      </c>
      <c r="V47" s="31">
        <f>'TR TUSD'!$V$47*'TR TUSD'!$V$60</f>
        <v>0</v>
      </c>
      <c r="W47" s="31">
        <f>'TR TUSD'!$W$47*'TR TUSD'!$W$60</f>
        <v>0</v>
      </c>
      <c r="X47" s="31">
        <f>'TR TUSD'!$X$47*'TR TUSD'!$X$60</f>
        <v>0</v>
      </c>
      <c r="Y47" s="31">
        <f>'TR TUSD'!$Y$47*'TR TUSD'!$Y$60</f>
        <v>69.523587642565374</v>
      </c>
      <c r="Z47" s="31">
        <f>'TR TUSD'!$Z$47</f>
        <v>0</v>
      </c>
      <c r="AA47" s="31">
        <f>'TR TUSD'!$AA$47</f>
        <v>0</v>
      </c>
      <c r="AB47" s="31">
        <f>SUM($U$47:$AA$47)</f>
        <v>69.523587642565374</v>
      </c>
      <c r="AC47" s="31">
        <f>'TR TUSD'!$AC$47*'TR TUSD'!$AC$60</f>
        <v>80.128564300604438</v>
      </c>
      <c r="AD47" s="31">
        <f>SUM($AC$47:$AC$47)</f>
        <v>80.128564300604438</v>
      </c>
      <c r="AE47" s="31">
        <v>0</v>
      </c>
      <c r="AF47" s="31">
        <v>0</v>
      </c>
      <c r="AG47" s="31">
        <f>SUM($AE$47:$AF$47)</f>
        <v>0</v>
      </c>
      <c r="AH47" s="31">
        <f>'TR TUSD'!$AH$47*'TR TUSD'!$AH$60</f>
        <v>18.079997883464685</v>
      </c>
      <c r="AI47" s="31">
        <f>'TR TUSD'!$AI$47*'TR TUSD'!$AI$60</f>
        <v>0.58142823358501095</v>
      </c>
      <c r="AJ47" s="31">
        <f ca="1">'TR TUSD'!$AJ$47*'TR TUSD'!$AJ$60</f>
        <v>1.9112700907634865</v>
      </c>
      <c r="AK47" s="31">
        <f ca="1">'TR TUSD'!$AK$47*'TR TUSD'!$AK$60</f>
        <v>0.31412597834611666</v>
      </c>
      <c r="AL47" s="31">
        <f ca="1">SUM($AH$47:$AK$47)</f>
        <v>20.8868221861593</v>
      </c>
      <c r="AM47" s="31">
        <f ca="1">SUMIF($L$4:$AL$4,"SUBTOTAL",$L$47:$AL$47)</f>
        <v>284.32540643535026</v>
      </c>
      <c r="AP47" s="31">
        <f>IF((1 - CUSTOS!$M$31)&lt;&gt;0,1/(1 - CUSTOS!$M$31),1)</f>
        <v>1</v>
      </c>
    </row>
    <row r="48" spans="1:42" ht="11.25" customHeight="1" x14ac:dyDescent="0.25">
      <c r="A48" s="137"/>
      <c r="B48" s="42" t="s">
        <v>23</v>
      </c>
      <c r="C48" s="42" t="s">
        <v>25</v>
      </c>
      <c r="D48" s="42" t="s">
        <v>25</v>
      </c>
      <c r="E48" s="42" t="s">
        <v>25</v>
      </c>
      <c r="F48" s="42" t="s">
        <v>25</v>
      </c>
      <c r="G48" s="41" t="s">
        <v>74</v>
      </c>
      <c r="H48" s="41" t="s">
        <v>70</v>
      </c>
      <c r="I48" s="41">
        <f>'MERCADO TUSD'!$U$45</f>
        <v>12398.925999999999</v>
      </c>
      <c r="J48" s="15"/>
      <c r="L48" s="31">
        <f>'TR TUSD'!$L$48*'TR TUSD'!$L$60</f>
        <v>2.5602321043826661</v>
      </c>
      <c r="M48" s="31">
        <f>'TR TUSD'!$M$48*'TR TUSD'!$M$60</f>
        <v>0.76021138351363937</v>
      </c>
      <c r="N48" s="31">
        <f ca="1">'TR TUSD'!$N$48*'TR TUSD'!$N$60</f>
        <v>3.1547199761260423</v>
      </c>
      <c r="O48" s="31">
        <f>'TR TUSD'!$O$48*'TR TUSD'!$O$60</f>
        <v>0</v>
      </c>
      <c r="P48" s="31">
        <f>'TR TUSD'!$P$48*'TR TUSD'!$P$60</f>
        <v>0</v>
      </c>
      <c r="Q48" s="31">
        <f>'TR TUSD'!$Q$48*'TR TUSD'!$Q$60</f>
        <v>93.609194890741207</v>
      </c>
      <c r="R48" s="31">
        <f>'TR TUSD'!$R$48*'TR TUSD'!$R$60</f>
        <v>14.831414602076647</v>
      </c>
      <c r="S48" s="31">
        <f>'TR TUSD'!$S$48*'TR TUSD'!$S$60</f>
        <v>0</v>
      </c>
      <c r="T48" s="31">
        <f ca="1">SUM($L$48:$S$48)</f>
        <v>114.9157729568402</v>
      </c>
      <c r="U48" s="31">
        <f>'TR TUSD'!$U$48*'TR TUSD'!$U$60</f>
        <v>0</v>
      </c>
      <c r="V48" s="31">
        <f>'TR TUSD'!$V$48*'TR TUSD'!$V$60</f>
        <v>0</v>
      </c>
      <c r="W48" s="31">
        <f>'TR TUSD'!$W$48*'TR TUSD'!$W$60</f>
        <v>0</v>
      </c>
      <c r="X48" s="31">
        <f>'TR TUSD'!$X$48*'TR TUSD'!$X$60</f>
        <v>0</v>
      </c>
      <c r="Y48" s="31">
        <f>'TR TUSD'!$Y$48*'TR TUSD'!$Y$60</f>
        <v>119.86827800547123</v>
      </c>
      <c r="Z48" s="31">
        <f>'TR TUSD'!$Z$48</f>
        <v>0</v>
      </c>
      <c r="AA48" s="31">
        <f>'TR TUSD'!$AA$48</f>
        <v>0</v>
      </c>
      <c r="AB48" s="31">
        <f>SUM($U$48:$AA$48)</f>
        <v>119.86827800547123</v>
      </c>
      <c r="AC48" s="31">
        <f>'TR TUSD'!$AC$48*'TR TUSD'!$AC$60</f>
        <v>138.1526111661714</v>
      </c>
      <c r="AD48" s="31">
        <f>SUM($AC$48:$AC$48)</f>
        <v>138.1526111661714</v>
      </c>
      <c r="AE48" s="31">
        <v>0</v>
      </c>
      <c r="AF48" s="31">
        <v>0</v>
      </c>
      <c r="AG48" s="31">
        <f>SUM($AE$48:$AF$48)</f>
        <v>0</v>
      </c>
      <c r="AH48" s="31">
        <f>'TR TUSD'!$AH$48*'TR TUSD'!$AH$60</f>
        <v>18.079997883464685</v>
      </c>
      <c r="AI48" s="31">
        <f>'TR TUSD'!$AI$48*'TR TUSD'!$AI$60</f>
        <v>0.58142823358501095</v>
      </c>
      <c r="AJ48" s="31">
        <f ca="1">'TR TUSD'!$AJ$48*'TR TUSD'!$AJ$60</f>
        <v>1.9112700907634865</v>
      </c>
      <c r="AK48" s="31">
        <f ca="1">'TR TUSD'!$AK$48*'TR TUSD'!$AK$60</f>
        <v>0.31412597834611666</v>
      </c>
      <c r="AL48" s="31">
        <f ca="1">SUM($AH$48:$AK$48)</f>
        <v>20.8868221861593</v>
      </c>
      <c r="AM48" s="31">
        <f ca="1">SUMIF($L$4:$AL$4,"SUBTOTAL",$L$48:$AL$48)</f>
        <v>393.82348431464209</v>
      </c>
      <c r="AP48" s="31">
        <f>IF((1 - CUSTOS!$M$31)&lt;&gt;0,1/(1 - CUSTOS!$M$31),1)</f>
        <v>1</v>
      </c>
    </row>
    <row r="49" spans="1:42" ht="11.25" customHeight="1" x14ac:dyDescent="0.25">
      <c r="A49" s="137"/>
      <c r="B49" s="42" t="s">
        <v>85</v>
      </c>
      <c r="C49" s="42" t="s">
        <v>25</v>
      </c>
      <c r="D49" s="42" t="s">
        <v>25</v>
      </c>
      <c r="E49" s="42" t="s">
        <v>25</v>
      </c>
      <c r="F49" s="42" t="s">
        <v>25</v>
      </c>
      <c r="G49" s="41" t="s">
        <v>74</v>
      </c>
      <c r="H49" s="41" t="s">
        <v>70</v>
      </c>
      <c r="I49" s="41">
        <f>'MERCADO TUSD'!$U$46</f>
        <v>0</v>
      </c>
      <c r="J49" s="15"/>
      <c r="L49" s="31">
        <f>'TR TUSD'!$L$49*'TR TUSD'!$L$60</f>
        <v>2.5602321043826661</v>
      </c>
      <c r="M49" s="31">
        <f>'TR TUSD'!$M$49*'TR TUSD'!$M$60</f>
        <v>0.76021138351363937</v>
      </c>
      <c r="N49" s="31">
        <f ca="1">'TR TUSD'!$N$49*'TR TUSD'!$N$60</f>
        <v>3.1547199761260423</v>
      </c>
      <c r="O49" s="31">
        <f>'TR TUSD'!$O$49*'TR TUSD'!$O$60</f>
        <v>0</v>
      </c>
      <c r="P49" s="31">
        <f>'TR TUSD'!$P$49*'TR TUSD'!$P$60</f>
        <v>0</v>
      </c>
      <c r="Q49" s="31">
        <f>'TR TUSD'!$Q$49*'TR TUSD'!$Q$60</f>
        <v>93.609194890741207</v>
      </c>
      <c r="R49" s="31">
        <f>'TR TUSD'!$R$49*'TR TUSD'!$R$60</f>
        <v>14.831414602076647</v>
      </c>
      <c r="S49" s="31">
        <f>'TR TUSD'!$S$49*'TR TUSD'!$S$60</f>
        <v>0</v>
      </c>
      <c r="T49" s="31">
        <f ca="1">SUM($L$49:$S$49)</f>
        <v>114.9157729568402</v>
      </c>
      <c r="U49" s="31">
        <f>'TR TUSD'!$U$49*'TR TUSD'!$U$60</f>
        <v>0</v>
      </c>
      <c r="V49" s="31">
        <f>'TR TUSD'!$V$49*'TR TUSD'!$V$60</f>
        <v>0</v>
      </c>
      <c r="W49" s="31">
        <f>'TR TUSD'!$W$49*'TR TUSD'!$W$60</f>
        <v>0</v>
      </c>
      <c r="X49" s="31">
        <f>'TR TUSD'!$X$49*'TR TUSD'!$X$60</f>
        <v>0</v>
      </c>
      <c r="Y49" s="31">
        <f>'TR TUSD'!$Y$49*'TR TUSD'!$Y$60</f>
        <v>119.86827800547123</v>
      </c>
      <c r="Z49" s="31">
        <f>'TR TUSD'!$Z$49</f>
        <v>0</v>
      </c>
      <c r="AA49" s="31">
        <f>'TR TUSD'!$AA$49</f>
        <v>0</v>
      </c>
      <c r="AB49" s="31">
        <f>SUM($U$49:$AA$49)</f>
        <v>119.86827800547123</v>
      </c>
      <c r="AC49" s="31">
        <f>'TR TUSD'!$AC$49*'TR TUSD'!$AC$60</f>
        <v>138.1526111661714</v>
      </c>
      <c r="AD49" s="31">
        <f>SUM($AC$49:$AC$49)</f>
        <v>138.1526111661714</v>
      </c>
      <c r="AE49" s="31">
        <v>0</v>
      </c>
      <c r="AF49" s="31">
        <v>0</v>
      </c>
      <c r="AG49" s="31">
        <f>SUM($AE$49:$AF$49)</f>
        <v>0</v>
      </c>
      <c r="AH49" s="31">
        <f>'TR TUSD'!$AH$49*'TR TUSD'!$AH$60</f>
        <v>18.079997883464685</v>
      </c>
      <c r="AI49" s="31">
        <f>'TR TUSD'!$AI$49*'TR TUSD'!$AI$60</f>
        <v>0.58142823358501095</v>
      </c>
      <c r="AJ49" s="31">
        <f ca="1">'TR TUSD'!$AJ$49*'TR TUSD'!$AJ$60</f>
        <v>1.9112700907634865</v>
      </c>
      <c r="AK49" s="31">
        <f ca="1">'TR TUSD'!$AK$49*'TR TUSD'!$AK$60</f>
        <v>0.31412597834611666</v>
      </c>
      <c r="AL49" s="31">
        <f ca="1">SUM($AH$49:$AK$49)</f>
        <v>20.8868221861593</v>
      </c>
      <c r="AM49" s="31">
        <f ca="1">SUMIF($L$4:$AL$4,"SUBTOTAL",$L$49:$AL$49)</f>
        <v>393.82348431464209</v>
      </c>
      <c r="AP49" s="31">
        <f>IF((1 - CUSTOS!$M$31)&lt;&gt;0,1/(1 - CUSTOS!$M$31),1)</f>
        <v>1</v>
      </c>
    </row>
    <row r="50" spans="1:42" ht="11.25" customHeight="1" x14ac:dyDescent="0.25">
      <c r="A50" s="137" t="s">
        <v>42</v>
      </c>
      <c r="B50" s="137" t="s">
        <v>23</v>
      </c>
      <c r="C50" s="137" t="s">
        <v>43</v>
      </c>
      <c r="D50" s="42" t="s">
        <v>44</v>
      </c>
      <c r="E50" s="42" t="s">
        <v>25</v>
      </c>
      <c r="F50" s="42" t="s">
        <v>25</v>
      </c>
      <c r="G50" s="41" t="s">
        <v>74</v>
      </c>
      <c r="H50" s="41" t="s">
        <v>70</v>
      </c>
      <c r="I50" s="41">
        <f>'MERCADO TUSD'!$U$47</f>
        <v>3575.7699999999995</v>
      </c>
      <c r="J50" s="15"/>
      <c r="L50" s="31">
        <f>'TR TUSD'!$L$50*'TR TUSD'!$L$60</f>
        <v>1.4081276574104664</v>
      </c>
      <c r="M50" s="31">
        <f>'TR TUSD'!$M$50*'TR TUSD'!$M$60</f>
        <v>0.41811626093250176</v>
      </c>
      <c r="N50" s="31">
        <f ca="1">'TR TUSD'!$N$50*'TR TUSD'!$N$60</f>
        <v>1.7350959868693234</v>
      </c>
      <c r="O50" s="31">
        <f>'TR TUSD'!$O$50*'TR TUSD'!$O$60</f>
        <v>0</v>
      </c>
      <c r="P50" s="31">
        <f>'TR TUSD'!$P$50*'TR TUSD'!$P$60</f>
        <v>0</v>
      </c>
      <c r="Q50" s="31">
        <f>'TR TUSD'!$Q$50*'TR TUSD'!$Q$60</f>
        <v>51.485057189907671</v>
      </c>
      <c r="R50" s="31">
        <f>'TR TUSD'!$R$50*'TR TUSD'!$R$60</f>
        <v>8.1572780311421571</v>
      </c>
      <c r="S50" s="31">
        <f>'TR TUSD'!$S$50*'TR TUSD'!$S$60</f>
        <v>0</v>
      </c>
      <c r="T50" s="31">
        <f ca="1">SUM($L$50:$S$50)</f>
        <v>63.203675126262119</v>
      </c>
      <c r="U50" s="31">
        <f>'TR TUSD'!$U$50*'TR TUSD'!$U$60</f>
        <v>0</v>
      </c>
      <c r="V50" s="31">
        <f>'TR TUSD'!$V$50*'TR TUSD'!$V$60</f>
        <v>0</v>
      </c>
      <c r="W50" s="31">
        <f>'TR TUSD'!$W$50*'TR TUSD'!$W$60</f>
        <v>0</v>
      </c>
      <c r="X50" s="31">
        <f>'TR TUSD'!$X$50*'TR TUSD'!$X$60</f>
        <v>0</v>
      </c>
      <c r="Y50" s="31">
        <f>'TR TUSD'!$Y$50*'TR TUSD'!$Y$60</f>
        <v>65.927552903009186</v>
      </c>
      <c r="Z50" s="31">
        <f>'TR TUSD'!$Z$50</f>
        <v>0</v>
      </c>
      <c r="AA50" s="31">
        <f>'TR TUSD'!$AA$50</f>
        <v>0</v>
      </c>
      <c r="AB50" s="31">
        <f>SUM($U$50:$AA$50)</f>
        <v>65.927552903009186</v>
      </c>
      <c r="AC50" s="31">
        <f>'TR TUSD'!$AC$50*'TR TUSD'!$AC$60</f>
        <v>75.983936141394281</v>
      </c>
      <c r="AD50" s="31">
        <f>SUM($AC$50:$AC$50)</f>
        <v>75.983936141394281</v>
      </c>
      <c r="AE50" s="31">
        <v>0</v>
      </c>
      <c r="AF50" s="31">
        <v>0</v>
      </c>
      <c r="AG50" s="31">
        <f>SUM($AE$50:$AF$50)</f>
        <v>0</v>
      </c>
      <c r="AH50" s="31">
        <f>'TR TUSD'!$AH$50*'TR TUSD'!$AH$60</f>
        <v>9.9439988359055782</v>
      </c>
      <c r="AI50" s="31">
        <f>'TR TUSD'!$AI$50*'TR TUSD'!$AI$60</f>
        <v>0.31978552847175612</v>
      </c>
      <c r="AJ50" s="31">
        <f ca="1">'TR TUSD'!$AJ$50*'TR TUSD'!$AJ$60</f>
        <v>1.0511985499199177</v>
      </c>
      <c r="AK50" s="31">
        <f ca="1">'TR TUSD'!$AK$50*'TR TUSD'!$AK$60</f>
        <v>0.17276928809036418</v>
      </c>
      <c r="AL50" s="31">
        <f ca="1">SUM($AH$50:$AK$50)</f>
        <v>11.487752202387616</v>
      </c>
      <c r="AM50" s="31">
        <f ca="1">SUMIF($L$4:$AL$4,"SUBTOTAL",$L$50:$AL$50)</f>
        <v>216.6029163730532</v>
      </c>
      <c r="AP50" s="31">
        <f>IF((1 - CUSTOS!$M$32)&lt;&gt;0,1/(1 - CUSTOS!$M$32),1)</f>
        <v>1.8181818181818181</v>
      </c>
    </row>
    <row r="51" spans="1:42" ht="11.25" customHeight="1" x14ac:dyDescent="0.25">
      <c r="A51" s="137"/>
      <c r="B51" s="137"/>
      <c r="C51" s="137"/>
      <c r="D51" s="41" t="s">
        <v>88</v>
      </c>
      <c r="E51" s="41" t="s">
        <v>25</v>
      </c>
      <c r="F51" s="41" t="s">
        <v>25</v>
      </c>
      <c r="G51" s="41" t="s">
        <v>74</v>
      </c>
      <c r="H51" s="41" t="s">
        <v>70</v>
      </c>
      <c r="I51" s="41">
        <f>'MERCADO TUSD'!$U$48</f>
        <v>0</v>
      </c>
      <c r="J51" s="15"/>
      <c r="L51" s="31">
        <f>'TR TUSD'!$L$51*'TR TUSD'!$L$60</f>
        <v>1.5361392626295995</v>
      </c>
      <c r="M51" s="31">
        <f>'TR TUSD'!$M$51*'TR TUSD'!$M$60</f>
        <v>0.45612683010818367</v>
      </c>
      <c r="N51" s="31">
        <f ca="1">'TR TUSD'!$N$51*'TR TUSD'!$N$60</f>
        <v>1.8928319856756253</v>
      </c>
      <c r="O51" s="31">
        <f>'TR TUSD'!$O$51*'TR TUSD'!$O$60</f>
        <v>0</v>
      </c>
      <c r="P51" s="31">
        <f>'TR TUSD'!$P$51*'TR TUSD'!$P$60</f>
        <v>0</v>
      </c>
      <c r="Q51" s="31">
        <f>'TR TUSD'!$Q$51*'TR TUSD'!$Q$60</f>
        <v>56.165516934444724</v>
      </c>
      <c r="R51" s="31">
        <f>'TR TUSD'!$R$51*'TR TUSD'!$R$60</f>
        <v>8.8988487612459881</v>
      </c>
      <c r="S51" s="31">
        <f>'TR TUSD'!$S$51*'TR TUSD'!$S$60</f>
        <v>0</v>
      </c>
      <c r="T51" s="31">
        <f ca="1">SUM($L$51:$S$51)</f>
        <v>68.949463774104117</v>
      </c>
      <c r="U51" s="31">
        <f>'TR TUSD'!$U$51*'TR TUSD'!$U$60</f>
        <v>0</v>
      </c>
      <c r="V51" s="31">
        <f>'TR TUSD'!$V$51*'TR TUSD'!$V$60</f>
        <v>0</v>
      </c>
      <c r="W51" s="31">
        <f>'TR TUSD'!$W$51*'TR TUSD'!$W$60</f>
        <v>0</v>
      </c>
      <c r="X51" s="31">
        <f>'TR TUSD'!$X$51*'TR TUSD'!$X$60</f>
        <v>0</v>
      </c>
      <c r="Y51" s="31">
        <f>'TR TUSD'!$Y$51*'TR TUSD'!$Y$60</f>
        <v>71.920966803282738</v>
      </c>
      <c r="Z51" s="31">
        <f>'TR TUSD'!$Z$51</f>
        <v>0</v>
      </c>
      <c r="AA51" s="31">
        <f>'TR TUSD'!$AA$51</f>
        <v>0</v>
      </c>
      <c r="AB51" s="31">
        <f>SUM($U$51:$AA$51)</f>
        <v>71.920966803282738</v>
      </c>
      <c r="AC51" s="31">
        <f>'TR TUSD'!$AC$51*'TR TUSD'!$AC$60</f>
        <v>82.891566699702835</v>
      </c>
      <c r="AD51" s="31">
        <f>SUM($AC$51:$AC$51)</f>
        <v>82.891566699702835</v>
      </c>
      <c r="AE51" s="31">
        <v>0</v>
      </c>
      <c r="AF51" s="31">
        <v>0</v>
      </c>
      <c r="AG51" s="31">
        <f>SUM($AE$51:$AF$51)</f>
        <v>0</v>
      </c>
      <c r="AH51" s="31">
        <f>'TR TUSD'!$AH$51*'TR TUSD'!$AH$60</f>
        <v>10.847998730078812</v>
      </c>
      <c r="AI51" s="31">
        <f>'TR TUSD'!$AI$51*'TR TUSD'!$AI$60</f>
        <v>0.3488569401510066</v>
      </c>
      <c r="AJ51" s="31">
        <f ca="1">'TR TUSD'!$AJ$51*'TR TUSD'!$AJ$60</f>
        <v>1.1467620544580919</v>
      </c>
      <c r="AK51" s="31">
        <f ca="1">'TR TUSD'!$AK$51*'TR TUSD'!$AK$60</f>
        <v>0.18847558700767</v>
      </c>
      <c r="AL51" s="31">
        <f ca="1">SUM($AH$51:$AK$51)</f>
        <v>12.532093311695581</v>
      </c>
      <c r="AM51" s="31">
        <f ca="1">SUMIF($L$4:$AL$4,"SUBTOTAL",$L$51:$AL$51)</f>
        <v>236.29409058878525</v>
      </c>
      <c r="AP51" s="31">
        <f>IF((1 - CUSTOS!$M$33)&lt;&gt;0,1/(1 - CUSTOS!$M$33),1)</f>
        <v>1.6666666666666667</v>
      </c>
    </row>
    <row r="53" spans="1:42" ht="11.25" customHeight="1" x14ac:dyDescent="0.25">
      <c r="K53" s="35" t="s">
        <v>518</v>
      </c>
      <c r="L53" s="31">
        <f>SUMPRODUCT($I$5:$I51,$L$5:$L51)</f>
        <v>170367.27770803907</v>
      </c>
      <c r="M53" s="31">
        <f>SUMPRODUCT($I$5:$I51,$M$5:$M51)</f>
        <v>32115.181223352898</v>
      </c>
      <c r="N53" s="31">
        <f ca="1">SUMPRODUCT($I$5:$I51,$N$5:$N51)</f>
        <v>147303.02270457582</v>
      </c>
      <c r="O53" s="31">
        <f>SUMPRODUCT($I$5:$I51,$O$5:$O51)</f>
        <v>0</v>
      </c>
      <c r="P53" s="31">
        <f>SUMPRODUCT($I$5:$I51,$P$5:$P51)</f>
        <v>0</v>
      </c>
      <c r="Q53" s="31">
        <f>SUMPRODUCT($I$5:$I51,$Q$5:$Q51)</f>
        <v>6229100.7423415985</v>
      </c>
      <c r="R53" s="31">
        <f>SUMPRODUCT($I$5:$I51,$R$5:$R51)</f>
        <v>1076201.0144336333</v>
      </c>
      <c r="S53" s="31">
        <f>SUMPRODUCT($I$5:$I51,$S$5:$S51)</f>
        <v>0</v>
      </c>
      <c r="T53" s="31">
        <f ca="1">SUMPRODUCT($I$5:$I51,$T$5:$T51)</f>
        <v>7655087.2384112002</v>
      </c>
      <c r="U53" s="31">
        <f>SUMPRODUCT($I$5:$I51,$U$5:$U51)</f>
        <v>0</v>
      </c>
      <c r="V53" s="31">
        <f>SUMPRODUCT($I$5:$I51,$V$5:$V51)</f>
        <v>0</v>
      </c>
      <c r="W53" s="31">
        <f>SUMPRODUCT($I$5:$I51,$W$5:$W51)</f>
        <v>0</v>
      </c>
      <c r="X53" s="31">
        <f>SUMPRODUCT($I$5:$I51,$X$5:$X51)</f>
        <v>0</v>
      </c>
      <c r="Y53" s="31">
        <f>SUMPRODUCT($I$5:$I51,$Y$5:$Y51)</f>
        <v>8758233.2120063994</v>
      </c>
      <c r="Z53" s="31">
        <f>SUMPRODUCT($I$5:$I51,$Z$5:$Z51)</f>
        <v>0</v>
      </c>
      <c r="AA53" s="31">
        <f>SUMPRODUCT($I$5:$I51,$AA$5:$AA51)</f>
        <v>0</v>
      </c>
      <c r="AB53" s="31">
        <f>SUMPRODUCT($I$5:$I51,$AB$5:$AB51)</f>
        <v>8758233.2120063994</v>
      </c>
      <c r="AC53" s="31">
        <f>SUMPRODUCT($I$5:$I51,$AC$5:$AC51)</f>
        <v>5836168.2498144368</v>
      </c>
      <c r="AD53" s="31">
        <f>SUMPRODUCT($I$5:$I51,$AD$5:$AD51)</f>
        <v>5836168.2498144368</v>
      </c>
      <c r="AE53" s="31">
        <f>SUMPRODUCT($I$5:$I51,$AE$5:$AE51)</f>
        <v>0</v>
      </c>
      <c r="AF53" s="31">
        <f>SUMPRODUCT($I$5:$I51,$AF$5:$AF51)</f>
        <v>0</v>
      </c>
      <c r="AG53" s="31">
        <f>SUMPRODUCT($I$5:$I51,$AG$5:$AG51)</f>
        <v>0</v>
      </c>
      <c r="AH53" s="31">
        <f>SUMPRODUCT($I$5:$I51,$AH$5:$AH51)</f>
        <v>1040518.7602159188</v>
      </c>
      <c r="AI53" s="31">
        <f>SUMPRODUCT($I$5:$I51,$AI$5:$AI51)</f>
        <v>33461.673428496732</v>
      </c>
      <c r="AJ53" s="31">
        <f ca="1">SUMPRODUCT($I$5:$I51,$AJ$5:$AJ51)</f>
        <v>116776.54346506554</v>
      </c>
      <c r="AK53" s="31">
        <f ca="1">SUMPRODUCT($I$5:$I51,$AK$5:$AK51)</f>
        <v>19192.758857639066</v>
      </c>
      <c r="AL53" s="31">
        <f ca="1">SUMPRODUCT($I$5:$I51,$AL$5:$AL51)</f>
        <v>1209949.7359671204</v>
      </c>
      <c r="AM53" s="31">
        <f ca="1">SUMPRODUCT($I$5:$I51,$AM$5:$AM51)</f>
        <v>23459438.436199155</v>
      </c>
    </row>
    <row r="54" spans="1:42" ht="11.25" customHeight="1" x14ac:dyDescent="0.25">
      <c r="K54" s="35" t="s">
        <v>450</v>
      </c>
      <c r="L54" s="31">
        <f>'TR TUSD'!$L$56</f>
        <v>170367.27770803907</v>
      </c>
      <c r="M54" s="31">
        <f>'TR TUSD'!$M$56</f>
        <v>32115.181223352905</v>
      </c>
      <c r="N54" s="31">
        <f>'TR TUSD'!$N$56</f>
        <v>147303.02270457585</v>
      </c>
      <c r="O54" s="31">
        <f>'TR TUSD'!$O$56</f>
        <v>0</v>
      </c>
      <c r="P54" s="31">
        <f>'TR TUSD'!$P$56</f>
        <v>0</v>
      </c>
      <c r="Q54" s="31">
        <f>'TR TUSD'!$Q$56</f>
        <v>6229100.7423415985</v>
      </c>
      <c r="R54" s="31">
        <f>'TR TUSD'!$R$56</f>
        <v>1076201.0144336333</v>
      </c>
      <c r="S54" s="31">
        <f>'TR TUSD'!$S$56</f>
        <v>0</v>
      </c>
      <c r="T54" s="31">
        <f>'TR TUSD'!$T$56</f>
        <v>7655087.2384112002</v>
      </c>
      <c r="U54" s="31">
        <f>'TR TUSD'!$U$56</f>
        <v>0</v>
      </c>
      <c r="V54" s="31">
        <f>'TR TUSD'!$V$56</f>
        <v>0</v>
      </c>
      <c r="W54" s="31">
        <f>'TR TUSD'!$W$56</f>
        <v>0</v>
      </c>
      <c r="X54" s="31">
        <f>'TR TUSD'!$X$56</f>
        <v>0</v>
      </c>
      <c r="Y54" s="31">
        <f>'TR TUSD'!$Y$56</f>
        <v>8758233.2120063994</v>
      </c>
      <c r="Z54" s="31">
        <f>'TR TUSD'!$Z$56</f>
        <v>0</v>
      </c>
      <c r="AA54" s="31">
        <f>'TR TUSD'!$AA$56</f>
        <v>0</v>
      </c>
      <c r="AB54" s="31">
        <f>'TR TUSD'!$AB$56</f>
        <v>8758233.2120063994</v>
      </c>
      <c r="AC54" s="31">
        <f>'TR TUSD'!$AC$56</f>
        <v>5836168.2498144377</v>
      </c>
      <c r="AD54" s="31">
        <f>'TR TUSD'!$AD$56</f>
        <v>5836168.2498144377</v>
      </c>
      <c r="AE54" s="31">
        <f>'TR TUSD'!$AE$56</f>
        <v>0</v>
      </c>
      <c r="AF54" s="31">
        <f>'TR TUSD'!$AF$56</f>
        <v>0</v>
      </c>
      <c r="AG54" s="31">
        <f>'TR TUSD'!$AG$56</f>
        <v>0</v>
      </c>
      <c r="AH54" s="31">
        <f>'TR TUSD'!$AH$56</f>
        <v>1040518.760215919</v>
      </c>
      <c r="AI54" s="31">
        <f>'TR TUSD'!$AI$56</f>
        <v>33461.673428496732</v>
      </c>
      <c r="AJ54" s="31">
        <f>'TR TUSD'!$AJ$56</f>
        <v>116776.54346506554</v>
      </c>
      <c r="AK54" s="31">
        <f>'TR TUSD'!$AK$56</f>
        <v>19192.758857639066</v>
      </c>
      <c r="AL54" s="31">
        <f>'TR TUSD'!$AL$56</f>
        <v>1209949.7359671204</v>
      </c>
      <c r="AM54" s="31">
        <f>CUSTOS!$D$29</f>
        <v>23459438.436199158</v>
      </c>
    </row>
    <row r="55" spans="1:42" ht="11.25" customHeight="1" x14ac:dyDescent="0.25">
      <c r="K55" s="35" t="s">
        <v>451</v>
      </c>
      <c r="L55" s="31">
        <f>CUSTOS!$E$2</f>
        <v>3301.4954897160933</v>
      </c>
      <c r="M55" s="31">
        <f>CUSTOS!$E$3</f>
        <v>-709.4579393557384</v>
      </c>
      <c r="N55" s="31">
        <f>CUSTOS!$E$4</f>
        <v>2.7684535812032011E-2</v>
      </c>
      <c r="O55" s="31">
        <f>CUSTOS!$E$5</f>
        <v>0</v>
      </c>
      <c r="P55" s="31">
        <f>CUSTOS!$E$6</f>
        <v>0</v>
      </c>
      <c r="Q55" s="31">
        <f>CUSTOS!$E$7</f>
        <v>93285.851679284708</v>
      </c>
      <c r="R55" s="31">
        <f>CUSTOS!$E$8</f>
        <v>19469.144143643061</v>
      </c>
      <c r="S55" s="31">
        <f>CUSTOS!$E$9</f>
        <v>0</v>
      </c>
      <c r="T55" s="31">
        <f>CUSTOS!$E$10</f>
        <v>115347.06105782394</v>
      </c>
      <c r="U55" s="31">
        <f>CUSTOS!$E$11</f>
        <v>0</v>
      </c>
      <c r="V55" s="31">
        <f>CUSTOS!$E$12</f>
        <v>0</v>
      </c>
      <c r="W55" s="31">
        <f>CUSTOS!$E$13</f>
        <v>0</v>
      </c>
      <c r="X55" s="31">
        <f>CUSTOS!$E$14</f>
        <v>0</v>
      </c>
      <c r="Y55" s="31">
        <f>CUSTOS!$E$15</f>
        <v>400916.46700567618</v>
      </c>
      <c r="Z55" s="31">
        <f>CUSTOS!$E$16</f>
        <v>0</v>
      </c>
      <c r="AA55" s="31">
        <f>CUSTOS!$E$17</f>
        <v>0</v>
      </c>
      <c r="AB55" s="31">
        <f>CUSTOS!$E$18</f>
        <v>400916.46700567618</v>
      </c>
      <c r="AC55" s="31">
        <f>CUSTOS!$E$19</f>
        <v>-95906.210517291445</v>
      </c>
      <c r="AD55" s="31">
        <f>CUSTOS!$E$20</f>
        <v>-95906.210517291445</v>
      </c>
      <c r="AE55" s="31">
        <f>CUSTOS!$E$21</f>
        <v>-2474985.4297311138</v>
      </c>
      <c r="AF55" s="31">
        <f>CUSTOS!$E$22</f>
        <v>0</v>
      </c>
      <c r="AG55" s="31">
        <f>CUSTOS!$E$23</f>
        <v>-2474985.4297311138</v>
      </c>
      <c r="AH55" s="31">
        <f>CUSTOS!$E$24</f>
        <v>-64378.818270429307</v>
      </c>
      <c r="AI55" s="31">
        <f>CUSTOS!$E$25</f>
        <v>-2070.3355624559999</v>
      </c>
      <c r="AJ55" s="31">
        <f>CUSTOS!$E$26</f>
        <v>-7225.1805132531108</v>
      </c>
      <c r="AK55" s="31">
        <f>CUSTOS!$E$27</f>
        <v>2554.9068334908661</v>
      </c>
      <c r="AL55" s="31">
        <f>CUSTOS!$E$28</f>
        <v>-71119.427512647555</v>
      </c>
      <c r="AM55" s="31">
        <f>CUSTOS!$E$29</f>
        <v>-2125747.5396975526</v>
      </c>
    </row>
    <row r="56" spans="1:42" ht="11.25" customHeight="1" x14ac:dyDescent="0.25">
      <c r="K56" s="35" t="s">
        <v>452</v>
      </c>
      <c r="L56" s="31">
        <f>CUSTOS!$F$2</f>
        <v>11176.038919799439</v>
      </c>
      <c r="M56" s="31">
        <f>CUSTOS!$F$3</f>
        <v>0</v>
      </c>
      <c r="N56" s="31">
        <f>CUSTOS!$F$4</f>
        <v>0</v>
      </c>
      <c r="O56" s="31">
        <f>CUSTOS!$F$5</f>
        <v>0</v>
      </c>
      <c r="P56" s="31">
        <f>CUSTOS!$F$6</f>
        <v>0</v>
      </c>
      <c r="Q56" s="31">
        <f>CUSTOS!$F$7</f>
        <v>969884.26800000004</v>
      </c>
      <c r="R56" s="31">
        <f>CUSTOS!$F$8</f>
        <v>232624.6783</v>
      </c>
      <c r="S56" s="31">
        <f>CUSTOS!$F$9</f>
        <v>0</v>
      </c>
      <c r="T56" s="31">
        <f>CUSTOS!$F$10</f>
        <v>1213684.9852197994</v>
      </c>
      <c r="U56" s="31">
        <f>CUSTOS!$F$11</f>
        <v>0</v>
      </c>
      <c r="V56" s="31">
        <f>CUSTOS!$F$12</f>
        <v>0</v>
      </c>
      <c r="W56" s="31">
        <f>CUSTOS!$F$13</f>
        <v>0</v>
      </c>
      <c r="X56" s="31">
        <f>CUSTOS!$F$14</f>
        <v>0</v>
      </c>
      <c r="Y56" s="31">
        <f>CUSTOS!$F$15</f>
        <v>0</v>
      </c>
      <c r="Z56" s="31">
        <f>CUSTOS!$F$16</f>
        <v>0</v>
      </c>
      <c r="AA56" s="31">
        <f>CUSTOS!$F$17</f>
        <v>0</v>
      </c>
      <c r="AB56" s="31">
        <f>CUSTOS!$F$18</f>
        <v>0</v>
      </c>
      <c r="AC56" s="31">
        <f>CUSTOS!$F$19</f>
        <v>0</v>
      </c>
      <c r="AD56" s="31">
        <f>CUSTOS!$F$20</f>
        <v>0</v>
      </c>
      <c r="AE56" s="31">
        <f>CUSTOS!$F$21</f>
        <v>0</v>
      </c>
      <c r="AF56" s="31">
        <f>CUSTOS!$F$22</f>
        <v>0</v>
      </c>
      <c r="AG56" s="31">
        <f>CUSTOS!$F$23</f>
        <v>0</v>
      </c>
      <c r="AH56" s="31">
        <f>CUSTOS!$F$24</f>
        <v>112325.37685601893</v>
      </c>
      <c r="AI56" s="31">
        <f>CUSTOS!$F$25</f>
        <v>3612.2319191140596</v>
      </c>
      <c r="AJ56" s="31">
        <f>CUSTOS!$F$26</f>
        <v>12606.18237189193</v>
      </c>
      <c r="AK56" s="31">
        <f>CUSTOS!$F$27</f>
        <v>0</v>
      </c>
      <c r="AL56" s="31">
        <f>CUSTOS!$F$28</f>
        <v>128543.79114702492</v>
      </c>
      <c r="AM56" s="31">
        <f>CUSTOS!$F$29</f>
        <v>1342228.7763668243</v>
      </c>
    </row>
    <row r="57" spans="1:42" ht="11.25" customHeight="1" x14ac:dyDescent="0.25">
      <c r="K57" s="35" t="s">
        <v>515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f>SUM($L$57:$S$57)</f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f>SUM($U$57:$AA$57)</f>
        <v>0</v>
      </c>
      <c r="AC57" s="31">
        <v>0</v>
      </c>
      <c r="AD57" s="31">
        <f>SUM($AC$57:$AC$57)</f>
        <v>0</v>
      </c>
      <c r="AE57" s="31">
        <v>0</v>
      </c>
      <c r="AF57" s="31">
        <v>0</v>
      </c>
      <c r="AG57" s="31">
        <f>SUM($AE$57:$AF$57)</f>
        <v>0</v>
      </c>
      <c r="AH57" s="31">
        <v>0</v>
      </c>
      <c r="AI57" s="31">
        <v>0</v>
      </c>
      <c r="AJ57" s="31">
        <v>0</v>
      </c>
      <c r="AK57" s="31">
        <v>0</v>
      </c>
      <c r="AL57" s="31">
        <f>SUM($AH$57:$AK$57)</f>
        <v>0</v>
      </c>
      <c r="AM57" s="31">
        <f>SUMIF($L$4:$AL$4,"SUBTOTAL",$L$57:$AL$57)</f>
        <v>0</v>
      </c>
    </row>
    <row r="58" spans="1:42" ht="11.25" customHeight="1" x14ac:dyDescent="0.25">
      <c r="K58" s="35" t="s">
        <v>519</v>
      </c>
      <c r="L58" s="31">
        <f t="shared" ref="L58:R58" si="0">IF((L53-(0))&lt;&gt;0,(L55)/(L53-(0)),0)</f>
        <v>1.9378694865183649E-2</v>
      </c>
      <c r="M58" s="31">
        <f t="shared" si="0"/>
        <v>-2.2091045802346228E-2</v>
      </c>
      <c r="N58" s="31">
        <f t="shared" ca="1" si="0"/>
        <v>1.8794275435579379E-7</v>
      </c>
      <c r="O58" s="31">
        <f t="shared" si="0"/>
        <v>0</v>
      </c>
      <c r="P58" s="31">
        <f t="shared" si="0"/>
        <v>0</v>
      </c>
      <c r="Q58" s="31">
        <f t="shared" si="0"/>
        <v>1.4975813610652469E-2</v>
      </c>
      <c r="R58" s="31">
        <f t="shared" si="0"/>
        <v>1.8090620509114634E-2</v>
      </c>
      <c r="S58" s="31">
        <f>IF((R53-(0)&lt;&gt;0),(S55)/(R53-(0)),0)</f>
        <v>0</v>
      </c>
      <c r="T58" s="31"/>
      <c r="U58" s="31">
        <f t="shared" ref="U58:AA58" si="1">IF((U53-(0))&lt;&gt;0,(U55)/(U53-(0)),0)</f>
        <v>0</v>
      </c>
      <c r="V58" s="31">
        <f t="shared" si="1"/>
        <v>0</v>
      </c>
      <c r="W58" s="31">
        <f t="shared" si="1"/>
        <v>0</v>
      </c>
      <c r="X58" s="31">
        <f t="shared" si="1"/>
        <v>0</v>
      </c>
      <c r="Y58" s="31">
        <f t="shared" si="1"/>
        <v>4.5775952443932622E-2</v>
      </c>
      <c r="Z58" s="31">
        <f t="shared" si="1"/>
        <v>0</v>
      </c>
      <c r="AA58" s="31">
        <f t="shared" si="1"/>
        <v>0</v>
      </c>
      <c r="AB58" s="31"/>
      <c r="AC58" s="31">
        <f>IF((AC53-(0))&lt;&gt;0,(AC55)/(AC53-(0)),0)</f>
        <v>-1.643307841927635E-2</v>
      </c>
      <c r="AD58" s="31"/>
      <c r="AE58" s="31">
        <f ca="1">IF(($AM53-(0))&lt;&gt;0,(AE55)/($AM53-(0)),0)</f>
        <v>-0.10550062553552349</v>
      </c>
      <c r="AF58" s="31">
        <f ca="1">IF(($AM53-(0))&lt;&gt;0,(AF55)/($AM53-(0)),0)</f>
        <v>0</v>
      </c>
      <c r="AG58" s="31"/>
      <c r="AH58" s="31">
        <f>IF((AH53-(0))&lt;&gt;0,(AH55)/(AH53-(0)),0)</f>
        <v>-6.1871847708992782E-2</v>
      </c>
      <c r="AI58" s="31">
        <f>IF((AI53-(0))&lt;&gt;0,(AI55)/(AI53-(0)),0)</f>
        <v>-6.1871847708992775E-2</v>
      </c>
      <c r="AJ58" s="31">
        <f ca="1">IF((AJ53-(0))&lt;&gt;0,(AJ55)/(AJ53-(0)),0)</f>
        <v>-6.1871847708992782E-2</v>
      </c>
      <c r="AK58" s="31">
        <f ca="1">IF((AK53-(0))&lt;&gt;0,(AK55)/(AK53-(0)),0)</f>
        <v>0.13311826884512576</v>
      </c>
      <c r="AL58" s="31"/>
      <c r="AM58" s="31"/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1017" priority="55" operator="notEqual">
      <formula>$L$54-$L$57</formula>
    </cfRule>
    <cfRule type="cellIs" dxfId="1016" priority="56" operator="equal">
      <formula>$L$54-$L$57</formula>
    </cfRule>
  </conditionalFormatting>
  <conditionalFormatting sqref="M53">
    <cfRule type="cellIs" dxfId="1015" priority="53" operator="notEqual">
      <formula>$M$54-$M$57</formula>
    </cfRule>
    <cfRule type="cellIs" dxfId="1014" priority="54" operator="equal">
      <formula>$M$54-$M$57</formula>
    </cfRule>
  </conditionalFormatting>
  <conditionalFormatting sqref="N53">
    <cfRule type="cellIs" dxfId="1013" priority="51" operator="notEqual">
      <formula>$N$54-$N$57</formula>
    </cfRule>
    <cfRule type="cellIs" dxfId="1012" priority="52" operator="equal">
      <formula>$N$54-$N$57</formula>
    </cfRule>
  </conditionalFormatting>
  <conditionalFormatting sqref="O53">
    <cfRule type="cellIs" dxfId="1011" priority="49" operator="notEqual">
      <formula>$O$54-$O$57</formula>
    </cfRule>
    <cfRule type="cellIs" dxfId="1010" priority="50" operator="equal">
      <formula>$O$54-$O$57</formula>
    </cfRule>
  </conditionalFormatting>
  <conditionalFormatting sqref="P53">
    <cfRule type="cellIs" dxfId="1009" priority="47" operator="notEqual">
      <formula>$P$54-$P$57</formula>
    </cfRule>
    <cfRule type="cellIs" dxfId="1008" priority="48" operator="equal">
      <formula>$P$54-$P$57</formula>
    </cfRule>
  </conditionalFormatting>
  <conditionalFormatting sqref="Q53">
    <cfRule type="cellIs" dxfId="1007" priority="45" operator="notEqual">
      <formula>$Q$54-$Q$57</formula>
    </cfRule>
    <cfRule type="cellIs" dxfId="1006" priority="46" operator="equal">
      <formula>$Q$54-$Q$57</formula>
    </cfRule>
  </conditionalFormatting>
  <conditionalFormatting sqref="R53">
    <cfRule type="cellIs" dxfId="1005" priority="43" operator="notEqual">
      <formula>$R$54-$R$57</formula>
    </cfRule>
    <cfRule type="cellIs" dxfId="1004" priority="44" operator="equal">
      <formula>$R$54-$R$57</formula>
    </cfRule>
  </conditionalFormatting>
  <conditionalFormatting sqref="S53">
    <cfRule type="cellIs" dxfId="1003" priority="41" operator="notEqual">
      <formula>$S$54-$S$57</formula>
    </cfRule>
    <cfRule type="cellIs" dxfId="1002" priority="42" operator="equal">
      <formula>$S$54-$S$57</formula>
    </cfRule>
  </conditionalFormatting>
  <conditionalFormatting sqref="T53">
    <cfRule type="cellIs" dxfId="1001" priority="39" operator="notEqual">
      <formula>$T$54-$T$57</formula>
    </cfRule>
    <cfRule type="cellIs" dxfId="1000" priority="40" operator="equal">
      <formula>$T$54-$T$57</formula>
    </cfRule>
  </conditionalFormatting>
  <conditionalFormatting sqref="U53">
    <cfRule type="cellIs" dxfId="999" priority="37" operator="notEqual">
      <formula>$U$54-$U$57</formula>
    </cfRule>
    <cfRule type="cellIs" dxfId="998" priority="38" operator="equal">
      <formula>$U$54-$U$57</formula>
    </cfRule>
  </conditionalFormatting>
  <conditionalFormatting sqref="V53">
    <cfRule type="cellIs" dxfId="997" priority="35" operator="notEqual">
      <formula>$V$54-$V$57</formula>
    </cfRule>
    <cfRule type="cellIs" dxfId="996" priority="36" operator="equal">
      <formula>$V$54-$V$57</formula>
    </cfRule>
  </conditionalFormatting>
  <conditionalFormatting sqref="W53">
    <cfRule type="cellIs" dxfId="995" priority="33" operator="notEqual">
      <formula>$W$54-$W$57</formula>
    </cfRule>
    <cfRule type="cellIs" dxfId="994" priority="34" operator="equal">
      <formula>$W$54-$W$57</formula>
    </cfRule>
  </conditionalFormatting>
  <conditionalFormatting sqref="X53">
    <cfRule type="cellIs" dxfId="993" priority="31" operator="notEqual">
      <formula>$X$54-$X$57</formula>
    </cfRule>
    <cfRule type="cellIs" dxfId="992" priority="32" operator="equal">
      <formula>$X$54-$X$57</formula>
    </cfRule>
  </conditionalFormatting>
  <conditionalFormatting sqref="Y53">
    <cfRule type="cellIs" dxfId="991" priority="29" operator="notEqual">
      <formula>$Y$54-$Y$57</formula>
    </cfRule>
    <cfRule type="cellIs" dxfId="990" priority="30" operator="equal">
      <formula>$Y$54-$Y$57</formula>
    </cfRule>
  </conditionalFormatting>
  <conditionalFormatting sqref="Z53">
    <cfRule type="cellIs" dxfId="989" priority="27" operator="notEqual">
      <formula>$Z$54-$Z$57</formula>
    </cfRule>
    <cfRule type="cellIs" dxfId="988" priority="28" operator="equal">
      <formula>$Z$54-$Z$57</formula>
    </cfRule>
  </conditionalFormatting>
  <conditionalFormatting sqref="AA53">
    <cfRule type="cellIs" dxfId="987" priority="25" operator="notEqual">
      <formula>$AA$54-$AA$57</formula>
    </cfRule>
    <cfRule type="cellIs" dxfId="986" priority="26" operator="equal">
      <formula>$AA$54-$AA$57</formula>
    </cfRule>
  </conditionalFormatting>
  <conditionalFormatting sqref="AB53">
    <cfRule type="cellIs" dxfId="985" priority="23" operator="notEqual">
      <formula>$AB$54-$AB$57</formula>
    </cfRule>
    <cfRule type="cellIs" dxfId="984" priority="24" operator="equal">
      <formula>$AB$54-$AB$57</formula>
    </cfRule>
  </conditionalFormatting>
  <conditionalFormatting sqref="AC53">
    <cfRule type="cellIs" dxfId="983" priority="21" operator="notEqual">
      <formula>$AC$54-$AC$57</formula>
    </cfRule>
    <cfRule type="cellIs" dxfId="982" priority="22" operator="equal">
      <formula>$AC$54-$AC$57</formula>
    </cfRule>
  </conditionalFormatting>
  <conditionalFormatting sqref="AD53">
    <cfRule type="cellIs" dxfId="981" priority="19" operator="notEqual">
      <formula>$AD$54-$AD$57</formula>
    </cfRule>
    <cfRule type="cellIs" dxfId="980" priority="20" operator="equal">
      <formula>$AD$54-$AD$57</formula>
    </cfRule>
  </conditionalFormatting>
  <conditionalFormatting sqref="AE53">
    <cfRule type="cellIs" dxfId="979" priority="17" operator="notEqual">
      <formula>$AE$54-$AE$57</formula>
    </cfRule>
    <cfRule type="cellIs" dxfId="978" priority="18" operator="equal">
      <formula>$AE$54-$AE$57</formula>
    </cfRule>
  </conditionalFormatting>
  <conditionalFormatting sqref="AF53">
    <cfRule type="cellIs" dxfId="977" priority="16" operator="equal">
      <formula>$AF$54-$AF$57</formula>
    </cfRule>
  </conditionalFormatting>
  <conditionalFormatting sqref="AF53">
    <cfRule type="cellIs" dxfId="976" priority="15" operator="notEqual">
      <formula>$AF$54-$AF$57</formula>
    </cfRule>
  </conditionalFormatting>
  <conditionalFormatting sqref="AG53">
    <cfRule type="cellIs" dxfId="975" priority="14" operator="equal">
      <formula>$AG$54-$AG$57</formula>
    </cfRule>
  </conditionalFormatting>
  <conditionalFormatting sqref="AG53">
    <cfRule type="cellIs" dxfId="974" priority="13" operator="notEqual">
      <formula>$AG$54-$AG$57</formula>
    </cfRule>
  </conditionalFormatting>
  <conditionalFormatting sqref="AH53">
    <cfRule type="cellIs" dxfId="973" priority="12" operator="equal">
      <formula>$AH$54-$AH$57</formula>
    </cfRule>
  </conditionalFormatting>
  <conditionalFormatting sqref="AH53">
    <cfRule type="cellIs" dxfId="972" priority="11" operator="notEqual">
      <formula>$AH$54-$AH$57</formula>
    </cfRule>
  </conditionalFormatting>
  <conditionalFormatting sqref="AI53">
    <cfRule type="cellIs" dxfId="971" priority="10" operator="equal">
      <formula>$AI$54-$AI$57</formula>
    </cfRule>
  </conditionalFormatting>
  <conditionalFormatting sqref="AI53">
    <cfRule type="cellIs" dxfId="970" priority="9" operator="notEqual">
      <formula>$AI$54-$AI$57</formula>
    </cfRule>
  </conditionalFormatting>
  <conditionalFormatting sqref="AJ53">
    <cfRule type="cellIs" dxfId="969" priority="8" operator="equal">
      <formula>$AJ$54-$AJ$57</formula>
    </cfRule>
  </conditionalFormatting>
  <conditionalFormatting sqref="AJ53">
    <cfRule type="cellIs" dxfId="968" priority="7" operator="notEqual">
      <formula>$AJ$54-$AJ$57</formula>
    </cfRule>
  </conditionalFormatting>
  <conditionalFormatting sqref="AK53">
    <cfRule type="cellIs" dxfId="967" priority="6" operator="equal">
      <formula>$AK$54-$AK$57</formula>
    </cfRule>
  </conditionalFormatting>
  <conditionalFormatting sqref="AK53">
    <cfRule type="cellIs" dxfId="966" priority="5" operator="notEqual">
      <formula>$AK$54-$AK$57</formula>
    </cfRule>
  </conditionalFormatting>
  <conditionalFormatting sqref="AL53">
    <cfRule type="cellIs" dxfId="965" priority="4" operator="equal">
      <formula>$AL$54-$AL$57</formula>
    </cfRule>
  </conditionalFormatting>
  <conditionalFormatting sqref="AL53">
    <cfRule type="cellIs" dxfId="964" priority="3" operator="notEqual">
      <formula>$AL$54-$AL$57</formula>
    </cfRule>
  </conditionalFormatting>
  <conditionalFormatting sqref="AM53">
    <cfRule type="cellIs" dxfId="963" priority="2" operator="equal">
      <formula>$AM$54-$AM$57</formula>
    </cfRule>
  </conditionalFormatting>
  <conditionalFormatting sqref="AM53">
    <cfRule type="cellIs" dxfId="962" priority="1" operator="notEqual">
      <formula>$AM$54-$AM$57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C66B1-6A4A-44D6-B5E5-2A9D5058CC51}">
  <dimension ref="A1:AP58"/>
  <sheetViews>
    <sheetView showGridLines="0" topLeftCell="AF38" workbookViewId="0">
      <selection activeCell="AO53" sqref="AO53:AP5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7.85546875" style="9" bestFit="1" customWidth="1"/>
    <col min="14" max="14" width="8.7109375" style="9" bestFit="1" customWidth="1"/>
    <col min="15" max="15" width="4.140625" style="9" bestFit="1" customWidth="1"/>
    <col min="16" max="16" width="4.42578125" style="9" bestFit="1" customWidth="1"/>
    <col min="17" max="18" width="10" style="9" bestFit="1" customWidth="1"/>
    <col min="19" max="19" width="8.7109375" style="9" bestFit="1" customWidth="1"/>
    <col min="20" max="20" width="10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" style="9" bestFit="1" customWidth="1"/>
    <col min="31" max="31" width="10.5703125" style="9" bestFit="1" customWidth="1"/>
    <col min="32" max="32" width="7.28515625" style="9" bestFit="1" customWidth="1"/>
    <col min="33" max="33" width="10.5703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0.85546875" style="9" bestFit="1" customWidth="1"/>
    <col min="40" max="40" width="9.140625" style="9"/>
    <col min="41" max="41" width="11.140625" style="9" bestFit="1" customWidth="1"/>
    <col min="42" max="42" width="10.85546875" style="9" bestFit="1" customWidth="1"/>
    <col min="43" max="16384" width="9.140625" style="9"/>
  </cols>
  <sheetData>
    <row r="1" spans="1:42" ht="11.25" customHeight="1" x14ac:dyDescent="0.25">
      <c r="A1" s="133" t="s">
        <v>60</v>
      </c>
      <c r="B1" s="133" t="s">
        <v>61</v>
      </c>
      <c r="C1" s="133" t="s">
        <v>62</v>
      </c>
      <c r="D1" s="133" t="s">
        <v>63</v>
      </c>
      <c r="E1" s="133" t="s">
        <v>64</v>
      </c>
      <c r="F1" s="133" t="s">
        <v>15</v>
      </c>
      <c r="G1" s="133" t="s">
        <v>66</v>
      </c>
      <c r="H1" s="133" t="s">
        <v>67</v>
      </c>
      <c r="I1" s="133" t="s">
        <v>509</v>
      </c>
      <c r="J1" s="129"/>
      <c r="L1" s="134" t="s">
        <v>520</v>
      </c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  <c r="AA1" s="134"/>
      <c r="AB1" s="134"/>
      <c r="AC1" s="134"/>
      <c r="AD1" s="134"/>
      <c r="AE1" s="134"/>
      <c r="AF1" s="134"/>
      <c r="AG1" s="134"/>
      <c r="AH1" s="134"/>
      <c r="AI1" s="134"/>
      <c r="AJ1" s="134"/>
      <c r="AK1" s="134"/>
      <c r="AL1" s="134"/>
      <c r="AM1" s="134"/>
      <c r="AO1" s="44"/>
      <c r="AP1" s="138" t="s">
        <v>511</v>
      </c>
    </row>
    <row r="2" spans="1:42" ht="11.25" customHeight="1" x14ac:dyDescent="0.25">
      <c r="A2" s="133"/>
      <c r="B2" s="133"/>
      <c r="C2" s="133"/>
      <c r="D2" s="133"/>
      <c r="E2" s="133"/>
      <c r="F2" s="133"/>
      <c r="G2" s="133"/>
      <c r="H2" s="133"/>
      <c r="I2" s="133"/>
      <c r="J2" s="129"/>
      <c r="L2" s="134" t="s">
        <v>408</v>
      </c>
      <c r="M2" s="134"/>
      <c r="N2" s="134"/>
      <c r="O2" s="134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  <c r="AA2" s="134"/>
      <c r="AB2" s="134"/>
      <c r="AC2" s="134"/>
      <c r="AD2" s="134"/>
      <c r="AE2" s="134"/>
      <c r="AF2" s="134"/>
      <c r="AG2" s="134"/>
      <c r="AH2" s="134"/>
      <c r="AI2" s="134"/>
      <c r="AJ2" s="134"/>
      <c r="AK2" s="134"/>
      <c r="AL2" s="134"/>
      <c r="AM2" s="134"/>
      <c r="AO2" s="44"/>
      <c r="AP2" s="139"/>
    </row>
    <row r="3" spans="1:42" ht="11.25" customHeight="1" x14ac:dyDescent="0.25">
      <c r="A3" s="133"/>
      <c r="B3" s="133"/>
      <c r="C3" s="133"/>
      <c r="D3" s="133"/>
      <c r="E3" s="133"/>
      <c r="F3" s="133"/>
      <c r="G3" s="133"/>
      <c r="H3" s="133"/>
      <c r="I3" s="133"/>
      <c r="J3" s="129"/>
      <c r="L3" s="134" t="s">
        <v>409</v>
      </c>
      <c r="M3" s="134"/>
      <c r="N3" s="134"/>
      <c r="O3" s="134"/>
      <c r="P3" s="134"/>
      <c r="Q3" s="134"/>
      <c r="R3" s="134"/>
      <c r="S3" s="134"/>
      <c r="T3" s="134"/>
      <c r="U3" s="134" t="s">
        <v>418</v>
      </c>
      <c r="V3" s="134"/>
      <c r="W3" s="134"/>
      <c r="X3" s="134"/>
      <c r="Y3" s="134"/>
      <c r="Z3" s="134"/>
      <c r="AA3" s="134"/>
      <c r="AB3" s="134"/>
      <c r="AC3" s="134" t="s">
        <v>426</v>
      </c>
      <c r="AD3" s="134"/>
      <c r="AE3" s="134" t="s">
        <v>428</v>
      </c>
      <c r="AF3" s="134"/>
      <c r="AG3" s="134"/>
      <c r="AH3" s="134" t="s">
        <v>431</v>
      </c>
      <c r="AI3" s="134"/>
      <c r="AJ3" s="134"/>
      <c r="AK3" s="134"/>
      <c r="AL3" s="134"/>
      <c r="AM3" s="134" t="s">
        <v>417</v>
      </c>
      <c r="AO3" s="44"/>
      <c r="AP3" s="139"/>
    </row>
    <row r="4" spans="1:42" ht="11.25" customHeight="1" x14ac:dyDescent="0.25">
      <c r="A4" s="133"/>
      <c r="B4" s="133"/>
      <c r="C4" s="133"/>
      <c r="D4" s="133"/>
      <c r="E4" s="133"/>
      <c r="F4" s="133"/>
      <c r="G4" s="133"/>
      <c r="H4" s="133"/>
      <c r="I4" s="133"/>
      <c r="J4" s="129"/>
      <c r="L4" s="40" t="s">
        <v>494</v>
      </c>
      <c r="M4" s="40" t="s">
        <v>410</v>
      </c>
      <c r="N4" s="40" t="s">
        <v>411</v>
      </c>
      <c r="O4" s="40" t="s">
        <v>412</v>
      </c>
      <c r="P4" s="40" t="s">
        <v>413</v>
      </c>
      <c r="Q4" s="40" t="s">
        <v>414</v>
      </c>
      <c r="R4" s="40" t="s">
        <v>415</v>
      </c>
      <c r="S4" s="40" t="s">
        <v>416</v>
      </c>
      <c r="T4" s="40" t="s">
        <v>417</v>
      </c>
      <c r="U4" s="40" t="s">
        <v>419</v>
      </c>
      <c r="V4" s="40" t="s">
        <v>420</v>
      </c>
      <c r="W4" s="40" t="s">
        <v>421</v>
      </c>
      <c r="X4" s="40" t="s">
        <v>422</v>
      </c>
      <c r="Y4" s="40" t="s">
        <v>423</v>
      </c>
      <c r="Z4" s="40" t="s">
        <v>424</v>
      </c>
      <c r="AA4" s="40" t="s">
        <v>425</v>
      </c>
      <c r="AB4" s="40" t="s">
        <v>417</v>
      </c>
      <c r="AC4" s="40" t="s">
        <v>427</v>
      </c>
      <c r="AD4" s="40" t="s">
        <v>417</v>
      </c>
      <c r="AE4" s="40" t="s">
        <v>429</v>
      </c>
      <c r="AF4" s="40" t="s">
        <v>430</v>
      </c>
      <c r="AG4" s="40" t="s">
        <v>417</v>
      </c>
      <c r="AH4" s="40" t="s">
        <v>432</v>
      </c>
      <c r="AI4" s="40" t="s">
        <v>433</v>
      </c>
      <c r="AJ4" s="40" t="s">
        <v>434</v>
      </c>
      <c r="AK4" s="40" t="s">
        <v>435</v>
      </c>
      <c r="AL4" s="40" t="s">
        <v>417</v>
      </c>
      <c r="AM4" s="136"/>
      <c r="AO4" s="45" t="s">
        <v>522</v>
      </c>
      <c r="AP4" s="140"/>
    </row>
    <row r="5" spans="1:42" ht="11.25" customHeight="1" x14ac:dyDescent="0.25">
      <c r="A5" s="137" t="s">
        <v>34</v>
      </c>
      <c r="B5" s="137" t="s">
        <v>51</v>
      </c>
      <c r="C5" s="137" t="s">
        <v>25</v>
      </c>
      <c r="D5" s="137" t="s">
        <v>25</v>
      </c>
      <c r="E5" s="137" t="s">
        <v>25</v>
      </c>
      <c r="F5" s="137" t="s">
        <v>25</v>
      </c>
      <c r="G5" s="41" t="s">
        <v>76</v>
      </c>
      <c r="H5" s="41" t="s">
        <v>75</v>
      </c>
      <c r="I5" s="41">
        <f>'MERCADO TUSD'!$U$2</f>
        <v>20487</v>
      </c>
      <c r="J5" s="15"/>
      <c r="L5" s="31">
        <f>'TUSD BE'!$L$5*'TUSD BE'!$L$58</f>
        <v>0</v>
      </c>
      <c r="M5" s="31">
        <f>'TUSD BE'!$M$5*'TUSD BE'!$M$58</f>
        <v>0</v>
      </c>
      <c r="N5" s="31">
        <f ca="1">'TUSD BE'!$N$5*'TUSD BE'!$N$58</f>
        <v>0</v>
      </c>
      <c r="O5" s="31">
        <f>'TUSD BE'!$O$5*'TUSD BE'!$O$58</f>
        <v>0</v>
      </c>
      <c r="P5" s="31">
        <f>'TUSD BE'!$P$5*'TUSD BE'!$P$58</f>
        <v>0</v>
      </c>
      <c r="Q5" s="31">
        <f>'TUSD BE'!$Q$5*'TUSD BE'!$Q$58</f>
        <v>0</v>
      </c>
      <c r="R5" s="31">
        <f>'TUSD BE'!$R$5*'TUSD BE'!$R$58</f>
        <v>0</v>
      </c>
      <c r="S5" s="31">
        <f>'TUSD BE'!$R$5*'TUSD BE'!$S$58</f>
        <v>0</v>
      </c>
      <c r="T5" s="31">
        <f ca="1">SUM($L$5:$S$5)</f>
        <v>0</v>
      </c>
      <c r="U5" s="31">
        <f>'TUSD BE'!$U$5*'TUSD BE'!$U$58</f>
        <v>0</v>
      </c>
      <c r="V5" s="31">
        <f>'TUSD BE'!$V$5*'TUSD BE'!$V$58</f>
        <v>0</v>
      </c>
      <c r="W5" s="31">
        <f>'TUSD BE'!$W$5*'TUSD BE'!$W$58</f>
        <v>0</v>
      </c>
      <c r="X5" s="31">
        <f>'TUSD BE'!$X$5*'TUSD BE'!$X$58</f>
        <v>0</v>
      </c>
      <c r="Y5" s="31">
        <f>'TUSD BE'!$Y$5*'TUSD BE'!$Y$58</f>
        <v>1.4162052576105069</v>
      </c>
      <c r="Z5" s="31">
        <f>'TUSD BE'!$Z$5*'TUSD BE'!$Z$58</f>
        <v>0</v>
      </c>
      <c r="AA5" s="31">
        <f>'TUSD BE'!$AA$5*'TUSD BE'!$AA$58</f>
        <v>0</v>
      </c>
      <c r="AB5" s="31">
        <f>SUM($U$5:$AA$5)</f>
        <v>1.4162052576105069</v>
      </c>
      <c r="AC5" s="31">
        <f>'TUSD BE'!$AC$5*'TUSD BE'!$AC$58</f>
        <v>-0.11221862071963694</v>
      </c>
      <c r="AD5" s="31">
        <f>SUM($AC$5:$AC$5)</f>
        <v>-0.11221862071963694</v>
      </c>
      <c r="AE5" s="31">
        <f ca="1">$AO$5*$AO$55</f>
        <v>-3.9843979689927789</v>
      </c>
      <c r="AF5" s="31">
        <f ca="1">$AP$5*$AP$55</f>
        <v>0</v>
      </c>
      <c r="AG5" s="31">
        <f ca="1">SUM($AE$5:$AF$5)</f>
        <v>-3.9843979689927789</v>
      </c>
      <c r="AH5" s="31">
        <f>'TUSD BE'!$AH$5*'TUSD BE'!$AH$58</f>
        <v>0</v>
      </c>
      <c r="AI5" s="31">
        <f>'TUSD BE'!$AI$5*'TUSD BE'!$AI$58</f>
        <v>0</v>
      </c>
      <c r="AJ5" s="31">
        <f ca="1">'TUSD BE'!$AJ$5*'TUSD BE'!$AJ$58</f>
        <v>0</v>
      </c>
      <c r="AK5" s="31">
        <f ca="1">'TUSD BE'!$AK$5*'TUSD BE'!$AK$58</f>
        <v>0</v>
      </c>
      <c r="AL5" s="31">
        <f ca="1">SUM($AH$5:$AK$5)</f>
        <v>0</v>
      </c>
      <c r="AM5" s="31">
        <f ca="1">SUMIF($L$4:$AL$4,"SUBTOTAL",$L$5:$AL$5)</f>
        <v>-2.680411332101909</v>
      </c>
      <c r="AO5" s="44">
        <f ca="1">+'TUSD BE'!$T$5+'TUSD BE'!$AB$5+'TUSD BE'!$AD$5+'TUSD BE'!$AL$5</f>
        <v>37.76658146591916</v>
      </c>
      <c r="AP5" s="44">
        <f ca="1">+'TUSD BE'!$T$5+'TUSD BE'!$AB$5+'TUSD BE'!$AD$5+'TUSD BE'!$AL$5</f>
        <v>37.76658146591916</v>
      </c>
    </row>
    <row r="6" spans="1:42" ht="11.25" customHeight="1" x14ac:dyDescent="0.25">
      <c r="A6" s="137"/>
      <c r="B6" s="137"/>
      <c r="C6" s="137"/>
      <c r="D6" s="137"/>
      <c r="E6" s="137"/>
      <c r="F6" s="137"/>
      <c r="G6" s="41" t="s">
        <v>77</v>
      </c>
      <c r="H6" s="41" t="s">
        <v>75</v>
      </c>
      <c r="I6" s="41">
        <f>'MERCADO TUSD'!$U$3</f>
        <v>21624</v>
      </c>
      <c r="J6" s="15"/>
      <c r="L6" s="31">
        <f>'TUSD BE'!$L$6*'TUSD BE'!$L$58</f>
        <v>0</v>
      </c>
      <c r="M6" s="31">
        <f>'TUSD BE'!$M$6*'TUSD BE'!$M$58</f>
        <v>0</v>
      </c>
      <c r="N6" s="31">
        <f ca="1">'TUSD BE'!$N$6*'TUSD BE'!$N$58</f>
        <v>0</v>
      </c>
      <c r="O6" s="31">
        <f>'TUSD BE'!$O$6*'TUSD BE'!$O$58</f>
        <v>0</v>
      </c>
      <c r="P6" s="31">
        <f>'TUSD BE'!$P$6*'TUSD BE'!$P$58</f>
        <v>0</v>
      </c>
      <c r="Q6" s="31">
        <f>'TUSD BE'!$Q$6*'TUSD BE'!$Q$58</f>
        <v>0</v>
      </c>
      <c r="R6" s="31">
        <f>'TUSD BE'!$R$6*'TUSD BE'!$R$58</f>
        <v>0</v>
      </c>
      <c r="S6" s="31">
        <f>'TUSD BE'!$R$6*'TUSD BE'!$S$58</f>
        <v>0</v>
      </c>
      <c r="T6" s="31">
        <f ca="1">SUM($L$6:$S$6)</f>
        <v>0</v>
      </c>
      <c r="U6" s="31">
        <f>'TUSD BE'!$U$6*'TUSD BE'!$U$58</f>
        <v>0</v>
      </c>
      <c r="V6" s="31">
        <f>'TUSD BE'!$V$6*'TUSD BE'!$V$58</f>
        <v>0</v>
      </c>
      <c r="W6" s="31">
        <f>'TUSD BE'!$W$6*'TUSD BE'!$W$58</f>
        <v>0</v>
      </c>
      <c r="X6" s="31">
        <f>'TUSD BE'!$X$6*'TUSD BE'!$X$58</f>
        <v>0</v>
      </c>
      <c r="Y6" s="31">
        <f>'TUSD BE'!$Y$6*'TUSD BE'!$Y$58</f>
        <v>0.82894555860018881</v>
      </c>
      <c r="Z6" s="31">
        <f>'TUSD BE'!$Z$6*'TUSD BE'!$Z$58</f>
        <v>0</v>
      </c>
      <c r="AA6" s="31">
        <f>'TUSD BE'!$AA$6*'TUSD BE'!$AA$58</f>
        <v>0</v>
      </c>
      <c r="AB6" s="31">
        <f>SUM($U$6:$AA$6)</f>
        <v>0.82894555860018881</v>
      </c>
      <c r="AC6" s="31">
        <f>'TUSD BE'!$AC$6*'TUSD BE'!$AC$58</f>
        <v>-4.8791594623099871E-2</v>
      </c>
      <c r="AD6" s="31">
        <f>SUM($AC$6:$AC$6)</f>
        <v>-4.8791594623099871E-2</v>
      </c>
      <c r="AE6" s="31">
        <f ca="1">$AO$6*$AO$55</f>
        <v>-2.2237279131182603</v>
      </c>
      <c r="AF6" s="31">
        <f ca="1">$AP$6*$AP$55</f>
        <v>0</v>
      </c>
      <c r="AG6" s="31">
        <f ca="1">SUM($AE$6:$AF$6)</f>
        <v>-2.2237279131182603</v>
      </c>
      <c r="AH6" s="31">
        <f>'TUSD BE'!$AH$6*'TUSD BE'!$AH$58</f>
        <v>0</v>
      </c>
      <c r="AI6" s="31">
        <f>'TUSD BE'!$AI$6*'TUSD BE'!$AI$58</f>
        <v>0</v>
      </c>
      <c r="AJ6" s="31">
        <f ca="1">'TUSD BE'!$AJ$6*'TUSD BE'!$AJ$58</f>
        <v>0</v>
      </c>
      <c r="AK6" s="31">
        <f ca="1">'TUSD BE'!$AK$6*'TUSD BE'!$AK$58</f>
        <v>0</v>
      </c>
      <c r="AL6" s="31">
        <f ca="1">SUM($AH$6:$AK$6)</f>
        <v>0</v>
      </c>
      <c r="AM6" s="31">
        <f ca="1">SUMIF($L$4:$AL$4,"SUBTOTAL",$L$6:$AL$6)</f>
        <v>-1.4435739491411714</v>
      </c>
      <c r="AO6" s="44">
        <f ca="1">+'TUSD BE'!$T$6+'TUSD BE'!$AB$6+'TUSD BE'!$AD$6+'TUSD BE'!$AL$6</f>
        <v>21.077864721944241</v>
      </c>
      <c r="AP6" s="44">
        <f ca="1">+'TUSD BE'!$T$6+'TUSD BE'!$AB$6+'TUSD BE'!$AD$6+'TUSD BE'!$AL$6</f>
        <v>21.077864721944241</v>
      </c>
    </row>
    <row r="7" spans="1:42" ht="11.25" customHeight="1" x14ac:dyDescent="0.25">
      <c r="A7" s="137"/>
      <c r="B7" s="137"/>
      <c r="C7" s="137"/>
      <c r="D7" s="137"/>
      <c r="E7" s="137"/>
      <c r="F7" s="137"/>
      <c r="G7" s="41" t="s">
        <v>74</v>
      </c>
      <c r="H7" s="41" t="s">
        <v>70</v>
      </c>
      <c r="I7" s="41">
        <f>'MERCADO TUSD'!$U$4</f>
        <v>8675.9390000000003</v>
      </c>
      <c r="J7" s="15"/>
      <c r="L7" s="31">
        <f>'TUSD BE'!$L$7*'TUSD BE'!$L$58</f>
        <v>4.1675723657298103E-2</v>
      </c>
      <c r="M7" s="31">
        <f>'TUSD BE'!$M$7*'TUSD BE'!$M$58</f>
        <v>-2.826520952851741E-3</v>
      </c>
      <c r="N7" s="31">
        <f ca="1">'TUSD BE'!$N$7*'TUSD BE'!$N$58</f>
        <v>5.2266933871218434E-8</v>
      </c>
      <c r="O7" s="31">
        <f>'TUSD BE'!$O$7*'TUSD BE'!$O$58</f>
        <v>0</v>
      </c>
      <c r="P7" s="31">
        <f>'TUSD BE'!$P$7*'TUSD BE'!$P$58</f>
        <v>0</v>
      </c>
      <c r="Q7" s="31">
        <f>'TUSD BE'!$Q$7*'TUSD BE'!$Q$58</f>
        <v>1.1775740381386646</v>
      </c>
      <c r="R7" s="31">
        <f>'TUSD BE'!$R$7*'TUSD BE'!$R$58</f>
        <v>0.26830949317951003</v>
      </c>
      <c r="S7" s="31">
        <f>'TUSD BE'!$R$7*'TUSD BE'!$S$58</f>
        <v>0</v>
      </c>
      <c r="T7" s="31">
        <f ca="1">SUM($L$7:$S$7)</f>
        <v>1.4847327862895547</v>
      </c>
      <c r="U7" s="31">
        <f>'TUSD BE'!$U$7*'TUSD BE'!$U$58</f>
        <v>0</v>
      </c>
      <c r="V7" s="31">
        <f>'TUSD BE'!$V$7*'TUSD BE'!$V$58</f>
        <v>0</v>
      </c>
      <c r="W7" s="31">
        <f>'TUSD BE'!$W$7*'TUSD BE'!$W$58</f>
        <v>0</v>
      </c>
      <c r="X7" s="31">
        <f>'TUSD BE'!$X$7*'TUSD BE'!$X$58</f>
        <v>0</v>
      </c>
      <c r="Y7" s="31">
        <f>'TUSD BE'!$Y$7*'TUSD BE'!$Y$58</f>
        <v>0</v>
      </c>
      <c r="Z7" s="31">
        <f>'TUSD BE'!$Z$7*'TUSD BE'!$Z$58</f>
        <v>0</v>
      </c>
      <c r="AA7" s="31">
        <f>'TUSD BE'!$AA$7*'TUSD BE'!$AA$58</f>
        <v>0</v>
      </c>
      <c r="AB7" s="31">
        <f>SUM($U$7:$AA$7)</f>
        <v>0</v>
      </c>
      <c r="AC7" s="31">
        <f>'TUSD BE'!$AC$7*'TUSD BE'!$AC$58</f>
        <v>0</v>
      </c>
      <c r="AD7" s="31">
        <f>SUM($AC$7:$AC$7)</f>
        <v>0</v>
      </c>
      <c r="AE7" s="31">
        <f ca="1">$AO$7*$AO$55</f>
        <v>-11.419788281754164</v>
      </c>
      <c r="AF7" s="31">
        <f ca="1">$AP$7*$AP$55</f>
        <v>0</v>
      </c>
      <c r="AG7" s="31">
        <f ca="1">SUM($AE$7:$AF$7)</f>
        <v>-11.419788281754164</v>
      </c>
      <c r="AH7" s="31">
        <f>'TUSD BE'!$AH$7*'TUSD BE'!$AH$58</f>
        <v>-0.64344372545479267</v>
      </c>
      <c r="AI7" s="31">
        <f>'TUSD BE'!$AI$7*'TUSD BE'!$AI$58</f>
        <v>-2.0692278346154683E-2</v>
      </c>
      <c r="AJ7" s="31">
        <f ca="1">'TUSD BE'!$AJ$7*'TUSD BE'!$AJ$58</f>
        <v>-7.917379154775718E-2</v>
      </c>
      <c r="AK7" s="31">
        <f ca="1">'TUSD BE'!$AK$7*'TUSD BE'!$AK$58</f>
        <v>2.7996762252195908E-2</v>
      </c>
      <c r="AL7" s="31">
        <f ca="1">SUM($AH$7:$AK$7)</f>
        <v>-0.71531303309650862</v>
      </c>
      <c r="AM7" s="31">
        <f ca="1">SUMIF($L$4:$AL$4,"SUBTOTAL",$L$7:$AL$7)</f>
        <v>-10.650368528561117</v>
      </c>
      <c r="AO7" s="44">
        <f ca="1">+'TUSD BE'!$T$7+'TUSD BE'!$AB$7+'TUSD BE'!$AD$7+'TUSD BE'!$AL$7</f>
        <v>108.2437968854409</v>
      </c>
      <c r="AP7" s="44">
        <f ca="1">+'TUSD BE'!$T$7+'TUSD BE'!$AB$7+'TUSD BE'!$AD$7+'TUSD BE'!$AL$7</f>
        <v>108.2437968854409</v>
      </c>
    </row>
    <row r="8" spans="1:42" ht="11.25" customHeight="1" x14ac:dyDescent="0.25">
      <c r="A8" s="137"/>
      <c r="B8" s="137"/>
      <c r="C8" s="137"/>
      <c r="D8" s="137"/>
      <c r="E8" s="42" t="s">
        <v>78</v>
      </c>
      <c r="F8" s="42" t="s">
        <v>25</v>
      </c>
      <c r="G8" s="41" t="s">
        <v>74</v>
      </c>
      <c r="H8" s="41" t="s">
        <v>70</v>
      </c>
      <c r="I8" s="41">
        <f>'MERCADO TUSD'!$U$5</f>
        <v>0</v>
      </c>
      <c r="J8" s="15"/>
      <c r="L8" s="31">
        <f>'TUSD BE'!$L$8*'TUSD BE'!$L$58</f>
        <v>0</v>
      </c>
      <c r="M8" s="31">
        <f>'TUSD BE'!$M$8*'TUSD BE'!$M$58</f>
        <v>-2.826520952851741E-3</v>
      </c>
      <c r="N8" s="31">
        <f ca="1">'TUSD BE'!$N$8*'TUSD BE'!$N$58</f>
        <v>5.0151177671311982E-8</v>
      </c>
      <c r="O8" s="31">
        <f>'TUSD BE'!$O$8*'TUSD BE'!$O$58</f>
        <v>0</v>
      </c>
      <c r="P8" s="31">
        <f>'TUSD BE'!$P$8*'TUSD BE'!$P$58</f>
        <v>0</v>
      </c>
      <c r="Q8" s="31">
        <f>'TUSD BE'!$Q$8*'TUSD BE'!$Q$58</f>
        <v>0</v>
      </c>
      <c r="R8" s="31">
        <f>'TUSD BE'!$R$8*'TUSD BE'!$R$58</f>
        <v>0</v>
      </c>
      <c r="S8" s="31">
        <f>'TUSD BE'!$R$8*'TUSD BE'!$S$58</f>
        <v>0</v>
      </c>
      <c r="T8" s="31">
        <f ca="1">SUM($L$8:$S$8)</f>
        <v>-2.8264708016740698E-3</v>
      </c>
      <c r="U8" s="31">
        <f>'TUSD BE'!$U$8*'TUSD BE'!$U$58</f>
        <v>0</v>
      </c>
      <c r="V8" s="31">
        <f>'TUSD BE'!$V$8*'TUSD BE'!$V$58</f>
        <v>0</v>
      </c>
      <c r="W8" s="31">
        <f>'TUSD BE'!$W$8*'TUSD BE'!$W$58</f>
        <v>0</v>
      </c>
      <c r="X8" s="31">
        <f>'TUSD BE'!$X$8*'TUSD BE'!$X$58</f>
        <v>0</v>
      </c>
      <c r="Y8" s="31">
        <f>'TUSD BE'!$Y$8*'TUSD BE'!$Y$58</f>
        <v>0</v>
      </c>
      <c r="Z8" s="31">
        <f>'TUSD BE'!$Z$8*'TUSD BE'!$Z$58</f>
        <v>0</v>
      </c>
      <c r="AA8" s="31">
        <f>'TUSD BE'!$AA$8*'TUSD BE'!$AA$58</f>
        <v>0</v>
      </c>
      <c r="AB8" s="31">
        <f>SUM($U$8:$AA$8)</f>
        <v>0</v>
      </c>
      <c r="AC8" s="31">
        <f>'TUSD BE'!$AC$8*'TUSD BE'!$AC$58</f>
        <v>0</v>
      </c>
      <c r="AD8" s="31">
        <f>SUM($AC$8:$AC$8)</f>
        <v>0</v>
      </c>
      <c r="AE8" s="31">
        <f ca="1">$AO$8*$AO$55</f>
        <v>-1.3312919431011787</v>
      </c>
      <c r="AF8" s="31">
        <f ca="1">$AP$8*$AP$55</f>
        <v>0</v>
      </c>
      <c r="AG8" s="31">
        <f ca="1">SUM($AE$8:$AF$8)</f>
        <v>-1.3312919431011787</v>
      </c>
      <c r="AH8" s="31">
        <f>'TUSD BE'!$AH$8*'TUSD BE'!$AH$58</f>
        <v>-0.64344372545479267</v>
      </c>
      <c r="AI8" s="31">
        <f>'TUSD BE'!$AI$8*'TUSD BE'!$AI$58</f>
        <v>-2.0692278346154683E-2</v>
      </c>
      <c r="AJ8" s="31">
        <f ca="1">'TUSD BE'!$AJ$8*'TUSD BE'!$AJ$58</f>
        <v>-7.917379154775718E-2</v>
      </c>
      <c r="AK8" s="31">
        <f ca="1">'TUSD BE'!$AK$8*'TUSD BE'!$AK$58</f>
        <v>2.7996762252195908E-2</v>
      </c>
      <c r="AL8" s="31">
        <f ca="1">SUM($AH$8:$AK$8)</f>
        <v>-0.71531303309650862</v>
      </c>
      <c r="AM8" s="31">
        <f ca="1">SUMIF($L$4:$AL$4,"SUBTOTAL",$L$8:$AL$8)</f>
        <v>-2.0494314469993613</v>
      </c>
      <c r="AO8" s="44">
        <f ca="1">+'TUSD BE'!$T$8+'TUSD BE'!$AB$8+'TUSD BE'!$AD$8+'TUSD BE'!$AL$8</f>
        <v>12.618806157247993</v>
      </c>
      <c r="AP8" s="44">
        <f ca="1">+'TUSD BE'!$T$8+'TUSD BE'!$AB$8+'TUSD BE'!$AD$8+'TUSD BE'!$AL$8</f>
        <v>12.618806157247993</v>
      </c>
    </row>
    <row r="9" spans="1:42" ht="11.25" customHeight="1" x14ac:dyDescent="0.25">
      <c r="A9" s="137"/>
      <c r="B9" s="42" t="s">
        <v>79</v>
      </c>
      <c r="C9" s="42" t="s">
        <v>25</v>
      </c>
      <c r="D9" s="42" t="s">
        <v>25</v>
      </c>
      <c r="E9" s="42" t="s">
        <v>25</v>
      </c>
      <c r="F9" s="42" t="s">
        <v>25</v>
      </c>
      <c r="G9" s="41" t="s">
        <v>9</v>
      </c>
      <c r="H9" s="41" t="s">
        <v>75</v>
      </c>
      <c r="I9" s="41">
        <f>'MERCADO TUSD'!$U$6</f>
        <v>0</v>
      </c>
      <c r="J9" s="15"/>
      <c r="L9" s="31">
        <f>'TUSD BE'!$L$9*'TUSD BE'!$L$58</f>
        <v>0</v>
      </c>
      <c r="M9" s="31">
        <f>'TUSD BE'!$M$9*'TUSD BE'!$M$58</f>
        <v>-2.9582904696233989E-4</v>
      </c>
      <c r="N9" s="31">
        <f ca="1">'TUSD BE'!$N$9*'TUSD BE'!$N$58</f>
        <v>6.8550500876968814E-9</v>
      </c>
      <c r="O9" s="31">
        <f>'TUSD BE'!$O$9*'TUSD BE'!$O$58</f>
        <v>0</v>
      </c>
      <c r="P9" s="31">
        <f>'TUSD BE'!$P$9*'TUSD BE'!$P$58</f>
        <v>0</v>
      </c>
      <c r="Q9" s="31">
        <f>'TUSD BE'!$Q$9*'TUSD BE'!$Q$58</f>
        <v>0</v>
      </c>
      <c r="R9" s="31">
        <f>'TUSD BE'!$R$9*'TUSD BE'!$R$58</f>
        <v>0</v>
      </c>
      <c r="S9" s="31">
        <f>'TUSD BE'!$R$9*'TUSD BE'!$S$58</f>
        <v>0</v>
      </c>
      <c r="T9" s="31">
        <f ca="1">SUM($L$9:$S$9)</f>
        <v>-2.958221919122522E-4</v>
      </c>
      <c r="U9" s="31">
        <f>'TUSD BE'!$U$9*'TUSD BE'!$U$58</f>
        <v>0</v>
      </c>
      <c r="V9" s="31">
        <f>'TUSD BE'!$V$9*'TUSD BE'!$V$58</f>
        <v>0</v>
      </c>
      <c r="W9" s="31">
        <f>'TUSD BE'!$W$9*'TUSD BE'!$W$58</f>
        <v>0</v>
      </c>
      <c r="X9" s="31">
        <f>'TUSD BE'!$X$9*'TUSD BE'!$X$58</f>
        <v>0</v>
      </c>
      <c r="Y9" s="31">
        <f>'TUSD BE'!$Y$9*'TUSD BE'!$Y$58</f>
        <v>0</v>
      </c>
      <c r="Z9" s="31">
        <f>'TUSD BE'!$Z$9*'TUSD BE'!$Z$58</f>
        <v>0</v>
      </c>
      <c r="AA9" s="31">
        <f>'TUSD BE'!$AA$9*'TUSD BE'!$AA$58</f>
        <v>0</v>
      </c>
      <c r="AB9" s="31">
        <f>SUM($U$9:$AA$9)</f>
        <v>0</v>
      </c>
      <c r="AC9" s="31">
        <f>'TUSD BE'!$AC$9*'TUSD BE'!$AC$58</f>
        <v>-5.5130203405768012E-2</v>
      </c>
      <c r="AD9" s="31">
        <f>SUM($AC$9:$AC$9)</f>
        <v>-5.5130203405768012E-2</v>
      </c>
      <c r="AE9" s="31">
        <f ca="1">$AO$9*$AO$55</f>
        <v>-0.35919762593769938</v>
      </c>
      <c r="AF9" s="31">
        <f ca="1">$AP$9*$AP$55</f>
        <v>0</v>
      </c>
      <c r="AG9" s="31">
        <f ca="1">SUM($AE$9:$AF$9)</f>
        <v>-0.35919762593769938</v>
      </c>
      <c r="AH9" s="31">
        <f>'TUSD BE'!$AH$9*'TUSD BE'!$AH$58</f>
        <v>0</v>
      </c>
      <c r="AI9" s="31">
        <f>'TUSD BE'!$AI$9*'TUSD BE'!$AI$58</f>
        <v>0</v>
      </c>
      <c r="AJ9" s="31">
        <f ca="1">'TUSD BE'!$AJ$9*'TUSD BE'!$AJ$58</f>
        <v>0</v>
      </c>
      <c r="AK9" s="31">
        <f ca="1">'TUSD BE'!$AK$9*'TUSD BE'!$AK$58</f>
        <v>0</v>
      </c>
      <c r="AL9" s="31">
        <f ca="1">SUM($AH$9:$AK$9)</f>
        <v>0</v>
      </c>
      <c r="AM9" s="31">
        <f ca="1">SUMIF($L$4:$AL$4,"SUBTOTAL",$L$9:$AL$9)</f>
        <v>-0.41462365153537967</v>
      </c>
      <c r="AO9" s="44">
        <f ca="1">+'TUSD BE'!$T$9+'TUSD BE'!$AB$9+'TUSD BE'!$AD$9+'TUSD BE'!$AL$9</f>
        <v>3.4046966462464501</v>
      </c>
      <c r="AP9" s="44">
        <f ca="1">+'TUSD BE'!$T$9+'TUSD BE'!$AB$9+'TUSD BE'!$AD$9+'TUSD BE'!$AL$9</f>
        <v>3.4046966462464501</v>
      </c>
    </row>
    <row r="10" spans="1:42" ht="11.25" customHeight="1" x14ac:dyDescent="0.25">
      <c r="A10" s="137"/>
      <c r="B10" s="137" t="s">
        <v>35</v>
      </c>
      <c r="C10" s="137" t="s">
        <v>25</v>
      </c>
      <c r="D10" s="137" t="s">
        <v>25</v>
      </c>
      <c r="E10" s="137" t="s">
        <v>25</v>
      </c>
      <c r="F10" s="137" t="s">
        <v>25</v>
      </c>
      <c r="G10" s="41" t="s">
        <v>9</v>
      </c>
      <c r="H10" s="41" t="s">
        <v>75</v>
      </c>
      <c r="I10" s="41">
        <f>'MERCADO TUSD'!$U$7</f>
        <v>83769</v>
      </c>
      <c r="J10" s="15"/>
      <c r="L10" s="31">
        <f>'TUSD BE'!$L$10*'TUSD BE'!$L$58</f>
        <v>0</v>
      </c>
      <c r="M10" s="31">
        <f>'TUSD BE'!$M$10*'TUSD BE'!$M$58</f>
        <v>0</v>
      </c>
      <c r="N10" s="31">
        <f ca="1">'TUSD BE'!$N$10*'TUSD BE'!$N$58</f>
        <v>0</v>
      </c>
      <c r="O10" s="31">
        <f>'TUSD BE'!$O$10*'TUSD BE'!$O$58</f>
        <v>0</v>
      </c>
      <c r="P10" s="31">
        <f>'TUSD BE'!$P$10*'TUSD BE'!$P$58</f>
        <v>0</v>
      </c>
      <c r="Q10" s="31">
        <f>'TUSD BE'!$Q$10*'TUSD BE'!$Q$58</f>
        <v>0</v>
      </c>
      <c r="R10" s="31">
        <f>'TUSD BE'!$R$10*'TUSD BE'!$R$58</f>
        <v>0</v>
      </c>
      <c r="S10" s="31">
        <f>'TUSD BE'!$R$10*'TUSD BE'!$S$58</f>
        <v>0</v>
      </c>
      <c r="T10" s="31">
        <f ca="1">SUM($L$10:$S$10)</f>
        <v>0</v>
      </c>
      <c r="U10" s="31">
        <f>'TUSD BE'!$U$10*'TUSD BE'!$U$58</f>
        <v>0</v>
      </c>
      <c r="V10" s="31">
        <f>'TUSD BE'!$V$10*'TUSD BE'!$V$58</f>
        <v>0</v>
      </c>
      <c r="W10" s="31">
        <f>'TUSD BE'!$W$10*'TUSD BE'!$W$58</f>
        <v>0</v>
      </c>
      <c r="X10" s="31">
        <f>'TUSD BE'!$X$10*'TUSD BE'!$X$58</f>
        <v>0</v>
      </c>
      <c r="Y10" s="31">
        <f>'TUSD BE'!$Y$10*'TUSD BE'!$Y$58</f>
        <v>0.82894555860018881</v>
      </c>
      <c r="Z10" s="31">
        <f>'TUSD BE'!$Z$10*'TUSD BE'!$Z$58</f>
        <v>0</v>
      </c>
      <c r="AA10" s="31">
        <f>'TUSD BE'!$AA$10*'TUSD BE'!$AA$58</f>
        <v>0</v>
      </c>
      <c r="AB10" s="31">
        <f>SUM($U$10:$AA$10)</f>
        <v>0.82894555860018881</v>
      </c>
      <c r="AC10" s="31">
        <f>'TUSD BE'!$AC$10*'TUSD BE'!$AC$58</f>
        <v>-4.8791594623099871E-2</v>
      </c>
      <c r="AD10" s="31">
        <f>SUM($AC$10:$AC$10)</f>
        <v>-4.8791594623099871E-2</v>
      </c>
      <c r="AE10" s="31">
        <f ca="1">$AO$10*$AO$55</f>
        <v>-2.2237279131182603</v>
      </c>
      <c r="AF10" s="31">
        <f ca="1">$AP$10*$AP$55</f>
        <v>0</v>
      </c>
      <c r="AG10" s="31">
        <f ca="1">SUM($AE$10:$AF$10)</f>
        <v>-2.2237279131182603</v>
      </c>
      <c r="AH10" s="31">
        <f>'TUSD BE'!$AH$10*'TUSD BE'!$AH$58</f>
        <v>0</v>
      </c>
      <c r="AI10" s="31">
        <f>'TUSD BE'!$AI$10*'TUSD BE'!$AI$58</f>
        <v>0</v>
      </c>
      <c r="AJ10" s="31">
        <f ca="1">'TUSD BE'!$AJ$10*'TUSD BE'!$AJ$58</f>
        <v>0</v>
      </c>
      <c r="AK10" s="31">
        <f ca="1">'TUSD BE'!$AK$10*'TUSD BE'!$AK$58</f>
        <v>0</v>
      </c>
      <c r="AL10" s="31">
        <f ca="1">SUM($AH$10:$AK$10)</f>
        <v>0</v>
      </c>
      <c r="AM10" s="31">
        <f ca="1">SUMIF($L$4:$AL$4,"SUBTOTAL",$L$10:$AL$10)</f>
        <v>-1.4435739491411714</v>
      </c>
      <c r="AO10" s="44">
        <f ca="1">+'TUSD BE'!$T$10+'TUSD BE'!$AB$10+'TUSD BE'!$AD$10+'TUSD BE'!$AL$10</f>
        <v>21.077864721944241</v>
      </c>
      <c r="AP10" s="44">
        <f ca="1">+'TUSD BE'!$T$10+'TUSD BE'!$AB$10+'TUSD BE'!$AD$10+'TUSD BE'!$AL$10</f>
        <v>21.077864721944241</v>
      </c>
    </row>
    <row r="11" spans="1:42" ht="11.25" customHeight="1" x14ac:dyDescent="0.25">
      <c r="A11" s="137"/>
      <c r="B11" s="137"/>
      <c r="C11" s="137"/>
      <c r="D11" s="137"/>
      <c r="E11" s="137"/>
      <c r="F11" s="137"/>
      <c r="G11" s="41" t="s">
        <v>71</v>
      </c>
      <c r="H11" s="41" t="s">
        <v>70</v>
      </c>
      <c r="I11" s="41">
        <f>'MERCADO TUSD'!$U$8</f>
        <v>2568.357</v>
      </c>
      <c r="J11" s="15"/>
      <c r="L11" s="31">
        <f>'TUSD BE'!$L$11*'TUSD BE'!$L$58</f>
        <v>4.1675723657298103E-2</v>
      </c>
      <c r="M11" s="31">
        <f>'TUSD BE'!$M$11*'TUSD BE'!$M$58</f>
        <v>-2.826520952851741E-3</v>
      </c>
      <c r="N11" s="31">
        <f ca="1">'TUSD BE'!$N$11*'TUSD BE'!$N$58</f>
        <v>1.7759938211945185E-6</v>
      </c>
      <c r="O11" s="31">
        <f>'TUSD BE'!$O$11*'TUSD BE'!$O$58</f>
        <v>0</v>
      </c>
      <c r="P11" s="31">
        <f>'TUSD BE'!$P$11*'TUSD BE'!$P$58</f>
        <v>0</v>
      </c>
      <c r="Q11" s="31">
        <f>'TUSD BE'!$Q$11*'TUSD BE'!$Q$58</f>
        <v>1.1775740381386646</v>
      </c>
      <c r="R11" s="31">
        <f>'TUSD BE'!$R$11*'TUSD BE'!$R$58</f>
        <v>0.26830949317951003</v>
      </c>
      <c r="S11" s="31">
        <f>'TUSD BE'!$R$11*'TUSD BE'!$S$58</f>
        <v>0</v>
      </c>
      <c r="T11" s="31">
        <f ca="1">SUM($L$11:$S$11)</f>
        <v>1.4847345100164422</v>
      </c>
      <c r="U11" s="31">
        <f>'TUSD BE'!$U$11*'TUSD BE'!$U$58</f>
        <v>0</v>
      </c>
      <c r="V11" s="31">
        <f>'TUSD BE'!$V$11*'TUSD BE'!$V$58</f>
        <v>0</v>
      </c>
      <c r="W11" s="31">
        <f>'TUSD BE'!$W$11*'TUSD BE'!$W$58</f>
        <v>0</v>
      </c>
      <c r="X11" s="31">
        <f>'TUSD BE'!$X$11*'TUSD BE'!$X$58</f>
        <v>0</v>
      </c>
      <c r="Y11" s="31">
        <f>'TUSD BE'!$Y$11*'TUSD BE'!$Y$58</f>
        <v>34.059781063822065</v>
      </c>
      <c r="Z11" s="31">
        <f>'TUSD BE'!$Z$11*'TUSD BE'!$Z$58</f>
        <v>0</v>
      </c>
      <c r="AA11" s="31">
        <f>'TUSD BE'!$AA$11*'TUSD BE'!$AA$58</f>
        <v>0</v>
      </c>
      <c r="AB11" s="31">
        <f>SUM($U$11:$AA$11)</f>
        <v>34.059781063822065</v>
      </c>
      <c r="AC11" s="31">
        <f>'TUSD BE'!$AC$11*'TUSD BE'!$AC$58</f>
        <v>-2.6988673805702343</v>
      </c>
      <c r="AD11" s="31">
        <f>SUM($AC$11:$AC$11)</f>
        <v>-2.6988673805702343</v>
      </c>
      <c r="AE11" s="31">
        <f ca="1">$AO$11*$AO$55</f>
        <v>-108.2123281475006</v>
      </c>
      <c r="AF11" s="31">
        <f ca="1">$AP$11*$AP$55</f>
        <v>0</v>
      </c>
      <c r="AG11" s="31">
        <f ca="1">SUM($AE$11:$AF$11)</f>
        <v>-108.2123281475006</v>
      </c>
      <c r="AH11" s="31">
        <f>'TUSD BE'!$AH$11*'TUSD BE'!$AH$58</f>
        <v>-0.64344372545479267</v>
      </c>
      <c r="AI11" s="31">
        <f>'TUSD BE'!$AI$11*'TUSD BE'!$AI$58</f>
        <v>-2.0692278346154683E-2</v>
      </c>
      <c r="AJ11" s="31">
        <f ca="1">'TUSD BE'!$AJ$11*'TUSD BE'!$AJ$58</f>
        <v>-7.917379154775718E-2</v>
      </c>
      <c r="AK11" s="31">
        <f ca="1">'TUSD BE'!$AK$11*'TUSD BE'!$AK$58</f>
        <v>2.7996762252195908E-2</v>
      </c>
      <c r="AL11" s="31">
        <f ca="1">SUM($AH$11:$AK$11)</f>
        <v>-0.71531303309650862</v>
      </c>
      <c r="AM11" s="31">
        <f ca="1">SUMIF($L$4:$AL$4,"SUBTOTAL",$L$11:$AL$11)</f>
        <v>-76.081992987328832</v>
      </c>
      <c r="AO11" s="44">
        <f ca="1">+'TUSD BE'!$T$11+'TUSD BE'!$AB$11+'TUSD BE'!$AD$11+'TUSD BE'!$AL$11</f>
        <v>1025.7031898930688</v>
      </c>
      <c r="AP11" s="44">
        <f ca="1">+'TUSD BE'!$T$11+'TUSD BE'!$AB$11+'TUSD BE'!$AD$11+'TUSD BE'!$AL$11</f>
        <v>1025.7031898930688</v>
      </c>
    </row>
    <row r="12" spans="1:42" ht="11.25" customHeight="1" x14ac:dyDescent="0.25">
      <c r="A12" s="137"/>
      <c r="B12" s="137"/>
      <c r="C12" s="137"/>
      <c r="D12" s="137"/>
      <c r="E12" s="137"/>
      <c r="F12" s="137"/>
      <c r="G12" s="41" t="s">
        <v>72</v>
      </c>
      <c r="H12" s="41" t="s">
        <v>70</v>
      </c>
      <c r="I12" s="41">
        <f>'MERCADO TUSD'!$U$9</f>
        <v>26371.822</v>
      </c>
      <c r="J12" s="15"/>
      <c r="L12" s="31">
        <f>'TUSD BE'!$L$12*'TUSD BE'!$L$58</f>
        <v>4.1675723657298103E-2</v>
      </c>
      <c r="M12" s="31">
        <f>'TUSD BE'!$M$12*'TUSD BE'!$M$58</f>
        <v>-2.826520952851741E-3</v>
      </c>
      <c r="N12" s="31">
        <f ca="1">'TUSD BE'!$N$12*'TUSD BE'!$N$58</f>
        <v>5.2266933871218434E-8</v>
      </c>
      <c r="O12" s="31">
        <f>'TUSD BE'!$O$12*'TUSD BE'!$O$58</f>
        <v>0</v>
      </c>
      <c r="P12" s="31">
        <f>'TUSD BE'!$P$12*'TUSD BE'!$P$58</f>
        <v>0</v>
      </c>
      <c r="Q12" s="31">
        <f>'TUSD BE'!$Q$12*'TUSD BE'!$Q$58</f>
        <v>1.1775740381386646</v>
      </c>
      <c r="R12" s="31">
        <f>'TUSD BE'!$R$12*'TUSD BE'!$R$58</f>
        <v>0.26830949317951003</v>
      </c>
      <c r="S12" s="31">
        <f>'TUSD BE'!$R$12*'TUSD BE'!$S$58</f>
        <v>0</v>
      </c>
      <c r="T12" s="31">
        <f ca="1">SUM($L$12:$S$12)</f>
        <v>1.4847327862895547</v>
      </c>
      <c r="U12" s="31">
        <f>'TUSD BE'!$U$12*'TUSD BE'!$U$58</f>
        <v>0</v>
      </c>
      <c r="V12" s="31">
        <f>'TUSD BE'!$V$12*'TUSD BE'!$V$58</f>
        <v>0</v>
      </c>
      <c r="W12" s="31">
        <f>'TUSD BE'!$W$12*'TUSD BE'!$W$58</f>
        <v>0</v>
      </c>
      <c r="X12" s="31">
        <f>'TUSD BE'!$X$12*'TUSD BE'!$X$58</f>
        <v>0</v>
      </c>
      <c r="Y12" s="31">
        <f>'TUSD BE'!$Y$12*'TUSD BE'!$Y$58</f>
        <v>0</v>
      </c>
      <c r="Z12" s="31">
        <f>'TUSD BE'!$Z$12*'TUSD BE'!$Z$58</f>
        <v>0</v>
      </c>
      <c r="AA12" s="31">
        <f>'TUSD BE'!$AA$12*'TUSD BE'!$AA$58</f>
        <v>0</v>
      </c>
      <c r="AB12" s="31">
        <f>SUM($U$12:$AA$12)</f>
        <v>0</v>
      </c>
      <c r="AC12" s="31">
        <f>'TUSD BE'!$AC$12*'TUSD BE'!$AC$58</f>
        <v>0</v>
      </c>
      <c r="AD12" s="31">
        <f>SUM($AC$12:$AC$12)</f>
        <v>0</v>
      </c>
      <c r="AE12" s="31">
        <f ca="1">$AO$12*$AO$55</f>
        <v>-11.419788281754164</v>
      </c>
      <c r="AF12" s="31">
        <f ca="1">$AP$12*$AP$55</f>
        <v>0</v>
      </c>
      <c r="AG12" s="31">
        <f ca="1">SUM($AE$12:$AF$12)</f>
        <v>-11.419788281754164</v>
      </c>
      <c r="AH12" s="31">
        <f>'TUSD BE'!$AH$12*'TUSD BE'!$AH$58</f>
        <v>-0.64344372545479267</v>
      </c>
      <c r="AI12" s="31">
        <f>'TUSD BE'!$AI$12*'TUSD BE'!$AI$58</f>
        <v>-2.0692278346154683E-2</v>
      </c>
      <c r="AJ12" s="31">
        <f ca="1">'TUSD BE'!$AJ$12*'TUSD BE'!$AJ$58</f>
        <v>-7.917379154775718E-2</v>
      </c>
      <c r="AK12" s="31">
        <f ca="1">'TUSD BE'!$AK$12*'TUSD BE'!$AK$58</f>
        <v>2.7996762252195908E-2</v>
      </c>
      <c r="AL12" s="31">
        <f ca="1">SUM($AH$12:$AK$12)</f>
        <v>-0.71531303309650862</v>
      </c>
      <c r="AM12" s="31">
        <f ca="1">SUMIF($L$4:$AL$4,"SUBTOTAL",$L$12:$AL$12)</f>
        <v>-10.650368528561117</v>
      </c>
      <c r="AO12" s="44">
        <f ca="1">+'TUSD BE'!$T$12+'TUSD BE'!$AB$12+'TUSD BE'!$AD$12+'TUSD BE'!$AL$12</f>
        <v>108.2437968854409</v>
      </c>
      <c r="AP12" s="44">
        <f ca="1">+'TUSD BE'!$T$12+'TUSD BE'!$AB$12+'TUSD BE'!$AD$12+'TUSD BE'!$AL$12</f>
        <v>108.2437968854409</v>
      </c>
    </row>
    <row r="13" spans="1:42" ht="11.25" customHeight="1" x14ac:dyDescent="0.25">
      <c r="A13" s="137"/>
      <c r="B13" s="137"/>
      <c r="C13" s="137"/>
      <c r="D13" s="137"/>
      <c r="E13" s="137" t="s">
        <v>78</v>
      </c>
      <c r="F13" s="137" t="s">
        <v>25</v>
      </c>
      <c r="G13" s="41" t="s">
        <v>71</v>
      </c>
      <c r="H13" s="41" t="s">
        <v>70</v>
      </c>
      <c r="I13" s="41">
        <f>'MERCADO TUSD'!$U$10</f>
        <v>0</v>
      </c>
      <c r="J13" s="15"/>
      <c r="L13" s="31">
        <f>'TUSD BE'!$L$13*'TUSD BE'!$L$58</f>
        <v>0</v>
      </c>
      <c r="M13" s="31">
        <f>'TUSD BE'!$M$13*'TUSD BE'!$M$58</f>
        <v>-2.826520952851741E-3</v>
      </c>
      <c r="N13" s="31">
        <f ca="1">'TUSD BE'!$N$13*'TUSD BE'!$N$58</f>
        <v>1.7738780649946116E-6</v>
      </c>
      <c r="O13" s="31">
        <f>'TUSD BE'!$O$13*'TUSD BE'!$O$58</f>
        <v>0</v>
      </c>
      <c r="P13" s="31">
        <f>'TUSD BE'!$P$13*'TUSD BE'!$P$58</f>
        <v>0</v>
      </c>
      <c r="Q13" s="31">
        <f>'TUSD BE'!$Q$13*'TUSD BE'!$Q$58</f>
        <v>0</v>
      </c>
      <c r="R13" s="31">
        <f>'TUSD BE'!$R$13*'TUSD BE'!$R$58</f>
        <v>0</v>
      </c>
      <c r="S13" s="31">
        <f>'TUSD BE'!$R$13*'TUSD BE'!$S$58</f>
        <v>0</v>
      </c>
      <c r="T13" s="31">
        <f ca="1">SUM($L$13:$S$13)</f>
        <v>-2.8247470747867465E-3</v>
      </c>
      <c r="U13" s="31">
        <f>'TUSD BE'!$U$13*'TUSD BE'!$U$58</f>
        <v>0</v>
      </c>
      <c r="V13" s="31">
        <f>'TUSD BE'!$V$13*'TUSD BE'!$V$58</f>
        <v>0</v>
      </c>
      <c r="W13" s="31">
        <f>'TUSD BE'!$W$13*'TUSD BE'!$W$58</f>
        <v>0</v>
      </c>
      <c r="X13" s="31">
        <f>'TUSD BE'!$X$13*'TUSD BE'!$X$58</f>
        <v>0</v>
      </c>
      <c r="Y13" s="31">
        <f>'TUSD BE'!$Y$13*'TUSD BE'!$Y$58</f>
        <v>34.059781063822065</v>
      </c>
      <c r="Z13" s="31">
        <f>'TUSD BE'!$Z$13*'TUSD BE'!$Z$58</f>
        <v>0</v>
      </c>
      <c r="AA13" s="31">
        <f>'TUSD BE'!$AA$13*'TUSD BE'!$AA$58</f>
        <v>0</v>
      </c>
      <c r="AB13" s="31">
        <f>SUM($U$13:$AA$13)</f>
        <v>34.059781063822065</v>
      </c>
      <c r="AC13" s="31">
        <f>'TUSD BE'!$AC$13*'TUSD BE'!$AC$58</f>
        <v>-2.6988673805702343</v>
      </c>
      <c r="AD13" s="31">
        <f>SUM($AC$13:$AC$13)</f>
        <v>-2.6988673805702343</v>
      </c>
      <c r="AE13" s="31">
        <f ca="1">$AO$13*$AO$55</f>
        <v>-98.123831808847626</v>
      </c>
      <c r="AF13" s="31">
        <f ca="1">$AP$13*$AP$55</f>
        <v>0</v>
      </c>
      <c r="AG13" s="31">
        <f ca="1">SUM($AE$13:$AF$13)</f>
        <v>-98.123831808847626</v>
      </c>
      <c r="AH13" s="31">
        <f>'TUSD BE'!$AH$13*'TUSD BE'!$AH$58</f>
        <v>-0.64344372545479267</v>
      </c>
      <c r="AI13" s="31">
        <f>'TUSD BE'!$AI$13*'TUSD BE'!$AI$58</f>
        <v>-2.0692278346154683E-2</v>
      </c>
      <c r="AJ13" s="31">
        <f ca="1">'TUSD BE'!$AJ$13*'TUSD BE'!$AJ$58</f>
        <v>-7.917379154775718E-2</v>
      </c>
      <c r="AK13" s="31">
        <f ca="1">'TUSD BE'!$AK$13*'TUSD BE'!$AK$58</f>
        <v>2.7996762252195908E-2</v>
      </c>
      <c r="AL13" s="31">
        <f ca="1">SUM($AH$13:$AK$13)</f>
        <v>-0.71531303309650862</v>
      </c>
      <c r="AM13" s="31">
        <f ca="1">SUMIF($L$4:$AL$4,"SUBTOTAL",$L$13:$AL$13)</f>
        <v>-67.481055905767093</v>
      </c>
      <c r="AO13" s="44">
        <f ca="1">+'TUSD BE'!$T$13+'TUSD BE'!$AB$13+'TUSD BE'!$AD$13+'TUSD BE'!$AL$13</f>
        <v>930.07819916487608</v>
      </c>
      <c r="AP13" s="44">
        <f ca="1">+'TUSD BE'!$T$13+'TUSD BE'!$AB$13+'TUSD BE'!$AD$13+'TUSD BE'!$AL$13</f>
        <v>930.07819916487608</v>
      </c>
    </row>
    <row r="14" spans="1:42" ht="11.25" customHeight="1" x14ac:dyDescent="0.25">
      <c r="A14" s="137"/>
      <c r="B14" s="137"/>
      <c r="C14" s="137"/>
      <c r="D14" s="137"/>
      <c r="E14" s="137"/>
      <c r="F14" s="137"/>
      <c r="G14" s="41" t="s">
        <v>72</v>
      </c>
      <c r="H14" s="41" t="s">
        <v>70</v>
      </c>
      <c r="I14" s="41">
        <f>'MERCADO TUSD'!$U$11</f>
        <v>0</v>
      </c>
      <c r="J14" s="15"/>
      <c r="L14" s="31">
        <f>'TUSD BE'!$L$14*'TUSD BE'!$L$58</f>
        <v>0</v>
      </c>
      <c r="M14" s="31">
        <f>'TUSD BE'!$M$14*'TUSD BE'!$M$58</f>
        <v>-2.826520952851741E-3</v>
      </c>
      <c r="N14" s="31">
        <f ca="1">'TUSD BE'!$N$14*'TUSD BE'!$N$58</f>
        <v>5.0151177671311982E-8</v>
      </c>
      <c r="O14" s="31">
        <f>'TUSD BE'!$O$14*'TUSD BE'!$O$58</f>
        <v>0</v>
      </c>
      <c r="P14" s="31">
        <f>'TUSD BE'!$P$14*'TUSD BE'!$P$58</f>
        <v>0</v>
      </c>
      <c r="Q14" s="31">
        <f>'TUSD BE'!$Q$14*'TUSD BE'!$Q$58</f>
        <v>0</v>
      </c>
      <c r="R14" s="31">
        <f>'TUSD BE'!$R$14*'TUSD BE'!$R$58</f>
        <v>0</v>
      </c>
      <c r="S14" s="31">
        <f>'TUSD BE'!$R$14*'TUSD BE'!$S$58</f>
        <v>0</v>
      </c>
      <c r="T14" s="31">
        <f ca="1">SUM($L$14:$S$14)</f>
        <v>-2.8264708016740698E-3</v>
      </c>
      <c r="U14" s="31">
        <f>'TUSD BE'!$U$14*'TUSD BE'!$U$58</f>
        <v>0</v>
      </c>
      <c r="V14" s="31">
        <f>'TUSD BE'!$V$14*'TUSD BE'!$V$58</f>
        <v>0</v>
      </c>
      <c r="W14" s="31">
        <f>'TUSD BE'!$W$14*'TUSD BE'!$W$58</f>
        <v>0</v>
      </c>
      <c r="X14" s="31">
        <f>'TUSD BE'!$X$14*'TUSD BE'!$X$58</f>
        <v>0</v>
      </c>
      <c r="Y14" s="31">
        <f>'TUSD BE'!$Y$14*'TUSD BE'!$Y$58</f>
        <v>0</v>
      </c>
      <c r="Z14" s="31">
        <f>'TUSD BE'!$Z$14*'TUSD BE'!$Z$58</f>
        <v>0</v>
      </c>
      <c r="AA14" s="31">
        <f>'TUSD BE'!$AA$14*'TUSD BE'!$AA$58</f>
        <v>0</v>
      </c>
      <c r="AB14" s="31">
        <f>SUM($U$14:$AA$14)</f>
        <v>0</v>
      </c>
      <c r="AC14" s="31">
        <f>'TUSD BE'!$AC$14*'TUSD BE'!$AC$58</f>
        <v>0</v>
      </c>
      <c r="AD14" s="31">
        <f>SUM($AC$14:$AC$14)</f>
        <v>0</v>
      </c>
      <c r="AE14" s="31">
        <f ca="1">$AO$14*$AO$55</f>
        <v>-1.3312919431011787</v>
      </c>
      <c r="AF14" s="31">
        <f ca="1">$AP$14*$AP$55</f>
        <v>0</v>
      </c>
      <c r="AG14" s="31">
        <f ca="1">SUM($AE$14:$AF$14)</f>
        <v>-1.3312919431011787</v>
      </c>
      <c r="AH14" s="31">
        <f>'TUSD BE'!$AH$14*'TUSD BE'!$AH$58</f>
        <v>-0.64344372545479267</v>
      </c>
      <c r="AI14" s="31">
        <f>'TUSD BE'!$AI$14*'TUSD BE'!$AI$58</f>
        <v>-2.0692278346154683E-2</v>
      </c>
      <c r="AJ14" s="31">
        <f ca="1">'TUSD BE'!$AJ$14*'TUSD BE'!$AJ$58</f>
        <v>-7.917379154775718E-2</v>
      </c>
      <c r="AK14" s="31">
        <f ca="1">'TUSD BE'!$AK$14*'TUSD BE'!$AK$58</f>
        <v>2.7996762252195908E-2</v>
      </c>
      <c r="AL14" s="31">
        <f ca="1">SUM($AH$14:$AK$14)</f>
        <v>-0.71531303309650862</v>
      </c>
      <c r="AM14" s="31">
        <f ca="1">SUMIF($L$4:$AL$4,"SUBTOTAL",$L$14:$AL$14)</f>
        <v>-2.0494314469993613</v>
      </c>
      <c r="AO14" s="44">
        <f ca="1">+'TUSD BE'!$T$14+'TUSD BE'!$AB$14+'TUSD BE'!$AD$14+'TUSD BE'!$AL$14</f>
        <v>12.618806157247993</v>
      </c>
      <c r="AP14" s="44">
        <f ca="1">+'TUSD BE'!$T$14+'TUSD BE'!$AB$14+'TUSD BE'!$AD$14+'TUSD BE'!$AL$14</f>
        <v>12.618806157247993</v>
      </c>
    </row>
    <row r="15" spans="1:42" ht="11.25" customHeight="1" x14ac:dyDescent="0.25">
      <c r="A15" s="137" t="s">
        <v>80</v>
      </c>
      <c r="B15" s="137" t="s">
        <v>79</v>
      </c>
      <c r="C15" s="137" t="s">
        <v>25</v>
      </c>
      <c r="D15" s="137" t="s">
        <v>25</v>
      </c>
      <c r="E15" s="42" t="s">
        <v>81</v>
      </c>
      <c r="F15" s="42" t="s">
        <v>25</v>
      </c>
      <c r="G15" s="41" t="s">
        <v>9</v>
      </c>
      <c r="H15" s="41" t="s">
        <v>75</v>
      </c>
      <c r="I15" s="41">
        <f>'MERCADO TUSD'!$U$12+0.00000001</f>
        <v>1E-8</v>
      </c>
      <c r="J15" s="15"/>
      <c r="L15" s="31">
        <f>'TUSD BE'!$L$15*'TUSD BE'!$L$58</f>
        <v>0</v>
      </c>
      <c r="M15" s="31">
        <f>'TUSD BE'!$M$15*'TUSD BE'!$M$58</f>
        <v>-4.5635643678686546E-4</v>
      </c>
      <c r="N15" s="31">
        <f ca="1">'TUSD BE'!$N$15*'TUSD BE'!$N$58</f>
        <v>1.0578780999532227E-8</v>
      </c>
      <c r="O15" s="31">
        <f>'TUSD BE'!$O$15*'TUSD BE'!$O$58</f>
        <v>0</v>
      </c>
      <c r="P15" s="31">
        <f>'TUSD BE'!$P$15*'TUSD BE'!$P$58</f>
        <v>0</v>
      </c>
      <c r="Q15" s="31">
        <f>'TUSD BE'!$Q$15*'TUSD BE'!$Q$58</f>
        <v>0</v>
      </c>
      <c r="R15" s="31">
        <f>'TUSD BE'!$R$15*'TUSD BE'!$R$58</f>
        <v>0</v>
      </c>
      <c r="S15" s="31">
        <f>'TUSD BE'!$R$15*'TUSD BE'!$S$58</f>
        <v>0</v>
      </c>
      <c r="T15" s="31">
        <f ca="1">SUM($L$15:$S$15)</f>
        <v>-4.5634585800586594E-4</v>
      </c>
      <c r="U15" s="31">
        <f>'TUSD BE'!$U$15*'TUSD BE'!$U$58</f>
        <v>0</v>
      </c>
      <c r="V15" s="31">
        <f>'TUSD BE'!$V$15*'TUSD BE'!$V$58</f>
        <v>0</v>
      </c>
      <c r="W15" s="31">
        <f>'TUSD BE'!$W$15*'TUSD BE'!$W$58</f>
        <v>0</v>
      </c>
      <c r="X15" s="31">
        <f>'TUSD BE'!$X$15*'TUSD BE'!$X$58</f>
        <v>0</v>
      </c>
      <c r="Y15" s="31">
        <f>'TUSD BE'!$Y$15*'TUSD BE'!$Y$58</f>
        <v>0</v>
      </c>
      <c r="Z15" s="31">
        <f>'TUSD BE'!$Z$15*'TUSD BE'!$Z$58</f>
        <v>0</v>
      </c>
      <c r="AA15" s="31">
        <f>'TUSD BE'!$AA$15*'TUSD BE'!$AA$58</f>
        <v>0</v>
      </c>
      <c r="AB15" s="31">
        <f>SUM($U$15:$AA$15)</f>
        <v>0</v>
      </c>
      <c r="AC15" s="31">
        <f>'TUSD BE'!$AC$15*'TUSD BE'!$AC$58</f>
        <v>-8.4953732995695225E-2</v>
      </c>
      <c r="AD15" s="31">
        <f>SUM($AC$15:$AC$15)</f>
        <v>-8.4953732995695225E-2</v>
      </c>
      <c r="AE15" s="31">
        <f ca="1">$AO$15*$AO$55</f>
        <v>-0.55352209099002969</v>
      </c>
      <c r="AF15" s="31">
        <f ca="1">$AP$15*$AP$55</f>
        <v>0</v>
      </c>
      <c r="AG15" s="31">
        <f ca="1">SUM($AE$15:$AF$15)</f>
        <v>-0.55352209099002969</v>
      </c>
      <c r="AH15" s="31">
        <f>'TUSD BE'!$AH$15*'TUSD BE'!$AH$58</f>
        <v>0</v>
      </c>
      <c r="AI15" s="31">
        <f>'TUSD BE'!$AI$15*'TUSD BE'!$AI$58</f>
        <v>0</v>
      </c>
      <c r="AJ15" s="31">
        <f ca="1">'TUSD BE'!$AJ$15*'TUSD BE'!$AJ$58</f>
        <v>0</v>
      </c>
      <c r="AK15" s="31">
        <f ca="1">'TUSD BE'!$AK$15*'TUSD BE'!$AK$58</f>
        <v>0</v>
      </c>
      <c r="AL15" s="31">
        <f ca="1">SUM($AH$15:$AK$15)</f>
        <v>0</v>
      </c>
      <c r="AM15" s="31">
        <f ca="1">SUMIF($L$4:$AL$4,"SUBTOTAL",$L$15:$AL$15)</f>
        <v>-0.6389321698437308</v>
      </c>
      <c r="AO15" s="44">
        <f ca="1">+'TUSD BE'!$T$15+'TUSD BE'!$AB$15+'TUSD BE'!$AD$15+'TUSD BE'!$AL$15</f>
        <v>5.2466237823741748</v>
      </c>
      <c r="AP15" s="44">
        <f ca="1">+'TUSD BE'!$T$15+'TUSD BE'!$AB$15+'TUSD BE'!$AD$15+'TUSD BE'!$AL$15</f>
        <v>5.2466237823741748</v>
      </c>
    </row>
    <row r="16" spans="1:42" ht="11.25" customHeight="1" x14ac:dyDescent="0.25">
      <c r="A16" s="137"/>
      <c r="B16" s="137"/>
      <c r="C16" s="137"/>
      <c r="D16" s="137"/>
      <c r="E16" s="42" t="s">
        <v>82</v>
      </c>
      <c r="F16" s="42" t="s">
        <v>25</v>
      </c>
      <c r="G16" s="41" t="s">
        <v>9</v>
      </c>
      <c r="H16" s="41" t="s">
        <v>75</v>
      </c>
      <c r="I16" s="41">
        <f>'MERCADO TUSD'!$U$13+0.00000001</f>
        <v>1E-8</v>
      </c>
      <c r="J16" s="15"/>
      <c r="L16" s="31">
        <f>'TUSD BE'!$L$16*'TUSD BE'!$L$58</f>
        <v>0</v>
      </c>
      <c r="M16" s="31">
        <f>'TUSD BE'!$M$16*'TUSD BE'!$M$58</f>
        <v>-4.5635643678686546E-4</v>
      </c>
      <c r="N16" s="31">
        <f ca="1">'TUSD BE'!$N$16*'TUSD BE'!$N$58</f>
        <v>1.0578780999532227E-8</v>
      </c>
      <c r="O16" s="31">
        <f>'TUSD BE'!$O$16*'TUSD BE'!$O$58</f>
        <v>0</v>
      </c>
      <c r="P16" s="31">
        <f>'TUSD BE'!$P$16*'TUSD BE'!$P$58</f>
        <v>0</v>
      </c>
      <c r="Q16" s="31">
        <f>'TUSD BE'!$Q$16*'TUSD BE'!$Q$58</f>
        <v>0</v>
      </c>
      <c r="R16" s="31">
        <f>'TUSD BE'!$R$16*'TUSD BE'!$R$58</f>
        <v>0</v>
      </c>
      <c r="S16" s="31">
        <f>'TUSD BE'!$R$16*'TUSD BE'!$S$58</f>
        <v>0</v>
      </c>
      <c r="T16" s="31">
        <f ca="1">SUM($L$16:$S$16)</f>
        <v>-4.5634585800586594E-4</v>
      </c>
      <c r="U16" s="31">
        <f>'TUSD BE'!$U$16*'TUSD BE'!$U$58</f>
        <v>0</v>
      </c>
      <c r="V16" s="31">
        <f>'TUSD BE'!$V$16*'TUSD BE'!$V$58</f>
        <v>0</v>
      </c>
      <c r="W16" s="31">
        <f>'TUSD BE'!$W$16*'TUSD BE'!$W$58</f>
        <v>0</v>
      </c>
      <c r="X16" s="31">
        <f>'TUSD BE'!$X$16*'TUSD BE'!$X$58</f>
        <v>0</v>
      </c>
      <c r="Y16" s="31">
        <f>'TUSD BE'!$Y$16*'TUSD BE'!$Y$58</f>
        <v>0</v>
      </c>
      <c r="Z16" s="31">
        <f>'TUSD BE'!$Z$16*'TUSD BE'!$Z$58</f>
        <v>0</v>
      </c>
      <c r="AA16" s="31">
        <f>'TUSD BE'!$AA$16*'TUSD BE'!$AA$58</f>
        <v>0</v>
      </c>
      <c r="AB16" s="31">
        <f>SUM($U$16:$AA$16)</f>
        <v>0</v>
      </c>
      <c r="AC16" s="31">
        <f>'TUSD BE'!$AC$16*'TUSD BE'!$AC$58</f>
        <v>-0.14617520980375276</v>
      </c>
      <c r="AD16" s="31">
        <f>SUM($AC$16:$AC$16)</f>
        <v>-0.14617520980375276</v>
      </c>
      <c r="AE16" s="31">
        <f ca="1">$AO$16*$AO$55</f>
        <v>-0.94656494849152994</v>
      </c>
      <c r="AF16" s="31">
        <f ca="1">$AP$16*$AP$55</f>
        <v>0</v>
      </c>
      <c r="AG16" s="31">
        <f ca="1">SUM($AE$16:$AF$16)</f>
        <v>-0.94656494849152994</v>
      </c>
      <c r="AH16" s="31">
        <f>'TUSD BE'!$AH$16*'TUSD BE'!$AH$58</f>
        <v>0</v>
      </c>
      <c r="AI16" s="31">
        <f>'TUSD BE'!$AI$16*'TUSD BE'!$AI$58</f>
        <v>0</v>
      </c>
      <c r="AJ16" s="31">
        <f ca="1">'TUSD BE'!$AJ$16*'TUSD BE'!$AJ$58</f>
        <v>0</v>
      </c>
      <c r="AK16" s="31">
        <f ca="1">'TUSD BE'!$AK$16*'TUSD BE'!$AK$58</f>
        <v>0</v>
      </c>
      <c r="AL16" s="31">
        <f ca="1">SUM($AH$16:$AK$16)</f>
        <v>0</v>
      </c>
      <c r="AM16" s="31">
        <f ca="1">SUMIF($L$4:$AL$4,"SUBTOTAL",$L$16:$AL$16)</f>
        <v>-1.0931965041532885</v>
      </c>
      <c r="AO16" s="44">
        <f ca="1">+'TUSD BE'!$T$16+'TUSD BE'!$AB$16+'TUSD BE'!$AD$16+'TUSD BE'!$AL$16</f>
        <v>8.9721264086041721</v>
      </c>
      <c r="AP16" s="44">
        <f ca="1">+'TUSD BE'!$T$16+'TUSD BE'!$AB$16+'TUSD BE'!$AD$16+'TUSD BE'!$AL$16</f>
        <v>8.9721264086041721</v>
      </c>
    </row>
    <row r="17" spans="1:42" ht="11.25" customHeight="1" x14ac:dyDescent="0.25">
      <c r="A17" s="137" t="s">
        <v>22</v>
      </c>
      <c r="B17" s="137" t="s">
        <v>49</v>
      </c>
      <c r="C17" s="137" t="s">
        <v>24</v>
      </c>
      <c r="D17" s="137" t="s">
        <v>24</v>
      </c>
      <c r="E17" s="137" t="s">
        <v>25</v>
      </c>
      <c r="F17" s="137" t="s">
        <v>25</v>
      </c>
      <c r="G17" s="41" t="s">
        <v>71</v>
      </c>
      <c r="H17" s="41" t="s">
        <v>70</v>
      </c>
      <c r="I17" s="41">
        <f>'MERCADO TUSD'!$U$14</f>
        <v>0</v>
      </c>
      <c r="J17" s="15"/>
      <c r="L17" s="31">
        <f>'TUSD BE'!$L$17*'TUSD BE'!$L$58</f>
        <v>4.96139567348787E-2</v>
      </c>
      <c r="M17" s="31">
        <f>'TUSD BE'!$M$17*'TUSD BE'!$M$58</f>
        <v>-1.67938644926648E-2</v>
      </c>
      <c r="N17" s="31">
        <f ca="1">'TUSD BE'!$N$17*'TUSD BE'!$N$58</f>
        <v>1.856308149292787E-6</v>
      </c>
      <c r="O17" s="31">
        <f>'TUSD BE'!$O$17*'TUSD BE'!$O$58</f>
        <v>0</v>
      </c>
      <c r="P17" s="31">
        <f>'TUSD BE'!$P$17*'TUSD BE'!$P$58</f>
        <v>0</v>
      </c>
      <c r="Q17" s="31">
        <f>'TUSD BE'!$Q$17*'TUSD BE'!$Q$58</f>
        <v>1.4018738549269818</v>
      </c>
      <c r="R17" s="31">
        <f>'TUSD BE'!$R$17*'TUSD BE'!$R$58</f>
        <v>0.26830949317951003</v>
      </c>
      <c r="S17" s="31">
        <f>'TUSD BE'!$R$17*'TUSD BE'!$S$58</f>
        <v>0</v>
      </c>
      <c r="T17" s="31">
        <f ca="1">SUM($L$17:$S$17)</f>
        <v>1.703005296656855</v>
      </c>
      <c r="U17" s="31">
        <f>'TUSD BE'!$U$17*'TUSD BE'!$U$58</f>
        <v>0</v>
      </c>
      <c r="V17" s="31">
        <f>'TUSD BE'!$V$17*'TUSD BE'!$V$58</f>
        <v>0</v>
      </c>
      <c r="W17" s="31">
        <f>'TUSD BE'!$W$17*'TUSD BE'!$W$58</f>
        <v>0</v>
      </c>
      <c r="X17" s="31">
        <f>'TUSD BE'!$X$17*'TUSD BE'!$X$58</f>
        <v>0</v>
      </c>
      <c r="Y17" s="31">
        <f>'TUSD BE'!$Y$17*'TUSD BE'!$Y$58</f>
        <v>19.204785700954542</v>
      </c>
      <c r="Z17" s="31">
        <f>'TUSD BE'!$Z$17*'TUSD BE'!$Z$58</f>
        <v>0</v>
      </c>
      <c r="AA17" s="31">
        <f>'TUSD BE'!$AA$17*'TUSD BE'!$AA$58</f>
        <v>0</v>
      </c>
      <c r="AB17" s="31">
        <f>SUM($U$17:$AA$17)</f>
        <v>19.204785700954542</v>
      </c>
      <c r="AC17" s="31">
        <f>'TUSD BE'!$AC$17*'TUSD BE'!$AC$58</f>
        <v>-7.9459561316864509</v>
      </c>
      <c r="AD17" s="31">
        <f>SUM($AC$17:$AC$17)</f>
        <v>-7.9459561316864509</v>
      </c>
      <c r="AE17" s="31">
        <f ca="1">$AO$17*$AO$55</f>
        <v>-110.31122738474595</v>
      </c>
      <c r="AF17" s="31">
        <f ca="1">$AP$17*$AP$55</f>
        <v>0</v>
      </c>
      <c r="AG17" s="31">
        <f ca="1">SUM($AE$17:$AF$17)</f>
        <v>-110.31122738474595</v>
      </c>
      <c r="AH17" s="31">
        <f>'TUSD BE'!$AH$17*'TUSD BE'!$AH$58</f>
        <v>-1.1186428756246387</v>
      </c>
      <c r="AI17" s="31">
        <f>'TUSD BE'!$AI$17*'TUSD BE'!$AI$58</f>
        <v>-3.5974039122080477E-2</v>
      </c>
      <c r="AJ17" s="31">
        <f ca="1">'TUSD BE'!$AJ$17*'TUSD BE'!$AJ$58</f>
        <v>-0.11825381198647125</v>
      </c>
      <c r="AK17" s="31">
        <f ca="1">'TUSD BE'!$AK$17*'TUSD BE'!$AK$58</f>
        <v>4.181590643671651E-2</v>
      </c>
      <c r="AL17" s="31">
        <f ca="1">SUM($AH$17:$AK$17)</f>
        <v>-1.231054820296474</v>
      </c>
      <c r="AM17" s="31">
        <f ca="1">SUMIF($L$4:$AL$4,"SUBTOTAL",$L$17:$AL$17)</f>
        <v>-98.580447339117484</v>
      </c>
      <c r="AO17" s="44">
        <f ca="1">+'TUSD BE'!$T$17+'TUSD BE'!$AB$17+'TUSD BE'!$AD$17+'TUSD BE'!$AL$17</f>
        <v>1045.5978514326691</v>
      </c>
      <c r="AP17" s="44">
        <f ca="1">+'TUSD BE'!$T$17+'TUSD BE'!$AB$17+'TUSD BE'!$AD$17+'TUSD BE'!$AL$17</f>
        <v>1045.5978514326691</v>
      </c>
    </row>
    <row r="18" spans="1:42" ht="11.25" customHeight="1" x14ac:dyDescent="0.25">
      <c r="A18" s="137"/>
      <c r="B18" s="137"/>
      <c r="C18" s="137"/>
      <c r="D18" s="137"/>
      <c r="E18" s="137"/>
      <c r="F18" s="137"/>
      <c r="G18" s="41" t="s">
        <v>83</v>
      </c>
      <c r="H18" s="41" t="s">
        <v>70</v>
      </c>
      <c r="I18" s="41">
        <f>'MERCADO TUSD'!$U$15</f>
        <v>0</v>
      </c>
      <c r="J18" s="15"/>
      <c r="L18" s="31">
        <f>'TUSD BE'!$L$18*'TUSD BE'!$L$58</f>
        <v>4.96139567348787E-2</v>
      </c>
      <c r="M18" s="31">
        <f>'TUSD BE'!$M$18*'TUSD BE'!$M$58</f>
        <v>-1.67938644926648E-2</v>
      </c>
      <c r="N18" s="31">
        <f ca="1">'TUSD BE'!$N$18*'TUSD BE'!$N$58</f>
        <v>9.7192734712239283E-7</v>
      </c>
      <c r="O18" s="31">
        <f>'TUSD BE'!$O$18*'TUSD BE'!$O$58</f>
        <v>0</v>
      </c>
      <c r="P18" s="31">
        <f>'TUSD BE'!$P$18*'TUSD BE'!$P$58</f>
        <v>0</v>
      </c>
      <c r="Q18" s="31">
        <f>'TUSD BE'!$Q$18*'TUSD BE'!$Q$58</f>
        <v>1.4018738549269818</v>
      </c>
      <c r="R18" s="31">
        <f>'TUSD BE'!$R$18*'TUSD BE'!$R$58</f>
        <v>0.26830949317951003</v>
      </c>
      <c r="S18" s="31">
        <f>'TUSD BE'!$R$18*'TUSD BE'!$S$58</f>
        <v>0</v>
      </c>
      <c r="T18" s="31">
        <f ca="1">SUM($L$18:$S$18)</f>
        <v>1.7030044122760528</v>
      </c>
      <c r="U18" s="31">
        <f>'TUSD BE'!$U$18*'TUSD BE'!$U$58</f>
        <v>0</v>
      </c>
      <c r="V18" s="31">
        <f>'TUSD BE'!$V$18*'TUSD BE'!$V$58</f>
        <v>0</v>
      </c>
      <c r="W18" s="31">
        <f>'TUSD BE'!$W$18*'TUSD BE'!$W$58</f>
        <v>0</v>
      </c>
      <c r="X18" s="31">
        <f>'TUSD BE'!$X$18*'TUSD BE'!$X$58</f>
        <v>0</v>
      </c>
      <c r="Y18" s="31">
        <f>'TUSD BE'!$Y$18*'TUSD BE'!$Y$58</f>
        <v>9.6023954445638644</v>
      </c>
      <c r="Z18" s="31">
        <f>'TUSD BE'!$Z$18*'TUSD BE'!$Z$58</f>
        <v>0</v>
      </c>
      <c r="AA18" s="31">
        <f>'TUSD BE'!$AA$18*'TUSD BE'!$AA$58</f>
        <v>0</v>
      </c>
      <c r="AB18" s="31">
        <f>SUM($U$18:$AA$18)</f>
        <v>9.6023954445638644</v>
      </c>
      <c r="AC18" s="31">
        <f>'TUSD BE'!$AC$18*'TUSD BE'!$AC$58</f>
        <v>-3.972978918723848</v>
      </c>
      <c r="AD18" s="31">
        <f>SUM($AC$18:$AC$18)</f>
        <v>-3.972978918723848</v>
      </c>
      <c r="AE18" s="31">
        <f ca="1">$AO$18*$AO$55</f>
        <v>-62.177413933916412</v>
      </c>
      <c r="AF18" s="31">
        <f ca="1">$AP$18*$AP$55</f>
        <v>0</v>
      </c>
      <c r="AG18" s="31">
        <f ca="1">SUM($AE$18:$AF$18)</f>
        <v>-62.177413933916412</v>
      </c>
      <c r="AH18" s="31">
        <f>'TUSD BE'!$AH$18*'TUSD BE'!$AH$58</f>
        <v>-1.1186428756246387</v>
      </c>
      <c r="AI18" s="31">
        <f>'TUSD BE'!$AI$18*'TUSD BE'!$AI$58</f>
        <v>-3.5974039122080477E-2</v>
      </c>
      <c r="AJ18" s="31">
        <f ca="1">'TUSD BE'!$AJ$18*'TUSD BE'!$AJ$58</f>
        <v>-0.11825381198647125</v>
      </c>
      <c r="AK18" s="31">
        <f ca="1">'TUSD BE'!$AK$18*'TUSD BE'!$AK$58</f>
        <v>4.181590643671651E-2</v>
      </c>
      <c r="AL18" s="31">
        <f ca="1">SUM($AH$18:$AK$18)</f>
        <v>-1.231054820296474</v>
      </c>
      <c r="AM18" s="31">
        <f ca="1">SUMIF($L$4:$AL$4,"SUBTOTAL",$L$18:$AL$18)</f>
        <v>-56.076047816096811</v>
      </c>
      <c r="AO18" s="44">
        <f ca="1">+'TUSD BE'!$T$18+'TUSD BE'!$AB$18+'TUSD BE'!$AD$18+'TUSD BE'!$AL$18</f>
        <v>589.3558793448143</v>
      </c>
      <c r="AP18" s="44">
        <f ca="1">+'TUSD BE'!$T$18+'TUSD BE'!$AB$18+'TUSD BE'!$AD$18+'TUSD BE'!$AL$18</f>
        <v>589.3558793448143</v>
      </c>
    </row>
    <row r="19" spans="1:42" ht="11.25" customHeight="1" x14ac:dyDescent="0.25">
      <c r="A19" s="137"/>
      <c r="B19" s="137"/>
      <c r="C19" s="137"/>
      <c r="D19" s="137"/>
      <c r="E19" s="137"/>
      <c r="F19" s="137"/>
      <c r="G19" s="41" t="s">
        <v>72</v>
      </c>
      <c r="H19" s="41" t="s">
        <v>70</v>
      </c>
      <c r="I19" s="41">
        <f>'MERCADO TUSD'!$U$16</f>
        <v>0</v>
      </c>
      <c r="J19" s="15"/>
      <c r="L19" s="31">
        <f>'TUSD BE'!$L$19*'TUSD BE'!$L$58</f>
        <v>4.96139567348787E-2</v>
      </c>
      <c r="M19" s="31">
        <f>'TUSD BE'!$M$19*'TUSD BE'!$M$58</f>
        <v>-1.67938644926648E-2</v>
      </c>
      <c r="N19" s="31">
        <f ca="1">'TUSD BE'!$N$19*'TUSD BE'!$N$58</f>
        <v>2.644224938104574E-7</v>
      </c>
      <c r="O19" s="31">
        <f>'TUSD BE'!$O$19*'TUSD BE'!$O$58</f>
        <v>0</v>
      </c>
      <c r="P19" s="31">
        <f>'TUSD BE'!$P$19*'TUSD BE'!$P$58</f>
        <v>0</v>
      </c>
      <c r="Q19" s="31">
        <f>'TUSD BE'!$Q$19*'TUSD BE'!$Q$58</f>
        <v>1.4018738549269818</v>
      </c>
      <c r="R19" s="31">
        <f>'TUSD BE'!$R$19*'TUSD BE'!$R$58</f>
        <v>0.26830949317951003</v>
      </c>
      <c r="S19" s="31">
        <f>'TUSD BE'!$R$19*'TUSD BE'!$S$58</f>
        <v>0</v>
      </c>
      <c r="T19" s="31">
        <f ca="1">SUM($L$19:$S$19)</f>
        <v>1.7030037047711994</v>
      </c>
      <c r="U19" s="31">
        <f>'TUSD BE'!$U$19*'TUSD BE'!$U$58</f>
        <v>0</v>
      </c>
      <c r="V19" s="31">
        <f>'TUSD BE'!$V$19*'TUSD BE'!$V$58</f>
        <v>0</v>
      </c>
      <c r="W19" s="31">
        <f>'TUSD BE'!$W$19*'TUSD BE'!$W$58</f>
        <v>0</v>
      </c>
      <c r="X19" s="31">
        <f>'TUSD BE'!$X$19*'TUSD BE'!$X$58</f>
        <v>0</v>
      </c>
      <c r="Y19" s="31">
        <f>'TUSD BE'!$Y$19*'TUSD BE'!$Y$58</f>
        <v>1.9204801265474094</v>
      </c>
      <c r="Z19" s="31">
        <f>'TUSD BE'!$Z$19*'TUSD BE'!$Z$58</f>
        <v>0</v>
      </c>
      <c r="AA19" s="31">
        <f>'TUSD BE'!$AA$19*'TUSD BE'!$AA$58</f>
        <v>0</v>
      </c>
      <c r="AB19" s="31">
        <f>SUM($U$19:$AA$19)</f>
        <v>1.9204801265474094</v>
      </c>
      <c r="AC19" s="31">
        <f>'TUSD BE'!$AC$19*'TUSD BE'!$AC$58</f>
        <v>-0.79459646604926726</v>
      </c>
      <c r="AD19" s="31">
        <f>SUM($AC$19:$AC$19)</f>
        <v>-0.79459646604926726</v>
      </c>
      <c r="AE19" s="31">
        <f ca="1">$AO$19*$AO$55</f>
        <v>-23.670351499717018</v>
      </c>
      <c r="AF19" s="31">
        <f ca="1">$AP$19*$AP$55</f>
        <v>0</v>
      </c>
      <c r="AG19" s="31">
        <f ca="1">SUM($AE$19:$AF$19)</f>
        <v>-23.670351499717018</v>
      </c>
      <c r="AH19" s="31">
        <f>'TUSD BE'!$AH$19*'TUSD BE'!$AH$58</f>
        <v>-1.1186428756246387</v>
      </c>
      <c r="AI19" s="31">
        <f>'TUSD BE'!$AI$19*'TUSD BE'!$AI$58</f>
        <v>-3.5974039122080477E-2</v>
      </c>
      <c r="AJ19" s="31">
        <f ca="1">'TUSD BE'!$AJ$19*'TUSD BE'!$AJ$58</f>
        <v>-0.11825381198647125</v>
      </c>
      <c r="AK19" s="31">
        <f ca="1">'TUSD BE'!$AK$19*'TUSD BE'!$AK$58</f>
        <v>4.181590643671651E-2</v>
      </c>
      <c r="AL19" s="31">
        <f ca="1">SUM($AH$19:$AK$19)</f>
        <v>-1.231054820296474</v>
      </c>
      <c r="AM19" s="31">
        <f ca="1">SUMIF($L$4:$AL$4,"SUBTOTAL",$L$19:$AL$19)</f>
        <v>-22.072518954744151</v>
      </c>
      <c r="AO19" s="44">
        <f ca="1">+'TUSD BE'!$T$19+'TUSD BE'!$AB$19+'TUSD BE'!$AD$19+'TUSD BE'!$AL$19</f>
        <v>224.36219102555833</v>
      </c>
      <c r="AP19" s="44">
        <f ca="1">+'TUSD BE'!$T$19+'TUSD BE'!$AB$19+'TUSD BE'!$AD$19+'TUSD BE'!$AL$19</f>
        <v>224.36219102555833</v>
      </c>
    </row>
    <row r="20" spans="1:42" ht="11.25" customHeight="1" x14ac:dyDescent="0.25">
      <c r="A20" s="137"/>
      <c r="B20" s="137" t="s">
        <v>23</v>
      </c>
      <c r="C20" s="137" t="s">
        <v>24</v>
      </c>
      <c r="D20" s="42" t="s">
        <v>24</v>
      </c>
      <c r="E20" s="42" t="s">
        <v>25</v>
      </c>
      <c r="F20" s="42" t="s">
        <v>25</v>
      </c>
      <c r="G20" s="41" t="s">
        <v>74</v>
      </c>
      <c r="H20" s="41" t="s">
        <v>70</v>
      </c>
      <c r="I20" s="41">
        <f>'MERCADO TUSD'!$U$17</f>
        <v>20530.876000000004</v>
      </c>
      <c r="J20" s="15"/>
      <c r="L20" s="31">
        <f>'TUSD BE'!$L$20*'TUSD BE'!$L$58</f>
        <v>4.96139567348787E-2</v>
      </c>
      <c r="M20" s="31">
        <f>'TUSD BE'!$M$20*'TUSD BE'!$M$58</f>
        <v>-1.67938644926648E-2</v>
      </c>
      <c r="N20" s="31">
        <f ca="1">'TUSD BE'!$N$20*'TUSD BE'!$N$58</f>
        <v>5.9290676153437237E-7</v>
      </c>
      <c r="O20" s="31">
        <f>'TUSD BE'!$O$20*'TUSD BE'!$O$58</f>
        <v>0</v>
      </c>
      <c r="P20" s="31">
        <f>'TUSD BE'!$P$20*'TUSD BE'!$P$58</f>
        <v>0</v>
      </c>
      <c r="Q20" s="31">
        <f>'TUSD BE'!$Q$20*'TUSD BE'!$Q$58</f>
        <v>1.4018738549269818</v>
      </c>
      <c r="R20" s="31">
        <f>'TUSD BE'!$R$20*'TUSD BE'!$R$58</f>
        <v>0.26830949317951003</v>
      </c>
      <c r="S20" s="31">
        <f>'TUSD BE'!$R$20*'TUSD BE'!$S$58</f>
        <v>0</v>
      </c>
      <c r="T20" s="31">
        <f ca="1">SUM($L$20:$S$20)</f>
        <v>1.7030040332554672</v>
      </c>
      <c r="U20" s="31">
        <f>'TUSD BE'!$U$20*'TUSD BE'!$U$58</f>
        <v>0</v>
      </c>
      <c r="V20" s="31">
        <f>'TUSD BE'!$V$20*'TUSD BE'!$V$58</f>
        <v>0</v>
      </c>
      <c r="W20" s="31">
        <f>'TUSD BE'!$W$20*'TUSD BE'!$W$58</f>
        <v>0</v>
      </c>
      <c r="X20" s="31">
        <f>'TUSD BE'!$X$20*'TUSD BE'!$X$58</f>
        <v>0</v>
      </c>
      <c r="Y20" s="31">
        <f>'TUSD BE'!$Y$20*'TUSD BE'!$Y$58</f>
        <v>5.4870845935145454</v>
      </c>
      <c r="Z20" s="31">
        <f>'TUSD BE'!$Z$20*'TUSD BE'!$Z$58</f>
        <v>0</v>
      </c>
      <c r="AA20" s="31">
        <f>'TUSD BE'!$AA$20*'TUSD BE'!$AA$58</f>
        <v>0</v>
      </c>
      <c r="AB20" s="31">
        <f>SUM($U$20:$AA$20)</f>
        <v>5.4870845935145454</v>
      </c>
      <c r="AC20" s="31">
        <f>'TUSD BE'!$AC$20*'TUSD BE'!$AC$58</f>
        <v>-2.2702726931214881</v>
      </c>
      <c r="AD20" s="31">
        <f>SUM($AC$20:$AC$20)</f>
        <v>-2.2702726931214881</v>
      </c>
      <c r="AE20" s="31">
        <f ca="1">$AO$20*$AO$55</f>
        <v>-41.54862394577416</v>
      </c>
      <c r="AF20" s="31">
        <f ca="1">$AP$20*$AP$55</f>
        <v>0</v>
      </c>
      <c r="AG20" s="31">
        <f ca="1">SUM($AE$20:$AF$20)</f>
        <v>-41.54862394577416</v>
      </c>
      <c r="AH20" s="31">
        <f>'TUSD BE'!$AH$20*'TUSD BE'!$AH$58</f>
        <v>-1.1186428756246387</v>
      </c>
      <c r="AI20" s="31">
        <f>'TUSD BE'!$AI$20*'TUSD BE'!$AI$58</f>
        <v>-3.5974039122080477E-2</v>
      </c>
      <c r="AJ20" s="31">
        <f ca="1">'TUSD BE'!$AJ$20*'TUSD BE'!$AJ$58</f>
        <v>-0.11825381198647125</v>
      </c>
      <c r="AK20" s="31">
        <f ca="1">'TUSD BE'!$AK$20*'TUSD BE'!$AK$58</f>
        <v>4.181590643671651E-2</v>
      </c>
      <c r="AL20" s="31">
        <f ca="1">SUM($AH$20:$AK$20)</f>
        <v>-1.231054820296474</v>
      </c>
      <c r="AM20" s="31">
        <f ca="1">SUMIF($L$4:$AL$4,"SUBTOTAL",$L$20:$AL$20)</f>
        <v>-37.859862832422102</v>
      </c>
      <c r="AO20" s="44">
        <f ca="1">+'TUSD BE'!$T$20+'TUSD BE'!$AB$20+'TUSD BE'!$AD$20+'TUSD BE'!$AL$20</f>
        <v>393.82348431464209</v>
      </c>
      <c r="AP20" s="44">
        <f ca="1">+'TUSD BE'!$T$20+'TUSD BE'!$AB$20+'TUSD BE'!$AD$20+'TUSD BE'!$AL$20</f>
        <v>393.82348431464209</v>
      </c>
    </row>
    <row r="21" spans="1:42" ht="11.25" customHeight="1" x14ac:dyDescent="0.25">
      <c r="A21" s="137"/>
      <c r="B21" s="137"/>
      <c r="C21" s="137"/>
      <c r="D21" s="42" t="s">
        <v>28</v>
      </c>
      <c r="E21" s="42" t="s">
        <v>25</v>
      </c>
      <c r="F21" s="42" t="s">
        <v>25</v>
      </c>
      <c r="G21" s="41" t="s">
        <v>74</v>
      </c>
      <c r="H21" s="41" t="s">
        <v>70</v>
      </c>
      <c r="I21" s="41">
        <f>'MERCADO TUSD'!$U$18</f>
        <v>165.006</v>
      </c>
      <c r="J21" s="15"/>
      <c r="L21" s="31">
        <f>'TUSD BE'!$L$21*'TUSD BE'!$L$58</f>
        <v>0</v>
      </c>
      <c r="M21" s="31">
        <f>'TUSD BE'!$M$21*'TUSD BE'!$M$58</f>
        <v>-1.67938644926648E-2</v>
      </c>
      <c r="N21" s="31">
        <f ca="1">'TUSD BE'!$N$21*'TUSD BE'!$N$58</f>
        <v>5.9079100533446589E-7</v>
      </c>
      <c r="O21" s="31">
        <f>'TUSD BE'!$O$21*'TUSD BE'!$O$58</f>
        <v>0</v>
      </c>
      <c r="P21" s="31">
        <f>'TUSD BE'!$P$21*'TUSD BE'!$P$58</f>
        <v>0</v>
      </c>
      <c r="Q21" s="31">
        <f>'TUSD BE'!$Q$21*'TUSD BE'!$Q$58</f>
        <v>0</v>
      </c>
      <c r="R21" s="31">
        <f>'TUSD BE'!$R$21*'TUSD BE'!$R$58</f>
        <v>0</v>
      </c>
      <c r="S21" s="31">
        <f>'TUSD BE'!$R$21*'TUSD BE'!$S$58</f>
        <v>0</v>
      </c>
      <c r="T21" s="31">
        <f ca="1">SUM($L$21:$S$21)</f>
        <v>-1.6793273701659464E-2</v>
      </c>
      <c r="U21" s="31">
        <f>'TUSD BE'!$U$21*'TUSD BE'!$U$58</f>
        <v>0</v>
      </c>
      <c r="V21" s="31">
        <f>'TUSD BE'!$V$21*'TUSD BE'!$V$58</f>
        <v>0</v>
      </c>
      <c r="W21" s="31">
        <f>'TUSD BE'!$W$21*'TUSD BE'!$W$58</f>
        <v>0</v>
      </c>
      <c r="X21" s="31">
        <f>'TUSD BE'!$X$21*'TUSD BE'!$X$58</f>
        <v>0</v>
      </c>
      <c r="Y21" s="31">
        <f>'TUSD BE'!$Y$21*'TUSD BE'!$Y$58</f>
        <v>5.4870845935145454</v>
      </c>
      <c r="Z21" s="31">
        <f>'TUSD BE'!$Z$21*'TUSD BE'!$Z$58</f>
        <v>0</v>
      </c>
      <c r="AA21" s="31">
        <f>'TUSD BE'!$AA$21*'TUSD BE'!$AA$58</f>
        <v>0</v>
      </c>
      <c r="AB21" s="31">
        <f>SUM($U$21:$AA$21)</f>
        <v>5.4870845935145454</v>
      </c>
      <c r="AC21" s="31">
        <f>'TUSD BE'!$AC$21*'TUSD BE'!$AC$58</f>
        <v>-2.2702726931214881</v>
      </c>
      <c r="AD21" s="31">
        <f>SUM($AC$21:$AC$21)</f>
        <v>-2.2702726931214881</v>
      </c>
      <c r="AE21" s="31">
        <f ca="1">$AO$21*$AO$55</f>
        <v>-29.836778054260634</v>
      </c>
      <c r="AF21" s="31">
        <f ca="1">$AP$21*$AP$55</f>
        <v>0</v>
      </c>
      <c r="AG21" s="31">
        <f ca="1">SUM($AE$21:$AF$21)</f>
        <v>-29.836778054260634</v>
      </c>
      <c r="AH21" s="31">
        <f>'TUSD BE'!$AH$21*'TUSD BE'!$AH$58</f>
        <v>-1.1186428756246387</v>
      </c>
      <c r="AI21" s="31">
        <f>'TUSD BE'!$AI$21*'TUSD BE'!$AI$58</f>
        <v>-3.5974039122080477E-2</v>
      </c>
      <c r="AJ21" s="31">
        <f ca="1">'TUSD BE'!$AJ$21*'TUSD BE'!$AJ$58</f>
        <v>-0.11825381198647125</v>
      </c>
      <c r="AK21" s="31">
        <f ca="1">'TUSD BE'!$AK$21*'TUSD BE'!$AK$58</f>
        <v>4.181590643671651E-2</v>
      </c>
      <c r="AL21" s="31">
        <f ca="1">SUM($AH$21:$AK$21)</f>
        <v>-1.231054820296474</v>
      </c>
      <c r="AM21" s="31">
        <f ca="1">SUMIF($L$4:$AL$4,"SUBTOTAL",$L$21:$AL$21)</f>
        <v>-27.867814247865709</v>
      </c>
      <c r="AO21" s="44">
        <f ca="1">+'TUSD BE'!$T$21+'TUSD BE'!$AB$21+'TUSD BE'!$AD$21+'TUSD BE'!$AL$21</f>
        <v>282.81138526722941</v>
      </c>
      <c r="AP21" s="44">
        <f ca="1">+'TUSD BE'!$T$21+'TUSD BE'!$AB$21+'TUSD BE'!$AD$21+'TUSD BE'!$AL$21</f>
        <v>282.81138526722941</v>
      </c>
    </row>
    <row r="22" spans="1:42" ht="11.25" customHeight="1" x14ac:dyDescent="0.25">
      <c r="A22" s="137"/>
      <c r="B22" s="137"/>
      <c r="C22" s="137"/>
      <c r="D22" s="42" t="s">
        <v>29</v>
      </c>
      <c r="E22" s="42" t="s">
        <v>25</v>
      </c>
      <c r="F22" s="42" t="s">
        <v>25</v>
      </c>
      <c r="G22" s="41" t="s">
        <v>74</v>
      </c>
      <c r="H22" s="41" t="s">
        <v>70</v>
      </c>
      <c r="I22" s="41">
        <f>'MERCADO TUSD'!$U$19</f>
        <v>350.56600000000003</v>
      </c>
      <c r="J22" s="15"/>
      <c r="L22" s="31">
        <f>'TUSD BE'!$L$22*'TUSD BE'!$L$58</f>
        <v>0</v>
      </c>
      <c r="M22" s="31">
        <f>'TUSD BE'!$M$22*'TUSD BE'!$M$58</f>
        <v>-1.67938644926648E-2</v>
      </c>
      <c r="N22" s="31">
        <f ca="1">'TUSD BE'!$N$22*'TUSD BE'!$N$58</f>
        <v>5.9079100533446589E-7</v>
      </c>
      <c r="O22" s="31">
        <f>'TUSD BE'!$O$22*'TUSD BE'!$O$58</f>
        <v>0</v>
      </c>
      <c r="P22" s="31">
        <f>'TUSD BE'!$P$22*'TUSD BE'!$P$58</f>
        <v>0</v>
      </c>
      <c r="Q22" s="31">
        <f>'TUSD BE'!$Q$22*'TUSD BE'!$Q$58</f>
        <v>0</v>
      </c>
      <c r="R22" s="31">
        <f>'TUSD BE'!$R$22*'TUSD BE'!$R$58</f>
        <v>0</v>
      </c>
      <c r="S22" s="31">
        <f>'TUSD BE'!$R$22*'TUSD BE'!$S$58</f>
        <v>0</v>
      </c>
      <c r="T22" s="31">
        <f ca="1">SUM($L$22:$S$22)</f>
        <v>-1.6793273701659464E-2</v>
      </c>
      <c r="U22" s="31">
        <f>'TUSD BE'!$U$22*'TUSD BE'!$U$58</f>
        <v>0</v>
      </c>
      <c r="V22" s="31">
        <f>'TUSD BE'!$V$22*'TUSD BE'!$V$58</f>
        <v>0</v>
      </c>
      <c r="W22" s="31">
        <f>'TUSD BE'!$W$22*'TUSD BE'!$W$58</f>
        <v>0</v>
      </c>
      <c r="X22" s="31">
        <f>'TUSD BE'!$X$22*'TUSD BE'!$X$58</f>
        <v>0</v>
      </c>
      <c r="Y22" s="31">
        <f>'TUSD BE'!$Y$22*'TUSD BE'!$Y$58</f>
        <v>5.4870845935145454</v>
      </c>
      <c r="Z22" s="31">
        <f>'TUSD BE'!$Z$22*'TUSD BE'!$Z$58</f>
        <v>0</v>
      </c>
      <c r="AA22" s="31">
        <f>'TUSD BE'!$AA$22*'TUSD BE'!$AA$58</f>
        <v>0</v>
      </c>
      <c r="AB22" s="31">
        <f>SUM($U$22:$AA$22)</f>
        <v>5.4870845935145454</v>
      </c>
      <c r="AC22" s="31">
        <f>'TUSD BE'!$AC$22*'TUSD BE'!$AC$58</f>
        <v>-2.2702726931214881</v>
      </c>
      <c r="AD22" s="31">
        <f>SUM($AC$22:$AC$22)</f>
        <v>-2.2702726931214881</v>
      </c>
      <c r="AE22" s="31">
        <f ca="1">$AO$22*$AO$55</f>
        <v>-29.836778054260634</v>
      </c>
      <c r="AF22" s="31">
        <f ca="1">$AP$22*$AP$55</f>
        <v>0</v>
      </c>
      <c r="AG22" s="31">
        <f ca="1">SUM($AE$22:$AF$22)</f>
        <v>-29.836778054260634</v>
      </c>
      <c r="AH22" s="31">
        <f>'TUSD BE'!$AH$22*'TUSD BE'!$AH$58</f>
        <v>-1.1186428756246387</v>
      </c>
      <c r="AI22" s="31">
        <f>'TUSD BE'!$AI$22*'TUSD BE'!$AI$58</f>
        <v>-3.5974039122080477E-2</v>
      </c>
      <c r="AJ22" s="31">
        <f ca="1">'TUSD BE'!$AJ$22*'TUSD BE'!$AJ$58</f>
        <v>-0.11825381198647125</v>
      </c>
      <c r="AK22" s="31">
        <f ca="1">'TUSD BE'!$AK$22*'TUSD BE'!$AK$58</f>
        <v>4.181590643671651E-2</v>
      </c>
      <c r="AL22" s="31">
        <f ca="1">SUM($AH$22:$AK$22)</f>
        <v>-1.231054820296474</v>
      </c>
      <c r="AM22" s="31">
        <f ca="1">SUMIF($L$4:$AL$4,"SUBTOTAL",$L$22:$AL$22)</f>
        <v>-27.867814247865709</v>
      </c>
      <c r="AO22" s="44">
        <f ca="1">+'TUSD BE'!$T$22+'TUSD BE'!$AB$22+'TUSD BE'!$AD$22+'TUSD BE'!$AL$22</f>
        <v>282.81138526722941</v>
      </c>
      <c r="AP22" s="44">
        <f ca="1">+'TUSD BE'!$T$22+'TUSD BE'!$AB$22+'TUSD BE'!$AD$22+'TUSD BE'!$AL$22</f>
        <v>282.81138526722941</v>
      </c>
    </row>
    <row r="23" spans="1:42" ht="11.25" customHeight="1" x14ac:dyDescent="0.25">
      <c r="A23" s="137"/>
      <c r="B23" s="137"/>
      <c r="C23" s="137"/>
      <c r="D23" s="42" t="s">
        <v>30</v>
      </c>
      <c r="E23" s="42" t="s">
        <v>25</v>
      </c>
      <c r="F23" s="42" t="s">
        <v>25</v>
      </c>
      <c r="G23" s="41" t="s">
        <v>74</v>
      </c>
      <c r="H23" s="41" t="s">
        <v>70</v>
      </c>
      <c r="I23" s="41">
        <f>'MERCADO TUSD'!$U$20</f>
        <v>338.63600000000002</v>
      </c>
      <c r="J23" s="15"/>
      <c r="L23" s="31">
        <f>'TUSD BE'!$L$23*'TUSD BE'!$L$58</f>
        <v>0</v>
      </c>
      <c r="M23" s="31">
        <f>'TUSD BE'!$M$23*'TUSD BE'!$M$58</f>
        <v>-1.67938644926648E-2</v>
      </c>
      <c r="N23" s="31">
        <f ca="1">'TUSD BE'!$N$23*'TUSD BE'!$N$58</f>
        <v>5.9079100533446589E-7</v>
      </c>
      <c r="O23" s="31">
        <f>'TUSD BE'!$O$23*'TUSD BE'!$O$58</f>
        <v>0</v>
      </c>
      <c r="P23" s="31">
        <f>'TUSD BE'!$P$23*'TUSD BE'!$P$58</f>
        <v>0</v>
      </c>
      <c r="Q23" s="31">
        <f>'TUSD BE'!$Q$23*'TUSD BE'!$Q$58</f>
        <v>0</v>
      </c>
      <c r="R23" s="31">
        <f>'TUSD BE'!$R$23*'TUSD BE'!$R$58</f>
        <v>0</v>
      </c>
      <c r="S23" s="31">
        <f>'TUSD BE'!$R$23*'TUSD BE'!$S$58</f>
        <v>0</v>
      </c>
      <c r="T23" s="31">
        <f ca="1">SUM($L$23:$S$23)</f>
        <v>-1.6793273701659464E-2</v>
      </c>
      <c r="U23" s="31">
        <f>'TUSD BE'!$U$23*'TUSD BE'!$U$58</f>
        <v>0</v>
      </c>
      <c r="V23" s="31">
        <f>'TUSD BE'!$V$23*'TUSD BE'!$V$58</f>
        <v>0</v>
      </c>
      <c r="W23" s="31">
        <f>'TUSD BE'!$W$23*'TUSD BE'!$W$58</f>
        <v>0</v>
      </c>
      <c r="X23" s="31">
        <f>'TUSD BE'!$X$23*'TUSD BE'!$X$58</f>
        <v>0</v>
      </c>
      <c r="Y23" s="31">
        <f>'TUSD BE'!$Y$23*'TUSD BE'!$Y$58</f>
        <v>5.4870845935145454</v>
      </c>
      <c r="Z23" s="31">
        <f>'TUSD BE'!$Z$23*'TUSD BE'!$Z$58</f>
        <v>0</v>
      </c>
      <c r="AA23" s="31">
        <f>'TUSD BE'!$AA$23*'TUSD BE'!$AA$58</f>
        <v>0</v>
      </c>
      <c r="AB23" s="31">
        <f>SUM($U$23:$AA$23)</f>
        <v>5.4870845935145454</v>
      </c>
      <c r="AC23" s="31">
        <f>'TUSD BE'!$AC$23*'TUSD BE'!$AC$58</f>
        <v>-2.2702726931214881</v>
      </c>
      <c r="AD23" s="31">
        <f>SUM($AC$23:$AC$23)</f>
        <v>-2.2702726931214881</v>
      </c>
      <c r="AE23" s="31">
        <f ca="1">$AO$23*$AO$55</f>
        <v>-29.836778054260634</v>
      </c>
      <c r="AF23" s="31">
        <f ca="1">$AP$23*$AP$55</f>
        <v>0</v>
      </c>
      <c r="AG23" s="31">
        <f ca="1">SUM($AE$23:$AF$23)</f>
        <v>-29.836778054260634</v>
      </c>
      <c r="AH23" s="31">
        <f>'TUSD BE'!$AH$23*'TUSD BE'!$AH$58</f>
        <v>-1.1186428756246387</v>
      </c>
      <c r="AI23" s="31">
        <f>'TUSD BE'!$AI$23*'TUSD BE'!$AI$58</f>
        <v>-3.5974039122080477E-2</v>
      </c>
      <c r="AJ23" s="31">
        <f ca="1">'TUSD BE'!$AJ$23*'TUSD BE'!$AJ$58</f>
        <v>-0.11825381198647125</v>
      </c>
      <c r="AK23" s="31">
        <f ca="1">'TUSD BE'!$AK$23*'TUSD BE'!$AK$58</f>
        <v>4.181590643671651E-2</v>
      </c>
      <c r="AL23" s="31">
        <f ca="1">SUM($AH$23:$AK$23)</f>
        <v>-1.231054820296474</v>
      </c>
      <c r="AM23" s="31">
        <f ca="1">SUMIF($L$4:$AL$4,"SUBTOTAL",$L$23:$AL$23)</f>
        <v>-27.867814247865709</v>
      </c>
      <c r="AO23" s="44">
        <f ca="1">+'TUSD BE'!$T$23+'TUSD BE'!$AB$23+'TUSD BE'!$AD$23+'TUSD BE'!$AL$23</f>
        <v>282.81138526722941</v>
      </c>
      <c r="AP23" s="44">
        <f ca="1">+'TUSD BE'!$T$23+'TUSD BE'!$AB$23+'TUSD BE'!$AD$23+'TUSD BE'!$AL$23</f>
        <v>282.81138526722941</v>
      </c>
    </row>
    <row r="24" spans="1:42" ht="11.25" customHeight="1" x14ac:dyDescent="0.25">
      <c r="A24" s="137"/>
      <c r="B24" s="137"/>
      <c r="C24" s="137"/>
      <c r="D24" s="42" t="s">
        <v>31</v>
      </c>
      <c r="E24" s="42" t="s">
        <v>25</v>
      </c>
      <c r="F24" s="42" t="s">
        <v>25</v>
      </c>
      <c r="G24" s="41" t="s">
        <v>74</v>
      </c>
      <c r="H24" s="41" t="s">
        <v>70</v>
      </c>
      <c r="I24" s="41">
        <f>'MERCADO TUSD'!$U$21</f>
        <v>113.66699999999999</v>
      </c>
      <c r="J24" s="15"/>
      <c r="L24" s="31">
        <f>'TUSD BE'!$L$24*'TUSD BE'!$L$58</f>
        <v>0</v>
      </c>
      <c r="M24" s="31">
        <f>'TUSD BE'!$M$24*'TUSD BE'!$M$58</f>
        <v>-1.67938644926648E-2</v>
      </c>
      <c r="N24" s="31">
        <f ca="1">'TUSD BE'!$N$24*'TUSD BE'!$N$58</f>
        <v>5.9079100533446589E-7</v>
      </c>
      <c r="O24" s="31">
        <f>'TUSD BE'!$O$24*'TUSD BE'!$O$58</f>
        <v>0</v>
      </c>
      <c r="P24" s="31">
        <f>'TUSD BE'!$P$24*'TUSD BE'!$P$58</f>
        <v>0</v>
      </c>
      <c r="Q24" s="31">
        <f>'TUSD BE'!$Q$24*'TUSD BE'!$Q$58</f>
        <v>0</v>
      </c>
      <c r="R24" s="31">
        <f>'TUSD BE'!$R$24*'TUSD BE'!$R$58</f>
        <v>0</v>
      </c>
      <c r="S24" s="31">
        <f>'TUSD BE'!$R$24*'TUSD BE'!$S$58</f>
        <v>0</v>
      </c>
      <c r="T24" s="31">
        <f ca="1">SUM($L$24:$S$24)</f>
        <v>-1.6793273701659464E-2</v>
      </c>
      <c r="U24" s="31">
        <f>'TUSD BE'!$U$24*'TUSD BE'!$U$58</f>
        <v>0</v>
      </c>
      <c r="V24" s="31">
        <f>'TUSD BE'!$V$24*'TUSD BE'!$V$58</f>
        <v>0</v>
      </c>
      <c r="W24" s="31">
        <f>'TUSD BE'!$W$24*'TUSD BE'!$W$58</f>
        <v>0</v>
      </c>
      <c r="X24" s="31">
        <f>'TUSD BE'!$X$24*'TUSD BE'!$X$58</f>
        <v>0</v>
      </c>
      <c r="Y24" s="31">
        <f>'TUSD BE'!$Y$24*'TUSD BE'!$Y$58</f>
        <v>5.4870845935145454</v>
      </c>
      <c r="Z24" s="31">
        <f>'TUSD BE'!$Z$24*'TUSD BE'!$Z$58</f>
        <v>0</v>
      </c>
      <c r="AA24" s="31">
        <f>'TUSD BE'!$AA$24*'TUSD BE'!$AA$58</f>
        <v>0</v>
      </c>
      <c r="AB24" s="31">
        <f>SUM($U$24:$AA$24)</f>
        <v>5.4870845935145454</v>
      </c>
      <c r="AC24" s="31">
        <f>'TUSD BE'!$AC$24*'TUSD BE'!$AC$58</f>
        <v>-2.2702726931214881</v>
      </c>
      <c r="AD24" s="31">
        <f>SUM($AC$24:$AC$24)</f>
        <v>-2.2702726931214881</v>
      </c>
      <c r="AE24" s="31">
        <f ca="1">$AO$24*$AO$55</f>
        <v>-29.836778054260634</v>
      </c>
      <c r="AF24" s="31">
        <f ca="1">$AP$24*$AP$55</f>
        <v>0</v>
      </c>
      <c r="AG24" s="31">
        <f ca="1">SUM($AE$24:$AF$24)</f>
        <v>-29.836778054260634</v>
      </c>
      <c r="AH24" s="31">
        <f>'TUSD BE'!$AH$24*'TUSD BE'!$AH$58</f>
        <v>-1.1186428756246387</v>
      </c>
      <c r="AI24" s="31">
        <f>'TUSD BE'!$AI$24*'TUSD BE'!$AI$58</f>
        <v>-3.5974039122080477E-2</v>
      </c>
      <c r="AJ24" s="31">
        <f ca="1">'TUSD BE'!$AJ$24*'TUSD BE'!$AJ$58</f>
        <v>-0.11825381198647125</v>
      </c>
      <c r="AK24" s="31">
        <f ca="1">'TUSD BE'!$AK$24*'TUSD BE'!$AK$58</f>
        <v>4.181590643671651E-2</v>
      </c>
      <c r="AL24" s="31">
        <f ca="1">SUM($AH$24:$AK$24)</f>
        <v>-1.231054820296474</v>
      </c>
      <c r="AM24" s="31">
        <f ca="1">SUMIF($L$4:$AL$4,"SUBTOTAL",$L$24:$AL$24)</f>
        <v>-27.867814247865709</v>
      </c>
      <c r="AO24" s="44">
        <f ca="1">+'TUSD BE'!$T$24+'TUSD BE'!$AB$24+'TUSD BE'!$AD$24+'TUSD BE'!$AL$24</f>
        <v>282.81138526722941</v>
      </c>
      <c r="AP24" s="44">
        <f ca="1">+'TUSD BE'!$T$24+'TUSD BE'!$AB$24+'TUSD BE'!$AD$24+'TUSD BE'!$AL$24</f>
        <v>282.81138526722941</v>
      </c>
    </row>
    <row r="25" spans="1:42" ht="11.25" customHeight="1" x14ac:dyDescent="0.25">
      <c r="A25" s="137"/>
      <c r="B25" s="137" t="s">
        <v>85</v>
      </c>
      <c r="C25" s="137" t="s">
        <v>24</v>
      </c>
      <c r="D25" s="42" t="s">
        <v>24</v>
      </c>
      <c r="E25" s="42" t="s">
        <v>25</v>
      </c>
      <c r="F25" s="42" t="s">
        <v>25</v>
      </c>
      <c r="G25" s="41" t="s">
        <v>74</v>
      </c>
      <c r="H25" s="41" t="s">
        <v>70</v>
      </c>
      <c r="I25" s="41">
        <f>'MERCADO TUSD'!$U$22</f>
        <v>0</v>
      </c>
      <c r="J25" s="15"/>
      <c r="L25" s="31">
        <f>'TUSD BE'!$L$25*'TUSD BE'!$L$58</f>
        <v>4.96139567348787E-2</v>
      </c>
      <c r="M25" s="31">
        <f>'TUSD BE'!$M$25*'TUSD BE'!$M$58</f>
        <v>-1.67938644926648E-2</v>
      </c>
      <c r="N25" s="31">
        <f ca="1">'TUSD BE'!$N$25*'TUSD BE'!$N$58</f>
        <v>5.9290676153437237E-7</v>
      </c>
      <c r="O25" s="31">
        <f>'TUSD BE'!$O$25*'TUSD BE'!$O$58</f>
        <v>0</v>
      </c>
      <c r="P25" s="31">
        <f>'TUSD BE'!$P$25*'TUSD BE'!$P$58</f>
        <v>0</v>
      </c>
      <c r="Q25" s="31">
        <f>'TUSD BE'!$Q$25*'TUSD BE'!$Q$58</f>
        <v>1.4018738549269818</v>
      </c>
      <c r="R25" s="31">
        <f>'TUSD BE'!$R$25*'TUSD BE'!$R$58</f>
        <v>0.26830949317951003</v>
      </c>
      <c r="S25" s="31">
        <f>'TUSD BE'!$R$25*'TUSD BE'!$S$58</f>
        <v>0</v>
      </c>
      <c r="T25" s="31">
        <f ca="1">SUM($L$25:$S$25)</f>
        <v>1.7030040332554672</v>
      </c>
      <c r="U25" s="31">
        <f>'TUSD BE'!$U$25*'TUSD BE'!$U$58</f>
        <v>0</v>
      </c>
      <c r="V25" s="31">
        <f>'TUSD BE'!$V$25*'TUSD BE'!$V$58</f>
        <v>0</v>
      </c>
      <c r="W25" s="31">
        <f>'TUSD BE'!$W$25*'TUSD BE'!$W$58</f>
        <v>0</v>
      </c>
      <c r="X25" s="31">
        <f>'TUSD BE'!$X$25*'TUSD BE'!$X$58</f>
        <v>0</v>
      </c>
      <c r="Y25" s="31">
        <f>'TUSD BE'!$Y$25*'TUSD BE'!$Y$58</f>
        <v>5.4870845935145454</v>
      </c>
      <c r="Z25" s="31">
        <f>'TUSD BE'!$Z$25*'TUSD BE'!$Z$58</f>
        <v>0</v>
      </c>
      <c r="AA25" s="31">
        <f>'TUSD BE'!$AA$25*'TUSD BE'!$AA$58</f>
        <v>0</v>
      </c>
      <c r="AB25" s="31">
        <f>SUM($U$25:$AA$25)</f>
        <v>5.4870845935145454</v>
      </c>
      <c r="AC25" s="31">
        <f>'TUSD BE'!$AC$25*'TUSD BE'!$AC$58</f>
        <v>-2.2702726931214881</v>
      </c>
      <c r="AD25" s="31">
        <f>SUM($AC$25:$AC$25)</f>
        <v>-2.2702726931214881</v>
      </c>
      <c r="AE25" s="31">
        <f ca="1">$AO$25*$AO$55</f>
        <v>-41.54862394577416</v>
      </c>
      <c r="AF25" s="31">
        <f ca="1">$AP$25*$AP$55</f>
        <v>0</v>
      </c>
      <c r="AG25" s="31">
        <f ca="1">SUM($AE$25:$AF$25)</f>
        <v>-41.54862394577416</v>
      </c>
      <c r="AH25" s="31">
        <f>'TUSD BE'!$AH$25*'TUSD BE'!$AH$58</f>
        <v>-1.1186428756246387</v>
      </c>
      <c r="AI25" s="31">
        <f>'TUSD BE'!$AI$25*'TUSD BE'!$AI$58</f>
        <v>-3.5974039122080477E-2</v>
      </c>
      <c r="AJ25" s="31">
        <f ca="1">'TUSD BE'!$AJ$25*'TUSD BE'!$AJ$58</f>
        <v>-0.11825381198647125</v>
      </c>
      <c r="AK25" s="31">
        <f ca="1">'TUSD BE'!$AK$25*'TUSD BE'!$AK$58</f>
        <v>4.181590643671651E-2</v>
      </c>
      <c r="AL25" s="31">
        <f ca="1">SUM($AH$25:$AK$25)</f>
        <v>-1.231054820296474</v>
      </c>
      <c r="AM25" s="31">
        <f ca="1">SUMIF($L$4:$AL$4,"SUBTOTAL",$L$25:$AL$25)</f>
        <v>-37.859862832422102</v>
      </c>
      <c r="AO25" s="44">
        <f ca="1">+'TUSD BE'!$T$25+'TUSD BE'!$AB$25+'TUSD BE'!$AD$25+'TUSD BE'!$AL$25</f>
        <v>393.82348431464209</v>
      </c>
      <c r="AP25" s="44">
        <f ca="1">+'TUSD BE'!$T$25+'TUSD BE'!$AB$25+'TUSD BE'!$AD$25+'TUSD BE'!$AL$25</f>
        <v>393.82348431464209</v>
      </c>
    </row>
    <row r="26" spans="1:42" ht="11.25" customHeight="1" x14ac:dyDescent="0.25">
      <c r="A26" s="137"/>
      <c r="B26" s="137"/>
      <c r="C26" s="137"/>
      <c r="D26" s="42" t="s">
        <v>28</v>
      </c>
      <c r="E26" s="42" t="s">
        <v>25</v>
      </c>
      <c r="F26" s="42" t="s">
        <v>25</v>
      </c>
      <c r="G26" s="41" t="s">
        <v>74</v>
      </c>
      <c r="H26" s="41" t="s">
        <v>70</v>
      </c>
      <c r="I26" s="41">
        <f>'MERCADO TUSD'!$U$23</f>
        <v>0</v>
      </c>
      <c r="J26" s="15"/>
      <c r="L26" s="31">
        <f>'TUSD BE'!$L$26*'TUSD BE'!$L$58</f>
        <v>0</v>
      </c>
      <c r="M26" s="31">
        <f>'TUSD BE'!$M$26*'TUSD BE'!$M$58</f>
        <v>-1.67938644926648E-2</v>
      </c>
      <c r="N26" s="31">
        <f ca="1">'TUSD BE'!$N$26*'TUSD BE'!$N$58</f>
        <v>5.9079100533446589E-7</v>
      </c>
      <c r="O26" s="31">
        <f>'TUSD BE'!$O$26*'TUSD BE'!$O$58</f>
        <v>0</v>
      </c>
      <c r="P26" s="31">
        <f>'TUSD BE'!$P$26*'TUSD BE'!$P$58</f>
        <v>0</v>
      </c>
      <c r="Q26" s="31">
        <f>'TUSD BE'!$Q$26*'TUSD BE'!$Q$58</f>
        <v>0</v>
      </c>
      <c r="R26" s="31">
        <f>'TUSD BE'!$R$26*'TUSD BE'!$R$58</f>
        <v>0</v>
      </c>
      <c r="S26" s="31">
        <f>'TUSD BE'!$R$26*'TUSD BE'!$S$58</f>
        <v>0</v>
      </c>
      <c r="T26" s="31">
        <f ca="1">SUM($L$26:$S$26)</f>
        <v>-1.6793273701659464E-2</v>
      </c>
      <c r="U26" s="31">
        <f>'TUSD BE'!$U$26*'TUSD BE'!$U$58</f>
        <v>0</v>
      </c>
      <c r="V26" s="31">
        <f>'TUSD BE'!$V$26*'TUSD BE'!$V$58</f>
        <v>0</v>
      </c>
      <c r="W26" s="31">
        <f>'TUSD BE'!$W$26*'TUSD BE'!$W$58</f>
        <v>0</v>
      </c>
      <c r="X26" s="31">
        <f>'TUSD BE'!$X$26*'TUSD BE'!$X$58</f>
        <v>0</v>
      </c>
      <c r="Y26" s="31">
        <f>'TUSD BE'!$Y$26*'TUSD BE'!$Y$58</f>
        <v>5.4870845935145454</v>
      </c>
      <c r="Z26" s="31">
        <f>'TUSD BE'!$Z$26*'TUSD BE'!$Z$58</f>
        <v>0</v>
      </c>
      <c r="AA26" s="31">
        <f>'TUSD BE'!$AA$26*'TUSD BE'!$AA$58</f>
        <v>0</v>
      </c>
      <c r="AB26" s="31">
        <f>SUM($U$26:$AA$26)</f>
        <v>5.4870845935145454</v>
      </c>
      <c r="AC26" s="31">
        <f>'TUSD BE'!$AC$26*'TUSD BE'!$AC$58</f>
        <v>-2.2702726931214881</v>
      </c>
      <c r="AD26" s="31">
        <f>SUM($AC$26:$AC$26)</f>
        <v>-2.2702726931214881</v>
      </c>
      <c r="AE26" s="31">
        <f ca="1">$AO$26*$AO$55</f>
        <v>-29.836778054260634</v>
      </c>
      <c r="AF26" s="31">
        <f ca="1">$AP$26*$AP$55</f>
        <v>0</v>
      </c>
      <c r="AG26" s="31">
        <f ca="1">SUM($AE$26:$AF$26)</f>
        <v>-29.836778054260634</v>
      </c>
      <c r="AH26" s="31">
        <f>'TUSD BE'!$AH$26*'TUSD BE'!$AH$58</f>
        <v>-1.1186428756246387</v>
      </c>
      <c r="AI26" s="31">
        <f>'TUSD BE'!$AI$26*'TUSD BE'!$AI$58</f>
        <v>-3.5974039122080477E-2</v>
      </c>
      <c r="AJ26" s="31">
        <f ca="1">'TUSD BE'!$AJ$26*'TUSD BE'!$AJ$58</f>
        <v>-0.11825381198647125</v>
      </c>
      <c r="AK26" s="31">
        <f ca="1">'TUSD BE'!$AK$26*'TUSD BE'!$AK$58</f>
        <v>4.181590643671651E-2</v>
      </c>
      <c r="AL26" s="31">
        <f ca="1">SUM($AH$26:$AK$26)</f>
        <v>-1.231054820296474</v>
      </c>
      <c r="AM26" s="31">
        <f ca="1">SUMIF($L$4:$AL$4,"SUBTOTAL",$L$26:$AL$26)</f>
        <v>-27.867814247865709</v>
      </c>
      <c r="AO26" s="44">
        <f ca="1">+'TUSD BE'!$T$26+'TUSD BE'!$AB$26+'TUSD BE'!$AD$26+'TUSD BE'!$AL$26</f>
        <v>282.81138526722941</v>
      </c>
      <c r="AP26" s="44">
        <f ca="1">+'TUSD BE'!$T$26+'TUSD BE'!$AB$26+'TUSD BE'!$AD$26+'TUSD BE'!$AL$26</f>
        <v>282.81138526722941</v>
      </c>
    </row>
    <row r="27" spans="1:42" ht="11.25" customHeight="1" x14ac:dyDescent="0.25">
      <c r="A27" s="137"/>
      <c r="B27" s="137"/>
      <c r="C27" s="137"/>
      <c r="D27" s="42" t="s">
        <v>29</v>
      </c>
      <c r="E27" s="42" t="s">
        <v>25</v>
      </c>
      <c r="F27" s="42" t="s">
        <v>25</v>
      </c>
      <c r="G27" s="41" t="s">
        <v>74</v>
      </c>
      <c r="H27" s="41" t="s">
        <v>70</v>
      </c>
      <c r="I27" s="41">
        <f>'MERCADO TUSD'!$U$24</f>
        <v>0</v>
      </c>
      <c r="J27" s="15"/>
      <c r="L27" s="31">
        <f>'TUSD BE'!$L$27*'TUSD BE'!$L$58</f>
        <v>0</v>
      </c>
      <c r="M27" s="31">
        <f>'TUSD BE'!$M$27*'TUSD BE'!$M$58</f>
        <v>-1.67938644926648E-2</v>
      </c>
      <c r="N27" s="31">
        <f ca="1">'TUSD BE'!$N$27*'TUSD BE'!$N$58</f>
        <v>5.9079100533446589E-7</v>
      </c>
      <c r="O27" s="31">
        <f>'TUSD BE'!$O$27*'TUSD BE'!$O$58</f>
        <v>0</v>
      </c>
      <c r="P27" s="31">
        <f>'TUSD BE'!$P$27*'TUSD BE'!$P$58</f>
        <v>0</v>
      </c>
      <c r="Q27" s="31">
        <f>'TUSD BE'!$Q$27*'TUSD BE'!$Q$58</f>
        <v>0</v>
      </c>
      <c r="R27" s="31">
        <f>'TUSD BE'!$R$27*'TUSD BE'!$R$58</f>
        <v>0</v>
      </c>
      <c r="S27" s="31">
        <f>'TUSD BE'!$R$27*'TUSD BE'!$S$58</f>
        <v>0</v>
      </c>
      <c r="T27" s="31">
        <f ca="1">SUM($L$27:$S$27)</f>
        <v>-1.6793273701659464E-2</v>
      </c>
      <c r="U27" s="31">
        <f>'TUSD BE'!$U$27*'TUSD BE'!$U$58</f>
        <v>0</v>
      </c>
      <c r="V27" s="31">
        <f>'TUSD BE'!$V$27*'TUSD BE'!$V$58</f>
        <v>0</v>
      </c>
      <c r="W27" s="31">
        <f>'TUSD BE'!$W$27*'TUSD BE'!$W$58</f>
        <v>0</v>
      </c>
      <c r="X27" s="31">
        <f>'TUSD BE'!$X$27*'TUSD BE'!$X$58</f>
        <v>0</v>
      </c>
      <c r="Y27" s="31">
        <f>'TUSD BE'!$Y$27*'TUSD BE'!$Y$58</f>
        <v>5.4870845935145454</v>
      </c>
      <c r="Z27" s="31">
        <f>'TUSD BE'!$Z$27*'TUSD BE'!$Z$58</f>
        <v>0</v>
      </c>
      <c r="AA27" s="31">
        <f>'TUSD BE'!$AA$27*'TUSD BE'!$AA$58</f>
        <v>0</v>
      </c>
      <c r="AB27" s="31">
        <f>SUM($U$27:$AA$27)</f>
        <v>5.4870845935145454</v>
      </c>
      <c r="AC27" s="31">
        <f>'TUSD BE'!$AC$27*'TUSD BE'!$AC$58</f>
        <v>-2.2702726931214881</v>
      </c>
      <c r="AD27" s="31">
        <f>SUM($AC$27:$AC$27)</f>
        <v>-2.2702726931214881</v>
      </c>
      <c r="AE27" s="31">
        <f ca="1">$AO$27*$AO$55</f>
        <v>-29.836778054260634</v>
      </c>
      <c r="AF27" s="31">
        <f ca="1">$AP$27*$AP$55</f>
        <v>0</v>
      </c>
      <c r="AG27" s="31">
        <f ca="1">SUM($AE$27:$AF$27)</f>
        <v>-29.836778054260634</v>
      </c>
      <c r="AH27" s="31">
        <f>'TUSD BE'!$AH$27*'TUSD BE'!$AH$58</f>
        <v>-1.1186428756246387</v>
      </c>
      <c r="AI27" s="31">
        <f>'TUSD BE'!$AI$27*'TUSD BE'!$AI$58</f>
        <v>-3.5974039122080477E-2</v>
      </c>
      <c r="AJ27" s="31">
        <f ca="1">'TUSD BE'!$AJ$27*'TUSD BE'!$AJ$58</f>
        <v>-0.11825381198647125</v>
      </c>
      <c r="AK27" s="31">
        <f ca="1">'TUSD BE'!$AK$27*'TUSD BE'!$AK$58</f>
        <v>4.181590643671651E-2</v>
      </c>
      <c r="AL27" s="31">
        <f ca="1">SUM($AH$27:$AK$27)</f>
        <v>-1.231054820296474</v>
      </c>
      <c r="AM27" s="31">
        <f ca="1">SUMIF($L$4:$AL$4,"SUBTOTAL",$L$27:$AL$27)</f>
        <v>-27.867814247865709</v>
      </c>
      <c r="AO27" s="44">
        <f ca="1">+'TUSD BE'!$T$27+'TUSD BE'!$AB$27+'TUSD BE'!$AD$27+'TUSD BE'!$AL$27</f>
        <v>282.81138526722941</v>
      </c>
      <c r="AP27" s="44">
        <f ca="1">+'TUSD BE'!$T$27+'TUSD BE'!$AB$27+'TUSD BE'!$AD$27+'TUSD BE'!$AL$27</f>
        <v>282.81138526722941</v>
      </c>
    </row>
    <row r="28" spans="1:42" ht="11.25" customHeight="1" x14ac:dyDescent="0.25">
      <c r="A28" s="137"/>
      <c r="B28" s="137"/>
      <c r="C28" s="137"/>
      <c r="D28" s="42" t="s">
        <v>30</v>
      </c>
      <c r="E28" s="42" t="s">
        <v>25</v>
      </c>
      <c r="F28" s="42" t="s">
        <v>25</v>
      </c>
      <c r="G28" s="41" t="s">
        <v>74</v>
      </c>
      <c r="H28" s="41" t="s">
        <v>70</v>
      </c>
      <c r="I28" s="41">
        <f>'MERCADO TUSD'!$U$25</f>
        <v>0</v>
      </c>
      <c r="J28" s="15"/>
      <c r="L28" s="31">
        <f>'TUSD BE'!$L$28*'TUSD BE'!$L$58</f>
        <v>0</v>
      </c>
      <c r="M28" s="31">
        <f>'TUSD BE'!$M$28*'TUSD BE'!$M$58</f>
        <v>-1.67938644926648E-2</v>
      </c>
      <c r="N28" s="31">
        <f ca="1">'TUSD BE'!$N$28*'TUSD BE'!$N$58</f>
        <v>5.9079100533446589E-7</v>
      </c>
      <c r="O28" s="31">
        <f>'TUSD BE'!$O$28*'TUSD BE'!$O$58</f>
        <v>0</v>
      </c>
      <c r="P28" s="31">
        <f>'TUSD BE'!$P$28*'TUSD BE'!$P$58</f>
        <v>0</v>
      </c>
      <c r="Q28" s="31">
        <f>'TUSD BE'!$Q$28*'TUSD BE'!$Q$58</f>
        <v>0</v>
      </c>
      <c r="R28" s="31">
        <f>'TUSD BE'!$R$28*'TUSD BE'!$R$58</f>
        <v>0</v>
      </c>
      <c r="S28" s="31">
        <f>'TUSD BE'!$R$28*'TUSD BE'!$S$58</f>
        <v>0</v>
      </c>
      <c r="T28" s="31">
        <f ca="1">SUM($L$28:$S$28)</f>
        <v>-1.6793273701659464E-2</v>
      </c>
      <c r="U28" s="31">
        <f>'TUSD BE'!$U$28*'TUSD BE'!$U$58</f>
        <v>0</v>
      </c>
      <c r="V28" s="31">
        <f>'TUSD BE'!$V$28*'TUSD BE'!$V$58</f>
        <v>0</v>
      </c>
      <c r="W28" s="31">
        <f>'TUSD BE'!$W$28*'TUSD BE'!$W$58</f>
        <v>0</v>
      </c>
      <c r="X28" s="31">
        <f>'TUSD BE'!$X$28*'TUSD BE'!$X$58</f>
        <v>0</v>
      </c>
      <c r="Y28" s="31">
        <f>'TUSD BE'!$Y$28*'TUSD BE'!$Y$58</f>
        <v>5.4870845935145454</v>
      </c>
      <c r="Z28" s="31">
        <f>'TUSD BE'!$Z$28*'TUSD BE'!$Z$58</f>
        <v>0</v>
      </c>
      <c r="AA28" s="31">
        <f>'TUSD BE'!$AA$28*'TUSD BE'!$AA$58</f>
        <v>0</v>
      </c>
      <c r="AB28" s="31">
        <f>SUM($U$28:$AA$28)</f>
        <v>5.4870845935145454</v>
      </c>
      <c r="AC28" s="31">
        <f>'TUSD BE'!$AC$28*'TUSD BE'!$AC$58</f>
        <v>-2.2702726931214881</v>
      </c>
      <c r="AD28" s="31">
        <f>SUM($AC$28:$AC$28)</f>
        <v>-2.2702726931214881</v>
      </c>
      <c r="AE28" s="31">
        <f ca="1">$AO$28*$AO$55</f>
        <v>-29.836778054260634</v>
      </c>
      <c r="AF28" s="31">
        <f ca="1">$AP$28*$AP$55</f>
        <v>0</v>
      </c>
      <c r="AG28" s="31">
        <f ca="1">SUM($AE$28:$AF$28)</f>
        <v>-29.836778054260634</v>
      </c>
      <c r="AH28" s="31">
        <f>'TUSD BE'!$AH$28*'TUSD BE'!$AH$58</f>
        <v>-1.1186428756246387</v>
      </c>
      <c r="AI28" s="31">
        <f>'TUSD BE'!$AI$28*'TUSD BE'!$AI$58</f>
        <v>-3.5974039122080477E-2</v>
      </c>
      <c r="AJ28" s="31">
        <f ca="1">'TUSD BE'!$AJ$28*'TUSD BE'!$AJ$58</f>
        <v>-0.11825381198647125</v>
      </c>
      <c r="AK28" s="31">
        <f ca="1">'TUSD BE'!$AK$28*'TUSD BE'!$AK$58</f>
        <v>4.181590643671651E-2</v>
      </c>
      <c r="AL28" s="31">
        <f ca="1">SUM($AH$28:$AK$28)</f>
        <v>-1.231054820296474</v>
      </c>
      <c r="AM28" s="31">
        <f ca="1">SUMIF($L$4:$AL$4,"SUBTOTAL",$L$28:$AL$28)</f>
        <v>-27.867814247865709</v>
      </c>
      <c r="AO28" s="44">
        <f ca="1">+'TUSD BE'!$T$28+'TUSD BE'!$AB$28+'TUSD BE'!$AD$28+'TUSD BE'!$AL$28</f>
        <v>282.81138526722941</v>
      </c>
      <c r="AP28" s="44">
        <f ca="1">+'TUSD BE'!$T$28+'TUSD BE'!$AB$28+'TUSD BE'!$AD$28+'TUSD BE'!$AL$28</f>
        <v>282.81138526722941</v>
      </c>
    </row>
    <row r="29" spans="1:42" ht="11.25" customHeight="1" x14ac:dyDescent="0.25">
      <c r="A29" s="137"/>
      <c r="B29" s="137"/>
      <c r="C29" s="137"/>
      <c r="D29" s="42" t="s">
        <v>31</v>
      </c>
      <c r="E29" s="42" t="s">
        <v>25</v>
      </c>
      <c r="F29" s="42" t="s">
        <v>25</v>
      </c>
      <c r="G29" s="41" t="s">
        <v>74</v>
      </c>
      <c r="H29" s="41" t="s">
        <v>70</v>
      </c>
      <c r="I29" s="41">
        <f>'MERCADO TUSD'!$U$26</f>
        <v>0</v>
      </c>
      <c r="J29" s="15"/>
      <c r="L29" s="31">
        <f>'TUSD BE'!$L$29*'TUSD BE'!$L$58</f>
        <v>0</v>
      </c>
      <c r="M29" s="31">
        <f>'TUSD BE'!$M$29*'TUSD BE'!$M$58</f>
        <v>-1.67938644926648E-2</v>
      </c>
      <c r="N29" s="31">
        <f ca="1">'TUSD BE'!$N$29*'TUSD BE'!$N$58</f>
        <v>5.9079100533446589E-7</v>
      </c>
      <c r="O29" s="31">
        <f>'TUSD BE'!$O$29*'TUSD BE'!$O$58</f>
        <v>0</v>
      </c>
      <c r="P29" s="31">
        <f>'TUSD BE'!$P$29*'TUSD BE'!$P$58</f>
        <v>0</v>
      </c>
      <c r="Q29" s="31">
        <f>'TUSD BE'!$Q$29*'TUSD BE'!$Q$58</f>
        <v>0</v>
      </c>
      <c r="R29" s="31">
        <f>'TUSD BE'!$R$29*'TUSD BE'!$R$58</f>
        <v>0</v>
      </c>
      <c r="S29" s="31">
        <f>'TUSD BE'!$R$29*'TUSD BE'!$S$58</f>
        <v>0</v>
      </c>
      <c r="T29" s="31">
        <f ca="1">SUM($L$29:$S$29)</f>
        <v>-1.6793273701659464E-2</v>
      </c>
      <c r="U29" s="31">
        <f>'TUSD BE'!$U$29*'TUSD BE'!$U$58</f>
        <v>0</v>
      </c>
      <c r="V29" s="31">
        <f>'TUSD BE'!$V$29*'TUSD BE'!$V$58</f>
        <v>0</v>
      </c>
      <c r="W29" s="31">
        <f>'TUSD BE'!$W$29*'TUSD BE'!$W$58</f>
        <v>0</v>
      </c>
      <c r="X29" s="31">
        <f>'TUSD BE'!$X$29*'TUSD BE'!$X$58</f>
        <v>0</v>
      </c>
      <c r="Y29" s="31">
        <f>'TUSD BE'!$Y$29*'TUSD BE'!$Y$58</f>
        <v>5.4870845935145454</v>
      </c>
      <c r="Z29" s="31">
        <f>'TUSD BE'!$Z$29*'TUSD BE'!$Z$58</f>
        <v>0</v>
      </c>
      <c r="AA29" s="31">
        <f>'TUSD BE'!$AA$29*'TUSD BE'!$AA$58</f>
        <v>0</v>
      </c>
      <c r="AB29" s="31">
        <f>SUM($U$29:$AA$29)</f>
        <v>5.4870845935145454</v>
      </c>
      <c r="AC29" s="31">
        <f>'TUSD BE'!$AC$29*'TUSD BE'!$AC$58</f>
        <v>-2.2702726931214881</v>
      </c>
      <c r="AD29" s="31">
        <f>SUM($AC$29:$AC$29)</f>
        <v>-2.2702726931214881</v>
      </c>
      <c r="AE29" s="31">
        <f ca="1">$AO$29*$AO$55</f>
        <v>-29.836778054260634</v>
      </c>
      <c r="AF29" s="31">
        <f ca="1">$AP$29*$AP$55</f>
        <v>0</v>
      </c>
      <c r="AG29" s="31">
        <f ca="1">SUM($AE$29:$AF$29)</f>
        <v>-29.836778054260634</v>
      </c>
      <c r="AH29" s="31">
        <f>'TUSD BE'!$AH$29*'TUSD BE'!$AH$58</f>
        <v>-1.1186428756246387</v>
      </c>
      <c r="AI29" s="31">
        <f>'TUSD BE'!$AI$29*'TUSD BE'!$AI$58</f>
        <v>-3.5974039122080477E-2</v>
      </c>
      <c r="AJ29" s="31">
        <f ca="1">'TUSD BE'!$AJ$29*'TUSD BE'!$AJ$58</f>
        <v>-0.11825381198647125</v>
      </c>
      <c r="AK29" s="31">
        <f ca="1">'TUSD BE'!$AK$29*'TUSD BE'!$AK$58</f>
        <v>4.181590643671651E-2</v>
      </c>
      <c r="AL29" s="31">
        <f ca="1">SUM($AH$29:$AK$29)</f>
        <v>-1.231054820296474</v>
      </c>
      <c r="AM29" s="31">
        <f ca="1">SUMIF($L$4:$AL$4,"SUBTOTAL",$L$29:$AL$29)</f>
        <v>-27.867814247865709</v>
      </c>
      <c r="AO29" s="44">
        <f ca="1">+'TUSD BE'!$T$29+'TUSD BE'!$AB$29+'TUSD BE'!$AD$29+'TUSD BE'!$AL$29</f>
        <v>282.81138526722941</v>
      </c>
      <c r="AP29" s="44">
        <f ca="1">+'TUSD BE'!$T$29+'TUSD BE'!$AB$29+'TUSD BE'!$AD$29+'TUSD BE'!$AL$29</f>
        <v>282.81138526722941</v>
      </c>
    </row>
    <row r="30" spans="1:42" ht="11.25" customHeight="1" x14ac:dyDescent="0.25">
      <c r="A30" s="137" t="s">
        <v>39</v>
      </c>
      <c r="B30" s="137" t="s">
        <v>49</v>
      </c>
      <c r="C30" s="137" t="s">
        <v>40</v>
      </c>
      <c r="D30" s="137" t="s">
        <v>25</v>
      </c>
      <c r="E30" s="137" t="s">
        <v>25</v>
      </c>
      <c r="F30" s="137" t="s">
        <v>25</v>
      </c>
      <c r="G30" s="41" t="s">
        <v>71</v>
      </c>
      <c r="H30" s="41" t="s">
        <v>70</v>
      </c>
      <c r="I30" s="41">
        <f>'MERCADO TUSD'!$U$27</f>
        <v>0</v>
      </c>
      <c r="J30" s="15"/>
      <c r="L30" s="31">
        <f>'TUSD BE'!$L$30*'TUSD BE'!$L$58</f>
        <v>4.96139567348787E-2</v>
      </c>
      <c r="M30" s="31">
        <f>'TUSD BE'!$M$30*'TUSD BE'!$M$58</f>
        <v>-1.67938644926648E-2</v>
      </c>
      <c r="N30" s="31">
        <f ca="1">'TUSD BE'!$N$30*'TUSD BE'!$N$58</f>
        <v>1.4267518805675218E-6</v>
      </c>
      <c r="O30" s="31">
        <f>'TUSD BE'!$O$30*'TUSD BE'!$O$58</f>
        <v>0</v>
      </c>
      <c r="P30" s="31">
        <f>'TUSD BE'!$P$30*'TUSD BE'!$P$58</f>
        <v>0</v>
      </c>
      <c r="Q30" s="31">
        <f>'TUSD BE'!$Q$30*'TUSD BE'!$Q$58</f>
        <v>1.4018738549269818</v>
      </c>
      <c r="R30" s="31">
        <f>'TUSD BE'!$R$30*'TUSD BE'!$R$58</f>
        <v>0.26830949317951003</v>
      </c>
      <c r="S30" s="31">
        <f>'TUSD BE'!$R$30*'TUSD BE'!$S$58</f>
        <v>0</v>
      </c>
      <c r="T30" s="31">
        <f ca="1">SUM($L$30:$S$30)</f>
        <v>1.7030048671005864</v>
      </c>
      <c r="U30" s="31">
        <f>'TUSD BE'!$U$30*'TUSD BE'!$U$58</f>
        <v>0</v>
      </c>
      <c r="V30" s="31">
        <f>'TUSD BE'!$V$30*'TUSD BE'!$V$58</f>
        <v>0</v>
      </c>
      <c r="W30" s="31">
        <f>'TUSD BE'!$W$30*'TUSD BE'!$W$58</f>
        <v>0</v>
      </c>
      <c r="X30" s="31">
        <f>'TUSD BE'!$X$30*'TUSD BE'!$X$58</f>
        <v>0</v>
      </c>
      <c r="Y30" s="31">
        <f>'TUSD BE'!$Y$30*'TUSD BE'!$Y$58</f>
        <v>14.540768465823044</v>
      </c>
      <c r="Z30" s="31">
        <f>'TUSD BE'!$Z$30*'TUSD BE'!$Z$58</f>
        <v>0</v>
      </c>
      <c r="AA30" s="31">
        <f>'TUSD BE'!$AA$30*'TUSD BE'!$AA$58</f>
        <v>0</v>
      </c>
      <c r="AB30" s="31">
        <f>SUM($U$30:$AA$30)</f>
        <v>14.540768465823044</v>
      </c>
      <c r="AC30" s="31">
        <f>'TUSD BE'!$AC$30*'TUSD BE'!$AC$58</f>
        <v>-6.0162250248376852</v>
      </c>
      <c r="AD30" s="31">
        <f>SUM($AC$30:$AC$30)</f>
        <v>-6.0162250248376852</v>
      </c>
      <c r="AE30" s="31">
        <f ca="1">$AO$30*$AO$55</f>
        <v>-86.931953063862167</v>
      </c>
      <c r="AF30" s="31">
        <f ca="1">$AP$30*$AP$55</f>
        <v>0</v>
      </c>
      <c r="AG30" s="31">
        <f ca="1">SUM($AE$30:$AF$30)</f>
        <v>-86.931953063862167</v>
      </c>
      <c r="AH30" s="31">
        <f>'TUSD BE'!$AH$30*'TUSD BE'!$AH$58</f>
        <v>-1.1186428756246387</v>
      </c>
      <c r="AI30" s="31">
        <f>'TUSD BE'!$AI$30*'TUSD BE'!$AI$58</f>
        <v>-3.5974039122080477E-2</v>
      </c>
      <c r="AJ30" s="31">
        <f ca="1">'TUSD BE'!$AJ$30*'TUSD BE'!$AJ$58</f>
        <v>-0.11825381198647125</v>
      </c>
      <c r="AK30" s="31">
        <f ca="1">'TUSD BE'!$AK$30*'TUSD BE'!$AK$58</f>
        <v>4.181590643671651E-2</v>
      </c>
      <c r="AL30" s="31">
        <f ca="1">SUM($AH$30:$AK$30)</f>
        <v>-1.231054820296474</v>
      </c>
      <c r="AM30" s="31">
        <f ca="1">SUMIF($L$4:$AL$4,"SUBTOTAL",$L$30:$AL$30)</f>
        <v>-77.935459576072702</v>
      </c>
      <c r="AO30" s="44">
        <f ca="1">+'TUSD BE'!$T$30+'TUSD BE'!$AB$30+'TUSD BE'!$AD$30+'TUSD BE'!$AL$30</f>
        <v>823.99466944004996</v>
      </c>
      <c r="AP30" s="44">
        <f ca="1">+'TUSD BE'!$T$30+'TUSD BE'!$AB$30+'TUSD BE'!$AD$30+'TUSD BE'!$AL$30</f>
        <v>823.99466944004996</v>
      </c>
    </row>
    <row r="31" spans="1:42" ht="11.25" customHeight="1" x14ac:dyDescent="0.25">
      <c r="A31" s="137"/>
      <c r="B31" s="137"/>
      <c r="C31" s="137"/>
      <c r="D31" s="137"/>
      <c r="E31" s="137"/>
      <c r="F31" s="137"/>
      <c r="G31" s="41" t="s">
        <v>83</v>
      </c>
      <c r="H31" s="41" t="s">
        <v>70</v>
      </c>
      <c r="I31" s="41">
        <f>'MERCADO TUSD'!$U$28</f>
        <v>0</v>
      </c>
      <c r="J31" s="15"/>
      <c r="L31" s="31">
        <f>'TUSD BE'!$L$31*'TUSD BE'!$L$58</f>
        <v>4.96139567348787E-2</v>
      </c>
      <c r="M31" s="31">
        <f>'TUSD BE'!$M$31*'TUSD BE'!$M$58</f>
        <v>-1.67938644926648E-2</v>
      </c>
      <c r="N31" s="31">
        <f ca="1">'TUSD BE'!$N$31*'TUSD BE'!$N$58</f>
        <v>8.9106970400618814E-7</v>
      </c>
      <c r="O31" s="31">
        <f>'TUSD BE'!$O$31*'TUSD BE'!$O$58</f>
        <v>0</v>
      </c>
      <c r="P31" s="31">
        <f>'TUSD BE'!$P$31*'TUSD BE'!$P$58</f>
        <v>0</v>
      </c>
      <c r="Q31" s="31">
        <f>'TUSD BE'!$Q$31*'TUSD BE'!$Q$58</f>
        <v>1.4018738549269818</v>
      </c>
      <c r="R31" s="31">
        <f>'TUSD BE'!$R$31*'TUSD BE'!$R$58</f>
        <v>0.26830949317951003</v>
      </c>
      <c r="S31" s="31">
        <f>'TUSD BE'!$R$31*'TUSD BE'!$S$58</f>
        <v>0</v>
      </c>
      <c r="T31" s="31">
        <f ca="1">SUM($L$31:$S$31)</f>
        <v>1.7030043314184098</v>
      </c>
      <c r="U31" s="31">
        <f>'TUSD BE'!$U$31*'TUSD BE'!$U$58</f>
        <v>0</v>
      </c>
      <c r="V31" s="31">
        <f>'TUSD BE'!$V$31*'TUSD BE'!$V$58</f>
        <v>0</v>
      </c>
      <c r="W31" s="31">
        <f>'TUSD BE'!$W$31*'TUSD BE'!$W$58</f>
        <v>0</v>
      </c>
      <c r="X31" s="31">
        <f>'TUSD BE'!$X$31*'TUSD BE'!$X$58</f>
        <v>0</v>
      </c>
      <c r="Y31" s="31">
        <f>'TUSD BE'!$Y$31*'TUSD BE'!$Y$58</f>
        <v>8.7244631547631002</v>
      </c>
      <c r="Z31" s="31">
        <f>'TUSD BE'!$Z$31*'TUSD BE'!$Z$58</f>
        <v>0</v>
      </c>
      <c r="AA31" s="31">
        <f>'TUSD BE'!$AA$31*'TUSD BE'!$AA$58</f>
        <v>0</v>
      </c>
      <c r="AB31" s="31">
        <f>SUM($U$31:$AA$31)</f>
        <v>8.7244631547631002</v>
      </c>
      <c r="AC31" s="31">
        <f>'TUSD BE'!$AC$31*'TUSD BE'!$AC$58</f>
        <v>-3.60973535605486</v>
      </c>
      <c r="AD31" s="31">
        <f>SUM($AC$31:$AC$31)</f>
        <v>-3.60973535605486</v>
      </c>
      <c r="AE31" s="31">
        <f ca="1">$AO$31*$AO$55</f>
        <v>-57.776609817595819</v>
      </c>
      <c r="AF31" s="31">
        <f ca="1">$AP$31*$AP$55</f>
        <v>0</v>
      </c>
      <c r="AG31" s="31">
        <f ca="1">SUM($AE$31:$AF$31)</f>
        <v>-57.776609817595819</v>
      </c>
      <c r="AH31" s="31">
        <f>'TUSD BE'!$AH$31*'TUSD BE'!$AH$58</f>
        <v>-1.1186428756246387</v>
      </c>
      <c r="AI31" s="31">
        <f>'TUSD BE'!$AI$31*'TUSD BE'!$AI$58</f>
        <v>-3.5974039122080477E-2</v>
      </c>
      <c r="AJ31" s="31">
        <f ca="1">'TUSD BE'!$AJ$31*'TUSD BE'!$AJ$58</f>
        <v>-0.11825381198647125</v>
      </c>
      <c r="AK31" s="31">
        <f ca="1">'TUSD BE'!$AK$31*'TUSD BE'!$AK$58</f>
        <v>4.181590643671651E-2</v>
      </c>
      <c r="AL31" s="31">
        <f ca="1">SUM($AH$31:$AK$31)</f>
        <v>-1.231054820296474</v>
      </c>
      <c r="AM31" s="31">
        <f ca="1">SUMIF($L$4:$AL$4,"SUBTOTAL",$L$31:$AL$31)</f>
        <v>-52.18993250776564</v>
      </c>
      <c r="AO31" s="44">
        <f ca="1">+'TUSD BE'!$T$31+'TUSD BE'!$AB$31+'TUSD BE'!$AD$31+'TUSD BE'!$AL$31</f>
        <v>547.64234358157103</v>
      </c>
      <c r="AP31" s="44">
        <f ca="1">+'TUSD BE'!$T$31+'TUSD BE'!$AB$31+'TUSD BE'!$AD$31+'TUSD BE'!$AL$31</f>
        <v>547.64234358157103</v>
      </c>
    </row>
    <row r="32" spans="1:42" ht="11.25" customHeight="1" x14ac:dyDescent="0.25">
      <c r="A32" s="137"/>
      <c r="B32" s="137"/>
      <c r="C32" s="137"/>
      <c r="D32" s="137"/>
      <c r="E32" s="137"/>
      <c r="F32" s="137"/>
      <c r="G32" s="41" t="s">
        <v>72</v>
      </c>
      <c r="H32" s="41" t="s">
        <v>70</v>
      </c>
      <c r="I32" s="41">
        <f>'MERCADO TUSD'!$U$29</f>
        <v>0</v>
      </c>
      <c r="J32" s="15"/>
      <c r="L32" s="31">
        <f>'TUSD BE'!$L$32*'TUSD BE'!$L$58</f>
        <v>4.96139567348787E-2</v>
      </c>
      <c r="M32" s="31">
        <f>'TUSD BE'!$M$32*'TUSD BE'!$M$58</f>
        <v>-1.67938644926648E-2</v>
      </c>
      <c r="N32" s="31">
        <f ca="1">'TUSD BE'!$N$32*'TUSD BE'!$N$58</f>
        <v>3.5538731586923507E-7</v>
      </c>
      <c r="O32" s="31">
        <f>'TUSD BE'!$O$32*'TUSD BE'!$O$58</f>
        <v>0</v>
      </c>
      <c r="P32" s="31">
        <f>'TUSD BE'!$P$32*'TUSD BE'!$P$58</f>
        <v>0</v>
      </c>
      <c r="Q32" s="31">
        <f>'TUSD BE'!$Q$32*'TUSD BE'!$Q$58</f>
        <v>1.4018738549269818</v>
      </c>
      <c r="R32" s="31">
        <f>'TUSD BE'!$R$32*'TUSD BE'!$R$58</f>
        <v>0.26830949317951003</v>
      </c>
      <c r="S32" s="31">
        <f>'TUSD BE'!$R$32*'TUSD BE'!$S$58</f>
        <v>0</v>
      </c>
      <c r="T32" s="31">
        <f ca="1">SUM($L$32:$S$32)</f>
        <v>1.7030037957360216</v>
      </c>
      <c r="U32" s="31">
        <f>'TUSD BE'!$U$32*'TUSD BE'!$U$58</f>
        <v>0</v>
      </c>
      <c r="V32" s="31">
        <f>'TUSD BE'!$V$32*'TUSD BE'!$V$58</f>
        <v>0</v>
      </c>
      <c r="W32" s="31">
        <f>'TUSD BE'!$W$32*'TUSD BE'!$W$58</f>
        <v>0</v>
      </c>
      <c r="X32" s="31">
        <f>'TUSD BE'!$X$32*'TUSD BE'!$X$58</f>
        <v>0</v>
      </c>
      <c r="Y32" s="31">
        <f>'TUSD BE'!$Y$32*'TUSD BE'!$Y$58</f>
        <v>2.9081526555299719</v>
      </c>
      <c r="Z32" s="31">
        <f>'TUSD BE'!$Z$32*'TUSD BE'!$Z$58</f>
        <v>0</v>
      </c>
      <c r="AA32" s="31">
        <f>'TUSD BE'!$AA$32*'TUSD BE'!$AA$58</f>
        <v>0</v>
      </c>
      <c r="AB32" s="31">
        <f>SUM($U$32:$AA$32)</f>
        <v>2.9081526555299719</v>
      </c>
      <c r="AC32" s="31">
        <f>'TUSD BE'!$AC$32*'TUSD BE'!$AC$58</f>
        <v>-1.2032456872720343</v>
      </c>
      <c r="AD32" s="31">
        <f>SUM($AC$32:$AC$32)</f>
        <v>-1.2032456872720343</v>
      </c>
      <c r="AE32" s="31">
        <f ca="1">$AO$32*$AO$55</f>
        <v>-28.621254495290632</v>
      </c>
      <c r="AF32" s="31">
        <f ca="1">$AP$32*$AP$55</f>
        <v>0</v>
      </c>
      <c r="AG32" s="31">
        <f ca="1">SUM($AE$32:$AF$32)</f>
        <v>-28.621254495290632</v>
      </c>
      <c r="AH32" s="31">
        <f>'TUSD BE'!$AH$32*'TUSD BE'!$AH$58</f>
        <v>-1.1186428756246387</v>
      </c>
      <c r="AI32" s="31">
        <f>'TUSD BE'!$AI$32*'TUSD BE'!$AI$58</f>
        <v>-3.5974039122080477E-2</v>
      </c>
      <c r="AJ32" s="31">
        <f ca="1">'TUSD BE'!$AJ$32*'TUSD BE'!$AJ$58</f>
        <v>-0.11825381198647125</v>
      </c>
      <c r="AK32" s="31">
        <f ca="1">'TUSD BE'!$AK$32*'TUSD BE'!$AK$58</f>
        <v>4.181590643671651E-2</v>
      </c>
      <c r="AL32" s="31">
        <f ca="1">SUM($AH$32:$AK$32)</f>
        <v>-1.231054820296474</v>
      </c>
      <c r="AM32" s="31">
        <f ca="1">SUMIF($L$4:$AL$4,"SUBTOTAL",$L$32:$AL$32)</f>
        <v>-26.444398551593146</v>
      </c>
      <c r="AO32" s="44">
        <f ca="1">+'TUSD BE'!$T$32+'TUSD BE'!$AB$32+'TUSD BE'!$AD$32+'TUSD BE'!$AL$32</f>
        <v>271.28990325894767</v>
      </c>
      <c r="AP32" s="44">
        <f ca="1">+'TUSD BE'!$T$32+'TUSD BE'!$AB$32+'TUSD BE'!$AD$32+'TUSD BE'!$AL$32</f>
        <v>271.28990325894767</v>
      </c>
    </row>
    <row r="33" spans="1:42" ht="11.25" customHeight="1" x14ac:dyDescent="0.25">
      <c r="A33" s="137"/>
      <c r="B33" s="42" t="s">
        <v>23</v>
      </c>
      <c r="C33" s="42" t="s">
        <v>40</v>
      </c>
      <c r="D33" s="42" t="s">
        <v>25</v>
      </c>
      <c r="E33" s="42" t="s">
        <v>25</v>
      </c>
      <c r="F33" s="42" t="s">
        <v>25</v>
      </c>
      <c r="G33" s="41" t="s">
        <v>74</v>
      </c>
      <c r="H33" s="41" t="s">
        <v>70</v>
      </c>
      <c r="I33" s="41">
        <f>'MERCADO TUSD'!$U$30</f>
        <v>45.472000000000001</v>
      </c>
      <c r="J33" s="15"/>
      <c r="L33" s="31">
        <f>'TUSD BE'!$L$33*'TUSD BE'!$L$58</f>
        <v>4.96139567348787E-2</v>
      </c>
      <c r="M33" s="31">
        <f>'TUSD BE'!$M$33*'TUSD BE'!$M$58</f>
        <v>-1.67938644926648E-2</v>
      </c>
      <c r="N33" s="31">
        <f ca="1">'TUSD BE'!$N$33*'TUSD BE'!$N$58</f>
        <v>5.9290676153437237E-7</v>
      </c>
      <c r="O33" s="31">
        <f>'TUSD BE'!$O$33*'TUSD BE'!$O$58</f>
        <v>0</v>
      </c>
      <c r="P33" s="31">
        <f>'TUSD BE'!$P$33*'TUSD BE'!$P$58</f>
        <v>0</v>
      </c>
      <c r="Q33" s="31">
        <f>'TUSD BE'!$Q$33*'TUSD BE'!$Q$58</f>
        <v>1.4018738549269818</v>
      </c>
      <c r="R33" s="31">
        <f>'TUSD BE'!$R$33*'TUSD BE'!$R$58</f>
        <v>0.26830949317951003</v>
      </c>
      <c r="S33" s="31">
        <f>'TUSD BE'!$R$33*'TUSD BE'!$S$58</f>
        <v>0</v>
      </c>
      <c r="T33" s="31">
        <f ca="1">SUM($L$33:$S$33)</f>
        <v>1.7030040332554672</v>
      </c>
      <c r="U33" s="31">
        <f>'TUSD BE'!$U$33*'TUSD BE'!$U$58</f>
        <v>0</v>
      </c>
      <c r="V33" s="31">
        <f>'TUSD BE'!$V$33*'TUSD BE'!$V$58</f>
        <v>0</v>
      </c>
      <c r="W33" s="31">
        <f>'TUSD BE'!$W$33*'TUSD BE'!$W$58</f>
        <v>0</v>
      </c>
      <c r="X33" s="31">
        <f>'TUSD BE'!$X$33*'TUSD BE'!$X$58</f>
        <v>0</v>
      </c>
      <c r="Y33" s="31">
        <f>'TUSD BE'!$Y$33*'TUSD BE'!$Y$58</f>
        <v>5.4870845935145454</v>
      </c>
      <c r="Z33" s="31">
        <f>'TUSD BE'!$Z$33*'TUSD BE'!$Z$58</f>
        <v>0</v>
      </c>
      <c r="AA33" s="31">
        <f>'TUSD BE'!$AA$33*'TUSD BE'!$AA$58</f>
        <v>0</v>
      </c>
      <c r="AB33" s="31">
        <f>SUM($U$33:$AA$33)</f>
        <v>5.4870845935145454</v>
      </c>
      <c r="AC33" s="31">
        <f>'TUSD BE'!$AC$33*'TUSD BE'!$AC$58</f>
        <v>-2.2702726931214881</v>
      </c>
      <c r="AD33" s="31">
        <f>SUM($AC$33:$AC$33)</f>
        <v>-2.2702726931214881</v>
      </c>
      <c r="AE33" s="31">
        <f ca="1">$AO$33*$AO$55</f>
        <v>-41.54862394577416</v>
      </c>
      <c r="AF33" s="31">
        <f ca="1">$AP$33*$AP$55</f>
        <v>0</v>
      </c>
      <c r="AG33" s="31">
        <f ca="1">SUM($AE$33:$AF$33)</f>
        <v>-41.54862394577416</v>
      </c>
      <c r="AH33" s="31">
        <f>'TUSD BE'!$AH$33*'TUSD BE'!$AH$58</f>
        <v>-1.1186428756246387</v>
      </c>
      <c r="AI33" s="31">
        <f>'TUSD BE'!$AI$33*'TUSD BE'!$AI$58</f>
        <v>-3.5974039122080477E-2</v>
      </c>
      <c r="AJ33" s="31">
        <f ca="1">'TUSD BE'!$AJ$33*'TUSD BE'!$AJ$58</f>
        <v>-0.11825381198647125</v>
      </c>
      <c r="AK33" s="31">
        <f ca="1">'TUSD BE'!$AK$33*'TUSD BE'!$AK$58</f>
        <v>4.181590643671651E-2</v>
      </c>
      <c r="AL33" s="31">
        <f ca="1">SUM($AH$33:$AK$33)</f>
        <v>-1.231054820296474</v>
      </c>
      <c r="AM33" s="31">
        <f ca="1">SUMIF($L$4:$AL$4,"SUBTOTAL",$L$33:$AL$33)</f>
        <v>-37.859862832422102</v>
      </c>
      <c r="AO33" s="44">
        <f ca="1">+'TUSD BE'!$T$33+'TUSD BE'!$AB$33+'TUSD BE'!$AD$33+'TUSD BE'!$AL$33</f>
        <v>393.82348431464209</v>
      </c>
      <c r="AP33" s="44">
        <f ca="1">+'TUSD BE'!$T$33+'TUSD BE'!$AB$33+'TUSD BE'!$AD$33+'TUSD BE'!$AL$33</f>
        <v>393.82348431464209</v>
      </c>
    </row>
    <row r="34" spans="1:42" ht="11.25" customHeight="1" x14ac:dyDescent="0.25">
      <c r="A34" s="137"/>
      <c r="B34" s="137" t="s">
        <v>49</v>
      </c>
      <c r="C34" s="137" t="s">
        <v>40</v>
      </c>
      <c r="D34" s="137" t="s">
        <v>86</v>
      </c>
      <c r="E34" s="137" t="s">
        <v>25</v>
      </c>
      <c r="F34" s="137" t="s">
        <v>25</v>
      </c>
      <c r="G34" s="41" t="s">
        <v>71</v>
      </c>
      <c r="H34" s="41" t="s">
        <v>70</v>
      </c>
      <c r="I34" s="41">
        <f>'MERCADO TUSD'!$U$31</f>
        <v>0</v>
      </c>
      <c r="J34" s="15"/>
      <c r="L34" s="31">
        <f>'TUSD BE'!$L$34*'TUSD BE'!$L$58</f>
        <v>4.96139567348787E-2</v>
      </c>
      <c r="M34" s="31">
        <f>'TUSD BE'!$M$34*'TUSD BE'!$M$58</f>
        <v>-1.67938644926648E-2</v>
      </c>
      <c r="N34" s="31">
        <f ca="1">'TUSD BE'!$N$34*'TUSD BE'!$N$58</f>
        <v>1.4267518805675218E-6</v>
      </c>
      <c r="O34" s="31">
        <f>'TUSD BE'!$O$34*'TUSD BE'!$O$58</f>
        <v>0</v>
      </c>
      <c r="P34" s="31">
        <f>'TUSD BE'!$P$34*'TUSD BE'!$P$58</f>
        <v>0</v>
      </c>
      <c r="Q34" s="31">
        <f>'TUSD BE'!$Q$34*'TUSD BE'!$Q$58</f>
        <v>1.4018738549269818</v>
      </c>
      <c r="R34" s="31">
        <f>'TUSD BE'!$R$34*'TUSD BE'!$R$58</f>
        <v>0.26830949317951003</v>
      </c>
      <c r="S34" s="31">
        <f>'TUSD BE'!$R$34*'TUSD BE'!$S$58</f>
        <v>0</v>
      </c>
      <c r="T34" s="31">
        <f ca="1">SUM($L$34:$S$34)</f>
        <v>1.7030048671005864</v>
      </c>
      <c r="U34" s="31">
        <f>'TUSD BE'!$U$34*'TUSD BE'!$U$58</f>
        <v>0</v>
      </c>
      <c r="V34" s="31">
        <f>'TUSD BE'!$V$34*'TUSD BE'!$V$58</f>
        <v>0</v>
      </c>
      <c r="W34" s="31">
        <f>'TUSD BE'!$W$34*'TUSD BE'!$W$58</f>
        <v>0</v>
      </c>
      <c r="X34" s="31">
        <f>'TUSD BE'!$X$34*'TUSD BE'!$X$58</f>
        <v>0</v>
      </c>
      <c r="Y34" s="31">
        <f>'TUSD BE'!$Y$34*'TUSD BE'!$Y$58</f>
        <v>14.540768465823044</v>
      </c>
      <c r="Z34" s="31">
        <f>'TUSD BE'!$Z$34*'TUSD BE'!$Z$58</f>
        <v>0</v>
      </c>
      <c r="AA34" s="31">
        <f>'TUSD BE'!$AA$34*'TUSD BE'!$AA$58</f>
        <v>0</v>
      </c>
      <c r="AB34" s="31">
        <f>SUM($U$34:$AA$34)</f>
        <v>14.540768465823044</v>
      </c>
      <c r="AC34" s="31">
        <f>'TUSD BE'!$AC$34*'TUSD BE'!$AC$58</f>
        <v>-6.0162250248376852</v>
      </c>
      <c r="AD34" s="31">
        <f>SUM($AC$34:$AC$34)</f>
        <v>-6.0162250248376852</v>
      </c>
      <c r="AE34" s="31">
        <f ca="1">$AO$34*$AO$55</f>
        <v>-86.931953063862167</v>
      </c>
      <c r="AF34" s="31">
        <f ca="1">$AP$34*$AP$55</f>
        <v>0</v>
      </c>
      <c r="AG34" s="31">
        <f ca="1">SUM($AE$34:$AF$34)</f>
        <v>-86.931953063862167</v>
      </c>
      <c r="AH34" s="31">
        <f>'TUSD BE'!$AH$34*'TUSD BE'!$AH$58</f>
        <v>-1.1186428756246387</v>
      </c>
      <c r="AI34" s="31">
        <f>'TUSD BE'!$AI$34*'TUSD BE'!$AI$58</f>
        <v>-3.5974039122080477E-2</v>
      </c>
      <c r="AJ34" s="31">
        <f ca="1">'TUSD BE'!$AJ$34*'TUSD BE'!$AJ$58</f>
        <v>-0.11825381198647125</v>
      </c>
      <c r="AK34" s="31">
        <f ca="1">'TUSD BE'!$AK$34*'TUSD BE'!$AK$58</f>
        <v>4.181590643671651E-2</v>
      </c>
      <c r="AL34" s="31">
        <f ca="1">SUM($AH$34:$AK$34)</f>
        <v>-1.231054820296474</v>
      </c>
      <c r="AM34" s="31">
        <f ca="1">SUMIF($L$4:$AL$4,"SUBTOTAL",$L$34:$AL$34)</f>
        <v>-77.935459576072702</v>
      </c>
      <c r="AO34" s="44">
        <f ca="1">+'TUSD BE'!$T$34+'TUSD BE'!$AB$34+'TUSD BE'!$AD$34+'TUSD BE'!$AL$34</f>
        <v>823.99466944004996</v>
      </c>
      <c r="AP34" s="44">
        <f ca="1">+'TUSD BE'!$T$34+'TUSD BE'!$AB$34+'TUSD BE'!$AD$34+'TUSD BE'!$AL$34</f>
        <v>823.99466944004996</v>
      </c>
    </row>
    <row r="35" spans="1:42" ht="11.25" customHeight="1" x14ac:dyDescent="0.25">
      <c r="A35" s="137"/>
      <c r="B35" s="137"/>
      <c r="C35" s="137"/>
      <c r="D35" s="137"/>
      <c r="E35" s="137"/>
      <c r="F35" s="137"/>
      <c r="G35" s="41" t="s">
        <v>83</v>
      </c>
      <c r="H35" s="41" t="s">
        <v>70</v>
      </c>
      <c r="I35" s="41">
        <f>'MERCADO TUSD'!$U$32</f>
        <v>0</v>
      </c>
      <c r="J35" s="15"/>
      <c r="L35" s="31">
        <f>'TUSD BE'!$L$35*'TUSD BE'!$L$58</f>
        <v>4.96139567348787E-2</v>
      </c>
      <c r="M35" s="31">
        <f>'TUSD BE'!$M$35*'TUSD BE'!$M$58</f>
        <v>-1.67938644926648E-2</v>
      </c>
      <c r="N35" s="31">
        <f ca="1">'TUSD BE'!$N$35*'TUSD BE'!$N$58</f>
        <v>8.9106970400618814E-7</v>
      </c>
      <c r="O35" s="31">
        <f>'TUSD BE'!$O$35*'TUSD BE'!$O$58</f>
        <v>0</v>
      </c>
      <c r="P35" s="31">
        <f>'TUSD BE'!$P$35*'TUSD BE'!$P$58</f>
        <v>0</v>
      </c>
      <c r="Q35" s="31">
        <f>'TUSD BE'!$Q$35*'TUSD BE'!$Q$58</f>
        <v>1.4018738549269818</v>
      </c>
      <c r="R35" s="31">
        <f>'TUSD BE'!$R$35*'TUSD BE'!$R$58</f>
        <v>0.26830949317951003</v>
      </c>
      <c r="S35" s="31">
        <f>'TUSD BE'!$R$35*'TUSD BE'!$S$58</f>
        <v>0</v>
      </c>
      <c r="T35" s="31">
        <f ca="1">SUM($L$35:$S$35)</f>
        <v>1.7030043314184098</v>
      </c>
      <c r="U35" s="31">
        <f>'TUSD BE'!$U$35*'TUSD BE'!$U$58</f>
        <v>0</v>
      </c>
      <c r="V35" s="31">
        <f>'TUSD BE'!$V$35*'TUSD BE'!$V$58</f>
        <v>0</v>
      </c>
      <c r="W35" s="31">
        <f>'TUSD BE'!$W$35*'TUSD BE'!$W$58</f>
        <v>0</v>
      </c>
      <c r="X35" s="31">
        <f>'TUSD BE'!$X$35*'TUSD BE'!$X$58</f>
        <v>0</v>
      </c>
      <c r="Y35" s="31">
        <f>'TUSD BE'!$Y$35*'TUSD BE'!$Y$58</f>
        <v>8.7244631547631002</v>
      </c>
      <c r="Z35" s="31">
        <f>'TUSD BE'!$Z$35*'TUSD BE'!$Z$58</f>
        <v>0</v>
      </c>
      <c r="AA35" s="31">
        <f>'TUSD BE'!$AA$35*'TUSD BE'!$AA$58</f>
        <v>0</v>
      </c>
      <c r="AB35" s="31">
        <f>SUM($U$35:$AA$35)</f>
        <v>8.7244631547631002</v>
      </c>
      <c r="AC35" s="31">
        <f>'TUSD BE'!$AC$35*'TUSD BE'!$AC$58</f>
        <v>-3.60973535605486</v>
      </c>
      <c r="AD35" s="31">
        <f>SUM($AC$35:$AC$35)</f>
        <v>-3.60973535605486</v>
      </c>
      <c r="AE35" s="31">
        <f ca="1">$AO$35*$AO$55</f>
        <v>-57.776609817595819</v>
      </c>
      <c r="AF35" s="31">
        <f ca="1">$AP$35*$AP$55</f>
        <v>0</v>
      </c>
      <c r="AG35" s="31">
        <f ca="1">SUM($AE$35:$AF$35)</f>
        <v>-57.776609817595819</v>
      </c>
      <c r="AH35" s="31">
        <f>'TUSD BE'!$AH$35*'TUSD BE'!$AH$58</f>
        <v>-1.1186428756246387</v>
      </c>
      <c r="AI35" s="31">
        <f>'TUSD BE'!$AI$35*'TUSD BE'!$AI$58</f>
        <v>-3.5974039122080477E-2</v>
      </c>
      <c r="AJ35" s="31">
        <f ca="1">'TUSD BE'!$AJ$35*'TUSD BE'!$AJ$58</f>
        <v>-0.11825381198647125</v>
      </c>
      <c r="AK35" s="31">
        <f ca="1">'TUSD BE'!$AK$35*'TUSD BE'!$AK$58</f>
        <v>4.181590643671651E-2</v>
      </c>
      <c r="AL35" s="31">
        <f ca="1">SUM($AH$35:$AK$35)</f>
        <v>-1.231054820296474</v>
      </c>
      <c r="AM35" s="31">
        <f ca="1">SUMIF($L$4:$AL$4,"SUBTOTAL",$L$35:$AL$35)</f>
        <v>-52.18993250776564</v>
      </c>
      <c r="AO35" s="44">
        <f ca="1">+'TUSD BE'!$T$35+'TUSD BE'!$AB$35+'TUSD BE'!$AD$35+'TUSD BE'!$AL$35</f>
        <v>547.64234358157103</v>
      </c>
      <c r="AP35" s="44">
        <f ca="1">+'TUSD BE'!$T$35+'TUSD BE'!$AB$35+'TUSD BE'!$AD$35+'TUSD BE'!$AL$35</f>
        <v>547.64234358157103</v>
      </c>
    </row>
    <row r="36" spans="1:42" ht="11.25" customHeight="1" x14ac:dyDescent="0.25">
      <c r="A36" s="137"/>
      <c r="B36" s="137"/>
      <c r="C36" s="137"/>
      <c r="D36" s="137"/>
      <c r="E36" s="137"/>
      <c r="F36" s="137"/>
      <c r="G36" s="41" t="s">
        <v>72</v>
      </c>
      <c r="H36" s="41" t="s">
        <v>70</v>
      </c>
      <c r="I36" s="41">
        <f>'MERCADO TUSD'!$U$33</f>
        <v>0</v>
      </c>
      <c r="J36" s="15"/>
      <c r="L36" s="31">
        <f>'TUSD BE'!$L$36*'TUSD BE'!$L$58</f>
        <v>4.96139567348787E-2</v>
      </c>
      <c r="M36" s="31">
        <f>'TUSD BE'!$M$36*'TUSD BE'!$M$58</f>
        <v>-1.67938644926648E-2</v>
      </c>
      <c r="N36" s="31">
        <f ca="1">'TUSD BE'!$N$36*'TUSD BE'!$N$58</f>
        <v>3.5538731586923507E-7</v>
      </c>
      <c r="O36" s="31">
        <f>'TUSD BE'!$O$36*'TUSD BE'!$O$58</f>
        <v>0</v>
      </c>
      <c r="P36" s="31">
        <f>'TUSD BE'!$P$36*'TUSD BE'!$P$58</f>
        <v>0</v>
      </c>
      <c r="Q36" s="31">
        <f>'TUSD BE'!$Q$36*'TUSD BE'!$Q$58</f>
        <v>1.4018738549269818</v>
      </c>
      <c r="R36" s="31">
        <f>'TUSD BE'!$R$36*'TUSD BE'!$R$58</f>
        <v>0.26830949317951003</v>
      </c>
      <c r="S36" s="31">
        <f>'TUSD BE'!$R$36*'TUSD BE'!$S$58</f>
        <v>0</v>
      </c>
      <c r="T36" s="31">
        <f ca="1">SUM($L$36:$S$36)</f>
        <v>1.7030037957360216</v>
      </c>
      <c r="U36" s="31">
        <f>'TUSD BE'!$U$36*'TUSD BE'!$U$58</f>
        <v>0</v>
      </c>
      <c r="V36" s="31">
        <f>'TUSD BE'!$V$36*'TUSD BE'!$V$58</f>
        <v>0</v>
      </c>
      <c r="W36" s="31">
        <f>'TUSD BE'!$W$36*'TUSD BE'!$W$58</f>
        <v>0</v>
      </c>
      <c r="X36" s="31">
        <f>'TUSD BE'!$X$36*'TUSD BE'!$X$58</f>
        <v>0</v>
      </c>
      <c r="Y36" s="31">
        <f>'TUSD BE'!$Y$36*'TUSD BE'!$Y$58</f>
        <v>2.9081526555299719</v>
      </c>
      <c r="Z36" s="31">
        <f>'TUSD BE'!$Z$36*'TUSD BE'!$Z$58</f>
        <v>0</v>
      </c>
      <c r="AA36" s="31">
        <f>'TUSD BE'!$AA$36*'TUSD BE'!$AA$58</f>
        <v>0</v>
      </c>
      <c r="AB36" s="31">
        <f>SUM($U$36:$AA$36)</f>
        <v>2.9081526555299719</v>
      </c>
      <c r="AC36" s="31">
        <f>'TUSD BE'!$AC$36*'TUSD BE'!$AC$58</f>
        <v>-1.2032456872720343</v>
      </c>
      <c r="AD36" s="31">
        <f>SUM($AC$36:$AC$36)</f>
        <v>-1.2032456872720343</v>
      </c>
      <c r="AE36" s="31">
        <f ca="1">$AO$36*$AO$55</f>
        <v>-28.621254495290632</v>
      </c>
      <c r="AF36" s="31">
        <f ca="1">$AP$36*$AP$55</f>
        <v>0</v>
      </c>
      <c r="AG36" s="31">
        <f ca="1">SUM($AE$36:$AF$36)</f>
        <v>-28.621254495290632</v>
      </c>
      <c r="AH36" s="31">
        <f>'TUSD BE'!$AH$36*'TUSD BE'!$AH$58</f>
        <v>-1.1186428756246387</v>
      </c>
      <c r="AI36" s="31">
        <f>'TUSD BE'!$AI$36*'TUSD BE'!$AI$58</f>
        <v>-3.5974039122080477E-2</v>
      </c>
      <c r="AJ36" s="31">
        <f ca="1">'TUSD BE'!$AJ$36*'TUSD BE'!$AJ$58</f>
        <v>-0.11825381198647125</v>
      </c>
      <c r="AK36" s="31">
        <f ca="1">'TUSD BE'!$AK$36*'TUSD BE'!$AK$58</f>
        <v>4.181590643671651E-2</v>
      </c>
      <c r="AL36" s="31">
        <f ca="1">SUM($AH$36:$AK$36)</f>
        <v>-1.231054820296474</v>
      </c>
      <c r="AM36" s="31">
        <f ca="1">SUMIF($L$4:$AL$4,"SUBTOTAL",$L$36:$AL$36)</f>
        <v>-26.444398551593146</v>
      </c>
      <c r="AO36" s="44">
        <f ca="1">+'TUSD BE'!$T$36+'TUSD BE'!$AB$36+'TUSD BE'!$AD$36+'TUSD BE'!$AL$36</f>
        <v>271.28990325894767</v>
      </c>
      <c r="AP36" s="44">
        <f ca="1">+'TUSD BE'!$T$36+'TUSD BE'!$AB$36+'TUSD BE'!$AD$36+'TUSD BE'!$AL$36</f>
        <v>271.28990325894767</v>
      </c>
    </row>
    <row r="37" spans="1:42" ht="11.25" customHeight="1" x14ac:dyDescent="0.25">
      <c r="A37" s="137"/>
      <c r="B37" s="42" t="s">
        <v>23</v>
      </c>
      <c r="C37" s="42" t="s">
        <v>40</v>
      </c>
      <c r="D37" s="42" t="s">
        <v>86</v>
      </c>
      <c r="E37" s="42" t="s">
        <v>25</v>
      </c>
      <c r="F37" s="42" t="s">
        <v>25</v>
      </c>
      <c r="G37" s="41" t="s">
        <v>74</v>
      </c>
      <c r="H37" s="41" t="s">
        <v>70</v>
      </c>
      <c r="I37" s="41">
        <f>'MERCADO TUSD'!$U$34</f>
        <v>0</v>
      </c>
      <c r="J37" s="15"/>
      <c r="L37" s="31">
        <f>'TUSD BE'!$L$37*'TUSD BE'!$L$58</f>
        <v>4.96139567348787E-2</v>
      </c>
      <c r="M37" s="31">
        <f>'TUSD BE'!$M$37*'TUSD BE'!$M$58</f>
        <v>-1.67938644926648E-2</v>
      </c>
      <c r="N37" s="31">
        <f ca="1">'TUSD BE'!$N$37*'TUSD BE'!$N$58</f>
        <v>5.9290676153437237E-7</v>
      </c>
      <c r="O37" s="31">
        <f>'TUSD BE'!$O$37*'TUSD BE'!$O$58</f>
        <v>0</v>
      </c>
      <c r="P37" s="31">
        <f>'TUSD BE'!$P$37*'TUSD BE'!$P$58</f>
        <v>0</v>
      </c>
      <c r="Q37" s="31">
        <f>'TUSD BE'!$Q$37*'TUSD BE'!$Q$58</f>
        <v>1.4018738549269818</v>
      </c>
      <c r="R37" s="31">
        <f>'TUSD BE'!$R$37*'TUSD BE'!$R$58</f>
        <v>0.26830949317951003</v>
      </c>
      <c r="S37" s="31">
        <f>'TUSD BE'!$R$37*'TUSD BE'!$S$58</f>
        <v>0</v>
      </c>
      <c r="T37" s="31">
        <f ca="1">SUM($L$37:$S$37)</f>
        <v>1.7030040332554672</v>
      </c>
      <c r="U37" s="31">
        <f>'TUSD BE'!$U$37*'TUSD BE'!$U$58</f>
        <v>0</v>
      </c>
      <c r="V37" s="31">
        <f>'TUSD BE'!$V$37*'TUSD BE'!$V$58</f>
        <v>0</v>
      </c>
      <c r="W37" s="31">
        <f>'TUSD BE'!$W$37*'TUSD BE'!$W$58</f>
        <v>0</v>
      </c>
      <c r="X37" s="31">
        <f>'TUSD BE'!$X$37*'TUSD BE'!$X$58</f>
        <v>0</v>
      </c>
      <c r="Y37" s="31">
        <f>'TUSD BE'!$Y$37*'TUSD BE'!$Y$58</f>
        <v>5.4870845935145454</v>
      </c>
      <c r="Z37" s="31">
        <f>'TUSD BE'!$Z$37*'TUSD BE'!$Z$58</f>
        <v>0</v>
      </c>
      <c r="AA37" s="31">
        <f>'TUSD BE'!$AA$37*'TUSD BE'!$AA$58</f>
        <v>0</v>
      </c>
      <c r="AB37" s="31">
        <f>SUM($U$37:$AA$37)</f>
        <v>5.4870845935145454</v>
      </c>
      <c r="AC37" s="31">
        <f>'TUSD BE'!$AC$37*'TUSD BE'!$AC$58</f>
        <v>-2.2702726931214881</v>
      </c>
      <c r="AD37" s="31">
        <f>SUM($AC$37:$AC$37)</f>
        <v>-2.2702726931214881</v>
      </c>
      <c r="AE37" s="31">
        <f ca="1">$AO$37*$AO$55</f>
        <v>-41.54862394577416</v>
      </c>
      <c r="AF37" s="31">
        <f ca="1">$AP$37*$AP$55</f>
        <v>0</v>
      </c>
      <c r="AG37" s="31">
        <f ca="1">SUM($AE$37:$AF$37)</f>
        <v>-41.54862394577416</v>
      </c>
      <c r="AH37" s="31">
        <f>'TUSD BE'!$AH$37*'TUSD BE'!$AH$58</f>
        <v>-1.1186428756246387</v>
      </c>
      <c r="AI37" s="31">
        <f>'TUSD BE'!$AI$37*'TUSD BE'!$AI$58</f>
        <v>-3.5974039122080477E-2</v>
      </c>
      <c r="AJ37" s="31">
        <f ca="1">'TUSD BE'!$AJ$37*'TUSD BE'!$AJ$58</f>
        <v>-0.11825381198647125</v>
      </c>
      <c r="AK37" s="31">
        <f ca="1">'TUSD BE'!$AK$37*'TUSD BE'!$AK$58</f>
        <v>4.181590643671651E-2</v>
      </c>
      <c r="AL37" s="31">
        <f ca="1">SUM($AH$37:$AK$37)</f>
        <v>-1.231054820296474</v>
      </c>
      <c r="AM37" s="31">
        <f ca="1">SUMIF($L$4:$AL$4,"SUBTOTAL",$L$37:$AL$37)</f>
        <v>-37.859862832422102</v>
      </c>
      <c r="AO37" s="44">
        <f ca="1">+'TUSD BE'!$T$37+'TUSD BE'!$AB$37+'TUSD BE'!$AD$37+'TUSD BE'!$AL$37</f>
        <v>393.82348431464209</v>
      </c>
      <c r="AP37" s="44">
        <f ca="1">+'TUSD BE'!$T$37+'TUSD BE'!$AB$37+'TUSD BE'!$AD$37+'TUSD BE'!$AL$37</f>
        <v>393.82348431464209</v>
      </c>
    </row>
    <row r="38" spans="1:42" ht="11.25" customHeight="1" x14ac:dyDescent="0.25">
      <c r="A38" s="137"/>
      <c r="B38" s="137" t="s">
        <v>49</v>
      </c>
      <c r="C38" s="137" t="s">
        <v>40</v>
      </c>
      <c r="D38" s="137" t="s">
        <v>87</v>
      </c>
      <c r="E38" s="137" t="s">
        <v>25</v>
      </c>
      <c r="F38" s="137" t="s">
        <v>25</v>
      </c>
      <c r="G38" s="41" t="s">
        <v>71</v>
      </c>
      <c r="H38" s="41" t="s">
        <v>70</v>
      </c>
      <c r="I38" s="41">
        <f>'MERCADO TUSD'!$U$35</f>
        <v>0</v>
      </c>
      <c r="J38" s="15"/>
      <c r="L38" s="31">
        <f>'TUSD BE'!$L$38*'TUSD BE'!$L$58</f>
        <v>4.96139567348787E-2</v>
      </c>
      <c r="M38" s="31">
        <f>'TUSD BE'!$M$38*'TUSD BE'!$M$58</f>
        <v>-1.67938644926648E-2</v>
      </c>
      <c r="N38" s="31">
        <f ca="1">'TUSD BE'!$N$38*'TUSD BE'!$N$58</f>
        <v>1.4267518805675218E-6</v>
      </c>
      <c r="O38" s="31">
        <f>'TUSD BE'!$O$38*'TUSD BE'!$O$58</f>
        <v>0</v>
      </c>
      <c r="P38" s="31">
        <f>'TUSD BE'!$P$38*'TUSD BE'!$P$58</f>
        <v>0</v>
      </c>
      <c r="Q38" s="31">
        <f>'TUSD BE'!$Q$38*'TUSD BE'!$Q$58</f>
        <v>1.4018738549269818</v>
      </c>
      <c r="R38" s="31">
        <f>'TUSD BE'!$R$38*'TUSD BE'!$R$58</f>
        <v>0.26830949317951003</v>
      </c>
      <c r="S38" s="31">
        <f>'TUSD BE'!$R$38*'TUSD BE'!$S$58</f>
        <v>0</v>
      </c>
      <c r="T38" s="31">
        <f ca="1">SUM($L$38:$S$38)</f>
        <v>1.7030048671005864</v>
      </c>
      <c r="U38" s="31">
        <f>'TUSD BE'!$U$38*'TUSD BE'!$U$58</f>
        <v>0</v>
      </c>
      <c r="V38" s="31">
        <f>'TUSD BE'!$V$38*'TUSD BE'!$V$58</f>
        <v>0</v>
      </c>
      <c r="W38" s="31">
        <f>'TUSD BE'!$W$38*'TUSD BE'!$W$58</f>
        <v>0</v>
      </c>
      <c r="X38" s="31">
        <f>'TUSD BE'!$X$38*'TUSD BE'!$X$58</f>
        <v>0</v>
      </c>
      <c r="Y38" s="31">
        <f>'TUSD BE'!$Y$38*'TUSD BE'!$Y$58</f>
        <v>14.540768465823044</v>
      </c>
      <c r="Z38" s="31">
        <f>'TUSD BE'!$Z$38*'TUSD BE'!$Z$58</f>
        <v>0</v>
      </c>
      <c r="AA38" s="31">
        <f>'TUSD BE'!$AA$38*'TUSD BE'!$AA$58</f>
        <v>0</v>
      </c>
      <c r="AB38" s="31">
        <f>SUM($U$38:$AA$38)</f>
        <v>14.540768465823044</v>
      </c>
      <c r="AC38" s="31">
        <f>'TUSD BE'!$AC$38*'TUSD BE'!$AC$58</f>
        <v>-6.0162250248376852</v>
      </c>
      <c r="AD38" s="31">
        <f>SUM($AC$38:$AC$38)</f>
        <v>-6.0162250248376852</v>
      </c>
      <c r="AE38" s="31">
        <f ca="1">$AO$38*$AO$55</f>
        <v>-86.931953063862167</v>
      </c>
      <c r="AF38" s="31">
        <f ca="1">$AP$38*$AP$55</f>
        <v>0</v>
      </c>
      <c r="AG38" s="31">
        <f ca="1">SUM($AE$38:$AF$38)</f>
        <v>-86.931953063862167</v>
      </c>
      <c r="AH38" s="31">
        <f>'TUSD BE'!$AH$38*'TUSD BE'!$AH$58</f>
        <v>-1.1186428756246387</v>
      </c>
      <c r="AI38" s="31">
        <f>'TUSD BE'!$AI$38*'TUSD BE'!$AI$58</f>
        <v>-3.5974039122080477E-2</v>
      </c>
      <c r="AJ38" s="31">
        <f ca="1">'TUSD BE'!$AJ$38*'TUSD BE'!$AJ$58</f>
        <v>-0.11825381198647125</v>
      </c>
      <c r="AK38" s="31">
        <f ca="1">'TUSD BE'!$AK$38*'TUSD BE'!$AK$58</f>
        <v>4.181590643671651E-2</v>
      </c>
      <c r="AL38" s="31">
        <f ca="1">SUM($AH$38:$AK$38)</f>
        <v>-1.231054820296474</v>
      </c>
      <c r="AM38" s="31">
        <f ca="1">SUMIF($L$4:$AL$4,"SUBTOTAL",$L$38:$AL$38)</f>
        <v>-77.935459576072702</v>
      </c>
      <c r="AO38" s="44">
        <f ca="1">+'TUSD BE'!$T$38+'TUSD BE'!$AB$38+'TUSD BE'!$AD$38+'TUSD BE'!$AL$38</f>
        <v>823.99466944004996</v>
      </c>
      <c r="AP38" s="44">
        <f ca="1">+'TUSD BE'!$T$38+'TUSD BE'!$AB$38+'TUSD BE'!$AD$38+'TUSD BE'!$AL$38</f>
        <v>823.99466944004996</v>
      </c>
    </row>
    <row r="39" spans="1:42" ht="11.25" customHeight="1" x14ac:dyDescent="0.25">
      <c r="A39" s="137"/>
      <c r="B39" s="137"/>
      <c r="C39" s="137"/>
      <c r="D39" s="137"/>
      <c r="E39" s="137"/>
      <c r="F39" s="137"/>
      <c r="G39" s="41" t="s">
        <v>83</v>
      </c>
      <c r="H39" s="41" t="s">
        <v>70</v>
      </c>
      <c r="I39" s="41">
        <f>'MERCADO TUSD'!$U$36</f>
        <v>0</v>
      </c>
      <c r="J39" s="15"/>
      <c r="L39" s="31">
        <f>'TUSD BE'!$L$39*'TUSD BE'!$L$58</f>
        <v>4.96139567348787E-2</v>
      </c>
      <c r="M39" s="31">
        <f>'TUSD BE'!$M$39*'TUSD BE'!$M$58</f>
        <v>-1.67938644926648E-2</v>
      </c>
      <c r="N39" s="31">
        <f ca="1">'TUSD BE'!$N$39*'TUSD BE'!$N$58</f>
        <v>8.9106970400618814E-7</v>
      </c>
      <c r="O39" s="31">
        <f>'TUSD BE'!$O$39*'TUSD BE'!$O$58</f>
        <v>0</v>
      </c>
      <c r="P39" s="31">
        <f>'TUSD BE'!$P$39*'TUSD BE'!$P$58</f>
        <v>0</v>
      </c>
      <c r="Q39" s="31">
        <f>'TUSD BE'!$Q$39*'TUSD BE'!$Q$58</f>
        <v>1.4018738549269818</v>
      </c>
      <c r="R39" s="31">
        <f>'TUSD BE'!$R$39*'TUSD BE'!$R$58</f>
        <v>0.26830949317951003</v>
      </c>
      <c r="S39" s="31">
        <f>'TUSD BE'!$R$39*'TUSD BE'!$S$58</f>
        <v>0</v>
      </c>
      <c r="T39" s="31">
        <f ca="1">SUM($L$39:$S$39)</f>
        <v>1.7030043314184098</v>
      </c>
      <c r="U39" s="31">
        <f>'TUSD BE'!$U$39*'TUSD BE'!$U$58</f>
        <v>0</v>
      </c>
      <c r="V39" s="31">
        <f>'TUSD BE'!$V$39*'TUSD BE'!$V$58</f>
        <v>0</v>
      </c>
      <c r="W39" s="31">
        <f>'TUSD BE'!$W$39*'TUSD BE'!$W$58</f>
        <v>0</v>
      </c>
      <c r="X39" s="31">
        <f>'TUSD BE'!$X$39*'TUSD BE'!$X$58</f>
        <v>0</v>
      </c>
      <c r="Y39" s="31">
        <f>'TUSD BE'!$Y$39*'TUSD BE'!$Y$58</f>
        <v>8.7244631547631002</v>
      </c>
      <c r="Z39" s="31">
        <f>'TUSD BE'!$Z$39*'TUSD BE'!$Z$58</f>
        <v>0</v>
      </c>
      <c r="AA39" s="31">
        <f>'TUSD BE'!$AA$39*'TUSD BE'!$AA$58</f>
        <v>0</v>
      </c>
      <c r="AB39" s="31">
        <f>SUM($U$39:$AA$39)</f>
        <v>8.7244631547631002</v>
      </c>
      <c r="AC39" s="31">
        <f>'TUSD BE'!$AC$39*'TUSD BE'!$AC$58</f>
        <v>-3.60973535605486</v>
      </c>
      <c r="AD39" s="31">
        <f>SUM($AC$39:$AC$39)</f>
        <v>-3.60973535605486</v>
      </c>
      <c r="AE39" s="31">
        <f ca="1">$AO$39*$AO$55</f>
        <v>-57.776609817595819</v>
      </c>
      <c r="AF39" s="31">
        <f ca="1">$AP$39*$AP$55</f>
        <v>0</v>
      </c>
      <c r="AG39" s="31">
        <f ca="1">SUM($AE$39:$AF$39)</f>
        <v>-57.776609817595819</v>
      </c>
      <c r="AH39" s="31">
        <f>'TUSD BE'!$AH$39*'TUSD BE'!$AH$58</f>
        <v>-1.1186428756246387</v>
      </c>
      <c r="AI39" s="31">
        <f>'TUSD BE'!$AI$39*'TUSD BE'!$AI$58</f>
        <v>-3.5974039122080477E-2</v>
      </c>
      <c r="AJ39" s="31">
        <f ca="1">'TUSD BE'!$AJ$39*'TUSD BE'!$AJ$58</f>
        <v>-0.11825381198647125</v>
      </c>
      <c r="AK39" s="31">
        <f ca="1">'TUSD BE'!$AK$39*'TUSD BE'!$AK$58</f>
        <v>4.181590643671651E-2</v>
      </c>
      <c r="AL39" s="31">
        <f ca="1">SUM($AH$39:$AK$39)</f>
        <v>-1.231054820296474</v>
      </c>
      <c r="AM39" s="31">
        <f ca="1">SUMIF($L$4:$AL$4,"SUBTOTAL",$L$39:$AL$39)</f>
        <v>-52.18993250776564</v>
      </c>
      <c r="AO39" s="44">
        <f ca="1">+'TUSD BE'!$T$39+'TUSD BE'!$AB$39+'TUSD BE'!$AD$39+'TUSD BE'!$AL$39</f>
        <v>547.64234358157103</v>
      </c>
      <c r="AP39" s="44">
        <f ca="1">+'TUSD BE'!$T$39+'TUSD BE'!$AB$39+'TUSD BE'!$AD$39+'TUSD BE'!$AL$39</f>
        <v>547.64234358157103</v>
      </c>
    </row>
    <row r="40" spans="1:42" ht="11.25" customHeight="1" x14ac:dyDescent="0.25">
      <c r="A40" s="137"/>
      <c r="B40" s="137"/>
      <c r="C40" s="137"/>
      <c r="D40" s="137"/>
      <c r="E40" s="137"/>
      <c r="F40" s="137"/>
      <c r="G40" s="41" t="s">
        <v>72</v>
      </c>
      <c r="H40" s="41" t="s">
        <v>70</v>
      </c>
      <c r="I40" s="41">
        <f>'MERCADO TUSD'!$U$37</f>
        <v>0</v>
      </c>
      <c r="J40" s="15"/>
      <c r="L40" s="31">
        <f>'TUSD BE'!$L$40*'TUSD BE'!$L$58</f>
        <v>4.96139567348787E-2</v>
      </c>
      <c r="M40" s="31">
        <f>'TUSD BE'!$M$40*'TUSD BE'!$M$58</f>
        <v>-1.67938644926648E-2</v>
      </c>
      <c r="N40" s="31">
        <f ca="1">'TUSD BE'!$N$40*'TUSD BE'!$N$58</f>
        <v>3.5538731586923507E-7</v>
      </c>
      <c r="O40" s="31">
        <f>'TUSD BE'!$O$40*'TUSD BE'!$O$58</f>
        <v>0</v>
      </c>
      <c r="P40" s="31">
        <f>'TUSD BE'!$P$40*'TUSD BE'!$P$58</f>
        <v>0</v>
      </c>
      <c r="Q40" s="31">
        <f>'TUSD BE'!$Q$40*'TUSD BE'!$Q$58</f>
        <v>1.4018738549269818</v>
      </c>
      <c r="R40" s="31">
        <f>'TUSD BE'!$R$40*'TUSD BE'!$R$58</f>
        <v>0.26830949317951003</v>
      </c>
      <c r="S40" s="31">
        <f>'TUSD BE'!$R$40*'TUSD BE'!$S$58</f>
        <v>0</v>
      </c>
      <c r="T40" s="31">
        <f ca="1">SUM($L$40:$S$40)</f>
        <v>1.7030037957360216</v>
      </c>
      <c r="U40" s="31">
        <f>'TUSD BE'!$U$40*'TUSD BE'!$U$58</f>
        <v>0</v>
      </c>
      <c r="V40" s="31">
        <f>'TUSD BE'!$V$40*'TUSD BE'!$V$58</f>
        <v>0</v>
      </c>
      <c r="W40" s="31">
        <f>'TUSD BE'!$W$40*'TUSD BE'!$W$58</f>
        <v>0</v>
      </c>
      <c r="X40" s="31">
        <f>'TUSD BE'!$X$40*'TUSD BE'!$X$58</f>
        <v>0</v>
      </c>
      <c r="Y40" s="31">
        <f>'TUSD BE'!$Y$40*'TUSD BE'!$Y$58</f>
        <v>2.9081526555299719</v>
      </c>
      <c r="Z40" s="31">
        <f>'TUSD BE'!$Z$40*'TUSD BE'!$Z$58</f>
        <v>0</v>
      </c>
      <c r="AA40" s="31">
        <f>'TUSD BE'!$AA$40*'TUSD BE'!$AA$58</f>
        <v>0</v>
      </c>
      <c r="AB40" s="31">
        <f>SUM($U$40:$AA$40)</f>
        <v>2.9081526555299719</v>
      </c>
      <c r="AC40" s="31">
        <f>'TUSD BE'!$AC$40*'TUSD BE'!$AC$58</f>
        <v>-1.2032456872720343</v>
      </c>
      <c r="AD40" s="31">
        <f>SUM($AC$40:$AC$40)</f>
        <v>-1.2032456872720343</v>
      </c>
      <c r="AE40" s="31">
        <f ca="1">$AO$40*$AO$55</f>
        <v>-28.621254495290632</v>
      </c>
      <c r="AF40" s="31">
        <f ca="1">$AP$40*$AP$55</f>
        <v>0</v>
      </c>
      <c r="AG40" s="31">
        <f ca="1">SUM($AE$40:$AF$40)</f>
        <v>-28.621254495290632</v>
      </c>
      <c r="AH40" s="31">
        <f>'TUSD BE'!$AH$40*'TUSD BE'!$AH$58</f>
        <v>-1.1186428756246387</v>
      </c>
      <c r="AI40" s="31">
        <f>'TUSD BE'!$AI$40*'TUSD BE'!$AI$58</f>
        <v>-3.5974039122080477E-2</v>
      </c>
      <c r="AJ40" s="31">
        <f ca="1">'TUSD BE'!$AJ$40*'TUSD BE'!$AJ$58</f>
        <v>-0.11825381198647125</v>
      </c>
      <c r="AK40" s="31">
        <f ca="1">'TUSD BE'!$AK$40*'TUSD BE'!$AK$58</f>
        <v>4.181590643671651E-2</v>
      </c>
      <c r="AL40" s="31">
        <f ca="1">SUM($AH$40:$AK$40)</f>
        <v>-1.231054820296474</v>
      </c>
      <c r="AM40" s="31">
        <f ca="1">SUMIF($L$4:$AL$4,"SUBTOTAL",$L$40:$AL$40)</f>
        <v>-26.444398551593146</v>
      </c>
      <c r="AO40" s="44">
        <f ca="1">+'TUSD BE'!$T$40+'TUSD BE'!$AB$40+'TUSD BE'!$AD$40+'TUSD BE'!$AL$40</f>
        <v>271.28990325894767</v>
      </c>
      <c r="AP40" s="44">
        <f ca="1">+'TUSD BE'!$T$40+'TUSD BE'!$AB$40+'TUSD BE'!$AD$40+'TUSD BE'!$AL$40</f>
        <v>271.28990325894767</v>
      </c>
    </row>
    <row r="41" spans="1:42" ht="11.25" customHeight="1" x14ac:dyDescent="0.25">
      <c r="A41" s="137"/>
      <c r="B41" s="42" t="s">
        <v>23</v>
      </c>
      <c r="C41" s="42" t="s">
        <v>40</v>
      </c>
      <c r="D41" s="42" t="s">
        <v>87</v>
      </c>
      <c r="E41" s="42" t="s">
        <v>25</v>
      </c>
      <c r="F41" s="42" t="s">
        <v>25</v>
      </c>
      <c r="G41" s="41" t="s">
        <v>74</v>
      </c>
      <c r="H41" s="41" t="s">
        <v>70</v>
      </c>
      <c r="I41" s="41">
        <f>'MERCADO TUSD'!$U$38</f>
        <v>0</v>
      </c>
      <c r="J41" s="15"/>
      <c r="L41" s="31">
        <f>'TUSD BE'!$L$41*'TUSD BE'!$L$58</f>
        <v>4.96139567348787E-2</v>
      </c>
      <c r="M41" s="31">
        <f>'TUSD BE'!$M$41*'TUSD BE'!$M$58</f>
        <v>-1.67938644926648E-2</v>
      </c>
      <c r="N41" s="31">
        <f ca="1">'TUSD BE'!$N$41*'TUSD BE'!$N$58</f>
        <v>5.9290676153437237E-7</v>
      </c>
      <c r="O41" s="31">
        <f>'TUSD BE'!$O$41*'TUSD BE'!$O$58</f>
        <v>0</v>
      </c>
      <c r="P41" s="31">
        <f>'TUSD BE'!$P$41*'TUSD BE'!$P$58</f>
        <v>0</v>
      </c>
      <c r="Q41" s="31">
        <f>'TUSD BE'!$Q$41*'TUSD BE'!$Q$58</f>
        <v>1.4018738549269818</v>
      </c>
      <c r="R41" s="31">
        <f>'TUSD BE'!$R$41*'TUSD BE'!$R$58</f>
        <v>0.26830949317951003</v>
      </c>
      <c r="S41" s="31">
        <f>'TUSD BE'!$R$41*'TUSD BE'!$S$58</f>
        <v>0</v>
      </c>
      <c r="T41" s="31">
        <f ca="1">SUM($L$41:$S$41)</f>
        <v>1.7030040332554672</v>
      </c>
      <c r="U41" s="31">
        <f>'TUSD BE'!$U$41*'TUSD BE'!$U$58</f>
        <v>0</v>
      </c>
      <c r="V41" s="31">
        <f>'TUSD BE'!$V$41*'TUSD BE'!$V$58</f>
        <v>0</v>
      </c>
      <c r="W41" s="31">
        <f>'TUSD BE'!$W$41*'TUSD BE'!$W$58</f>
        <v>0</v>
      </c>
      <c r="X41" s="31">
        <f>'TUSD BE'!$X$41*'TUSD BE'!$X$58</f>
        <v>0</v>
      </c>
      <c r="Y41" s="31">
        <f>'TUSD BE'!$Y$41*'TUSD BE'!$Y$58</f>
        <v>5.4870845935145454</v>
      </c>
      <c r="Z41" s="31">
        <f>'TUSD BE'!$Z$41*'TUSD BE'!$Z$58</f>
        <v>0</v>
      </c>
      <c r="AA41" s="31">
        <f>'TUSD BE'!$AA$41*'TUSD BE'!$AA$58</f>
        <v>0</v>
      </c>
      <c r="AB41" s="31">
        <f>SUM($U$41:$AA$41)</f>
        <v>5.4870845935145454</v>
      </c>
      <c r="AC41" s="31">
        <f>'TUSD BE'!$AC$41*'TUSD BE'!$AC$58</f>
        <v>-2.2702726931214881</v>
      </c>
      <c r="AD41" s="31">
        <f>SUM($AC$41:$AC$41)</f>
        <v>-2.2702726931214881</v>
      </c>
      <c r="AE41" s="31">
        <f ca="1">$AO$41*$AO$55</f>
        <v>-41.54862394577416</v>
      </c>
      <c r="AF41" s="31">
        <f ca="1">$AP$41*$AP$55</f>
        <v>0</v>
      </c>
      <c r="AG41" s="31">
        <f ca="1">SUM($AE$41:$AF$41)</f>
        <v>-41.54862394577416</v>
      </c>
      <c r="AH41" s="31">
        <f>'TUSD BE'!$AH$41*'TUSD BE'!$AH$58</f>
        <v>-1.1186428756246387</v>
      </c>
      <c r="AI41" s="31">
        <f>'TUSD BE'!$AI$41*'TUSD BE'!$AI$58</f>
        <v>-3.5974039122080477E-2</v>
      </c>
      <c r="AJ41" s="31">
        <f ca="1">'TUSD BE'!$AJ$41*'TUSD BE'!$AJ$58</f>
        <v>-0.11825381198647125</v>
      </c>
      <c r="AK41" s="31">
        <f ca="1">'TUSD BE'!$AK$41*'TUSD BE'!$AK$58</f>
        <v>4.181590643671651E-2</v>
      </c>
      <c r="AL41" s="31">
        <f ca="1">SUM($AH$41:$AK$41)</f>
        <v>-1.231054820296474</v>
      </c>
      <c r="AM41" s="31">
        <f ca="1">SUMIF($L$4:$AL$4,"SUBTOTAL",$L$41:$AL$41)</f>
        <v>-37.859862832422102</v>
      </c>
      <c r="AO41" s="44">
        <f ca="1">+'TUSD BE'!$T$41+'TUSD BE'!$AB$41+'TUSD BE'!$AD$41+'TUSD BE'!$AL$41</f>
        <v>393.82348431464209</v>
      </c>
      <c r="AP41" s="44">
        <f ca="1">+'TUSD BE'!$T$41+'TUSD BE'!$AB$41+'TUSD BE'!$AD$41+'TUSD BE'!$AL$41</f>
        <v>393.82348431464209</v>
      </c>
    </row>
    <row r="42" spans="1:42" ht="11.25" customHeight="1" x14ac:dyDescent="0.25">
      <c r="A42" s="137"/>
      <c r="B42" s="137" t="s">
        <v>85</v>
      </c>
      <c r="C42" s="137" t="s">
        <v>40</v>
      </c>
      <c r="D42" s="42" t="s">
        <v>25</v>
      </c>
      <c r="E42" s="42" t="s">
        <v>25</v>
      </c>
      <c r="F42" s="42" t="s">
        <v>25</v>
      </c>
      <c r="G42" s="41" t="s">
        <v>74</v>
      </c>
      <c r="H42" s="41" t="s">
        <v>70</v>
      </c>
      <c r="I42" s="41">
        <f>'MERCADO TUSD'!$U$39</f>
        <v>0</v>
      </c>
      <c r="J42" s="15"/>
      <c r="L42" s="31">
        <f>'TUSD BE'!$L$42*'TUSD BE'!$L$58</f>
        <v>4.96139567348787E-2</v>
      </c>
      <c r="M42" s="31">
        <f>'TUSD BE'!$M$42*'TUSD BE'!$M$58</f>
        <v>-1.67938644926648E-2</v>
      </c>
      <c r="N42" s="31">
        <f ca="1">'TUSD BE'!$N$42*'TUSD BE'!$N$58</f>
        <v>5.9290676153437237E-7</v>
      </c>
      <c r="O42" s="31">
        <f>'TUSD BE'!$O$42*'TUSD BE'!$O$58</f>
        <v>0</v>
      </c>
      <c r="P42" s="31">
        <f>'TUSD BE'!$P$42*'TUSD BE'!$P$58</f>
        <v>0</v>
      </c>
      <c r="Q42" s="31">
        <f>'TUSD BE'!$Q$42*'TUSD BE'!$Q$58</f>
        <v>1.4018738549269818</v>
      </c>
      <c r="R42" s="31">
        <f>'TUSD BE'!$R$42*'TUSD BE'!$R$58</f>
        <v>0.26830949317951003</v>
      </c>
      <c r="S42" s="31">
        <f>'TUSD BE'!$R$42*'TUSD BE'!$S$58</f>
        <v>0</v>
      </c>
      <c r="T42" s="31">
        <f ca="1">SUM($L$42:$S$42)</f>
        <v>1.7030040332554672</v>
      </c>
      <c r="U42" s="31">
        <f>'TUSD BE'!$U$42*'TUSD BE'!$U$58</f>
        <v>0</v>
      </c>
      <c r="V42" s="31">
        <f>'TUSD BE'!$V$42*'TUSD BE'!$V$58</f>
        <v>0</v>
      </c>
      <c r="W42" s="31">
        <f>'TUSD BE'!$W$42*'TUSD BE'!$W$58</f>
        <v>0</v>
      </c>
      <c r="X42" s="31">
        <f>'TUSD BE'!$X$42*'TUSD BE'!$X$58</f>
        <v>0</v>
      </c>
      <c r="Y42" s="31">
        <f>'TUSD BE'!$Y$42*'TUSD BE'!$Y$58</f>
        <v>5.4870845935145454</v>
      </c>
      <c r="Z42" s="31">
        <f>'TUSD BE'!$Z$42*'TUSD BE'!$Z$58</f>
        <v>0</v>
      </c>
      <c r="AA42" s="31">
        <f>'TUSD BE'!$AA$42*'TUSD BE'!$AA$58</f>
        <v>0</v>
      </c>
      <c r="AB42" s="31">
        <f>SUM($U$42:$AA$42)</f>
        <v>5.4870845935145454</v>
      </c>
      <c r="AC42" s="31">
        <f>'TUSD BE'!$AC$42*'TUSD BE'!$AC$58</f>
        <v>-2.2702726931214881</v>
      </c>
      <c r="AD42" s="31">
        <f>SUM($AC$42:$AC$42)</f>
        <v>-2.2702726931214881</v>
      </c>
      <c r="AE42" s="31">
        <f ca="1">$AO$42*$AO$55</f>
        <v>-41.54862394577416</v>
      </c>
      <c r="AF42" s="31">
        <f ca="1">$AP$42*$AP$55</f>
        <v>0</v>
      </c>
      <c r="AG42" s="31">
        <f ca="1">SUM($AE$42:$AF$42)</f>
        <v>-41.54862394577416</v>
      </c>
      <c r="AH42" s="31">
        <f>'TUSD BE'!$AH$42*'TUSD BE'!$AH$58</f>
        <v>-1.1186428756246387</v>
      </c>
      <c r="AI42" s="31">
        <f>'TUSD BE'!$AI$42*'TUSD BE'!$AI$58</f>
        <v>-3.5974039122080477E-2</v>
      </c>
      <c r="AJ42" s="31">
        <f ca="1">'TUSD BE'!$AJ$42*'TUSD BE'!$AJ$58</f>
        <v>-0.11825381198647125</v>
      </c>
      <c r="AK42" s="31">
        <f ca="1">'TUSD BE'!$AK$42*'TUSD BE'!$AK$58</f>
        <v>4.181590643671651E-2</v>
      </c>
      <c r="AL42" s="31">
        <f ca="1">SUM($AH$42:$AK$42)</f>
        <v>-1.231054820296474</v>
      </c>
      <c r="AM42" s="31">
        <f ca="1">SUMIF($L$4:$AL$4,"SUBTOTAL",$L$42:$AL$42)</f>
        <v>-37.859862832422102</v>
      </c>
      <c r="AO42" s="44">
        <f ca="1">+'TUSD BE'!$T$42+'TUSD BE'!$AB$42+'TUSD BE'!$AD$42+'TUSD BE'!$AL$42</f>
        <v>393.82348431464209</v>
      </c>
      <c r="AP42" s="44">
        <f ca="1">+'TUSD BE'!$T$42+'TUSD BE'!$AB$42+'TUSD BE'!$AD$42+'TUSD BE'!$AL$42</f>
        <v>393.82348431464209</v>
      </c>
    </row>
    <row r="43" spans="1:42" ht="11.25" customHeight="1" x14ac:dyDescent="0.25">
      <c r="A43" s="137"/>
      <c r="B43" s="137"/>
      <c r="C43" s="137"/>
      <c r="D43" s="42" t="s">
        <v>86</v>
      </c>
      <c r="E43" s="42" t="s">
        <v>25</v>
      </c>
      <c r="F43" s="42" t="s">
        <v>25</v>
      </c>
      <c r="G43" s="41" t="s">
        <v>74</v>
      </c>
      <c r="H43" s="41" t="s">
        <v>70</v>
      </c>
      <c r="I43" s="41">
        <f>'MERCADO TUSD'!$U$40</f>
        <v>0</v>
      </c>
      <c r="J43" s="15"/>
      <c r="L43" s="31">
        <f>'TUSD BE'!$L$43*'TUSD BE'!$L$58</f>
        <v>4.96139567348787E-2</v>
      </c>
      <c r="M43" s="31">
        <f>'TUSD BE'!$M$43*'TUSD BE'!$M$58</f>
        <v>-1.67938644926648E-2</v>
      </c>
      <c r="N43" s="31">
        <f ca="1">'TUSD BE'!$N$43*'TUSD BE'!$N$58</f>
        <v>5.9290676153437237E-7</v>
      </c>
      <c r="O43" s="31">
        <f>'TUSD BE'!$O$43*'TUSD BE'!$O$58</f>
        <v>0</v>
      </c>
      <c r="P43" s="31">
        <f>'TUSD BE'!$P$43*'TUSD BE'!$P$58</f>
        <v>0</v>
      </c>
      <c r="Q43" s="31">
        <f>'TUSD BE'!$Q$43*'TUSD BE'!$Q$58</f>
        <v>1.4018738549269818</v>
      </c>
      <c r="R43" s="31">
        <f>'TUSD BE'!$R$43*'TUSD BE'!$R$58</f>
        <v>0.26830949317951003</v>
      </c>
      <c r="S43" s="31">
        <f>'TUSD BE'!$R$43*'TUSD BE'!$S$58</f>
        <v>0</v>
      </c>
      <c r="T43" s="31">
        <f ca="1">SUM($L$43:$S$43)</f>
        <v>1.7030040332554672</v>
      </c>
      <c r="U43" s="31">
        <f>'TUSD BE'!$U$43*'TUSD BE'!$U$58</f>
        <v>0</v>
      </c>
      <c r="V43" s="31">
        <f>'TUSD BE'!$V$43*'TUSD BE'!$V$58</f>
        <v>0</v>
      </c>
      <c r="W43" s="31">
        <f>'TUSD BE'!$W$43*'TUSD BE'!$W$58</f>
        <v>0</v>
      </c>
      <c r="X43" s="31">
        <f>'TUSD BE'!$X$43*'TUSD BE'!$X$58</f>
        <v>0</v>
      </c>
      <c r="Y43" s="31">
        <f>'TUSD BE'!$Y$43*'TUSD BE'!$Y$58</f>
        <v>5.4870845935145454</v>
      </c>
      <c r="Z43" s="31">
        <f>'TUSD BE'!$Z$43*'TUSD BE'!$Z$58</f>
        <v>0</v>
      </c>
      <c r="AA43" s="31">
        <f>'TUSD BE'!$AA$43*'TUSD BE'!$AA$58</f>
        <v>0</v>
      </c>
      <c r="AB43" s="31">
        <f>SUM($U$43:$AA$43)</f>
        <v>5.4870845935145454</v>
      </c>
      <c r="AC43" s="31">
        <f>'TUSD BE'!$AC$43*'TUSD BE'!$AC$58</f>
        <v>-2.2702726931214881</v>
      </c>
      <c r="AD43" s="31">
        <f>SUM($AC$43:$AC$43)</f>
        <v>-2.2702726931214881</v>
      </c>
      <c r="AE43" s="31">
        <f ca="1">$AO$43*$AO$55</f>
        <v>-41.54862394577416</v>
      </c>
      <c r="AF43" s="31">
        <f ca="1">$AP$43*$AP$55</f>
        <v>0</v>
      </c>
      <c r="AG43" s="31">
        <f ca="1">SUM($AE$43:$AF$43)</f>
        <v>-41.54862394577416</v>
      </c>
      <c r="AH43" s="31">
        <f>'TUSD BE'!$AH$43*'TUSD BE'!$AH$58</f>
        <v>-1.1186428756246387</v>
      </c>
      <c r="AI43" s="31">
        <f>'TUSD BE'!$AI$43*'TUSD BE'!$AI$58</f>
        <v>-3.5974039122080477E-2</v>
      </c>
      <c r="AJ43" s="31">
        <f ca="1">'TUSD BE'!$AJ$43*'TUSD BE'!$AJ$58</f>
        <v>-0.11825381198647125</v>
      </c>
      <c r="AK43" s="31">
        <f ca="1">'TUSD BE'!$AK$43*'TUSD BE'!$AK$58</f>
        <v>4.181590643671651E-2</v>
      </c>
      <c r="AL43" s="31">
        <f ca="1">SUM($AH$43:$AK$43)</f>
        <v>-1.231054820296474</v>
      </c>
      <c r="AM43" s="31">
        <f ca="1">SUMIF($L$4:$AL$4,"SUBTOTAL",$L$43:$AL$43)</f>
        <v>-37.859862832422102</v>
      </c>
      <c r="AO43" s="44">
        <f ca="1">+'TUSD BE'!$T$43+'TUSD BE'!$AB$43+'TUSD BE'!$AD$43+'TUSD BE'!$AL$43</f>
        <v>393.82348431464209</v>
      </c>
      <c r="AP43" s="44">
        <f ca="1">+'TUSD BE'!$T$43+'TUSD BE'!$AB$43+'TUSD BE'!$AD$43+'TUSD BE'!$AL$43</f>
        <v>393.82348431464209</v>
      </c>
    </row>
    <row r="44" spans="1:42" ht="11.25" customHeight="1" x14ac:dyDescent="0.25">
      <c r="A44" s="137"/>
      <c r="B44" s="137"/>
      <c r="C44" s="137"/>
      <c r="D44" s="42" t="s">
        <v>87</v>
      </c>
      <c r="E44" s="42" t="s">
        <v>25</v>
      </c>
      <c r="F44" s="42" t="s">
        <v>25</v>
      </c>
      <c r="G44" s="41" t="s">
        <v>74</v>
      </c>
      <c r="H44" s="41" t="s">
        <v>70</v>
      </c>
      <c r="I44" s="41">
        <f>'MERCADO TUSD'!$U$41</f>
        <v>0</v>
      </c>
      <c r="J44" s="15"/>
      <c r="L44" s="31">
        <f>'TUSD BE'!$L$44*'TUSD BE'!$L$58</f>
        <v>4.96139567348787E-2</v>
      </c>
      <c r="M44" s="31">
        <f>'TUSD BE'!$M$44*'TUSD BE'!$M$58</f>
        <v>-1.67938644926648E-2</v>
      </c>
      <c r="N44" s="31">
        <f ca="1">'TUSD BE'!$N$44*'TUSD BE'!$N$58</f>
        <v>5.9290676153437237E-7</v>
      </c>
      <c r="O44" s="31">
        <f>'TUSD BE'!$O$44*'TUSD BE'!$O$58</f>
        <v>0</v>
      </c>
      <c r="P44" s="31">
        <f>'TUSD BE'!$P$44*'TUSD BE'!$P$58</f>
        <v>0</v>
      </c>
      <c r="Q44" s="31">
        <f>'TUSD BE'!$Q$44*'TUSD BE'!$Q$58</f>
        <v>1.4018738549269818</v>
      </c>
      <c r="R44" s="31">
        <f>'TUSD BE'!$R$44*'TUSD BE'!$R$58</f>
        <v>0.26830949317951003</v>
      </c>
      <c r="S44" s="31">
        <f>'TUSD BE'!$R$44*'TUSD BE'!$S$58</f>
        <v>0</v>
      </c>
      <c r="T44" s="31">
        <f ca="1">SUM($L$44:$S$44)</f>
        <v>1.7030040332554672</v>
      </c>
      <c r="U44" s="31">
        <f>'TUSD BE'!$U$44*'TUSD BE'!$U$58</f>
        <v>0</v>
      </c>
      <c r="V44" s="31">
        <f>'TUSD BE'!$V$44*'TUSD BE'!$V$58</f>
        <v>0</v>
      </c>
      <c r="W44" s="31">
        <f>'TUSD BE'!$W$44*'TUSD BE'!$W$58</f>
        <v>0</v>
      </c>
      <c r="X44" s="31">
        <f>'TUSD BE'!$X$44*'TUSD BE'!$X$58</f>
        <v>0</v>
      </c>
      <c r="Y44" s="31">
        <f>'TUSD BE'!$Y$44*'TUSD BE'!$Y$58</f>
        <v>5.4870845935145454</v>
      </c>
      <c r="Z44" s="31">
        <f>'TUSD BE'!$Z$44*'TUSD BE'!$Z$58</f>
        <v>0</v>
      </c>
      <c r="AA44" s="31">
        <f>'TUSD BE'!$AA$44*'TUSD BE'!$AA$58</f>
        <v>0</v>
      </c>
      <c r="AB44" s="31">
        <f>SUM($U$44:$AA$44)</f>
        <v>5.4870845935145454</v>
      </c>
      <c r="AC44" s="31">
        <f>'TUSD BE'!$AC$44*'TUSD BE'!$AC$58</f>
        <v>-2.2702726931214881</v>
      </c>
      <c r="AD44" s="31">
        <f>SUM($AC$44:$AC$44)</f>
        <v>-2.2702726931214881</v>
      </c>
      <c r="AE44" s="31">
        <f ca="1">$AO$44*$AO$55</f>
        <v>-41.54862394577416</v>
      </c>
      <c r="AF44" s="31">
        <f ca="1">$AP$44*$AP$55</f>
        <v>0</v>
      </c>
      <c r="AG44" s="31">
        <f ca="1">SUM($AE$44:$AF$44)</f>
        <v>-41.54862394577416</v>
      </c>
      <c r="AH44" s="31">
        <f>'TUSD BE'!$AH$44*'TUSD BE'!$AH$58</f>
        <v>-1.1186428756246387</v>
      </c>
      <c r="AI44" s="31">
        <f>'TUSD BE'!$AI$44*'TUSD BE'!$AI$58</f>
        <v>-3.5974039122080477E-2</v>
      </c>
      <c r="AJ44" s="31">
        <f ca="1">'TUSD BE'!$AJ$44*'TUSD BE'!$AJ$58</f>
        <v>-0.11825381198647125</v>
      </c>
      <c r="AK44" s="31">
        <f ca="1">'TUSD BE'!$AK$44*'TUSD BE'!$AK$58</f>
        <v>4.181590643671651E-2</v>
      </c>
      <c r="AL44" s="31">
        <f ca="1">SUM($AH$44:$AK$44)</f>
        <v>-1.231054820296474</v>
      </c>
      <c r="AM44" s="31">
        <f ca="1">SUMIF($L$4:$AL$4,"SUBTOTAL",$L$44:$AL$44)</f>
        <v>-37.859862832422102</v>
      </c>
      <c r="AO44" s="44">
        <f ca="1">+'TUSD BE'!$T$44+'TUSD BE'!$AB$44+'TUSD BE'!$AD$44+'TUSD BE'!$AL$44</f>
        <v>393.82348431464209</v>
      </c>
      <c r="AP44" s="44">
        <f ca="1">+'TUSD BE'!$T$44+'TUSD BE'!$AB$44+'TUSD BE'!$AD$44+'TUSD BE'!$AL$44</f>
        <v>393.82348431464209</v>
      </c>
    </row>
    <row r="45" spans="1:42" ht="11.25" customHeight="1" x14ac:dyDescent="0.25">
      <c r="A45" s="137" t="s">
        <v>32</v>
      </c>
      <c r="B45" s="137" t="s">
        <v>49</v>
      </c>
      <c r="C45" s="137" t="s">
        <v>25</v>
      </c>
      <c r="D45" s="137" t="s">
        <v>25</v>
      </c>
      <c r="E45" s="137" t="s">
        <v>25</v>
      </c>
      <c r="F45" s="137" t="s">
        <v>25</v>
      </c>
      <c r="G45" s="41" t="s">
        <v>71</v>
      </c>
      <c r="H45" s="41" t="s">
        <v>70</v>
      </c>
      <c r="I45" s="41">
        <f>'MERCADO TUSD'!$U$42</f>
        <v>0.216</v>
      </c>
      <c r="J45" s="15"/>
      <c r="L45" s="31">
        <f>'TUSD BE'!$L$45*'TUSD BE'!$L$58</f>
        <v>4.96139567348787E-2</v>
      </c>
      <c r="M45" s="31">
        <f>'TUSD BE'!$M$45*'TUSD BE'!$M$58</f>
        <v>-1.67938644926648E-2</v>
      </c>
      <c r="N45" s="31">
        <f ca="1">'TUSD BE'!$N$45*'TUSD BE'!$N$58</f>
        <v>2.4324194647756536E-6</v>
      </c>
      <c r="O45" s="31">
        <f>'TUSD BE'!$O$45*'TUSD BE'!$O$58</f>
        <v>0</v>
      </c>
      <c r="P45" s="31">
        <f>'TUSD BE'!$P$45*'TUSD BE'!$P$58</f>
        <v>0</v>
      </c>
      <c r="Q45" s="31">
        <f>'TUSD BE'!$Q$45*'TUSD BE'!$Q$58</f>
        <v>1.4018738549269818</v>
      </c>
      <c r="R45" s="31">
        <f>'TUSD BE'!$R$45*'TUSD BE'!$R$58</f>
        <v>0.26830949317951003</v>
      </c>
      <c r="S45" s="31">
        <f>'TUSD BE'!$R$45*'TUSD BE'!$S$58</f>
        <v>0</v>
      </c>
      <c r="T45" s="31">
        <f ca="1">SUM($L$45:$S$45)</f>
        <v>1.7030058727681705</v>
      </c>
      <c r="U45" s="31">
        <f>'TUSD BE'!$U$45*'TUSD BE'!$U$58</f>
        <v>0</v>
      </c>
      <c r="V45" s="31">
        <f>'TUSD BE'!$V$45*'TUSD BE'!$V$58</f>
        <v>0</v>
      </c>
      <c r="W45" s="31">
        <f>'TUSD BE'!$W$45*'TUSD BE'!$W$58</f>
        <v>0</v>
      </c>
      <c r="X45" s="31">
        <f>'TUSD BE'!$X$45*'TUSD BE'!$X$58</f>
        <v>0</v>
      </c>
      <c r="Y45" s="31">
        <f>'TUSD BE'!$Y$45*'TUSD BE'!$Y$58</f>
        <v>25.460062345088055</v>
      </c>
      <c r="Z45" s="31">
        <f>'TUSD BE'!$Z$45*'TUSD BE'!$Z$58</f>
        <v>0</v>
      </c>
      <c r="AA45" s="31">
        <f>'TUSD BE'!$AA$45*'TUSD BE'!$AA$58</f>
        <v>0</v>
      </c>
      <c r="AB45" s="31">
        <f>SUM($U$45:$AA$45)</f>
        <v>25.460062345088055</v>
      </c>
      <c r="AC45" s="31">
        <f>'TUSD BE'!$AC$45*'TUSD BE'!$AC$58</f>
        <v>-10.534068434684393</v>
      </c>
      <c r="AD45" s="31">
        <f>SUM($AC$45:$AC$45)</f>
        <v>-10.534068434684393</v>
      </c>
      <c r="AE45" s="31">
        <f ca="1">$AO$45*$AO$55</f>
        <v>-141.66699030010204</v>
      </c>
      <c r="AF45" s="31">
        <f ca="1">$AP$45*$AP$55</f>
        <v>0</v>
      </c>
      <c r="AG45" s="31">
        <f ca="1">SUM($AE$45:$AF$45)</f>
        <v>-141.66699030010204</v>
      </c>
      <c r="AH45" s="31">
        <f>'TUSD BE'!$AH$45*'TUSD BE'!$AH$58</f>
        <v>-1.1186428756246387</v>
      </c>
      <c r="AI45" s="31">
        <f>'TUSD BE'!$AI$45*'TUSD BE'!$AI$58</f>
        <v>-3.5974039122080477E-2</v>
      </c>
      <c r="AJ45" s="31">
        <f ca="1">'TUSD BE'!$AJ$45*'TUSD BE'!$AJ$58</f>
        <v>-0.11825381198647125</v>
      </c>
      <c r="AK45" s="31">
        <f ca="1">'TUSD BE'!$AK$45*'TUSD BE'!$AK$58</f>
        <v>4.181590643671651E-2</v>
      </c>
      <c r="AL45" s="31">
        <f ca="1">SUM($AH$45:$AK$45)</f>
        <v>-1.231054820296474</v>
      </c>
      <c r="AM45" s="31">
        <f ca="1">SUMIF($L$4:$AL$4,"SUBTOTAL",$L$45:$AL$45)</f>
        <v>-126.26904533722669</v>
      </c>
      <c r="AO45" s="44">
        <f ca="1">+'TUSD BE'!$T$45+'TUSD BE'!$AB$45+'TUSD BE'!$AD$45+'TUSD BE'!$AL$45</f>
        <v>1342.8071121000212</v>
      </c>
      <c r="AP45" s="44">
        <f ca="1">+'TUSD BE'!$T$45+'TUSD BE'!$AB$45+'TUSD BE'!$AD$45+'TUSD BE'!$AL$45</f>
        <v>1342.8071121000212</v>
      </c>
    </row>
    <row r="46" spans="1:42" ht="11.25" customHeight="1" x14ac:dyDescent="0.25">
      <c r="A46" s="137"/>
      <c r="B46" s="137"/>
      <c r="C46" s="137"/>
      <c r="D46" s="137"/>
      <c r="E46" s="137"/>
      <c r="F46" s="137"/>
      <c r="G46" s="41" t="s">
        <v>83</v>
      </c>
      <c r="H46" s="41" t="s">
        <v>70</v>
      </c>
      <c r="I46" s="41">
        <f>'MERCADO TUSD'!$U$43</f>
        <v>0.24</v>
      </c>
      <c r="J46" s="15"/>
      <c r="L46" s="31">
        <f>'TUSD BE'!$L$46*'TUSD BE'!$L$58</f>
        <v>4.96139567348787E-2</v>
      </c>
      <c r="M46" s="31">
        <f>'TUSD BE'!$M$46*'TUSD BE'!$M$58</f>
        <v>-1.67938644926648E-2</v>
      </c>
      <c r="N46" s="31">
        <f ca="1">'TUSD BE'!$N$46*'TUSD BE'!$N$58</f>
        <v>9.6687365186329644E-7</v>
      </c>
      <c r="O46" s="31">
        <f>'TUSD BE'!$O$46*'TUSD BE'!$O$58</f>
        <v>0</v>
      </c>
      <c r="P46" s="31">
        <f>'TUSD BE'!$P$46*'TUSD BE'!$P$58</f>
        <v>0</v>
      </c>
      <c r="Q46" s="31">
        <f>'TUSD BE'!$Q$46*'TUSD BE'!$Q$58</f>
        <v>1.4018738549269818</v>
      </c>
      <c r="R46" s="31">
        <f>'TUSD BE'!$R$46*'TUSD BE'!$R$58</f>
        <v>0.26830949317951003</v>
      </c>
      <c r="S46" s="31">
        <f>'TUSD BE'!$R$46*'TUSD BE'!$S$58</f>
        <v>0</v>
      </c>
      <c r="T46" s="31">
        <f ca="1">SUM($L$46:$S$46)</f>
        <v>1.7030044072223576</v>
      </c>
      <c r="U46" s="31">
        <f>'TUSD BE'!$U$46*'TUSD BE'!$U$58</f>
        <v>0</v>
      </c>
      <c r="V46" s="31">
        <f>'TUSD BE'!$V$46*'TUSD BE'!$V$58</f>
        <v>0</v>
      </c>
      <c r="W46" s="31">
        <f>'TUSD BE'!$W$46*'TUSD BE'!$W$58</f>
        <v>0</v>
      </c>
      <c r="X46" s="31">
        <f>'TUSD BE'!$X$46*'TUSD BE'!$X$58</f>
        <v>0</v>
      </c>
      <c r="Y46" s="31">
        <f>'TUSD BE'!$Y$46*'TUSD BE'!$Y$58</f>
        <v>9.5475253249729626</v>
      </c>
      <c r="Z46" s="31">
        <f>'TUSD BE'!$Z$46*'TUSD BE'!$Z$58</f>
        <v>0</v>
      </c>
      <c r="AA46" s="31">
        <f>'TUSD BE'!$AA$46*'TUSD BE'!$AA$58</f>
        <v>0</v>
      </c>
      <c r="AB46" s="31">
        <f>SUM($U$46:$AA$46)</f>
        <v>9.5475253249729626</v>
      </c>
      <c r="AC46" s="31">
        <f>'TUSD BE'!$AC$46*'TUSD BE'!$AC$58</f>
        <v>-3.9502752365663363</v>
      </c>
      <c r="AD46" s="31">
        <f>SUM($AC$46:$AC$46)</f>
        <v>-3.9502752365663363</v>
      </c>
      <c r="AE46" s="31">
        <f ca="1">$AO$46*$AO$55</f>
        <v>-61.902358959399308</v>
      </c>
      <c r="AF46" s="31">
        <f ca="1">$AP$46*$AP$55</f>
        <v>0</v>
      </c>
      <c r="AG46" s="31">
        <f ca="1">SUM($AE$46:$AF$46)</f>
        <v>-61.902358959399308</v>
      </c>
      <c r="AH46" s="31">
        <f>'TUSD BE'!$AH$46*'TUSD BE'!$AH$58</f>
        <v>-1.1186428756246387</v>
      </c>
      <c r="AI46" s="31">
        <f>'TUSD BE'!$AI$46*'TUSD BE'!$AI$58</f>
        <v>-3.5974039122080477E-2</v>
      </c>
      <c r="AJ46" s="31">
        <f ca="1">'TUSD BE'!$AJ$46*'TUSD BE'!$AJ$58</f>
        <v>-0.11825381198647125</v>
      </c>
      <c r="AK46" s="31">
        <f ca="1">'TUSD BE'!$AK$46*'TUSD BE'!$AK$58</f>
        <v>4.181590643671651E-2</v>
      </c>
      <c r="AL46" s="31">
        <f ca="1">SUM($AH$46:$AK$46)</f>
        <v>-1.231054820296474</v>
      </c>
      <c r="AM46" s="31">
        <f ca="1">SUMIF($L$4:$AL$4,"SUBTOTAL",$L$46:$AL$46)</f>
        <v>-55.833159284066795</v>
      </c>
      <c r="AO46" s="44">
        <f ca="1">+'TUSD BE'!$T$46+'TUSD BE'!$AB$46+'TUSD BE'!$AD$46+'TUSD BE'!$AL$46</f>
        <v>586.74873864663437</v>
      </c>
      <c r="AP46" s="44">
        <f ca="1">+'TUSD BE'!$T$46+'TUSD BE'!$AB$46+'TUSD BE'!$AD$46+'TUSD BE'!$AL$46</f>
        <v>586.74873864663437</v>
      </c>
    </row>
    <row r="47" spans="1:42" ht="11.25" customHeight="1" x14ac:dyDescent="0.25">
      <c r="A47" s="137"/>
      <c r="B47" s="137"/>
      <c r="C47" s="137"/>
      <c r="D47" s="137"/>
      <c r="E47" s="137"/>
      <c r="F47" s="137"/>
      <c r="G47" s="41" t="s">
        <v>72</v>
      </c>
      <c r="H47" s="41" t="s">
        <v>70</v>
      </c>
      <c r="I47" s="41">
        <f>'MERCADO TUSD'!$U$44</f>
        <v>3.742</v>
      </c>
      <c r="J47" s="15"/>
      <c r="L47" s="31">
        <f>'TUSD BE'!$L$47*'TUSD BE'!$L$58</f>
        <v>4.96139567348787E-2</v>
      </c>
      <c r="M47" s="31">
        <f>'TUSD BE'!$M$47*'TUSD BE'!$M$58</f>
        <v>-1.67938644926648E-2</v>
      </c>
      <c r="N47" s="31">
        <f ca="1">'TUSD BE'!$N$47*'TUSD BE'!$N$58</f>
        <v>3.8065536901347778E-7</v>
      </c>
      <c r="O47" s="31">
        <f>'TUSD BE'!$O$47*'TUSD BE'!$O$58</f>
        <v>0</v>
      </c>
      <c r="P47" s="31">
        <f>'TUSD BE'!$P$47*'TUSD BE'!$P$58</f>
        <v>0</v>
      </c>
      <c r="Q47" s="31">
        <f>'TUSD BE'!$Q$47*'TUSD BE'!$Q$58</f>
        <v>1.4018738549269818</v>
      </c>
      <c r="R47" s="31">
        <f>'TUSD BE'!$R$47*'TUSD BE'!$R$58</f>
        <v>0.26830949317951003</v>
      </c>
      <c r="S47" s="31">
        <f>'TUSD BE'!$R$47*'TUSD BE'!$S$58</f>
        <v>0</v>
      </c>
      <c r="T47" s="31">
        <f ca="1">SUM($L$47:$S$47)</f>
        <v>1.7030038210040748</v>
      </c>
      <c r="U47" s="31">
        <f>'TUSD BE'!$U$47*'TUSD BE'!$U$58</f>
        <v>0</v>
      </c>
      <c r="V47" s="31">
        <f>'TUSD BE'!$V$47*'TUSD BE'!$V$58</f>
        <v>0</v>
      </c>
      <c r="W47" s="31">
        <f>'TUSD BE'!$W$47*'TUSD BE'!$W$58</f>
        <v>0</v>
      </c>
      <c r="X47" s="31">
        <f>'TUSD BE'!$X$47*'TUSD BE'!$X$58</f>
        <v>0</v>
      </c>
      <c r="Y47" s="31">
        <f>'TUSD BE'!$Y$47*'TUSD BE'!$Y$58</f>
        <v>3.1825084416576543</v>
      </c>
      <c r="Z47" s="31">
        <f>'TUSD BE'!$Z$47*'TUSD BE'!$Z$58</f>
        <v>0</v>
      </c>
      <c r="AA47" s="31">
        <f>'TUSD BE'!$AA$47*'TUSD BE'!$AA$58</f>
        <v>0</v>
      </c>
      <c r="AB47" s="31">
        <f>SUM($U$47:$AA$47)</f>
        <v>3.1825084416576543</v>
      </c>
      <c r="AC47" s="31">
        <f>'TUSD BE'!$AC$47*'TUSD BE'!$AC$58</f>
        <v>-1.3167589807758602</v>
      </c>
      <c r="AD47" s="31">
        <f>SUM($AC$47:$AC$47)</f>
        <v>-1.3167589807758602</v>
      </c>
      <c r="AE47" s="31">
        <f ca="1">$AO$47*$AO$55</f>
        <v>-29.996508234571408</v>
      </c>
      <c r="AF47" s="31">
        <f ca="1">$AP$47*$AP$55</f>
        <v>0</v>
      </c>
      <c r="AG47" s="31">
        <f ca="1">SUM($AE$47:$AF$47)</f>
        <v>-29.996508234571408</v>
      </c>
      <c r="AH47" s="31">
        <f>'TUSD BE'!$AH$47*'TUSD BE'!$AH$58</f>
        <v>-1.1186428756246387</v>
      </c>
      <c r="AI47" s="31">
        <f>'TUSD BE'!$AI$47*'TUSD BE'!$AI$58</f>
        <v>-3.5974039122080477E-2</v>
      </c>
      <c r="AJ47" s="31">
        <f ca="1">'TUSD BE'!$AJ$47*'TUSD BE'!$AJ$58</f>
        <v>-0.11825381198647125</v>
      </c>
      <c r="AK47" s="31">
        <f ca="1">'TUSD BE'!$AK$47*'TUSD BE'!$AK$58</f>
        <v>4.181590643671651E-2</v>
      </c>
      <c r="AL47" s="31">
        <f ca="1">SUM($AH$47:$AK$47)</f>
        <v>-1.231054820296474</v>
      </c>
      <c r="AM47" s="31">
        <f ca="1">SUMIF($L$4:$AL$4,"SUBTOTAL",$L$47:$AL$47)</f>
        <v>-27.658809772982014</v>
      </c>
      <c r="AO47" s="44">
        <f ca="1">+'TUSD BE'!$T$47+'TUSD BE'!$AB$47+'TUSD BE'!$AD$47+'TUSD BE'!$AL$47</f>
        <v>284.32540643535026</v>
      </c>
      <c r="AP47" s="44">
        <f ca="1">+'TUSD BE'!$T$47+'TUSD BE'!$AB$47+'TUSD BE'!$AD$47+'TUSD BE'!$AL$47</f>
        <v>284.32540643535026</v>
      </c>
    </row>
    <row r="48" spans="1:42" ht="11.25" customHeight="1" x14ac:dyDescent="0.25">
      <c r="A48" s="137"/>
      <c r="B48" s="42" t="s">
        <v>23</v>
      </c>
      <c r="C48" s="42" t="s">
        <v>25</v>
      </c>
      <c r="D48" s="42" t="s">
        <v>25</v>
      </c>
      <c r="E48" s="42" t="s">
        <v>25</v>
      </c>
      <c r="F48" s="42" t="s">
        <v>25</v>
      </c>
      <c r="G48" s="41" t="s">
        <v>74</v>
      </c>
      <c r="H48" s="41" t="s">
        <v>70</v>
      </c>
      <c r="I48" s="41">
        <f>'MERCADO TUSD'!$U$45</f>
        <v>12398.925999999999</v>
      </c>
      <c r="J48" s="15"/>
      <c r="L48" s="31">
        <f>'TUSD BE'!$L$48*'TUSD BE'!$L$58</f>
        <v>4.96139567348787E-2</v>
      </c>
      <c r="M48" s="31">
        <f>'TUSD BE'!$M$48*'TUSD BE'!$M$58</f>
        <v>-1.67938644926648E-2</v>
      </c>
      <c r="N48" s="31">
        <f ca="1">'TUSD BE'!$N$48*'TUSD BE'!$N$58</f>
        <v>5.9290676153437237E-7</v>
      </c>
      <c r="O48" s="31">
        <f>'TUSD BE'!$O$48*'TUSD BE'!$O$58</f>
        <v>0</v>
      </c>
      <c r="P48" s="31">
        <f>'TUSD BE'!$P$48*'TUSD BE'!$P$58</f>
        <v>0</v>
      </c>
      <c r="Q48" s="31">
        <f>'TUSD BE'!$Q$48*'TUSD BE'!$Q$58</f>
        <v>1.4018738549269818</v>
      </c>
      <c r="R48" s="31">
        <f>'TUSD BE'!$R$48*'TUSD BE'!$R$58</f>
        <v>0.26830949317951003</v>
      </c>
      <c r="S48" s="31">
        <f>'TUSD BE'!$R$48*'TUSD BE'!$S$58</f>
        <v>0</v>
      </c>
      <c r="T48" s="31">
        <f ca="1">SUM($L$48:$S$48)</f>
        <v>1.7030040332554672</v>
      </c>
      <c r="U48" s="31">
        <f>'TUSD BE'!$U$48*'TUSD BE'!$U$58</f>
        <v>0</v>
      </c>
      <c r="V48" s="31">
        <f>'TUSD BE'!$V$48*'TUSD BE'!$V$58</f>
        <v>0</v>
      </c>
      <c r="W48" s="31">
        <f>'TUSD BE'!$W$48*'TUSD BE'!$W$58</f>
        <v>0</v>
      </c>
      <c r="X48" s="31">
        <f>'TUSD BE'!$X$48*'TUSD BE'!$X$58</f>
        <v>0</v>
      </c>
      <c r="Y48" s="31">
        <f>'TUSD BE'!$Y$48*'TUSD BE'!$Y$58</f>
        <v>5.4870845935145454</v>
      </c>
      <c r="Z48" s="31">
        <f>'TUSD BE'!$Z$48*'TUSD BE'!$Z$58</f>
        <v>0</v>
      </c>
      <c r="AA48" s="31">
        <f>'TUSD BE'!$AA$48*'TUSD BE'!$AA$58</f>
        <v>0</v>
      </c>
      <c r="AB48" s="31">
        <f>SUM($U$48:$AA$48)</f>
        <v>5.4870845935145454</v>
      </c>
      <c r="AC48" s="31">
        <f>'TUSD BE'!$AC$48*'TUSD BE'!$AC$58</f>
        <v>-2.2702726931214881</v>
      </c>
      <c r="AD48" s="31">
        <f>SUM($AC$48:$AC$48)</f>
        <v>-2.2702726931214881</v>
      </c>
      <c r="AE48" s="31">
        <f ca="1">$AO$48*$AO$55</f>
        <v>-41.54862394577416</v>
      </c>
      <c r="AF48" s="31">
        <f ca="1">$AP$48*$AP$55</f>
        <v>0</v>
      </c>
      <c r="AG48" s="31">
        <f ca="1">SUM($AE$48:$AF$48)</f>
        <v>-41.54862394577416</v>
      </c>
      <c r="AH48" s="31">
        <f>'TUSD BE'!$AH$48*'TUSD BE'!$AH$58</f>
        <v>-1.1186428756246387</v>
      </c>
      <c r="AI48" s="31">
        <f>'TUSD BE'!$AI$48*'TUSD BE'!$AI$58</f>
        <v>-3.5974039122080477E-2</v>
      </c>
      <c r="AJ48" s="31">
        <f ca="1">'TUSD BE'!$AJ$48*'TUSD BE'!$AJ$58</f>
        <v>-0.11825381198647125</v>
      </c>
      <c r="AK48" s="31">
        <f ca="1">'TUSD BE'!$AK$48*'TUSD BE'!$AK$58</f>
        <v>4.181590643671651E-2</v>
      </c>
      <c r="AL48" s="31">
        <f ca="1">SUM($AH$48:$AK$48)</f>
        <v>-1.231054820296474</v>
      </c>
      <c r="AM48" s="31">
        <f ca="1">SUMIF($L$4:$AL$4,"SUBTOTAL",$L$48:$AL$48)</f>
        <v>-37.859862832422102</v>
      </c>
      <c r="AO48" s="44">
        <f ca="1">+'TUSD BE'!$T$48+'TUSD BE'!$AB$48+'TUSD BE'!$AD$48+'TUSD BE'!$AL$48</f>
        <v>393.82348431464209</v>
      </c>
      <c r="AP48" s="44">
        <f ca="1">+'TUSD BE'!$T$48+'TUSD BE'!$AB$48+'TUSD BE'!$AD$48+'TUSD BE'!$AL$48</f>
        <v>393.82348431464209</v>
      </c>
    </row>
    <row r="49" spans="1:42" ht="11.25" customHeight="1" x14ac:dyDescent="0.25">
      <c r="A49" s="137"/>
      <c r="B49" s="42" t="s">
        <v>85</v>
      </c>
      <c r="C49" s="42" t="s">
        <v>25</v>
      </c>
      <c r="D49" s="42" t="s">
        <v>25</v>
      </c>
      <c r="E49" s="42" t="s">
        <v>25</v>
      </c>
      <c r="F49" s="42" t="s">
        <v>25</v>
      </c>
      <c r="G49" s="41" t="s">
        <v>74</v>
      </c>
      <c r="H49" s="41" t="s">
        <v>70</v>
      </c>
      <c r="I49" s="41">
        <f>'MERCADO TUSD'!$U$46</f>
        <v>0</v>
      </c>
      <c r="J49" s="15"/>
      <c r="L49" s="31">
        <f>'TUSD BE'!$L$49*'TUSD BE'!$L$58</f>
        <v>4.96139567348787E-2</v>
      </c>
      <c r="M49" s="31">
        <f>'TUSD BE'!$M$49*'TUSD BE'!$M$58</f>
        <v>-1.67938644926648E-2</v>
      </c>
      <c r="N49" s="31">
        <f ca="1">'TUSD BE'!$N$49*'TUSD BE'!$N$58</f>
        <v>5.9290676153437237E-7</v>
      </c>
      <c r="O49" s="31">
        <f>'TUSD BE'!$O$49*'TUSD BE'!$O$58</f>
        <v>0</v>
      </c>
      <c r="P49" s="31">
        <f>'TUSD BE'!$P$49*'TUSD BE'!$P$58</f>
        <v>0</v>
      </c>
      <c r="Q49" s="31">
        <f>'TUSD BE'!$Q$49*'TUSD BE'!$Q$58</f>
        <v>1.4018738549269818</v>
      </c>
      <c r="R49" s="31">
        <f>'TUSD BE'!$R$49*'TUSD BE'!$R$58</f>
        <v>0.26830949317951003</v>
      </c>
      <c r="S49" s="31">
        <f>'TUSD BE'!$R$49*'TUSD BE'!$S$58</f>
        <v>0</v>
      </c>
      <c r="T49" s="31">
        <f ca="1">SUM($L$49:$S$49)</f>
        <v>1.7030040332554672</v>
      </c>
      <c r="U49" s="31">
        <f>'TUSD BE'!$U$49*'TUSD BE'!$U$58</f>
        <v>0</v>
      </c>
      <c r="V49" s="31">
        <f>'TUSD BE'!$V$49*'TUSD BE'!$V$58</f>
        <v>0</v>
      </c>
      <c r="W49" s="31">
        <f>'TUSD BE'!$W$49*'TUSD BE'!$W$58</f>
        <v>0</v>
      </c>
      <c r="X49" s="31">
        <f>'TUSD BE'!$X$49*'TUSD BE'!$X$58</f>
        <v>0</v>
      </c>
      <c r="Y49" s="31">
        <f>'TUSD BE'!$Y$49*'TUSD BE'!$Y$58</f>
        <v>5.4870845935145454</v>
      </c>
      <c r="Z49" s="31">
        <f>'TUSD BE'!$Z$49*'TUSD BE'!$Z$58</f>
        <v>0</v>
      </c>
      <c r="AA49" s="31">
        <f>'TUSD BE'!$AA$49*'TUSD BE'!$AA$58</f>
        <v>0</v>
      </c>
      <c r="AB49" s="31">
        <f>SUM($U$49:$AA$49)</f>
        <v>5.4870845935145454</v>
      </c>
      <c r="AC49" s="31">
        <f>'TUSD BE'!$AC$49*'TUSD BE'!$AC$58</f>
        <v>-2.2702726931214881</v>
      </c>
      <c r="AD49" s="31">
        <f>SUM($AC$49:$AC$49)</f>
        <v>-2.2702726931214881</v>
      </c>
      <c r="AE49" s="31">
        <f ca="1">$AO$49*$AO$55</f>
        <v>-41.54862394577416</v>
      </c>
      <c r="AF49" s="31">
        <f ca="1">$AP$49*$AP$55</f>
        <v>0</v>
      </c>
      <c r="AG49" s="31">
        <f ca="1">SUM($AE$49:$AF$49)</f>
        <v>-41.54862394577416</v>
      </c>
      <c r="AH49" s="31">
        <f>'TUSD BE'!$AH$49*'TUSD BE'!$AH$58</f>
        <v>-1.1186428756246387</v>
      </c>
      <c r="AI49" s="31">
        <f>'TUSD BE'!$AI$49*'TUSD BE'!$AI$58</f>
        <v>-3.5974039122080477E-2</v>
      </c>
      <c r="AJ49" s="31">
        <f ca="1">'TUSD BE'!$AJ$49*'TUSD BE'!$AJ$58</f>
        <v>-0.11825381198647125</v>
      </c>
      <c r="AK49" s="31">
        <f ca="1">'TUSD BE'!$AK$49*'TUSD BE'!$AK$58</f>
        <v>4.181590643671651E-2</v>
      </c>
      <c r="AL49" s="31">
        <f ca="1">SUM($AH$49:$AK$49)</f>
        <v>-1.231054820296474</v>
      </c>
      <c r="AM49" s="31">
        <f ca="1">SUMIF($L$4:$AL$4,"SUBTOTAL",$L$49:$AL$49)</f>
        <v>-37.859862832422102</v>
      </c>
      <c r="AO49" s="44">
        <f ca="1">+'TUSD BE'!$T$49+'TUSD BE'!$AB$49+'TUSD BE'!$AD$49+'TUSD BE'!$AL$49</f>
        <v>393.82348431464209</v>
      </c>
      <c r="AP49" s="44">
        <f ca="1">+'TUSD BE'!$T$49+'TUSD BE'!$AB$49+'TUSD BE'!$AD$49+'TUSD BE'!$AL$49</f>
        <v>393.82348431464209</v>
      </c>
    </row>
    <row r="50" spans="1:42" ht="11.25" customHeight="1" x14ac:dyDescent="0.25">
      <c r="A50" s="137" t="s">
        <v>42</v>
      </c>
      <c r="B50" s="137" t="s">
        <v>23</v>
      </c>
      <c r="C50" s="137" t="s">
        <v>43</v>
      </c>
      <c r="D50" s="42" t="s">
        <v>44</v>
      </c>
      <c r="E50" s="42" t="s">
        <v>25</v>
      </c>
      <c r="F50" s="42" t="s">
        <v>25</v>
      </c>
      <c r="G50" s="41" t="s">
        <v>74</v>
      </c>
      <c r="H50" s="41" t="s">
        <v>70</v>
      </c>
      <c r="I50" s="41">
        <f>'MERCADO TUSD'!$U$47</f>
        <v>3575.7699999999995</v>
      </c>
      <c r="J50" s="15"/>
      <c r="L50" s="31">
        <f>'TUSD BE'!$L$50*'TUSD BE'!$L$58</f>
        <v>2.7287676204183285E-2</v>
      </c>
      <c r="M50" s="31">
        <f>'TUSD BE'!$M$50*'TUSD BE'!$M$58</f>
        <v>-9.2366254709656433E-3</v>
      </c>
      <c r="N50" s="31">
        <f ca="1">'TUSD BE'!$N$50*'TUSD BE'!$N$58</f>
        <v>3.2609871884390485E-7</v>
      </c>
      <c r="O50" s="31">
        <f>'TUSD BE'!$O$50*'TUSD BE'!$O$58</f>
        <v>0</v>
      </c>
      <c r="P50" s="31">
        <f>'TUSD BE'!$P$50*'TUSD BE'!$P$58</f>
        <v>0</v>
      </c>
      <c r="Q50" s="31">
        <f>'TUSD BE'!$Q$50*'TUSD BE'!$Q$58</f>
        <v>0.77103062020984003</v>
      </c>
      <c r="R50" s="31">
        <f>'TUSD BE'!$R$50*'TUSD BE'!$R$58</f>
        <v>0.14757022124873054</v>
      </c>
      <c r="S50" s="31">
        <f>'TUSD BE'!$R$50*'TUSD BE'!$S$58</f>
        <v>0</v>
      </c>
      <c r="T50" s="31">
        <f ca="1">SUM($L$50:$S$50)</f>
        <v>0.93665221829050704</v>
      </c>
      <c r="U50" s="31">
        <f>'TUSD BE'!$U$50*'TUSD BE'!$U$58</f>
        <v>0</v>
      </c>
      <c r="V50" s="31">
        <f>'TUSD BE'!$V$50*'TUSD BE'!$V$58</f>
        <v>0</v>
      </c>
      <c r="W50" s="31">
        <f>'TUSD BE'!$W$50*'TUSD BE'!$W$58</f>
        <v>0</v>
      </c>
      <c r="X50" s="31">
        <f>'TUSD BE'!$X$50*'TUSD BE'!$X$58</f>
        <v>0</v>
      </c>
      <c r="Y50" s="31">
        <f>'TUSD BE'!$Y$50*'TUSD BE'!$Y$58</f>
        <v>3.0178965264330007</v>
      </c>
      <c r="Z50" s="31">
        <f>'TUSD BE'!$Z$50*'TUSD BE'!$Z$58</f>
        <v>0</v>
      </c>
      <c r="AA50" s="31">
        <f>'TUSD BE'!$AA$50*'TUSD BE'!$AA$58</f>
        <v>0</v>
      </c>
      <c r="AB50" s="31">
        <f>SUM($U$50:$AA$50)</f>
        <v>3.0178965264330007</v>
      </c>
      <c r="AC50" s="31">
        <f>'TUSD BE'!$AC$50*'TUSD BE'!$AC$58</f>
        <v>-1.2486499812168186</v>
      </c>
      <c r="AD50" s="31">
        <f>SUM($AC$50:$AC$50)</f>
        <v>-1.2486499812168186</v>
      </c>
      <c r="AE50" s="31">
        <f ca="1">$AO$50*$AO$55</f>
        <v>-22.851743170175794</v>
      </c>
      <c r="AF50" s="31">
        <f ca="1">$AP$50*$AP$55</f>
        <v>0</v>
      </c>
      <c r="AG50" s="31">
        <f ca="1">SUM($AE$50:$AF$50)</f>
        <v>-22.851743170175794</v>
      </c>
      <c r="AH50" s="31">
        <f>'TUSD BE'!$AH$50*'TUSD BE'!$AH$58</f>
        <v>-0.61525358159355148</v>
      </c>
      <c r="AI50" s="31">
        <f>'TUSD BE'!$AI$50*'TUSD BE'!$AI$58</f>
        <v>-1.9785721517144268E-2</v>
      </c>
      <c r="AJ50" s="31">
        <f ca="1">'TUSD BE'!$AJ$50*'TUSD BE'!$AJ$58</f>
        <v>-6.5039596592559187E-2</v>
      </c>
      <c r="AK50" s="31">
        <f ca="1">'TUSD BE'!$AK$50*'TUSD BE'!$AK$58</f>
        <v>2.2998748540194083E-2</v>
      </c>
      <c r="AL50" s="31">
        <f ca="1">SUM($AH$50:$AK$50)</f>
        <v>-0.67708015116306086</v>
      </c>
      <c r="AM50" s="31">
        <f ca="1">SUMIF($L$4:$AL$4,"SUBTOTAL",$L$50:$AL$50)</f>
        <v>-20.822924557832167</v>
      </c>
      <c r="AO50" s="44">
        <f ca="1">+'TUSD BE'!$T$50+'TUSD BE'!$AB$50+'TUSD BE'!$AD$50+'TUSD BE'!$AL$50</f>
        <v>216.6029163730532</v>
      </c>
      <c r="AP50" s="44">
        <f ca="1">+'TUSD BE'!$T$50+'TUSD BE'!$AB$50+'TUSD BE'!$AD$50+'TUSD BE'!$AL$50</f>
        <v>216.6029163730532</v>
      </c>
    </row>
    <row r="51" spans="1:42" ht="11.25" customHeight="1" x14ac:dyDescent="0.25">
      <c r="A51" s="137"/>
      <c r="B51" s="137"/>
      <c r="C51" s="137"/>
      <c r="D51" s="41" t="s">
        <v>88</v>
      </c>
      <c r="E51" s="41" t="s">
        <v>25</v>
      </c>
      <c r="F51" s="41" t="s">
        <v>25</v>
      </c>
      <c r="G51" s="41" t="s">
        <v>74</v>
      </c>
      <c r="H51" s="41" t="s">
        <v>70</v>
      </c>
      <c r="I51" s="41">
        <f>'MERCADO TUSD'!$U$48</f>
        <v>0</v>
      </c>
      <c r="J51" s="15"/>
      <c r="L51" s="31">
        <f>'TUSD BE'!$L$51*'TUSD BE'!$L$58</f>
        <v>2.9768374040927217E-2</v>
      </c>
      <c r="M51" s="31">
        <f>'TUSD BE'!$M$51*'TUSD BE'!$M$58</f>
        <v>-1.0076318695598881E-2</v>
      </c>
      <c r="N51" s="31">
        <f ca="1">'TUSD BE'!$N$51*'TUSD BE'!$N$58</f>
        <v>3.5574405692062341E-7</v>
      </c>
      <c r="O51" s="31">
        <f>'TUSD BE'!$O$51*'TUSD BE'!$O$58</f>
        <v>0</v>
      </c>
      <c r="P51" s="31">
        <f>'TUSD BE'!$P$51*'TUSD BE'!$P$58</f>
        <v>0</v>
      </c>
      <c r="Q51" s="31">
        <f>'TUSD BE'!$Q$51*'TUSD BE'!$Q$58</f>
        <v>0.84112431295618906</v>
      </c>
      <c r="R51" s="31">
        <f>'TUSD BE'!$R$51*'TUSD BE'!$R$58</f>
        <v>0.16098569590770603</v>
      </c>
      <c r="S51" s="31">
        <f>'TUSD BE'!$R$51*'TUSD BE'!$S$58</f>
        <v>0</v>
      </c>
      <c r="T51" s="31">
        <f ca="1">SUM($L$51:$S$51)</f>
        <v>1.0218024199532802</v>
      </c>
      <c r="U51" s="31">
        <f>'TUSD BE'!$U$51*'TUSD BE'!$U$58</f>
        <v>0</v>
      </c>
      <c r="V51" s="31">
        <f>'TUSD BE'!$V$51*'TUSD BE'!$V$58</f>
        <v>0</v>
      </c>
      <c r="W51" s="31">
        <f>'TUSD BE'!$W$51*'TUSD BE'!$W$58</f>
        <v>0</v>
      </c>
      <c r="X51" s="31">
        <f>'TUSD BE'!$X$51*'TUSD BE'!$X$58</f>
        <v>0</v>
      </c>
      <c r="Y51" s="31">
        <f>'TUSD BE'!$Y$51*'TUSD BE'!$Y$58</f>
        <v>3.2922507561087273</v>
      </c>
      <c r="Z51" s="31">
        <f>'TUSD BE'!$Z$51*'TUSD BE'!$Z$58</f>
        <v>0</v>
      </c>
      <c r="AA51" s="31">
        <f>'TUSD BE'!$AA$51*'TUSD BE'!$AA$58</f>
        <v>0</v>
      </c>
      <c r="AB51" s="31">
        <f>SUM($U$51:$AA$51)</f>
        <v>3.2922507561087273</v>
      </c>
      <c r="AC51" s="31">
        <f>'TUSD BE'!$AC$51*'TUSD BE'!$AC$58</f>
        <v>-1.3621636158728927</v>
      </c>
      <c r="AD51" s="31">
        <f>SUM($AC$51:$AC$51)</f>
        <v>-1.3621636158728927</v>
      </c>
      <c r="AE51" s="31">
        <f ca="1">$AO$51*$AO$55</f>
        <v>-24.929174367464498</v>
      </c>
      <c r="AF51" s="31">
        <f ca="1">$AP$51*$AP$55</f>
        <v>0</v>
      </c>
      <c r="AG51" s="31">
        <f ca="1">SUM($AE$51:$AF$51)</f>
        <v>-24.929174367464498</v>
      </c>
      <c r="AH51" s="31">
        <f>'TUSD BE'!$AH$51*'TUSD BE'!$AH$58</f>
        <v>-0.67118572537478338</v>
      </c>
      <c r="AI51" s="31">
        <f>'TUSD BE'!$AI$51*'TUSD BE'!$AI$58</f>
        <v>-2.1584423473248286E-2</v>
      </c>
      <c r="AJ51" s="31">
        <f ca="1">'TUSD BE'!$AJ$51*'TUSD BE'!$AJ$58</f>
        <v>-7.0952287191882749E-2</v>
      </c>
      <c r="AK51" s="31">
        <f ca="1">'TUSD BE'!$AK$51*'TUSD BE'!$AK$58</f>
        <v>2.5089543862029908E-2</v>
      </c>
      <c r="AL51" s="31">
        <f ca="1">SUM($AH$51:$AK$51)</f>
        <v>-0.73863289217788453</v>
      </c>
      <c r="AM51" s="31">
        <f ca="1">SUMIF($L$4:$AL$4,"SUBTOTAL",$L$51:$AL$51)</f>
        <v>-22.715917699453268</v>
      </c>
      <c r="AO51" s="44">
        <f ca="1">+'TUSD BE'!$T$51+'TUSD BE'!$AB$51+'TUSD BE'!$AD$51+'TUSD BE'!$AL$51</f>
        <v>236.29409058878525</v>
      </c>
      <c r="AP51" s="44">
        <f ca="1">+'TUSD BE'!$T$51+'TUSD BE'!$AB$51+'TUSD BE'!$AD$51+'TUSD BE'!$AL$51</f>
        <v>236.29409058878525</v>
      </c>
    </row>
    <row r="53" spans="1:42" ht="11.25" customHeight="1" x14ac:dyDescent="0.25">
      <c r="K53" s="35" t="s">
        <v>518</v>
      </c>
      <c r="L53" s="31">
        <f>SUMPRODUCT($I$5:$I51,$L$5:$L51)</f>
        <v>3301.4954897160933</v>
      </c>
      <c r="M53" s="31">
        <f>SUMPRODUCT($I$5:$I51,$M$5:$M51)</f>
        <v>-709.4579393557384</v>
      </c>
      <c r="N53" s="31">
        <f ca="1">SUMPRODUCT($I$5:$I51,$N$5:$N51)</f>
        <v>2.7684535812032014E-2</v>
      </c>
      <c r="O53" s="31">
        <f>SUMPRODUCT($I$5:$I51,$O$5:$O51)</f>
        <v>0</v>
      </c>
      <c r="P53" s="31">
        <f>SUMPRODUCT($I$5:$I51,$P$5:$P51)</f>
        <v>0</v>
      </c>
      <c r="Q53" s="31">
        <f>SUMPRODUCT($I$5:$I51,$Q$5:$Q51)</f>
        <v>93285.851679284722</v>
      </c>
      <c r="R53" s="31">
        <f>SUMPRODUCT($I$5:$I51,$R$5:$R51)</f>
        <v>19469.144143643065</v>
      </c>
      <c r="S53" s="31">
        <f>SUMPRODUCT($I$5:$I51,$S$5:$S51)</f>
        <v>0</v>
      </c>
      <c r="T53" s="31">
        <f ca="1">SUMPRODUCT($I$5:$I51,$T$5:$T51)</f>
        <v>115347.06105782391</v>
      </c>
      <c r="U53" s="31">
        <f>SUMPRODUCT($I$5:$I51,$U$5:$U51)</f>
        <v>0</v>
      </c>
      <c r="V53" s="31">
        <f>SUMPRODUCT($I$5:$I51,$V$5:$V51)</f>
        <v>0</v>
      </c>
      <c r="W53" s="31">
        <f>SUMPRODUCT($I$5:$I51,$W$5:$W51)</f>
        <v>0</v>
      </c>
      <c r="X53" s="31">
        <f>SUMPRODUCT($I$5:$I51,$X$5:$X51)</f>
        <v>0</v>
      </c>
      <c r="Y53" s="31">
        <f>SUMPRODUCT($I$5:$I51,$Y$5:$Y51)</f>
        <v>400916.46700567618</v>
      </c>
      <c r="Z53" s="31">
        <f>SUMPRODUCT($I$5:$I51,$Z$5:$Z51)</f>
        <v>0</v>
      </c>
      <c r="AA53" s="31">
        <f>SUMPRODUCT($I$5:$I51,$AA$5:$AA51)</f>
        <v>0</v>
      </c>
      <c r="AB53" s="31">
        <f>SUMPRODUCT($I$5:$I51,$AB$5:$AB51)</f>
        <v>400916.46700567618</v>
      </c>
      <c r="AC53" s="31">
        <f>SUMPRODUCT($I$5:$I51,$AC$5:$AC51)</f>
        <v>-95906.21051729146</v>
      </c>
      <c r="AD53" s="31">
        <f>SUMPRODUCT($I$5:$I51,$AD$5:$AD51)</f>
        <v>-95906.21051729146</v>
      </c>
      <c r="AE53" s="31">
        <f ca="1">SUMPRODUCT($I$5:$I51,$AE$5:$AE51)</f>
        <v>-2474985.4297311143</v>
      </c>
      <c r="AF53" s="31">
        <f ca="1">SUMPRODUCT($I$5:$I51,$AF$5:$AF51)</f>
        <v>0</v>
      </c>
      <c r="AG53" s="31">
        <f ca="1">SUMPRODUCT($I$5:$I51,$AG$5:$AG51)</f>
        <v>-2474985.4297311143</v>
      </c>
      <c r="AH53" s="31">
        <f>SUMPRODUCT($I$5:$I51,$AH$5:$AH51)</f>
        <v>-64378.818270429314</v>
      </c>
      <c r="AI53" s="31">
        <f>SUMPRODUCT($I$5:$I51,$AI$5:$AI51)</f>
        <v>-2070.3355624559995</v>
      </c>
      <c r="AJ53" s="31">
        <f ca="1">SUMPRODUCT($I$5:$I51,$AJ$5:$AJ51)</f>
        <v>-7225.1805132531117</v>
      </c>
      <c r="AK53" s="31">
        <f ca="1">SUMPRODUCT($I$5:$I51,$AK$5:$AK51)</f>
        <v>2554.9068334908661</v>
      </c>
      <c r="AL53" s="31">
        <f ca="1">SUMPRODUCT($I$5:$I51,$AL$5:$AL51)</f>
        <v>-71119.427512647555</v>
      </c>
      <c r="AM53" s="31">
        <f ca="1">SUMPRODUCT($I$5:$I51,$AM$5:$AM51)</f>
        <v>-2125747.5396975526</v>
      </c>
      <c r="AO53" s="41">
        <f ca="1">SUMPRODUCT($I$5:$I51,$AO$5:$AO51)</f>
        <v>23459438.436199155</v>
      </c>
      <c r="AP53" s="41">
        <f ca="1">SUMPRODUCT($I$5:$I51,$AP$5:$AP51)</f>
        <v>23459438.436199155</v>
      </c>
    </row>
    <row r="54" spans="1:42" ht="11.25" customHeight="1" x14ac:dyDescent="0.25">
      <c r="K54" s="35" t="s">
        <v>450</v>
      </c>
      <c r="L54" s="31">
        <f>'TR TUSD'!$L$56</f>
        <v>170367.27770803907</v>
      </c>
      <c r="M54" s="31">
        <f>'TR TUSD'!$M$56</f>
        <v>32115.181223352905</v>
      </c>
      <c r="N54" s="31">
        <f>'TR TUSD'!$N$56</f>
        <v>147303.02270457585</v>
      </c>
      <c r="O54" s="31">
        <f>'TR TUSD'!$O$56</f>
        <v>0</v>
      </c>
      <c r="P54" s="31">
        <f>'TR TUSD'!$P$56</f>
        <v>0</v>
      </c>
      <c r="Q54" s="31">
        <f>'TR TUSD'!$Q$56</f>
        <v>6229100.7423415985</v>
      </c>
      <c r="R54" s="31">
        <f>'TR TUSD'!$R$56</f>
        <v>1076201.0144336333</v>
      </c>
      <c r="S54" s="31">
        <f>'TR TUSD'!$S$56</f>
        <v>0</v>
      </c>
      <c r="T54" s="31">
        <f>'TR TUSD'!$T$56</f>
        <v>7655087.2384112002</v>
      </c>
      <c r="U54" s="31">
        <f>'TR TUSD'!$U$56</f>
        <v>0</v>
      </c>
      <c r="V54" s="31">
        <f>'TR TUSD'!$V$56</f>
        <v>0</v>
      </c>
      <c r="W54" s="31">
        <f>'TR TUSD'!$W$56</f>
        <v>0</v>
      </c>
      <c r="X54" s="31">
        <f>'TR TUSD'!$X$56</f>
        <v>0</v>
      </c>
      <c r="Y54" s="31">
        <f>'TR TUSD'!$Y$56</f>
        <v>8758233.2120063994</v>
      </c>
      <c r="Z54" s="31">
        <f>'TR TUSD'!$Z$56</f>
        <v>0</v>
      </c>
      <c r="AA54" s="31">
        <f>'TR TUSD'!$AA$56</f>
        <v>0</v>
      </c>
      <c r="AB54" s="31">
        <f>'TR TUSD'!$AB$56</f>
        <v>8758233.2120063994</v>
      </c>
      <c r="AC54" s="31">
        <f>'TR TUSD'!$AC$56</f>
        <v>5836168.2498144377</v>
      </c>
      <c r="AD54" s="31">
        <f>'TR TUSD'!$AD$56</f>
        <v>5836168.2498144377</v>
      </c>
      <c r="AE54" s="31">
        <f>'TR TUSD'!$AE$56</f>
        <v>0</v>
      </c>
      <c r="AF54" s="31">
        <f>'TR TUSD'!$AF$56</f>
        <v>0</v>
      </c>
      <c r="AG54" s="31">
        <f>'TR TUSD'!$AG$56</f>
        <v>0</v>
      </c>
      <c r="AH54" s="31">
        <f>'TR TUSD'!$AH$56</f>
        <v>1040518.760215919</v>
      </c>
      <c r="AI54" s="31">
        <f>'TR TUSD'!$AI$56</f>
        <v>33461.673428496732</v>
      </c>
      <c r="AJ54" s="31">
        <f>'TR TUSD'!$AJ$56</f>
        <v>116776.54346506554</v>
      </c>
      <c r="AK54" s="31">
        <f>'TR TUSD'!$AK$56</f>
        <v>19192.758857639066</v>
      </c>
      <c r="AL54" s="31">
        <f>'TR TUSD'!$AL$56</f>
        <v>1209949.7359671204</v>
      </c>
      <c r="AM54" s="31">
        <f>'TUSD BE'!$AM$54</f>
        <v>23459438.436199158</v>
      </c>
      <c r="AO54" s="41">
        <f>$AE$55</f>
        <v>-2474985.4297311138</v>
      </c>
      <c r="AP54" s="41">
        <f>$AF$55</f>
        <v>0</v>
      </c>
    </row>
    <row r="55" spans="1:42" ht="11.25" customHeight="1" x14ac:dyDescent="0.25">
      <c r="K55" s="35" t="s">
        <v>451</v>
      </c>
      <c r="L55" s="31">
        <f>CUSTOS!$E$2</f>
        <v>3301.4954897160933</v>
      </c>
      <c r="M55" s="31">
        <f>CUSTOS!$E$3</f>
        <v>-709.4579393557384</v>
      </c>
      <c r="N55" s="31">
        <f>CUSTOS!$E$4</f>
        <v>2.7684535812032011E-2</v>
      </c>
      <c r="O55" s="31">
        <f>CUSTOS!$E$5</f>
        <v>0</v>
      </c>
      <c r="P55" s="31">
        <f>CUSTOS!$E$6</f>
        <v>0</v>
      </c>
      <c r="Q55" s="31">
        <f>CUSTOS!$E$7</f>
        <v>93285.851679284708</v>
      </c>
      <c r="R55" s="31">
        <f>CUSTOS!$E$8</f>
        <v>19469.144143643061</v>
      </c>
      <c r="S55" s="31">
        <f>CUSTOS!$E$9</f>
        <v>0</v>
      </c>
      <c r="T55" s="31">
        <f>CUSTOS!$E$10</f>
        <v>115347.06105782394</v>
      </c>
      <c r="U55" s="31">
        <f>CUSTOS!$E$11</f>
        <v>0</v>
      </c>
      <c r="V55" s="31">
        <f>CUSTOS!$E$12</f>
        <v>0</v>
      </c>
      <c r="W55" s="31">
        <f>CUSTOS!$E$13</f>
        <v>0</v>
      </c>
      <c r="X55" s="31">
        <f>CUSTOS!$E$14</f>
        <v>0</v>
      </c>
      <c r="Y55" s="31">
        <f>CUSTOS!$E$15</f>
        <v>400916.46700567618</v>
      </c>
      <c r="Z55" s="31">
        <f>CUSTOS!$E$16</f>
        <v>0</v>
      </c>
      <c r="AA55" s="31">
        <f>CUSTOS!$E$17</f>
        <v>0</v>
      </c>
      <c r="AB55" s="31">
        <f>CUSTOS!$E$18</f>
        <v>400916.46700567618</v>
      </c>
      <c r="AC55" s="31">
        <f>CUSTOS!$E$19</f>
        <v>-95906.210517291445</v>
      </c>
      <c r="AD55" s="31">
        <f>CUSTOS!$E$20</f>
        <v>-95906.210517291445</v>
      </c>
      <c r="AE55" s="31">
        <f>CUSTOS!$E$21</f>
        <v>-2474985.4297311138</v>
      </c>
      <c r="AF55" s="31">
        <f>CUSTOS!$E$22</f>
        <v>0</v>
      </c>
      <c r="AG55" s="31">
        <f>CUSTOS!$E$23</f>
        <v>-2474985.4297311138</v>
      </c>
      <c r="AH55" s="31">
        <f>CUSTOS!$E$24</f>
        <v>-64378.818270429307</v>
      </c>
      <c r="AI55" s="31">
        <f>CUSTOS!$E$25</f>
        <v>-2070.3355624559999</v>
      </c>
      <c r="AJ55" s="31">
        <f>CUSTOS!$E$26</f>
        <v>-7225.1805132531108</v>
      </c>
      <c r="AK55" s="31">
        <f>CUSTOS!$E$27</f>
        <v>2554.9068334908661</v>
      </c>
      <c r="AL55" s="31">
        <f>CUSTOS!$E$28</f>
        <v>-71119.427512647555</v>
      </c>
      <c r="AM55" s="31">
        <f>CUSTOS!$E$29</f>
        <v>-2125747.5396975526</v>
      </c>
      <c r="AO55" s="41">
        <f ca="1">IF(AO53&lt;&gt;0,AO54/AO53,0)</f>
        <v>-0.10550062553552349</v>
      </c>
      <c r="AP55" s="41">
        <f ca="1">IF(AP53&lt;&gt;0,AP54/AP53,0)</f>
        <v>0</v>
      </c>
    </row>
    <row r="56" spans="1:42" ht="11.25" customHeight="1" x14ac:dyDescent="0.25">
      <c r="K56" s="35" t="s">
        <v>452</v>
      </c>
      <c r="L56" s="31">
        <f>CUSTOS!$F$2</f>
        <v>11176.038919799439</v>
      </c>
      <c r="M56" s="31">
        <f>CUSTOS!$F$3</f>
        <v>0</v>
      </c>
      <c r="N56" s="31">
        <f>CUSTOS!$F$4</f>
        <v>0</v>
      </c>
      <c r="O56" s="31">
        <f>CUSTOS!$F$5</f>
        <v>0</v>
      </c>
      <c r="P56" s="31">
        <f>CUSTOS!$F$6</f>
        <v>0</v>
      </c>
      <c r="Q56" s="31">
        <f>CUSTOS!$F$7</f>
        <v>969884.26800000004</v>
      </c>
      <c r="R56" s="31">
        <f>CUSTOS!$F$8</f>
        <v>232624.6783</v>
      </c>
      <c r="S56" s="31">
        <f>CUSTOS!$F$9</f>
        <v>0</v>
      </c>
      <c r="T56" s="31">
        <f>CUSTOS!$F$10</f>
        <v>1213684.9852197994</v>
      </c>
      <c r="U56" s="31">
        <f>CUSTOS!$F$11</f>
        <v>0</v>
      </c>
      <c r="V56" s="31">
        <f>CUSTOS!$F$12</f>
        <v>0</v>
      </c>
      <c r="W56" s="31">
        <f>CUSTOS!$F$13</f>
        <v>0</v>
      </c>
      <c r="X56" s="31">
        <f>CUSTOS!$F$14</f>
        <v>0</v>
      </c>
      <c r="Y56" s="31">
        <f>CUSTOS!$F$15</f>
        <v>0</v>
      </c>
      <c r="Z56" s="31">
        <f>CUSTOS!$F$16</f>
        <v>0</v>
      </c>
      <c r="AA56" s="31">
        <f>CUSTOS!$F$17</f>
        <v>0</v>
      </c>
      <c r="AB56" s="31">
        <f>CUSTOS!$F$18</f>
        <v>0</v>
      </c>
      <c r="AC56" s="31">
        <f>CUSTOS!$F$19</f>
        <v>0</v>
      </c>
      <c r="AD56" s="31">
        <f>CUSTOS!$F$20</f>
        <v>0</v>
      </c>
      <c r="AE56" s="31">
        <f>CUSTOS!$F$21</f>
        <v>0</v>
      </c>
      <c r="AF56" s="31">
        <f>CUSTOS!$F$22</f>
        <v>0</v>
      </c>
      <c r="AG56" s="31">
        <f>CUSTOS!$F$23</f>
        <v>0</v>
      </c>
      <c r="AH56" s="31">
        <f>CUSTOS!$F$24</f>
        <v>112325.37685601893</v>
      </c>
      <c r="AI56" s="31">
        <f>CUSTOS!$F$25</f>
        <v>3612.2319191140596</v>
      </c>
      <c r="AJ56" s="31">
        <f>CUSTOS!$F$26</f>
        <v>12606.18237189193</v>
      </c>
      <c r="AK56" s="31">
        <f>CUSTOS!$F$27</f>
        <v>0</v>
      </c>
      <c r="AL56" s="31">
        <f>CUSTOS!$F$28</f>
        <v>128543.79114702492</v>
      </c>
      <c r="AM56" s="31">
        <f>CUSTOS!$F$29</f>
        <v>1342228.7763668243</v>
      </c>
    </row>
    <row r="57" spans="1:42" ht="11.25" customHeight="1" x14ac:dyDescent="0.25">
      <c r="K57" s="35" t="s">
        <v>515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f>SUM($L$57:$S$57)</f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f>SUM($U$57:$AA$57)</f>
        <v>0</v>
      </c>
      <c r="AC57" s="31">
        <v>0</v>
      </c>
      <c r="AD57" s="31">
        <f>SUM($AC$57:$AC$57)</f>
        <v>0</v>
      </c>
      <c r="AE57" s="31">
        <v>0</v>
      </c>
      <c r="AF57" s="31">
        <v>0</v>
      </c>
      <c r="AG57" s="31">
        <f>SUM($AE$57:$AF$57)</f>
        <v>0</v>
      </c>
      <c r="AH57" s="31">
        <v>0</v>
      </c>
      <c r="AI57" s="31">
        <v>0</v>
      </c>
      <c r="AJ57" s="31">
        <v>0</v>
      </c>
      <c r="AK57" s="31">
        <v>0</v>
      </c>
      <c r="AL57" s="31">
        <f>SUM($AH$57:$AK$57)</f>
        <v>0</v>
      </c>
      <c r="AM57" s="31"/>
    </row>
    <row r="58" spans="1:42" ht="11.25" customHeight="1" x14ac:dyDescent="0.25">
      <c r="K58" s="35" t="s">
        <v>521</v>
      </c>
      <c r="L58" s="31">
        <f t="shared" ref="L58:R58" si="0">IF((L54-(0))&lt;&gt;0,(L56)/(L54-(0)),0)</f>
        <v>6.559968011552067E-2</v>
      </c>
      <c r="M58" s="31">
        <f t="shared" si="0"/>
        <v>0</v>
      </c>
      <c r="N58" s="31">
        <f t="shared" si="0"/>
        <v>0</v>
      </c>
      <c r="O58" s="31">
        <f t="shared" si="0"/>
        <v>0</v>
      </c>
      <c r="P58" s="31">
        <f t="shared" si="0"/>
        <v>0</v>
      </c>
      <c r="Q58" s="31">
        <f t="shared" si="0"/>
        <v>0.15570213231700089</v>
      </c>
      <c r="R58" s="31">
        <f t="shared" si="0"/>
        <v>0.21615355791354851</v>
      </c>
      <c r="S58" s="31">
        <f>IF((R53-(0)&lt;&gt;0),(S55)/(R53-(0)),0)</f>
        <v>0</v>
      </c>
      <c r="T58" s="31"/>
      <c r="U58" s="31">
        <f t="shared" ref="U58:AA58" si="1">IF((U54-(0))&lt;&gt;0,(U56)/(U54-(0)),0)</f>
        <v>0</v>
      </c>
      <c r="V58" s="31">
        <f t="shared" si="1"/>
        <v>0</v>
      </c>
      <c r="W58" s="31">
        <f t="shared" si="1"/>
        <v>0</v>
      </c>
      <c r="X58" s="31">
        <f t="shared" si="1"/>
        <v>0</v>
      </c>
      <c r="Y58" s="31">
        <f t="shared" si="1"/>
        <v>0</v>
      </c>
      <c r="Z58" s="31">
        <f t="shared" si="1"/>
        <v>0</v>
      </c>
      <c r="AA58" s="31">
        <f t="shared" si="1"/>
        <v>0</v>
      </c>
      <c r="AB58" s="31"/>
      <c r="AC58" s="31">
        <f>IF((AC54-(0))&lt;&gt;0,(AC56)/(AC54-(0)),0)</f>
        <v>0</v>
      </c>
      <c r="AD58" s="31"/>
      <c r="AE58" s="31">
        <f ca="1">IF(($AM53-(0))&lt;&gt;0,(AE55)/($AM53-(0)),0)</f>
        <v>1.1642894480702304</v>
      </c>
      <c r="AF58" s="31">
        <f ca="1">IF(($AM53-(0))&lt;&gt;0,(AF55)/($AM53-(0)),0)</f>
        <v>0</v>
      </c>
      <c r="AG58" s="31"/>
      <c r="AH58" s="31">
        <f>IF((AH54-(0))&lt;&gt;0,(AH56)/(AH54-(0)),0)</f>
        <v>0.10795132308110446</v>
      </c>
      <c r="AI58" s="31">
        <f>IF((AI54-(0))&lt;&gt;0,(AI56)/(AI54-(0)),0)</f>
        <v>0.10795132308110447</v>
      </c>
      <c r="AJ58" s="31">
        <f>IF((AJ54-(0))&lt;&gt;0,(AJ56)/(AJ54-(0)),0)</f>
        <v>0.10795132308110447</v>
      </c>
      <c r="AK58" s="31">
        <f>IF((AK54-(0))&lt;&gt;0,(AK56)/(AK54-(0)),0)</f>
        <v>0</v>
      </c>
      <c r="AL58" s="31"/>
      <c r="AM58" s="31"/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conditionalFormatting sqref="L53">
    <cfRule type="cellIs" dxfId="961" priority="55" operator="notEqual">
      <formula>$L$55</formula>
    </cfRule>
    <cfRule type="cellIs" dxfId="960" priority="56" operator="equal">
      <formula>$L$55</formula>
    </cfRule>
  </conditionalFormatting>
  <conditionalFormatting sqref="M53">
    <cfRule type="cellIs" dxfId="959" priority="53" operator="notEqual">
      <formula>$M$55</formula>
    </cfRule>
    <cfRule type="cellIs" dxfId="958" priority="54" operator="equal">
      <formula>$M$55</formula>
    </cfRule>
  </conditionalFormatting>
  <conditionalFormatting sqref="N53">
    <cfRule type="cellIs" dxfId="957" priority="51" operator="notEqual">
      <formula>$N$55</formula>
    </cfRule>
    <cfRule type="cellIs" dxfId="956" priority="52" operator="equal">
      <formula>$N$55</formula>
    </cfRule>
  </conditionalFormatting>
  <conditionalFormatting sqref="O53">
    <cfRule type="cellIs" dxfId="955" priority="49" operator="notEqual">
      <formula>$O$55</formula>
    </cfRule>
    <cfRule type="cellIs" dxfId="954" priority="50" operator="equal">
      <formula>$O$55</formula>
    </cfRule>
  </conditionalFormatting>
  <conditionalFormatting sqref="P53">
    <cfRule type="cellIs" dxfId="953" priority="47" operator="notEqual">
      <formula>$P$55</formula>
    </cfRule>
    <cfRule type="cellIs" dxfId="952" priority="48" operator="equal">
      <formula>$P$55</formula>
    </cfRule>
  </conditionalFormatting>
  <conditionalFormatting sqref="Q53">
    <cfRule type="cellIs" dxfId="951" priority="45" operator="notEqual">
      <formula>$Q$55</formula>
    </cfRule>
    <cfRule type="cellIs" dxfId="950" priority="46" operator="equal">
      <formula>$Q$55</formula>
    </cfRule>
  </conditionalFormatting>
  <conditionalFormatting sqref="R53">
    <cfRule type="cellIs" dxfId="949" priority="43" operator="notEqual">
      <formula>$R$55</formula>
    </cfRule>
    <cfRule type="cellIs" dxfId="948" priority="44" operator="equal">
      <formula>$R$55</formula>
    </cfRule>
  </conditionalFormatting>
  <conditionalFormatting sqref="S53">
    <cfRule type="cellIs" dxfId="947" priority="41" operator="notEqual">
      <formula>$S$55</formula>
    </cfRule>
    <cfRule type="cellIs" dxfId="946" priority="42" operator="equal">
      <formula>$S$55</formula>
    </cfRule>
  </conditionalFormatting>
  <conditionalFormatting sqref="T53">
    <cfRule type="cellIs" dxfId="945" priority="39" operator="notEqual">
      <formula>$T$55</formula>
    </cfRule>
    <cfRule type="cellIs" dxfId="944" priority="40" operator="equal">
      <formula>$T$55</formula>
    </cfRule>
  </conditionalFormatting>
  <conditionalFormatting sqref="U53">
    <cfRule type="cellIs" dxfId="943" priority="37" operator="notEqual">
      <formula>$U$55</formula>
    </cfRule>
    <cfRule type="cellIs" dxfId="942" priority="38" operator="equal">
      <formula>$U$55</formula>
    </cfRule>
  </conditionalFormatting>
  <conditionalFormatting sqref="V53">
    <cfRule type="cellIs" dxfId="941" priority="35" operator="notEqual">
      <formula>$V$55</formula>
    </cfRule>
    <cfRule type="cellIs" dxfId="940" priority="36" operator="equal">
      <formula>$V$55</formula>
    </cfRule>
  </conditionalFormatting>
  <conditionalFormatting sqref="W53">
    <cfRule type="cellIs" dxfId="939" priority="33" operator="notEqual">
      <formula>$W$55</formula>
    </cfRule>
    <cfRule type="cellIs" dxfId="938" priority="34" operator="equal">
      <formula>$W$55</formula>
    </cfRule>
  </conditionalFormatting>
  <conditionalFormatting sqref="X53">
    <cfRule type="cellIs" dxfId="937" priority="31" operator="notEqual">
      <formula>$X$55</formula>
    </cfRule>
    <cfRule type="cellIs" dxfId="936" priority="32" operator="equal">
      <formula>$X$55</formula>
    </cfRule>
  </conditionalFormatting>
  <conditionalFormatting sqref="Y53">
    <cfRule type="cellIs" dxfId="935" priority="29" operator="notEqual">
      <formula>$Y$55</formula>
    </cfRule>
    <cfRule type="cellIs" dxfId="934" priority="30" operator="equal">
      <formula>$Y$55</formula>
    </cfRule>
  </conditionalFormatting>
  <conditionalFormatting sqref="Z53">
    <cfRule type="cellIs" dxfId="933" priority="27" operator="notEqual">
      <formula>$Z$55</formula>
    </cfRule>
    <cfRule type="cellIs" dxfId="932" priority="28" operator="equal">
      <formula>$Z$55</formula>
    </cfRule>
  </conditionalFormatting>
  <conditionalFormatting sqref="AA53">
    <cfRule type="cellIs" dxfId="931" priority="25" operator="notEqual">
      <formula>$AA$55</formula>
    </cfRule>
    <cfRule type="cellIs" dxfId="930" priority="26" operator="equal">
      <formula>$AA$55</formula>
    </cfRule>
  </conditionalFormatting>
  <conditionalFormatting sqref="AB53">
    <cfRule type="cellIs" dxfId="929" priority="23" operator="notEqual">
      <formula>$AB$55</formula>
    </cfRule>
    <cfRule type="cellIs" dxfId="928" priority="24" operator="equal">
      <formula>$AB$55</formula>
    </cfRule>
  </conditionalFormatting>
  <conditionalFormatting sqref="AC53">
    <cfRule type="cellIs" dxfId="927" priority="21" operator="notEqual">
      <formula>$AC$55</formula>
    </cfRule>
    <cfRule type="cellIs" dxfId="926" priority="22" operator="equal">
      <formula>$AC$55</formula>
    </cfRule>
  </conditionalFormatting>
  <conditionalFormatting sqref="AD53">
    <cfRule type="cellIs" dxfId="925" priority="19" operator="notEqual">
      <formula>$AD$55</formula>
    </cfRule>
    <cfRule type="cellIs" dxfId="924" priority="20" operator="equal">
      <formula>$AD$55</formula>
    </cfRule>
  </conditionalFormatting>
  <conditionalFormatting sqref="AE53">
    <cfRule type="cellIs" dxfId="923" priority="17" operator="notEqual">
      <formula>$AE$55</formula>
    </cfRule>
    <cfRule type="cellIs" dxfId="922" priority="18" operator="equal">
      <formula>$AE$55</formula>
    </cfRule>
  </conditionalFormatting>
  <conditionalFormatting sqref="AF53">
    <cfRule type="cellIs" dxfId="921" priority="16" operator="equal">
      <formula>$AF$55</formula>
    </cfRule>
  </conditionalFormatting>
  <conditionalFormatting sqref="AF53">
    <cfRule type="cellIs" dxfId="920" priority="15" operator="notEqual">
      <formula>$AF$55</formula>
    </cfRule>
  </conditionalFormatting>
  <conditionalFormatting sqref="AG53">
    <cfRule type="cellIs" dxfId="919" priority="14" operator="equal">
      <formula>$AG$55</formula>
    </cfRule>
  </conditionalFormatting>
  <conditionalFormatting sqref="AG53">
    <cfRule type="cellIs" dxfId="918" priority="13" operator="notEqual">
      <formula>$AG$55</formula>
    </cfRule>
  </conditionalFormatting>
  <conditionalFormatting sqref="AH53">
    <cfRule type="cellIs" dxfId="917" priority="12" operator="equal">
      <formula>$AH$55</formula>
    </cfRule>
  </conditionalFormatting>
  <conditionalFormatting sqref="AH53">
    <cfRule type="cellIs" dxfId="916" priority="11" operator="notEqual">
      <formula>$AH$55</formula>
    </cfRule>
  </conditionalFormatting>
  <conditionalFormatting sqref="AI53">
    <cfRule type="cellIs" dxfId="915" priority="10" operator="equal">
      <formula>$AI$55</formula>
    </cfRule>
  </conditionalFormatting>
  <conditionalFormatting sqref="AI53">
    <cfRule type="cellIs" dxfId="914" priority="9" operator="notEqual">
      <formula>$AI$55</formula>
    </cfRule>
  </conditionalFormatting>
  <conditionalFormatting sqref="AJ53">
    <cfRule type="cellIs" dxfId="913" priority="8" operator="equal">
      <formula>$AJ$55</formula>
    </cfRule>
  </conditionalFormatting>
  <conditionalFormatting sqref="AJ53">
    <cfRule type="cellIs" dxfId="912" priority="7" operator="notEqual">
      <formula>$AJ$55</formula>
    </cfRule>
  </conditionalFormatting>
  <conditionalFormatting sqref="AK53">
    <cfRule type="cellIs" dxfId="911" priority="6" operator="equal">
      <formula>$AK$55</formula>
    </cfRule>
  </conditionalFormatting>
  <conditionalFormatting sqref="AK53">
    <cfRule type="cellIs" dxfId="910" priority="5" operator="notEqual">
      <formula>$AK$55</formula>
    </cfRule>
  </conditionalFormatting>
  <conditionalFormatting sqref="AL53">
    <cfRule type="cellIs" dxfId="909" priority="4" operator="equal">
      <formula>$AL$55</formula>
    </cfRule>
  </conditionalFormatting>
  <conditionalFormatting sqref="AL53">
    <cfRule type="cellIs" dxfId="908" priority="3" operator="notEqual">
      <formula>$AL$55</formula>
    </cfRule>
  </conditionalFormatting>
  <conditionalFormatting sqref="AM53">
    <cfRule type="cellIs" dxfId="907" priority="2" operator="equal">
      <formula>$AM$55</formula>
    </cfRule>
  </conditionalFormatting>
  <conditionalFormatting sqref="AM53">
    <cfRule type="cellIs" dxfId="906" priority="1" operator="notEqual">
      <formula>$AM$55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13883-24CB-425E-A339-C514305CEF93}">
  <dimension ref="A1:AP57"/>
  <sheetViews>
    <sheetView showGridLines="0" topLeftCell="AH38" workbookViewId="0">
      <selection activeCell="AO53" sqref="AO53:AP5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7.85546875" style="9" bestFit="1" customWidth="1"/>
    <col min="14" max="14" width="8.7109375" style="9" bestFit="1" customWidth="1"/>
    <col min="15" max="16" width="4.85546875" style="9" bestFit="1" customWidth="1"/>
    <col min="17" max="18" width="10" style="9" bestFit="1" customWidth="1"/>
    <col min="19" max="19" width="8.7109375" style="9" bestFit="1" customWidth="1"/>
    <col min="20" max="20" width="10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8.7109375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" style="9" bestFit="1" customWidth="1"/>
    <col min="31" max="31" width="10.5703125" style="9" bestFit="1" customWidth="1"/>
    <col min="32" max="32" width="7.28515625" style="9" bestFit="1" customWidth="1"/>
    <col min="33" max="33" width="10.5703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0.85546875" style="9" bestFit="1" customWidth="1"/>
    <col min="40" max="40" width="9.140625" style="9"/>
    <col min="41" max="42" width="10.85546875" style="9" bestFit="1" customWidth="1"/>
    <col min="43" max="16384" width="9.140625" style="9"/>
  </cols>
  <sheetData>
    <row r="1" spans="1:42" ht="11.25" customHeight="1" x14ac:dyDescent="0.25">
      <c r="A1" s="133" t="s">
        <v>60</v>
      </c>
      <c r="B1" s="133" t="s">
        <v>61</v>
      </c>
      <c r="C1" s="133" t="s">
        <v>62</v>
      </c>
      <c r="D1" s="133" t="s">
        <v>63</v>
      </c>
      <c r="E1" s="133" t="s">
        <v>64</v>
      </c>
      <c r="F1" s="133" t="s">
        <v>15</v>
      </c>
      <c r="G1" s="133" t="s">
        <v>66</v>
      </c>
      <c r="H1" s="133" t="s">
        <v>67</v>
      </c>
      <c r="I1" s="133" t="s">
        <v>509</v>
      </c>
      <c r="J1" s="129"/>
      <c r="L1" s="134" t="s">
        <v>523</v>
      </c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  <c r="AA1" s="134"/>
      <c r="AB1" s="134"/>
      <c r="AC1" s="134"/>
      <c r="AD1" s="134"/>
      <c r="AE1" s="134"/>
      <c r="AF1" s="134"/>
      <c r="AG1" s="134"/>
      <c r="AH1" s="134"/>
      <c r="AI1" s="134"/>
      <c r="AJ1" s="134"/>
      <c r="AK1" s="134"/>
      <c r="AL1" s="134"/>
      <c r="AM1" s="134"/>
      <c r="AO1" s="44"/>
      <c r="AP1" s="138" t="s">
        <v>511</v>
      </c>
    </row>
    <row r="2" spans="1:42" ht="11.25" customHeight="1" x14ac:dyDescent="0.25">
      <c r="A2" s="133"/>
      <c r="B2" s="133"/>
      <c r="C2" s="133"/>
      <c r="D2" s="133"/>
      <c r="E2" s="133"/>
      <c r="F2" s="133"/>
      <c r="G2" s="133"/>
      <c r="H2" s="133"/>
      <c r="I2" s="133"/>
      <c r="J2" s="129"/>
      <c r="L2" s="134" t="s">
        <v>408</v>
      </c>
      <c r="M2" s="134"/>
      <c r="N2" s="134"/>
      <c r="O2" s="134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  <c r="AA2" s="134"/>
      <c r="AB2" s="134"/>
      <c r="AC2" s="134"/>
      <c r="AD2" s="134"/>
      <c r="AE2" s="134"/>
      <c r="AF2" s="134"/>
      <c r="AG2" s="134"/>
      <c r="AH2" s="134"/>
      <c r="AI2" s="134"/>
      <c r="AJ2" s="134"/>
      <c r="AK2" s="134"/>
      <c r="AL2" s="134"/>
      <c r="AM2" s="134"/>
      <c r="AO2" s="44"/>
      <c r="AP2" s="139"/>
    </row>
    <row r="3" spans="1:42" ht="11.25" customHeight="1" x14ac:dyDescent="0.25">
      <c r="A3" s="133"/>
      <c r="B3" s="133"/>
      <c r="C3" s="133"/>
      <c r="D3" s="133"/>
      <c r="E3" s="133"/>
      <c r="F3" s="133"/>
      <c r="G3" s="133"/>
      <c r="H3" s="133"/>
      <c r="I3" s="133"/>
      <c r="J3" s="129"/>
      <c r="L3" s="134" t="s">
        <v>409</v>
      </c>
      <c r="M3" s="134"/>
      <c r="N3" s="134"/>
      <c r="O3" s="134"/>
      <c r="P3" s="134"/>
      <c r="Q3" s="134"/>
      <c r="R3" s="134"/>
      <c r="S3" s="134"/>
      <c r="T3" s="134"/>
      <c r="U3" s="134" t="s">
        <v>418</v>
      </c>
      <c r="V3" s="134"/>
      <c r="W3" s="134"/>
      <c r="X3" s="134"/>
      <c r="Y3" s="134"/>
      <c r="Z3" s="134"/>
      <c r="AA3" s="134"/>
      <c r="AB3" s="134"/>
      <c r="AC3" s="134" t="s">
        <v>426</v>
      </c>
      <c r="AD3" s="134"/>
      <c r="AE3" s="134" t="s">
        <v>428</v>
      </c>
      <c r="AF3" s="134"/>
      <c r="AG3" s="134"/>
      <c r="AH3" s="134" t="s">
        <v>431</v>
      </c>
      <c r="AI3" s="134"/>
      <c r="AJ3" s="134"/>
      <c r="AK3" s="134"/>
      <c r="AL3" s="134"/>
      <c r="AM3" s="134" t="s">
        <v>417</v>
      </c>
      <c r="AO3" s="44"/>
      <c r="AP3" s="139"/>
    </row>
    <row r="4" spans="1:42" ht="11.25" customHeight="1" x14ac:dyDescent="0.25">
      <c r="A4" s="133"/>
      <c r="B4" s="133"/>
      <c r="C4" s="133"/>
      <c r="D4" s="133"/>
      <c r="E4" s="133"/>
      <c r="F4" s="133"/>
      <c r="G4" s="133"/>
      <c r="H4" s="133"/>
      <c r="I4" s="133"/>
      <c r="J4" s="129"/>
      <c r="L4" s="40" t="s">
        <v>494</v>
      </c>
      <c r="M4" s="40" t="s">
        <v>410</v>
      </c>
      <c r="N4" s="40" t="s">
        <v>411</v>
      </c>
      <c r="O4" s="40" t="s">
        <v>412</v>
      </c>
      <c r="P4" s="40" t="s">
        <v>413</v>
      </c>
      <c r="Q4" s="40" t="s">
        <v>414</v>
      </c>
      <c r="R4" s="40" t="s">
        <v>415</v>
      </c>
      <c r="S4" s="40" t="s">
        <v>416</v>
      </c>
      <c r="T4" s="40" t="s">
        <v>417</v>
      </c>
      <c r="U4" s="40" t="s">
        <v>419</v>
      </c>
      <c r="V4" s="40" t="s">
        <v>420</v>
      </c>
      <c r="W4" s="40" t="s">
        <v>421</v>
      </c>
      <c r="X4" s="40" t="s">
        <v>422</v>
      </c>
      <c r="Y4" s="40" t="s">
        <v>423</v>
      </c>
      <c r="Z4" s="40" t="s">
        <v>424</v>
      </c>
      <c r="AA4" s="40" t="s">
        <v>425</v>
      </c>
      <c r="AB4" s="40" t="s">
        <v>417</v>
      </c>
      <c r="AC4" s="40" t="s">
        <v>427</v>
      </c>
      <c r="AD4" s="40" t="s">
        <v>417</v>
      </c>
      <c r="AE4" s="40" t="s">
        <v>429</v>
      </c>
      <c r="AF4" s="40" t="s">
        <v>430</v>
      </c>
      <c r="AG4" s="40" t="s">
        <v>417</v>
      </c>
      <c r="AH4" s="40" t="s">
        <v>432</v>
      </c>
      <c r="AI4" s="40" t="s">
        <v>433</v>
      </c>
      <c r="AJ4" s="40" t="s">
        <v>434</v>
      </c>
      <c r="AK4" s="40" t="s">
        <v>435</v>
      </c>
      <c r="AL4" s="40" t="s">
        <v>417</v>
      </c>
      <c r="AM4" s="136"/>
      <c r="AO4" s="45" t="s">
        <v>522</v>
      </c>
      <c r="AP4" s="140"/>
    </row>
    <row r="5" spans="1:42" ht="11.25" customHeight="1" x14ac:dyDescent="0.25">
      <c r="A5" s="137" t="s">
        <v>34</v>
      </c>
      <c r="B5" s="137" t="s">
        <v>51</v>
      </c>
      <c r="C5" s="137" t="s">
        <v>25</v>
      </c>
      <c r="D5" s="137" t="s">
        <v>25</v>
      </c>
      <c r="E5" s="137" t="s">
        <v>25</v>
      </c>
      <c r="F5" s="137" t="s">
        <v>25</v>
      </c>
      <c r="G5" s="41" t="s">
        <v>76</v>
      </c>
      <c r="H5" s="41" t="s">
        <v>75</v>
      </c>
      <c r="I5" s="41">
        <f>'MERCADO TUSD'!$U$2</f>
        <v>20487</v>
      </c>
      <c r="J5" s="15"/>
      <c r="L5" s="31">
        <f>'TUSD BE'!$L$5*'TUSD BF'!$L$58</f>
        <v>0</v>
      </c>
      <c r="M5" s="31">
        <f>'TUSD BE'!$M$5*'TUSD BF'!$M$58</f>
        <v>0</v>
      </c>
      <c r="N5" s="31">
        <f ca="1">'TUSD BE'!$N$5*'TUSD BF'!$N$58</f>
        <v>0</v>
      </c>
      <c r="O5" s="31">
        <f>'TUSD BE'!$O$5*'TUSD BF'!$O$58</f>
        <v>0</v>
      </c>
      <c r="P5" s="31">
        <f>'TUSD BE'!$P$5*'TUSD BF'!$P$58</f>
        <v>0</v>
      </c>
      <c r="Q5" s="31">
        <f>'TUSD BE'!$Q$5*'TUSD BF'!$Q$58</f>
        <v>0</v>
      </c>
      <c r="R5" s="31">
        <f>'TUSD BE'!$R$5*'TUSD BF'!$R$58</f>
        <v>0</v>
      </c>
      <c r="S5" s="31">
        <f>'TUSD BE'!$R$5*'TUSD BF'!$S$58</f>
        <v>0</v>
      </c>
      <c r="T5" s="31">
        <f ca="1">SUM($L$5:$S$5)</f>
        <v>0</v>
      </c>
      <c r="U5" s="31">
        <f>'TUSD BE'!$U$5*'TUSD BF'!$U$58</f>
        <v>0</v>
      </c>
      <c r="V5" s="31">
        <f>'TUSD BE'!$V$5*'TUSD BF'!$V$58</f>
        <v>0</v>
      </c>
      <c r="W5" s="31">
        <f>'TUSD BE'!$W$5*'TUSD BF'!$W$58</f>
        <v>0</v>
      </c>
      <c r="X5" s="31">
        <f>'TUSD BE'!$X$5*'TUSD BF'!$X$58</f>
        <v>0</v>
      </c>
      <c r="Y5" s="31">
        <f>'TUSD BE'!$Y$5*'TUSD BF'!$Y$58</f>
        <v>0</v>
      </c>
      <c r="Z5" s="31">
        <f>'TUSD BE'!$Z$5*'TUSD BF'!$Z$58</f>
        <v>0</v>
      </c>
      <c r="AA5" s="31">
        <f>'TUSD BE'!$AA$5*'TUSD BF'!$AA$58</f>
        <v>0</v>
      </c>
      <c r="AB5" s="31">
        <f>SUM($U$5:$AA$5)</f>
        <v>0</v>
      </c>
      <c r="AC5" s="31">
        <f>'TUSD BE'!$AC$5*'TUSD BF'!$AC$58</f>
        <v>0</v>
      </c>
      <c r="AD5" s="31">
        <f>SUM($AC$5:$AC$5)</f>
        <v>0</v>
      </c>
      <c r="AE5" s="31">
        <f ca="1">$AO$5*$AO$55</f>
        <v>0</v>
      </c>
      <c r="AF5" s="31">
        <f ca="1">$AP$5*$AP$55</f>
        <v>0</v>
      </c>
      <c r="AG5" s="31">
        <f ca="1">SUM($AE$5:$AF$5)</f>
        <v>0</v>
      </c>
      <c r="AH5" s="31">
        <f>'TUSD BE'!$AH$5*'TUSD BF'!$AH$58</f>
        <v>0</v>
      </c>
      <c r="AI5" s="31">
        <f>'TUSD BE'!$AI$5*'TUSD BF'!$AI$58</f>
        <v>0</v>
      </c>
      <c r="AJ5" s="31">
        <f ca="1">'TUSD BE'!$AJ$5*'TUSD BF'!$AJ$58</f>
        <v>0</v>
      </c>
      <c r="AK5" s="31">
        <f ca="1">'TUSD BE'!$AK$5*'TUSD BF'!$AK$58</f>
        <v>0</v>
      </c>
      <c r="AL5" s="31">
        <f ca="1">SUM($AH$5:$AK$5)</f>
        <v>0</v>
      </c>
      <c r="AM5" s="31">
        <f ca="1">SUMIF($L$4:$AL$4,"SUBTOTAL",$L$5:$AL$5)</f>
        <v>0</v>
      </c>
      <c r="AO5" s="44">
        <f ca="1">+'TUSD BE'!$T$5+'TUSD BE'!$AB$5+'TUSD BE'!$AD$5+'TUSD BE'!$AL$5</f>
        <v>37.76658146591916</v>
      </c>
      <c r="AP5" s="44">
        <f ca="1">+'TUSD BE'!$T$5+'TUSD BE'!$AB$5+'TUSD BE'!$AD$5+'TUSD BE'!$AL$5</f>
        <v>37.76658146591916</v>
      </c>
    </row>
    <row r="6" spans="1:42" ht="11.25" customHeight="1" x14ac:dyDescent="0.25">
      <c r="A6" s="137"/>
      <c r="B6" s="137"/>
      <c r="C6" s="137"/>
      <c r="D6" s="137"/>
      <c r="E6" s="137"/>
      <c r="F6" s="137"/>
      <c r="G6" s="41" t="s">
        <v>77</v>
      </c>
      <c r="H6" s="41" t="s">
        <v>75</v>
      </c>
      <c r="I6" s="41">
        <f>'MERCADO TUSD'!$U$3</f>
        <v>21624</v>
      </c>
      <c r="J6" s="15"/>
      <c r="L6" s="31">
        <f>'TUSD BE'!$L$6*'TUSD BF'!$L$58</f>
        <v>0</v>
      </c>
      <c r="M6" s="31">
        <f>'TUSD BE'!$M$6*'TUSD BF'!$M$58</f>
        <v>0</v>
      </c>
      <c r="N6" s="31">
        <f ca="1">'TUSD BE'!$N$6*'TUSD BF'!$N$58</f>
        <v>0</v>
      </c>
      <c r="O6" s="31">
        <f>'TUSD BE'!$O$6*'TUSD BF'!$O$58</f>
        <v>0</v>
      </c>
      <c r="P6" s="31">
        <f>'TUSD BE'!$P$6*'TUSD BF'!$P$58</f>
        <v>0</v>
      </c>
      <c r="Q6" s="31">
        <f>'TUSD BE'!$Q$6*'TUSD BF'!$Q$58</f>
        <v>0</v>
      </c>
      <c r="R6" s="31">
        <f>'TUSD BE'!$R$6*'TUSD BF'!$R$58</f>
        <v>0</v>
      </c>
      <c r="S6" s="31">
        <f>'TUSD BE'!$R$6*'TUSD BF'!$S$58</f>
        <v>0</v>
      </c>
      <c r="T6" s="31">
        <f ca="1">SUM($L$6:$S$6)</f>
        <v>0</v>
      </c>
      <c r="U6" s="31">
        <f>'TUSD BE'!$U$6*'TUSD BF'!$U$58</f>
        <v>0</v>
      </c>
      <c r="V6" s="31">
        <f>'TUSD BE'!$V$6*'TUSD BF'!$V$58</f>
        <v>0</v>
      </c>
      <c r="W6" s="31">
        <f>'TUSD BE'!$W$6*'TUSD BF'!$W$58</f>
        <v>0</v>
      </c>
      <c r="X6" s="31">
        <f>'TUSD BE'!$X$6*'TUSD BF'!$X$58</f>
        <v>0</v>
      </c>
      <c r="Y6" s="31">
        <f>'TUSD BE'!$Y$6*'TUSD BF'!$Y$58</f>
        <v>0</v>
      </c>
      <c r="Z6" s="31">
        <f>'TUSD BE'!$Z$6*'TUSD BF'!$Z$58</f>
        <v>0</v>
      </c>
      <c r="AA6" s="31">
        <f>'TUSD BE'!$AA$6*'TUSD BF'!$AA$58</f>
        <v>0</v>
      </c>
      <c r="AB6" s="31">
        <f>SUM($U$6:$AA$6)</f>
        <v>0</v>
      </c>
      <c r="AC6" s="31">
        <f>'TUSD BE'!$AC$6*'TUSD BF'!$AC$58</f>
        <v>0</v>
      </c>
      <c r="AD6" s="31">
        <f>SUM($AC$6:$AC$6)</f>
        <v>0</v>
      </c>
      <c r="AE6" s="31">
        <f ca="1">$AO$6*$AO$55</f>
        <v>0</v>
      </c>
      <c r="AF6" s="31">
        <f ca="1">$AP$6*$AP$55</f>
        <v>0</v>
      </c>
      <c r="AG6" s="31">
        <f ca="1">SUM($AE$6:$AF$6)</f>
        <v>0</v>
      </c>
      <c r="AH6" s="31">
        <f>'TUSD BE'!$AH$6*'TUSD BF'!$AH$58</f>
        <v>0</v>
      </c>
      <c r="AI6" s="31">
        <f>'TUSD BE'!$AI$6*'TUSD BF'!$AI$58</f>
        <v>0</v>
      </c>
      <c r="AJ6" s="31">
        <f ca="1">'TUSD BE'!$AJ$6*'TUSD BF'!$AJ$58</f>
        <v>0</v>
      </c>
      <c r="AK6" s="31">
        <f ca="1">'TUSD BE'!$AK$6*'TUSD BF'!$AK$58</f>
        <v>0</v>
      </c>
      <c r="AL6" s="31">
        <f ca="1">SUM($AH$6:$AK$6)</f>
        <v>0</v>
      </c>
      <c r="AM6" s="31">
        <f ca="1">SUMIF($L$4:$AL$4,"SUBTOTAL",$L$6:$AL$6)</f>
        <v>0</v>
      </c>
      <c r="AO6" s="44">
        <f ca="1">+'TUSD BE'!$T$6+'TUSD BE'!$AB$6+'TUSD BE'!$AD$6+'TUSD BE'!$AL$6</f>
        <v>21.077864721944241</v>
      </c>
      <c r="AP6" s="44">
        <f ca="1">+'TUSD BE'!$T$6+'TUSD BE'!$AB$6+'TUSD BE'!$AD$6+'TUSD BE'!$AL$6</f>
        <v>21.077864721944241</v>
      </c>
    </row>
    <row r="7" spans="1:42" ht="11.25" customHeight="1" x14ac:dyDescent="0.25">
      <c r="A7" s="137"/>
      <c r="B7" s="137"/>
      <c r="C7" s="137"/>
      <c r="D7" s="137"/>
      <c r="E7" s="137"/>
      <c r="F7" s="137"/>
      <c r="G7" s="41" t="s">
        <v>74</v>
      </c>
      <c r="H7" s="41" t="s">
        <v>70</v>
      </c>
      <c r="I7" s="41">
        <f>'MERCADO TUSD'!$U$4</f>
        <v>8675.9390000000003</v>
      </c>
      <c r="J7" s="15"/>
      <c r="L7" s="31">
        <f>'TUSD BE'!$L$7*'TUSD BF'!$L$58</f>
        <v>0.14107834193795094</v>
      </c>
      <c r="M7" s="31">
        <f>'TUSD BE'!$M$7*'TUSD BF'!$M$58</f>
        <v>0</v>
      </c>
      <c r="N7" s="31">
        <f ca="1">'TUSD BE'!$N$7*'TUSD BF'!$N$58</f>
        <v>0</v>
      </c>
      <c r="O7" s="31">
        <f>'TUSD BE'!$O$7*'TUSD BF'!$O$58</f>
        <v>0</v>
      </c>
      <c r="P7" s="31">
        <f>'TUSD BE'!$P$7*'TUSD BF'!$P$58</f>
        <v>0</v>
      </c>
      <c r="Q7" s="31">
        <f>'TUSD BE'!$Q$7*'TUSD BF'!$Q$58</f>
        <v>12.243127049131532</v>
      </c>
      <c r="R7" s="31">
        <f>'TUSD BE'!$R$7*'TUSD BF'!$R$58</f>
        <v>3.2058630351298234</v>
      </c>
      <c r="S7" s="31">
        <f>'TUSD BE'!$R$7*'TUSD BF'!$S$58</f>
        <v>0</v>
      </c>
      <c r="T7" s="31">
        <f ca="1">SUM($L$7:$S$7)</f>
        <v>15.590068426199306</v>
      </c>
      <c r="U7" s="31">
        <f>'TUSD BE'!$U$7*'TUSD BF'!$U$58</f>
        <v>0</v>
      </c>
      <c r="V7" s="31">
        <f>'TUSD BE'!$V$7*'TUSD BF'!$V$58</f>
        <v>0</v>
      </c>
      <c r="W7" s="31">
        <f>'TUSD BE'!$W$7*'TUSD BF'!$W$58</f>
        <v>0</v>
      </c>
      <c r="X7" s="31">
        <f>'TUSD BE'!$X$7*'TUSD BF'!$X$58</f>
        <v>0</v>
      </c>
      <c r="Y7" s="31">
        <f>'TUSD BE'!$Y$7*'TUSD BF'!$Y$58</f>
        <v>0</v>
      </c>
      <c r="Z7" s="31">
        <f>'TUSD BE'!$Z$7*'TUSD BF'!$Z$58</f>
        <v>0</v>
      </c>
      <c r="AA7" s="31">
        <f>'TUSD BE'!$AA$7*'TUSD BF'!$AA$58</f>
        <v>0</v>
      </c>
      <c r="AB7" s="31">
        <f>SUM($U$7:$AA$7)</f>
        <v>0</v>
      </c>
      <c r="AC7" s="31">
        <f>'TUSD BE'!$AC$7*'TUSD BF'!$AC$58</f>
        <v>0</v>
      </c>
      <c r="AD7" s="31">
        <f>SUM($AC$7:$AC$7)</f>
        <v>0</v>
      </c>
      <c r="AE7" s="31">
        <f ca="1">$AO$7*$AO$55</f>
        <v>0</v>
      </c>
      <c r="AF7" s="31">
        <f ca="1">$AP$7*$AP$55</f>
        <v>0</v>
      </c>
      <c r="AG7" s="31">
        <f ca="1">SUM($AE$7:$AF$7)</f>
        <v>0</v>
      </c>
      <c r="AH7" s="31">
        <f>'TUSD BE'!$AH$7*'TUSD BF'!$AH$58</f>
        <v>1.1226527744537365</v>
      </c>
      <c r="AI7" s="31">
        <f>'TUSD BE'!$AI$7*'TUSD BF'!$AI$58</f>
        <v>3.6102992035022423E-2</v>
      </c>
      <c r="AJ7" s="31">
        <f ca="1">'TUSD BE'!$AJ$7*'TUSD BF'!$AJ$58</f>
        <v>0.13813900614585492</v>
      </c>
      <c r="AK7" s="31">
        <f ca="1">'TUSD BE'!$AK$7*'TUSD BF'!$AK$58</f>
        <v>0</v>
      </c>
      <c r="AL7" s="31">
        <f ca="1">SUM($AH$7:$AK$7)</f>
        <v>1.2968947726346138</v>
      </c>
      <c r="AM7" s="31">
        <f ca="1">SUMIF($L$4:$AL$4,"SUBTOTAL",$L$7:$AL$7)</f>
        <v>16.886963198833918</v>
      </c>
      <c r="AO7" s="44">
        <f ca="1">+'TUSD BE'!$T$7+'TUSD BE'!$AB$7+'TUSD BE'!$AD$7+'TUSD BE'!$AL$7</f>
        <v>108.2437968854409</v>
      </c>
      <c r="AP7" s="44">
        <f ca="1">+'TUSD BE'!$T$7+'TUSD BE'!$AB$7+'TUSD BE'!$AD$7+'TUSD BE'!$AL$7</f>
        <v>108.2437968854409</v>
      </c>
    </row>
    <row r="8" spans="1:42" ht="11.25" customHeight="1" x14ac:dyDescent="0.25">
      <c r="A8" s="137"/>
      <c r="B8" s="137"/>
      <c r="C8" s="137"/>
      <c r="D8" s="137"/>
      <c r="E8" s="42" t="s">
        <v>78</v>
      </c>
      <c r="F8" s="42" t="s">
        <v>25</v>
      </c>
      <c r="G8" s="41" t="s">
        <v>74</v>
      </c>
      <c r="H8" s="41" t="s">
        <v>70</v>
      </c>
      <c r="I8" s="41">
        <f>'MERCADO TUSD'!$U$5</f>
        <v>0</v>
      </c>
      <c r="J8" s="15"/>
      <c r="L8" s="31">
        <f>'TUSD BE'!$L$8*'TUSD BF'!$L$58</f>
        <v>0</v>
      </c>
      <c r="M8" s="31">
        <f>'TUSD BE'!$M$8*'TUSD BF'!$M$58</f>
        <v>0</v>
      </c>
      <c r="N8" s="31">
        <f ca="1">'TUSD BE'!$N$8*'TUSD BF'!$N$58</f>
        <v>0</v>
      </c>
      <c r="O8" s="31">
        <f>'TUSD BE'!$O$8*'TUSD BF'!$O$58</f>
        <v>0</v>
      </c>
      <c r="P8" s="31">
        <f>'TUSD BE'!$P$8*'TUSD BF'!$P$58</f>
        <v>0</v>
      </c>
      <c r="Q8" s="31">
        <f>'TUSD BE'!$Q$8*'TUSD BF'!$Q$58</f>
        <v>0</v>
      </c>
      <c r="R8" s="31">
        <f>'TUSD BE'!$R$8*'TUSD BF'!$R$58</f>
        <v>0</v>
      </c>
      <c r="S8" s="31">
        <f>'TUSD BE'!$R$8*'TUSD BF'!$S$58</f>
        <v>0</v>
      </c>
      <c r="T8" s="31">
        <f ca="1">SUM($L$8:$S$8)</f>
        <v>0</v>
      </c>
      <c r="U8" s="31">
        <f>'TUSD BE'!$U$8*'TUSD BF'!$U$58</f>
        <v>0</v>
      </c>
      <c r="V8" s="31">
        <f>'TUSD BE'!$V$8*'TUSD BF'!$V$58</f>
        <v>0</v>
      </c>
      <c r="W8" s="31">
        <f>'TUSD BE'!$W$8*'TUSD BF'!$W$58</f>
        <v>0</v>
      </c>
      <c r="X8" s="31">
        <f>'TUSD BE'!$X$8*'TUSD BF'!$X$58</f>
        <v>0</v>
      </c>
      <c r="Y8" s="31">
        <f>'TUSD BE'!$Y$8*'TUSD BF'!$Y$58</f>
        <v>0</v>
      </c>
      <c r="Z8" s="31">
        <f>'TUSD BE'!$Z$8*'TUSD BF'!$Z$58</f>
        <v>0</v>
      </c>
      <c r="AA8" s="31">
        <f>'TUSD BE'!$AA$8*'TUSD BF'!$AA$58</f>
        <v>0</v>
      </c>
      <c r="AB8" s="31">
        <f>SUM($U$8:$AA$8)</f>
        <v>0</v>
      </c>
      <c r="AC8" s="31">
        <f>'TUSD BE'!$AC$8*'TUSD BF'!$AC$58</f>
        <v>0</v>
      </c>
      <c r="AD8" s="31">
        <f>SUM($AC$8:$AC$8)</f>
        <v>0</v>
      </c>
      <c r="AE8" s="31">
        <f ca="1">$AO$8*$AO$55</f>
        <v>0</v>
      </c>
      <c r="AF8" s="31">
        <f ca="1">$AP$8*$AP$55</f>
        <v>0</v>
      </c>
      <c r="AG8" s="31">
        <f ca="1">SUM($AE$8:$AF$8)</f>
        <v>0</v>
      </c>
      <c r="AH8" s="31">
        <f>'TUSD BE'!$AH$8*'TUSD BF'!$AH$58</f>
        <v>1.1226527744537365</v>
      </c>
      <c r="AI8" s="31">
        <f>'TUSD BE'!$AI$8*'TUSD BF'!$AI$58</f>
        <v>3.6102992035022423E-2</v>
      </c>
      <c r="AJ8" s="31">
        <f ca="1">'TUSD BE'!$AJ$8*'TUSD BF'!$AJ$58</f>
        <v>0.13813900614585492</v>
      </c>
      <c r="AK8" s="31">
        <f ca="1">'TUSD BE'!$AK$8*'TUSD BF'!$AK$58</f>
        <v>0</v>
      </c>
      <c r="AL8" s="31">
        <f ca="1">SUM($AH$8:$AK$8)</f>
        <v>1.2968947726346138</v>
      </c>
      <c r="AM8" s="31">
        <f ca="1">SUMIF($L$4:$AL$4,"SUBTOTAL",$L$8:$AL$8)</f>
        <v>1.2968947726346138</v>
      </c>
      <c r="AO8" s="44">
        <f ca="1">+'TUSD BE'!$T$8+'TUSD BE'!$AB$8+'TUSD BE'!$AD$8+'TUSD BE'!$AL$8</f>
        <v>12.618806157247993</v>
      </c>
      <c r="AP8" s="44">
        <f ca="1">+'TUSD BE'!$T$8+'TUSD BE'!$AB$8+'TUSD BE'!$AD$8+'TUSD BE'!$AL$8</f>
        <v>12.618806157247993</v>
      </c>
    </row>
    <row r="9" spans="1:42" ht="11.25" customHeight="1" x14ac:dyDescent="0.25">
      <c r="A9" s="137"/>
      <c r="B9" s="42" t="s">
        <v>79</v>
      </c>
      <c r="C9" s="42" t="s">
        <v>25</v>
      </c>
      <c r="D9" s="42" t="s">
        <v>25</v>
      </c>
      <c r="E9" s="42" t="s">
        <v>25</v>
      </c>
      <c r="F9" s="42" t="s">
        <v>25</v>
      </c>
      <c r="G9" s="41" t="s">
        <v>9</v>
      </c>
      <c r="H9" s="41" t="s">
        <v>75</v>
      </c>
      <c r="I9" s="41">
        <f>'MERCADO TUSD'!$U$6</f>
        <v>0</v>
      </c>
      <c r="J9" s="15"/>
      <c r="L9" s="31">
        <f>'TUSD BE'!$L$9*'TUSD BF'!$L$58</f>
        <v>0</v>
      </c>
      <c r="M9" s="31">
        <f>'TUSD BE'!$M$9*'TUSD BF'!$M$58</f>
        <v>0</v>
      </c>
      <c r="N9" s="31">
        <f ca="1">'TUSD BE'!$N$9*'TUSD BF'!$N$58</f>
        <v>0</v>
      </c>
      <c r="O9" s="31">
        <f>'TUSD BE'!$O$9*'TUSD BF'!$O$58</f>
        <v>0</v>
      </c>
      <c r="P9" s="31">
        <f>'TUSD BE'!$P$9*'TUSD BF'!$P$58</f>
        <v>0</v>
      </c>
      <c r="Q9" s="31">
        <f>'TUSD BE'!$Q$9*'TUSD BF'!$Q$58</f>
        <v>0</v>
      </c>
      <c r="R9" s="31">
        <f>'TUSD BE'!$R$9*'TUSD BF'!$R$58</f>
        <v>0</v>
      </c>
      <c r="S9" s="31">
        <f>'TUSD BE'!$R$9*'TUSD BF'!$S$58</f>
        <v>0</v>
      </c>
      <c r="T9" s="31">
        <f ca="1">SUM($L$9:$S$9)</f>
        <v>0</v>
      </c>
      <c r="U9" s="31">
        <f>'TUSD BE'!$U$9*'TUSD BF'!$U$58</f>
        <v>0</v>
      </c>
      <c r="V9" s="31">
        <f>'TUSD BE'!$V$9*'TUSD BF'!$V$58</f>
        <v>0</v>
      </c>
      <c r="W9" s="31">
        <f>'TUSD BE'!$W$9*'TUSD BF'!$W$58</f>
        <v>0</v>
      </c>
      <c r="X9" s="31">
        <f>'TUSD BE'!$X$9*'TUSD BF'!$X$58</f>
        <v>0</v>
      </c>
      <c r="Y9" s="31">
        <f>'TUSD BE'!$Y$9*'TUSD BF'!$Y$58</f>
        <v>0</v>
      </c>
      <c r="Z9" s="31">
        <f>'TUSD BE'!$Z$9*'TUSD BF'!$Z$58</f>
        <v>0</v>
      </c>
      <c r="AA9" s="31">
        <f>'TUSD BE'!$AA$9*'TUSD BF'!$AA$58</f>
        <v>0</v>
      </c>
      <c r="AB9" s="31">
        <f>SUM($U$9:$AA$9)</f>
        <v>0</v>
      </c>
      <c r="AC9" s="31">
        <f>'TUSD BE'!$AC$9*'TUSD BF'!$AC$58</f>
        <v>0</v>
      </c>
      <c r="AD9" s="31">
        <f>SUM($AC$9:$AC$9)</f>
        <v>0</v>
      </c>
      <c r="AE9" s="31">
        <f ca="1">$AO$9*$AO$55</f>
        <v>0</v>
      </c>
      <c r="AF9" s="31">
        <f ca="1">$AP$9*$AP$55</f>
        <v>0</v>
      </c>
      <c r="AG9" s="31">
        <f ca="1">SUM($AE$9:$AF$9)</f>
        <v>0</v>
      </c>
      <c r="AH9" s="31">
        <f>'TUSD BE'!$AH$9*'TUSD BF'!$AH$58</f>
        <v>0</v>
      </c>
      <c r="AI9" s="31">
        <f>'TUSD BE'!$AI$9*'TUSD BF'!$AI$58</f>
        <v>0</v>
      </c>
      <c r="AJ9" s="31">
        <f ca="1">'TUSD BE'!$AJ$9*'TUSD BF'!$AJ$58</f>
        <v>0</v>
      </c>
      <c r="AK9" s="31">
        <f ca="1">'TUSD BE'!$AK$9*'TUSD BF'!$AK$58</f>
        <v>0</v>
      </c>
      <c r="AL9" s="31">
        <f ca="1">SUM($AH$9:$AK$9)</f>
        <v>0</v>
      </c>
      <c r="AM9" s="31">
        <f ca="1">SUMIF($L$4:$AL$4,"SUBTOTAL",$L$9:$AL$9)</f>
        <v>0</v>
      </c>
      <c r="AO9" s="44">
        <f ca="1">+'TUSD BE'!$T$9+'TUSD BE'!$AB$9+'TUSD BE'!$AD$9+'TUSD BE'!$AL$9</f>
        <v>3.4046966462464501</v>
      </c>
      <c r="AP9" s="44">
        <f ca="1">+'TUSD BE'!$T$9+'TUSD BE'!$AB$9+'TUSD BE'!$AD$9+'TUSD BE'!$AL$9</f>
        <v>3.4046966462464501</v>
      </c>
    </row>
    <row r="10" spans="1:42" ht="11.25" customHeight="1" x14ac:dyDescent="0.25">
      <c r="A10" s="137"/>
      <c r="B10" s="137" t="s">
        <v>35</v>
      </c>
      <c r="C10" s="137" t="s">
        <v>25</v>
      </c>
      <c r="D10" s="137" t="s">
        <v>25</v>
      </c>
      <c r="E10" s="137" t="s">
        <v>25</v>
      </c>
      <c r="F10" s="137" t="s">
        <v>25</v>
      </c>
      <c r="G10" s="41" t="s">
        <v>9</v>
      </c>
      <c r="H10" s="41" t="s">
        <v>75</v>
      </c>
      <c r="I10" s="41">
        <f>'MERCADO TUSD'!$U$7</f>
        <v>83769</v>
      </c>
      <c r="J10" s="15"/>
      <c r="L10" s="31">
        <f>'TUSD BE'!$L$10*'TUSD BF'!$L$58</f>
        <v>0</v>
      </c>
      <c r="M10" s="31">
        <f>'TUSD BE'!$M$10*'TUSD BF'!$M$58</f>
        <v>0</v>
      </c>
      <c r="N10" s="31">
        <f ca="1">'TUSD BE'!$N$10*'TUSD BF'!$N$58</f>
        <v>0</v>
      </c>
      <c r="O10" s="31">
        <f>'TUSD BE'!$O$10*'TUSD BF'!$O$58</f>
        <v>0</v>
      </c>
      <c r="P10" s="31">
        <f>'TUSD BE'!$P$10*'TUSD BF'!$P$58</f>
        <v>0</v>
      </c>
      <c r="Q10" s="31">
        <f>'TUSD BE'!$Q$10*'TUSD BF'!$Q$58</f>
        <v>0</v>
      </c>
      <c r="R10" s="31">
        <f>'TUSD BE'!$R$10*'TUSD BF'!$R$58</f>
        <v>0</v>
      </c>
      <c r="S10" s="31">
        <f>'TUSD BE'!$R$10*'TUSD BF'!$S$58</f>
        <v>0</v>
      </c>
      <c r="T10" s="31">
        <f ca="1">SUM($L$10:$S$10)</f>
        <v>0</v>
      </c>
      <c r="U10" s="31">
        <f>'TUSD BE'!$U$10*'TUSD BF'!$U$58</f>
        <v>0</v>
      </c>
      <c r="V10" s="31">
        <f>'TUSD BE'!$V$10*'TUSD BF'!$V$58</f>
        <v>0</v>
      </c>
      <c r="W10" s="31">
        <f>'TUSD BE'!$W$10*'TUSD BF'!$W$58</f>
        <v>0</v>
      </c>
      <c r="X10" s="31">
        <f>'TUSD BE'!$X$10*'TUSD BF'!$X$58</f>
        <v>0</v>
      </c>
      <c r="Y10" s="31">
        <f>'TUSD BE'!$Y$10*'TUSD BF'!$Y$58</f>
        <v>0</v>
      </c>
      <c r="Z10" s="31">
        <f>'TUSD BE'!$Z$10*'TUSD BF'!$Z$58</f>
        <v>0</v>
      </c>
      <c r="AA10" s="31">
        <f>'TUSD BE'!$AA$10*'TUSD BF'!$AA$58</f>
        <v>0</v>
      </c>
      <c r="AB10" s="31">
        <f>SUM($U$10:$AA$10)</f>
        <v>0</v>
      </c>
      <c r="AC10" s="31">
        <f>'TUSD BE'!$AC$10*'TUSD BF'!$AC$58</f>
        <v>0</v>
      </c>
      <c r="AD10" s="31">
        <f>SUM($AC$10:$AC$10)</f>
        <v>0</v>
      </c>
      <c r="AE10" s="31">
        <f ca="1">$AO$10*$AO$55</f>
        <v>0</v>
      </c>
      <c r="AF10" s="31">
        <f ca="1">$AP$10*$AP$55</f>
        <v>0</v>
      </c>
      <c r="AG10" s="31">
        <f ca="1">SUM($AE$10:$AF$10)</f>
        <v>0</v>
      </c>
      <c r="AH10" s="31">
        <f>'TUSD BE'!$AH$10*'TUSD BF'!$AH$58</f>
        <v>0</v>
      </c>
      <c r="AI10" s="31">
        <f>'TUSD BE'!$AI$10*'TUSD BF'!$AI$58</f>
        <v>0</v>
      </c>
      <c r="AJ10" s="31">
        <f ca="1">'TUSD BE'!$AJ$10*'TUSD BF'!$AJ$58</f>
        <v>0</v>
      </c>
      <c r="AK10" s="31">
        <f ca="1">'TUSD BE'!$AK$10*'TUSD BF'!$AK$58</f>
        <v>0</v>
      </c>
      <c r="AL10" s="31">
        <f ca="1">SUM($AH$10:$AK$10)</f>
        <v>0</v>
      </c>
      <c r="AM10" s="31">
        <f ca="1">SUMIF($L$4:$AL$4,"SUBTOTAL",$L$10:$AL$10)</f>
        <v>0</v>
      </c>
      <c r="AO10" s="44">
        <f ca="1">+'TUSD BE'!$T$10+'TUSD BE'!$AB$10+'TUSD BE'!$AD$10+'TUSD BE'!$AL$10</f>
        <v>21.077864721944241</v>
      </c>
      <c r="AP10" s="44">
        <f ca="1">+'TUSD BE'!$T$10+'TUSD BE'!$AB$10+'TUSD BE'!$AD$10+'TUSD BE'!$AL$10</f>
        <v>21.077864721944241</v>
      </c>
    </row>
    <row r="11" spans="1:42" ht="11.25" customHeight="1" x14ac:dyDescent="0.25">
      <c r="A11" s="137"/>
      <c r="B11" s="137"/>
      <c r="C11" s="137"/>
      <c r="D11" s="137"/>
      <c r="E11" s="137"/>
      <c r="F11" s="137"/>
      <c r="G11" s="41" t="s">
        <v>71</v>
      </c>
      <c r="H11" s="41" t="s">
        <v>70</v>
      </c>
      <c r="I11" s="41">
        <f>'MERCADO TUSD'!$U$8</f>
        <v>2568.357</v>
      </c>
      <c r="J11" s="15"/>
      <c r="L11" s="31">
        <f>'TUSD BE'!$L$11*'TUSD BF'!$L$58</f>
        <v>0.14107834193795094</v>
      </c>
      <c r="M11" s="31">
        <f>'TUSD BE'!$M$11*'TUSD BF'!$M$58</f>
        <v>0</v>
      </c>
      <c r="N11" s="31">
        <f ca="1">'TUSD BE'!$N$11*'TUSD BF'!$N$58</f>
        <v>0</v>
      </c>
      <c r="O11" s="31">
        <f>'TUSD BE'!$O$11*'TUSD BF'!$O$58</f>
        <v>0</v>
      </c>
      <c r="P11" s="31">
        <f>'TUSD BE'!$P$11*'TUSD BF'!$P$58</f>
        <v>0</v>
      </c>
      <c r="Q11" s="31">
        <f>'TUSD BE'!$Q$11*'TUSD BF'!$Q$58</f>
        <v>12.243127049131532</v>
      </c>
      <c r="R11" s="31">
        <f>'TUSD BE'!$R$11*'TUSD BF'!$R$58</f>
        <v>3.2058630351298234</v>
      </c>
      <c r="S11" s="31">
        <f>'TUSD BE'!$R$11*'TUSD BF'!$S$58</f>
        <v>0</v>
      </c>
      <c r="T11" s="31">
        <f ca="1">SUM($L$11:$S$11)</f>
        <v>15.590068426199306</v>
      </c>
      <c r="U11" s="31">
        <f>'TUSD BE'!$U$11*'TUSD BF'!$U$58</f>
        <v>0</v>
      </c>
      <c r="V11" s="31">
        <f>'TUSD BE'!$V$11*'TUSD BF'!$V$58</f>
        <v>0</v>
      </c>
      <c r="W11" s="31">
        <f>'TUSD BE'!$W$11*'TUSD BF'!$W$58</f>
        <v>0</v>
      </c>
      <c r="X11" s="31">
        <f>'TUSD BE'!$X$11*'TUSD BF'!$X$58</f>
        <v>0</v>
      </c>
      <c r="Y11" s="31">
        <f>'TUSD BE'!$Y$11*'TUSD BF'!$Y$58</f>
        <v>0</v>
      </c>
      <c r="Z11" s="31">
        <f>'TUSD BE'!$Z$11*'TUSD BF'!$Z$58</f>
        <v>0</v>
      </c>
      <c r="AA11" s="31">
        <f>'TUSD BE'!$AA$11*'TUSD BF'!$AA$58</f>
        <v>0</v>
      </c>
      <c r="AB11" s="31">
        <f>SUM($U$11:$AA$11)</f>
        <v>0</v>
      </c>
      <c r="AC11" s="31">
        <f>'TUSD BE'!$AC$11*'TUSD BF'!$AC$58</f>
        <v>0</v>
      </c>
      <c r="AD11" s="31">
        <f>SUM($AC$11:$AC$11)</f>
        <v>0</v>
      </c>
      <c r="AE11" s="31">
        <f ca="1">$AO$11*$AO$55</f>
        <v>0</v>
      </c>
      <c r="AF11" s="31">
        <f ca="1">$AP$11*$AP$55</f>
        <v>0</v>
      </c>
      <c r="AG11" s="31">
        <f ca="1">SUM($AE$11:$AF$11)</f>
        <v>0</v>
      </c>
      <c r="AH11" s="31">
        <f>'TUSD BE'!$AH$11*'TUSD BF'!$AH$58</f>
        <v>1.1226527744537365</v>
      </c>
      <c r="AI11" s="31">
        <f>'TUSD BE'!$AI$11*'TUSD BF'!$AI$58</f>
        <v>3.6102992035022423E-2</v>
      </c>
      <c r="AJ11" s="31">
        <f ca="1">'TUSD BE'!$AJ$11*'TUSD BF'!$AJ$58</f>
        <v>0.13813900614585492</v>
      </c>
      <c r="AK11" s="31">
        <f ca="1">'TUSD BE'!$AK$11*'TUSD BF'!$AK$58</f>
        <v>0</v>
      </c>
      <c r="AL11" s="31">
        <f ca="1">SUM($AH$11:$AK$11)</f>
        <v>1.2968947726346138</v>
      </c>
      <c r="AM11" s="31">
        <f ca="1">SUMIF($L$4:$AL$4,"SUBTOTAL",$L$11:$AL$11)</f>
        <v>16.886963198833918</v>
      </c>
      <c r="AO11" s="44">
        <f ca="1">+'TUSD BE'!$T$11+'TUSD BE'!$AB$11+'TUSD BE'!$AD$11+'TUSD BE'!$AL$11</f>
        <v>1025.7031898930688</v>
      </c>
      <c r="AP11" s="44">
        <f ca="1">+'TUSD BE'!$T$11+'TUSD BE'!$AB$11+'TUSD BE'!$AD$11+'TUSD BE'!$AL$11</f>
        <v>1025.7031898930688</v>
      </c>
    </row>
    <row r="12" spans="1:42" ht="11.25" customHeight="1" x14ac:dyDescent="0.25">
      <c r="A12" s="137"/>
      <c r="B12" s="137"/>
      <c r="C12" s="137"/>
      <c r="D12" s="137"/>
      <c r="E12" s="137"/>
      <c r="F12" s="137"/>
      <c r="G12" s="41" t="s">
        <v>72</v>
      </c>
      <c r="H12" s="41" t="s">
        <v>70</v>
      </c>
      <c r="I12" s="41">
        <f>'MERCADO TUSD'!$U$9</f>
        <v>26371.822</v>
      </c>
      <c r="J12" s="15"/>
      <c r="L12" s="31">
        <f>'TUSD BE'!$L$12*'TUSD BF'!$L$58</f>
        <v>0.14107834193795094</v>
      </c>
      <c r="M12" s="31">
        <f>'TUSD BE'!$M$12*'TUSD BF'!$M$58</f>
        <v>0</v>
      </c>
      <c r="N12" s="31">
        <f ca="1">'TUSD BE'!$N$12*'TUSD BF'!$N$58</f>
        <v>0</v>
      </c>
      <c r="O12" s="31">
        <f>'TUSD BE'!$O$12*'TUSD BF'!$O$58</f>
        <v>0</v>
      </c>
      <c r="P12" s="31">
        <f>'TUSD BE'!$P$12*'TUSD BF'!$P$58</f>
        <v>0</v>
      </c>
      <c r="Q12" s="31">
        <f>'TUSD BE'!$Q$12*'TUSD BF'!$Q$58</f>
        <v>12.243127049131532</v>
      </c>
      <c r="R12" s="31">
        <f>'TUSD BE'!$R$12*'TUSD BF'!$R$58</f>
        <v>3.2058630351298234</v>
      </c>
      <c r="S12" s="31">
        <f>'TUSD BE'!$R$12*'TUSD BF'!$S$58</f>
        <v>0</v>
      </c>
      <c r="T12" s="31">
        <f ca="1">SUM($L$12:$S$12)</f>
        <v>15.590068426199306</v>
      </c>
      <c r="U12" s="31">
        <f>'TUSD BE'!$U$12*'TUSD BF'!$U$58</f>
        <v>0</v>
      </c>
      <c r="V12" s="31">
        <f>'TUSD BE'!$V$12*'TUSD BF'!$V$58</f>
        <v>0</v>
      </c>
      <c r="W12" s="31">
        <f>'TUSD BE'!$W$12*'TUSD BF'!$W$58</f>
        <v>0</v>
      </c>
      <c r="X12" s="31">
        <f>'TUSD BE'!$X$12*'TUSD BF'!$X$58</f>
        <v>0</v>
      </c>
      <c r="Y12" s="31">
        <f>'TUSD BE'!$Y$12*'TUSD BF'!$Y$58</f>
        <v>0</v>
      </c>
      <c r="Z12" s="31">
        <f>'TUSD BE'!$Z$12*'TUSD BF'!$Z$58</f>
        <v>0</v>
      </c>
      <c r="AA12" s="31">
        <f>'TUSD BE'!$AA$12*'TUSD BF'!$AA$58</f>
        <v>0</v>
      </c>
      <c r="AB12" s="31">
        <f>SUM($U$12:$AA$12)</f>
        <v>0</v>
      </c>
      <c r="AC12" s="31">
        <f>'TUSD BE'!$AC$12*'TUSD BF'!$AC$58</f>
        <v>0</v>
      </c>
      <c r="AD12" s="31">
        <f>SUM($AC$12:$AC$12)</f>
        <v>0</v>
      </c>
      <c r="AE12" s="31">
        <f ca="1">$AO$12*$AO$55</f>
        <v>0</v>
      </c>
      <c r="AF12" s="31">
        <f ca="1">$AP$12*$AP$55</f>
        <v>0</v>
      </c>
      <c r="AG12" s="31">
        <f ca="1">SUM($AE$12:$AF$12)</f>
        <v>0</v>
      </c>
      <c r="AH12" s="31">
        <f>'TUSD BE'!$AH$12*'TUSD BF'!$AH$58</f>
        <v>1.1226527744537365</v>
      </c>
      <c r="AI12" s="31">
        <f>'TUSD BE'!$AI$12*'TUSD BF'!$AI$58</f>
        <v>3.6102992035022423E-2</v>
      </c>
      <c r="AJ12" s="31">
        <f ca="1">'TUSD BE'!$AJ$12*'TUSD BF'!$AJ$58</f>
        <v>0.13813900614585492</v>
      </c>
      <c r="AK12" s="31">
        <f ca="1">'TUSD BE'!$AK$12*'TUSD BF'!$AK$58</f>
        <v>0</v>
      </c>
      <c r="AL12" s="31">
        <f ca="1">SUM($AH$12:$AK$12)</f>
        <v>1.2968947726346138</v>
      </c>
      <c r="AM12" s="31">
        <f ca="1">SUMIF($L$4:$AL$4,"SUBTOTAL",$L$12:$AL$12)</f>
        <v>16.886963198833918</v>
      </c>
      <c r="AO12" s="44">
        <f ca="1">+'TUSD BE'!$T$12+'TUSD BE'!$AB$12+'TUSD BE'!$AD$12+'TUSD BE'!$AL$12</f>
        <v>108.2437968854409</v>
      </c>
      <c r="AP12" s="44">
        <f ca="1">+'TUSD BE'!$T$12+'TUSD BE'!$AB$12+'TUSD BE'!$AD$12+'TUSD BE'!$AL$12</f>
        <v>108.2437968854409</v>
      </c>
    </row>
    <row r="13" spans="1:42" ht="11.25" customHeight="1" x14ac:dyDescent="0.25">
      <c r="A13" s="137"/>
      <c r="B13" s="137"/>
      <c r="C13" s="137"/>
      <c r="D13" s="137"/>
      <c r="E13" s="137" t="s">
        <v>78</v>
      </c>
      <c r="F13" s="137" t="s">
        <v>25</v>
      </c>
      <c r="G13" s="41" t="s">
        <v>71</v>
      </c>
      <c r="H13" s="41" t="s">
        <v>70</v>
      </c>
      <c r="I13" s="41">
        <f>'MERCADO TUSD'!$U$10</f>
        <v>0</v>
      </c>
      <c r="J13" s="15"/>
      <c r="L13" s="31">
        <f>'TUSD BE'!$L$13*'TUSD BF'!$L$58</f>
        <v>0</v>
      </c>
      <c r="M13" s="31">
        <f>'TUSD BE'!$M$13*'TUSD BF'!$M$58</f>
        <v>0</v>
      </c>
      <c r="N13" s="31">
        <f ca="1">'TUSD BE'!$N$13*'TUSD BF'!$N$58</f>
        <v>0</v>
      </c>
      <c r="O13" s="31">
        <f>'TUSD BE'!$O$13*'TUSD BF'!$O$58</f>
        <v>0</v>
      </c>
      <c r="P13" s="31">
        <f>'TUSD BE'!$P$13*'TUSD BF'!$P$58</f>
        <v>0</v>
      </c>
      <c r="Q13" s="31">
        <f>'TUSD BE'!$Q$13*'TUSD BF'!$Q$58</f>
        <v>0</v>
      </c>
      <c r="R13" s="31">
        <f>'TUSD BE'!$R$13*'TUSD BF'!$R$58</f>
        <v>0</v>
      </c>
      <c r="S13" s="31">
        <f>'TUSD BE'!$R$13*'TUSD BF'!$S$58</f>
        <v>0</v>
      </c>
      <c r="T13" s="31">
        <f ca="1">SUM($L$13:$S$13)</f>
        <v>0</v>
      </c>
      <c r="U13" s="31">
        <f>'TUSD BE'!$U$13*'TUSD BF'!$U$58</f>
        <v>0</v>
      </c>
      <c r="V13" s="31">
        <f>'TUSD BE'!$V$13*'TUSD BF'!$V$58</f>
        <v>0</v>
      </c>
      <c r="W13" s="31">
        <f>'TUSD BE'!$W$13*'TUSD BF'!$W$58</f>
        <v>0</v>
      </c>
      <c r="X13" s="31">
        <f>'TUSD BE'!$X$13*'TUSD BF'!$X$58</f>
        <v>0</v>
      </c>
      <c r="Y13" s="31">
        <f>'TUSD BE'!$Y$13*'TUSD BF'!$Y$58</f>
        <v>0</v>
      </c>
      <c r="Z13" s="31">
        <f>'TUSD BE'!$Z$13*'TUSD BF'!$Z$58</f>
        <v>0</v>
      </c>
      <c r="AA13" s="31">
        <f>'TUSD BE'!$AA$13*'TUSD BF'!$AA$58</f>
        <v>0</v>
      </c>
      <c r="AB13" s="31">
        <f>SUM($U$13:$AA$13)</f>
        <v>0</v>
      </c>
      <c r="AC13" s="31">
        <f>'TUSD BE'!$AC$13*'TUSD BF'!$AC$58</f>
        <v>0</v>
      </c>
      <c r="AD13" s="31">
        <f>SUM($AC$13:$AC$13)</f>
        <v>0</v>
      </c>
      <c r="AE13" s="31">
        <f ca="1">$AO$13*$AO$55</f>
        <v>0</v>
      </c>
      <c r="AF13" s="31">
        <f ca="1">$AP$13*$AP$55</f>
        <v>0</v>
      </c>
      <c r="AG13" s="31">
        <f ca="1">SUM($AE$13:$AF$13)</f>
        <v>0</v>
      </c>
      <c r="AH13" s="31">
        <f>'TUSD BE'!$AH$13*'TUSD BF'!$AH$58</f>
        <v>1.1226527744537365</v>
      </c>
      <c r="AI13" s="31">
        <f>'TUSD BE'!$AI$13*'TUSD BF'!$AI$58</f>
        <v>3.6102992035022423E-2</v>
      </c>
      <c r="AJ13" s="31">
        <f ca="1">'TUSD BE'!$AJ$13*'TUSD BF'!$AJ$58</f>
        <v>0.13813900614585492</v>
      </c>
      <c r="AK13" s="31">
        <f ca="1">'TUSD BE'!$AK$13*'TUSD BF'!$AK$58</f>
        <v>0</v>
      </c>
      <c r="AL13" s="31">
        <f ca="1">SUM($AH$13:$AK$13)</f>
        <v>1.2968947726346138</v>
      </c>
      <c r="AM13" s="31">
        <f ca="1">SUMIF($L$4:$AL$4,"SUBTOTAL",$L$13:$AL$13)</f>
        <v>1.2968947726346138</v>
      </c>
      <c r="AO13" s="44">
        <f ca="1">+'TUSD BE'!$T$13+'TUSD BE'!$AB$13+'TUSD BE'!$AD$13+'TUSD BE'!$AL$13</f>
        <v>930.07819916487608</v>
      </c>
      <c r="AP13" s="44">
        <f ca="1">+'TUSD BE'!$T$13+'TUSD BE'!$AB$13+'TUSD BE'!$AD$13+'TUSD BE'!$AL$13</f>
        <v>930.07819916487608</v>
      </c>
    </row>
    <row r="14" spans="1:42" ht="11.25" customHeight="1" x14ac:dyDescent="0.25">
      <c r="A14" s="137"/>
      <c r="B14" s="137"/>
      <c r="C14" s="137"/>
      <c r="D14" s="137"/>
      <c r="E14" s="137"/>
      <c r="F14" s="137"/>
      <c r="G14" s="41" t="s">
        <v>72</v>
      </c>
      <c r="H14" s="41" t="s">
        <v>70</v>
      </c>
      <c r="I14" s="41">
        <f>'MERCADO TUSD'!$U$11</f>
        <v>0</v>
      </c>
      <c r="J14" s="15"/>
      <c r="L14" s="31">
        <f>'TUSD BE'!$L$14*'TUSD BF'!$L$58</f>
        <v>0</v>
      </c>
      <c r="M14" s="31">
        <f>'TUSD BE'!$M$14*'TUSD BF'!$M$58</f>
        <v>0</v>
      </c>
      <c r="N14" s="31">
        <f ca="1">'TUSD BE'!$N$14*'TUSD BF'!$N$58</f>
        <v>0</v>
      </c>
      <c r="O14" s="31">
        <f>'TUSD BE'!$O$14*'TUSD BF'!$O$58</f>
        <v>0</v>
      </c>
      <c r="P14" s="31">
        <f>'TUSD BE'!$P$14*'TUSD BF'!$P$58</f>
        <v>0</v>
      </c>
      <c r="Q14" s="31">
        <f>'TUSD BE'!$Q$14*'TUSD BF'!$Q$58</f>
        <v>0</v>
      </c>
      <c r="R14" s="31">
        <f>'TUSD BE'!$R$14*'TUSD BF'!$R$58</f>
        <v>0</v>
      </c>
      <c r="S14" s="31">
        <f>'TUSD BE'!$R$14*'TUSD BF'!$S$58</f>
        <v>0</v>
      </c>
      <c r="T14" s="31">
        <f ca="1">SUM($L$14:$S$14)</f>
        <v>0</v>
      </c>
      <c r="U14" s="31">
        <f>'TUSD BE'!$U$14*'TUSD BF'!$U$58</f>
        <v>0</v>
      </c>
      <c r="V14" s="31">
        <f>'TUSD BE'!$V$14*'TUSD BF'!$V$58</f>
        <v>0</v>
      </c>
      <c r="W14" s="31">
        <f>'TUSD BE'!$W$14*'TUSD BF'!$W$58</f>
        <v>0</v>
      </c>
      <c r="X14" s="31">
        <f>'TUSD BE'!$X$14*'TUSD BF'!$X$58</f>
        <v>0</v>
      </c>
      <c r="Y14" s="31">
        <f>'TUSD BE'!$Y$14*'TUSD BF'!$Y$58</f>
        <v>0</v>
      </c>
      <c r="Z14" s="31">
        <f>'TUSD BE'!$Z$14*'TUSD BF'!$Z$58</f>
        <v>0</v>
      </c>
      <c r="AA14" s="31">
        <f>'TUSD BE'!$AA$14*'TUSD BF'!$AA$58</f>
        <v>0</v>
      </c>
      <c r="AB14" s="31">
        <f>SUM($U$14:$AA$14)</f>
        <v>0</v>
      </c>
      <c r="AC14" s="31">
        <f>'TUSD BE'!$AC$14*'TUSD BF'!$AC$58</f>
        <v>0</v>
      </c>
      <c r="AD14" s="31">
        <f>SUM($AC$14:$AC$14)</f>
        <v>0</v>
      </c>
      <c r="AE14" s="31">
        <f ca="1">$AO$14*$AO$55</f>
        <v>0</v>
      </c>
      <c r="AF14" s="31">
        <f ca="1">$AP$14*$AP$55</f>
        <v>0</v>
      </c>
      <c r="AG14" s="31">
        <f ca="1">SUM($AE$14:$AF$14)</f>
        <v>0</v>
      </c>
      <c r="AH14" s="31">
        <f>'TUSD BE'!$AH$14*'TUSD BF'!$AH$58</f>
        <v>1.1226527744537365</v>
      </c>
      <c r="AI14" s="31">
        <f>'TUSD BE'!$AI$14*'TUSD BF'!$AI$58</f>
        <v>3.6102992035022423E-2</v>
      </c>
      <c r="AJ14" s="31">
        <f ca="1">'TUSD BE'!$AJ$14*'TUSD BF'!$AJ$58</f>
        <v>0.13813900614585492</v>
      </c>
      <c r="AK14" s="31">
        <f ca="1">'TUSD BE'!$AK$14*'TUSD BF'!$AK$58</f>
        <v>0</v>
      </c>
      <c r="AL14" s="31">
        <f ca="1">SUM($AH$14:$AK$14)</f>
        <v>1.2968947726346138</v>
      </c>
      <c r="AM14" s="31">
        <f ca="1">SUMIF($L$4:$AL$4,"SUBTOTAL",$L$14:$AL$14)</f>
        <v>1.2968947726346138</v>
      </c>
      <c r="AO14" s="44">
        <f ca="1">+'TUSD BE'!$T$14+'TUSD BE'!$AB$14+'TUSD BE'!$AD$14+'TUSD BE'!$AL$14</f>
        <v>12.618806157247993</v>
      </c>
      <c r="AP14" s="44">
        <f ca="1">+'TUSD BE'!$T$14+'TUSD BE'!$AB$14+'TUSD BE'!$AD$14+'TUSD BE'!$AL$14</f>
        <v>12.618806157247993</v>
      </c>
    </row>
    <row r="15" spans="1:42" ht="11.25" customHeight="1" x14ac:dyDescent="0.25">
      <c r="A15" s="137" t="s">
        <v>80</v>
      </c>
      <c r="B15" s="137" t="s">
        <v>79</v>
      </c>
      <c r="C15" s="137" t="s">
        <v>25</v>
      </c>
      <c r="D15" s="137" t="s">
        <v>25</v>
      </c>
      <c r="E15" s="42" t="s">
        <v>81</v>
      </c>
      <c r="F15" s="42" t="s">
        <v>25</v>
      </c>
      <c r="G15" s="41" t="s">
        <v>9</v>
      </c>
      <c r="H15" s="41" t="s">
        <v>75</v>
      </c>
      <c r="I15" s="41">
        <f>'MERCADO TUSD'!$U$12+0.00000001</f>
        <v>1E-8</v>
      </c>
      <c r="J15" s="15"/>
      <c r="L15" s="31">
        <f>'TUSD BE'!$L$15*'TUSD BF'!$L$58</f>
        <v>0</v>
      </c>
      <c r="M15" s="31">
        <f>'TUSD BE'!$M$15*'TUSD BF'!$M$58</f>
        <v>0</v>
      </c>
      <c r="N15" s="31">
        <f ca="1">'TUSD BE'!$N$15*'TUSD BF'!$N$58</f>
        <v>0</v>
      </c>
      <c r="O15" s="31">
        <f>'TUSD BE'!$O$15*'TUSD BF'!$O$58</f>
        <v>0</v>
      </c>
      <c r="P15" s="31">
        <f>'TUSD BE'!$P$15*'TUSD BF'!$P$58</f>
        <v>0</v>
      </c>
      <c r="Q15" s="31">
        <f>'TUSD BE'!$Q$15*'TUSD BF'!$Q$58</f>
        <v>0</v>
      </c>
      <c r="R15" s="31">
        <f>'TUSD BE'!$R$15*'TUSD BF'!$R$58</f>
        <v>0</v>
      </c>
      <c r="S15" s="31">
        <f>'TUSD BE'!$R$15*'TUSD BF'!$S$58</f>
        <v>0</v>
      </c>
      <c r="T15" s="31">
        <f ca="1">SUM($L$15:$S$15)</f>
        <v>0</v>
      </c>
      <c r="U15" s="31">
        <f>'TUSD BE'!$U$15*'TUSD BF'!$U$58</f>
        <v>0</v>
      </c>
      <c r="V15" s="31">
        <f>'TUSD BE'!$V$15*'TUSD BF'!$V$58</f>
        <v>0</v>
      </c>
      <c r="W15" s="31">
        <f>'TUSD BE'!$W$15*'TUSD BF'!$W$58</f>
        <v>0</v>
      </c>
      <c r="X15" s="31">
        <f>'TUSD BE'!$X$15*'TUSD BF'!$X$58</f>
        <v>0</v>
      </c>
      <c r="Y15" s="31">
        <f>'TUSD BE'!$Y$15*'TUSD BF'!$Y$58</f>
        <v>0</v>
      </c>
      <c r="Z15" s="31">
        <f>'TUSD BE'!$Z$15*'TUSD BF'!$Z$58</f>
        <v>0</v>
      </c>
      <c r="AA15" s="31">
        <f>'TUSD BE'!$AA$15*'TUSD BF'!$AA$58</f>
        <v>0</v>
      </c>
      <c r="AB15" s="31">
        <f>SUM($U$15:$AA$15)</f>
        <v>0</v>
      </c>
      <c r="AC15" s="31">
        <f>'TUSD BE'!$AC$15*'TUSD BF'!$AC$58</f>
        <v>0</v>
      </c>
      <c r="AD15" s="31">
        <f>SUM($AC$15:$AC$15)</f>
        <v>0</v>
      </c>
      <c r="AE15" s="31">
        <f ca="1">$AO$15*$AO$55</f>
        <v>0</v>
      </c>
      <c r="AF15" s="31">
        <f ca="1">$AP$15*$AP$55</f>
        <v>0</v>
      </c>
      <c r="AG15" s="31">
        <f ca="1">SUM($AE$15:$AF$15)</f>
        <v>0</v>
      </c>
      <c r="AH15" s="31">
        <f>'TUSD BE'!$AH$15*'TUSD BF'!$AH$58</f>
        <v>0</v>
      </c>
      <c r="AI15" s="31">
        <f>'TUSD BE'!$AI$15*'TUSD BF'!$AI$58</f>
        <v>0</v>
      </c>
      <c r="AJ15" s="31">
        <f ca="1">'TUSD BE'!$AJ$15*'TUSD BF'!$AJ$58</f>
        <v>0</v>
      </c>
      <c r="AK15" s="31">
        <f ca="1">'TUSD BE'!$AK$15*'TUSD BF'!$AK$58</f>
        <v>0</v>
      </c>
      <c r="AL15" s="31">
        <f ca="1">SUM($AH$15:$AK$15)</f>
        <v>0</v>
      </c>
      <c r="AM15" s="31">
        <f ca="1">SUMIF($L$4:$AL$4,"SUBTOTAL",$L$15:$AL$15)</f>
        <v>0</v>
      </c>
      <c r="AO15" s="44">
        <f ca="1">+'TUSD BE'!$T$15+'TUSD BE'!$AB$15+'TUSD BE'!$AD$15+'TUSD BE'!$AL$15</f>
        <v>5.2466237823741748</v>
      </c>
      <c r="AP15" s="44">
        <f ca="1">+'TUSD BE'!$T$15+'TUSD BE'!$AB$15+'TUSD BE'!$AD$15+'TUSD BE'!$AL$15</f>
        <v>5.2466237823741748</v>
      </c>
    </row>
    <row r="16" spans="1:42" ht="11.25" customHeight="1" x14ac:dyDescent="0.25">
      <c r="A16" s="137"/>
      <c r="B16" s="137"/>
      <c r="C16" s="137"/>
      <c r="D16" s="137"/>
      <c r="E16" s="42" t="s">
        <v>82</v>
      </c>
      <c r="F16" s="42" t="s">
        <v>25</v>
      </c>
      <c r="G16" s="41" t="s">
        <v>9</v>
      </c>
      <c r="H16" s="41" t="s">
        <v>75</v>
      </c>
      <c r="I16" s="41">
        <f>'MERCADO TUSD'!$U$13+0.00000001</f>
        <v>1E-8</v>
      </c>
      <c r="J16" s="15"/>
      <c r="L16" s="31">
        <f>'TUSD BE'!$L$16*'TUSD BF'!$L$58</f>
        <v>0</v>
      </c>
      <c r="M16" s="31">
        <f>'TUSD BE'!$M$16*'TUSD BF'!$M$58</f>
        <v>0</v>
      </c>
      <c r="N16" s="31">
        <f ca="1">'TUSD BE'!$N$16*'TUSD BF'!$N$58</f>
        <v>0</v>
      </c>
      <c r="O16" s="31">
        <f>'TUSD BE'!$O$16*'TUSD BF'!$O$58</f>
        <v>0</v>
      </c>
      <c r="P16" s="31">
        <f>'TUSD BE'!$P$16*'TUSD BF'!$P$58</f>
        <v>0</v>
      </c>
      <c r="Q16" s="31">
        <f>'TUSD BE'!$Q$16*'TUSD BF'!$Q$58</f>
        <v>0</v>
      </c>
      <c r="R16" s="31">
        <f>'TUSD BE'!$R$16*'TUSD BF'!$R$58</f>
        <v>0</v>
      </c>
      <c r="S16" s="31">
        <f>'TUSD BE'!$R$16*'TUSD BF'!$S$58</f>
        <v>0</v>
      </c>
      <c r="T16" s="31">
        <f ca="1">SUM($L$16:$S$16)</f>
        <v>0</v>
      </c>
      <c r="U16" s="31">
        <f>'TUSD BE'!$U$16*'TUSD BF'!$U$58</f>
        <v>0</v>
      </c>
      <c r="V16" s="31">
        <f>'TUSD BE'!$V$16*'TUSD BF'!$V$58</f>
        <v>0</v>
      </c>
      <c r="W16" s="31">
        <f>'TUSD BE'!$W$16*'TUSD BF'!$W$58</f>
        <v>0</v>
      </c>
      <c r="X16" s="31">
        <f>'TUSD BE'!$X$16*'TUSD BF'!$X$58</f>
        <v>0</v>
      </c>
      <c r="Y16" s="31">
        <f>'TUSD BE'!$Y$16*'TUSD BF'!$Y$58</f>
        <v>0</v>
      </c>
      <c r="Z16" s="31">
        <f>'TUSD BE'!$Z$16*'TUSD BF'!$Z$58</f>
        <v>0</v>
      </c>
      <c r="AA16" s="31">
        <f>'TUSD BE'!$AA$16*'TUSD BF'!$AA$58</f>
        <v>0</v>
      </c>
      <c r="AB16" s="31">
        <f>SUM($U$16:$AA$16)</f>
        <v>0</v>
      </c>
      <c r="AC16" s="31">
        <f>'TUSD BE'!$AC$16*'TUSD BF'!$AC$58</f>
        <v>0</v>
      </c>
      <c r="AD16" s="31">
        <f>SUM($AC$16:$AC$16)</f>
        <v>0</v>
      </c>
      <c r="AE16" s="31">
        <f ca="1">$AO$16*$AO$55</f>
        <v>0</v>
      </c>
      <c r="AF16" s="31">
        <f ca="1">$AP$16*$AP$55</f>
        <v>0</v>
      </c>
      <c r="AG16" s="31">
        <f ca="1">SUM($AE$16:$AF$16)</f>
        <v>0</v>
      </c>
      <c r="AH16" s="31">
        <f>'TUSD BE'!$AH$16*'TUSD BF'!$AH$58</f>
        <v>0</v>
      </c>
      <c r="AI16" s="31">
        <f>'TUSD BE'!$AI$16*'TUSD BF'!$AI$58</f>
        <v>0</v>
      </c>
      <c r="AJ16" s="31">
        <f ca="1">'TUSD BE'!$AJ$16*'TUSD BF'!$AJ$58</f>
        <v>0</v>
      </c>
      <c r="AK16" s="31">
        <f ca="1">'TUSD BE'!$AK$16*'TUSD BF'!$AK$58</f>
        <v>0</v>
      </c>
      <c r="AL16" s="31">
        <f ca="1">SUM($AH$16:$AK$16)</f>
        <v>0</v>
      </c>
      <c r="AM16" s="31">
        <f ca="1">SUMIF($L$4:$AL$4,"SUBTOTAL",$L$16:$AL$16)</f>
        <v>0</v>
      </c>
      <c r="AO16" s="44">
        <f ca="1">+'TUSD BE'!$T$16+'TUSD BE'!$AB$16+'TUSD BE'!$AD$16+'TUSD BE'!$AL$16</f>
        <v>8.9721264086041721</v>
      </c>
      <c r="AP16" s="44">
        <f ca="1">+'TUSD BE'!$T$16+'TUSD BE'!$AB$16+'TUSD BE'!$AD$16+'TUSD BE'!$AL$16</f>
        <v>8.9721264086041721</v>
      </c>
    </row>
    <row r="17" spans="1:42" ht="11.25" customHeight="1" x14ac:dyDescent="0.25">
      <c r="A17" s="137" t="s">
        <v>22</v>
      </c>
      <c r="B17" s="137" t="s">
        <v>49</v>
      </c>
      <c r="C17" s="137" t="s">
        <v>24</v>
      </c>
      <c r="D17" s="137" t="s">
        <v>24</v>
      </c>
      <c r="E17" s="137" t="s">
        <v>25</v>
      </c>
      <c r="F17" s="137" t="s">
        <v>25</v>
      </c>
      <c r="G17" s="41" t="s">
        <v>71</v>
      </c>
      <c r="H17" s="41" t="s">
        <v>70</v>
      </c>
      <c r="I17" s="41">
        <f>'MERCADO TUSD'!$U$14</f>
        <v>0</v>
      </c>
      <c r="J17" s="15"/>
      <c r="L17" s="31">
        <f>'TUSD BE'!$L$17*'TUSD BF'!$L$58</f>
        <v>0.16795040706898923</v>
      </c>
      <c r="M17" s="31">
        <f>'TUSD BE'!$M$17*'TUSD BF'!$M$58</f>
        <v>0</v>
      </c>
      <c r="N17" s="31">
        <f ca="1">'TUSD BE'!$N$17*'TUSD BF'!$N$58</f>
        <v>0</v>
      </c>
      <c r="O17" s="31">
        <f>'TUSD BE'!$O$17*'TUSD BF'!$O$58</f>
        <v>0</v>
      </c>
      <c r="P17" s="31">
        <f>'TUSD BE'!$P$17*'TUSD BF'!$P$58</f>
        <v>0</v>
      </c>
      <c r="Q17" s="31">
        <f>'TUSD BE'!$Q$17*'TUSD BF'!$Q$58</f>
        <v>14.575151248966112</v>
      </c>
      <c r="R17" s="31">
        <f>'TUSD BE'!$R$17*'TUSD BF'!$R$58</f>
        <v>3.2058630351298234</v>
      </c>
      <c r="S17" s="31">
        <f>'TUSD BE'!$R$17*'TUSD BF'!$S$58</f>
        <v>0</v>
      </c>
      <c r="T17" s="31">
        <f ca="1">SUM($L$17:$S$17)</f>
        <v>17.948964691164925</v>
      </c>
      <c r="U17" s="31">
        <f>'TUSD BE'!$U$17*'TUSD BF'!$U$58</f>
        <v>0</v>
      </c>
      <c r="V17" s="31">
        <f>'TUSD BE'!$V$17*'TUSD BF'!$V$58</f>
        <v>0</v>
      </c>
      <c r="W17" s="31">
        <f>'TUSD BE'!$W$17*'TUSD BF'!$W$58</f>
        <v>0</v>
      </c>
      <c r="X17" s="31">
        <f>'TUSD BE'!$X$17*'TUSD BF'!$X$58</f>
        <v>0</v>
      </c>
      <c r="Y17" s="31">
        <f>'TUSD BE'!$Y$17*'TUSD BF'!$Y$58</f>
        <v>0</v>
      </c>
      <c r="Z17" s="31">
        <f>'TUSD BE'!$Z$17*'TUSD BF'!$Z$58</f>
        <v>0</v>
      </c>
      <c r="AA17" s="31">
        <f>'TUSD BE'!$AA$17*'TUSD BF'!$AA$58</f>
        <v>0</v>
      </c>
      <c r="AB17" s="31">
        <f>SUM($U$17:$AA$17)</f>
        <v>0</v>
      </c>
      <c r="AC17" s="31">
        <f>'TUSD BE'!$AC$17*'TUSD BF'!$AC$58</f>
        <v>0</v>
      </c>
      <c r="AD17" s="31">
        <f>SUM($AC$17:$AC$17)</f>
        <v>0</v>
      </c>
      <c r="AE17" s="31">
        <f ca="1">$AO$17*$AO$55</f>
        <v>0</v>
      </c>
      <c r="AF17" s="31">
        <f ca="1">$AP$17*$AP$55</f>
        <v>0</v>
      </c>
      <c r="AG17" s="31">
        <f ca="1">SUM($AE$17:$AF$17)</f>
        <v>0</v>
      </c>
      <c r="AH17" s="31">
        <f>'TUSD BE'!$AH$17*'TUSD BF'!$AH$58</f>
        <v>1.951759692823581</v>
      </c>
      <c r="AI17" s="31">
        <f>'TUSD BE'!$AI$17*'TUSD BF'!$AI$58</f>
        <v>6.2765947092211394E-2</v>
      </c>
      <c r="AJ17" s="31">
        <f ca="1">'TUSD BE'!$AJ$17*'TUSD BF'!$AJ$58</f>
        <v>0.206324135063261</v>
      </c>
      <c r="AK17" s="31">
        <f ca="1">'TUSD BE'!$AK$17*'TUSD BF'!$AK$58</f>
        <v>0</v>
      </c>
      <c r="AL17" s="31">
        <f ca="1">SUM($AH$17:$AK$17)</f>
        <v>2.2208497749790532</v>
      </c>
      <c r="AM17" s="31">
        <f ca="1">SUMIF($L$4:$AL$4,"SUBTOTAL",$L$17:$AL$17)</f>
        <v>20.169814466143979</v>
      </c>
      <c r="AO17" s="44">
        <f ca="1">+'TUSD BE'!$T$17+'TUSD BE'!$AB$17+'TUSD BE'!$AD$17+'TUSD BE'!$AL$17</f>
        <v>1045.5978514326691</v>
      </c>
      <c r="AP17" s="44">
        <f ca="1">+'TUSD BE'!$T$17+'TUSD BE'!$AB$17+'TUSD BE'!$AD$17+'TUSD BE'!$AL$17</f>
        <v>1045.5978514326691</v>
      </c>
    </row>
    <row r="18" spans="1:42" ht="11.25" customHeight="1" x14ac:dyDescent="0.25">
      <c r="A18" s="137"/>
      <c r="B18" s="137"/>
      <c r="C18" s="137"/>
      <c r="D18" s="137"/>
      <c r="E18" s="137"/>
      <c r="F18" s="137"/>
      <c r="G18" s="41" t="s">
        <v>83</v>
      </c>
      <c r="H18" s="41" t="s">
        <v>70</v>
      </c>
      <c r="I18" s="41">
        <f>'MERCADO TUSD'!$U$15</f>
        <v>0</v>
      </c>
      <c r="J18" s="15"/>
      <c r="L18" s="31">
        <f>'TUSD BE'!$L$18*'TUSD BF'!$L$58</f>
        <v>0.16795040706898923</v>
      </c>
      <c r="M18" s="31">
        <f>'TUSD BE'!$M$18*'TUSD BF'!$M$58</f>
        <v>0</v>
      </c>
      <c r="N18" s="31">
        <f ca="1">'TUSD BE'!$N$18*'TUSD BF'!$N$58</f>
        <v>0</v>
      </c>
      <c r="O18" s="31">
        <f>'TUSD BE'!$O$18*'TUSD BF'!$O$58</f>
        <v>0</v>
      </c>
      <c r="P18" s="31">
        <f>'TUSD BE'!$P$18*'TUSD BF'!$P$58</f>
        <v>0</v>
      </c>
      <c r="Q18" s="31">
        <f>'TUSD BE'!$Q$18*'TUSD BF'!$Q$58</f>
        <v>14.575151248966112</v>
      </c>
      <c r="R18" s="31">
        <f>'TUSD BE'!$R$18*'TUSD BF'!$R$58</f>
        <v>3.2058630351298234</v>
      </c>
      <c r="S18" s="31">
        <f>'TUSD BE'!$R$18*'TUSD BF'!$S$58</f>
        <v>0</v>
      </c>
      <c r="T18" s="31">
        <f ca="1">SUM($L$18:$S$18)</f>
        <v>17.948964691164925</v>
      </c>
      <c r="U18" s="31">
        <f>'TUSD BE'!$U$18*'TUSD BF'!$U$58</f>
        <v>0</v>
      </c>
      <c r="V18" s="31">
        <f>'TUSD BE'!$V$18*'TUSD BF'!$V$58</f>
        <v>0</v>
      </c>
      <c r="W18" s="31">
        <f>'TUSD BE'!$W$18*'TUSD BF'!$W$58</f>
        <v>0</v>
      </c>
      <c r="X18" s="31">
        <f>'TUSD BE'!$X$18*'TUSD BF'!$X$58</f>
        <v>0</v>
      </c>
      <c r="Y18" s="31">
        <f>'TUSD BE'!$Y$18*'TUSD BF'!$Y$58</f>
        <v>0</v>
      </c>
      <c r="Z18" s="31">
        <f>'TUSD BE'!$Z$18*'TUSD BF'!$Z$58</f>
        <v>0</v>
      </c>
      <c r="AA18" s="31">
        <f>'TUSD BE'!$AA$18*'TUSD BF'!$AA$58</f>
        <v>0</v>
      </c>
      <c r="AB18" s="31">
        <f>SUM($U$18:$AA$18)</f>
        <v>0</v>
      </c>
      <c r="AC18" s="31">
        <f>'TUSD BE'!$AC$18*'TUSD BF'!$AC$58</f>
        <v>0</v>
      </c>
      <c r="AD18" s="31">
        <f>SUM($AC$18:$AC$18)</f>
        <v>0</v>
      </c>
      <c r="AE18" s="31">
        <f ca="1">$AO$18*$AO$55</f>
        <v>0</v>
      </c>
      <c r="AF18" s="31">
        <f ca="1">$AP$18*$AP$55</f>
        <v>0</v>
      </c>
      <c r="AG18" s="31">
        <f ca="1">SUM($AE$18:$AF$18)</f>
        <v>0</v>
      </c>
      <c r="AH18" s="31">
        <f>'TUSD BE'!$AH$18*'TUSD BF'!$AH$58</f>
        <v>1.951759692823581</v>
      </c>
      <c r="AI18" s="31">
        <f>'TUSD BE'!$AI$18*'TUSD BF'!$AI$58</f>
        <v>6.2765947092211394E-2</v>
      </c>
      <c r="AJ18" s="31">
        <f ca="1">'TUSD BE'!$AJ$18*'TUSD BF'!$AJ$58</f>
        <v>0.206324135063261</v>
      </c>
      <c r="AK18" s="31">
        <f ca="1">'TUSD BE'!$AK$18*'TUSD BF'!$AK$58</f>
        <v>0</v>
      </c>
      <c r="AL18" s="31">
        <f ca="1">SUM($AH$18:$AK$18)</f>
        <v>2.2208497749790532</v>
      </c>
      <c r="AM18" s="31">
        <f ca="1">SUMIF($L$4:$AL$4,"SUBTOTAL",$L$18:$AL$18)</f>
        <v>20.169814466143979</v>
      </c>
      <c r="AO18" s="44">
        <f ca="1">+'TUSD BE'!$T$18+'TUSD BE'!$AB$18+'TUSD BE'!$AD$18+'TUSD BE'!$AL$18</f>
        <v>589.3558793448143</v>
      </c>
      <c r="AP18" s="44">
        <f ca="1">+'TUSD BE'!$T$18+'TUSD BE'!$AB$18+'TUSD BE'!$AD$18+'TUSD BE'!$AL$18</f>
        <v>589.3558793448143</v>
      </c>
    </row>
    <row r="19" spans="1:42" ht="11.25" customHeight="1" x14ac:dyDescent="0.25">
      <c r="A19" s="137"/>
      <c r="B19" s="137"/>
      <c r="C19" s="137"/>
      <c r="D19" s="137"/>
      <c r="E19" s="137"/>
      <c r="F19" s="137"/>
      <c r="G19" s="41" t="s">
        <v>72</v>
      </c>
      <c r="H19" s="41" t="s">
        <v>70</v>
      </c>
      <c r="I19" s="41">
        <f>'MERCADO TUSD'!$U$16</f>
        <v>0</v>
      </c>
      <c r="J19" s="15"/>
      <c r="L19" s="31">
        <f>'TUSD BE'!$L$19*'TUSD BF'!$L$58</f>
        <v>0.16795040706898923</v>
      </c>
      <c r="M19" s="31">
        <f>'TUSD BE'!$M$19*'TUSD BF'!$M$58</f>
        <v>0</v>
      </c>
      <c r="N19" s="31">
        <f ca="1">'TUSD BE'!$N$19*'TUSD BF'!$N$58</f>
        <v>0</v>
      </c>
      <c r="O19" s="31">
        <f>'TUSD BE'!$O$19*'TUSD BF'!$O$58</f>
        <v>0</v>
      </c>
      <c r="P19" s="31">
        <f>'TUSD BE'!$P$19*'TUSD BF'!$P$58</f>
        <v>0</v>
      </c>
      <c r="Q19" s="31">
        <f>'TUSD BE'!$Q$19*'TUSD BF'!$Q$58</f>
        <v>14.575151248966112</v>
      </c>
      <c r="R19" s="31">
        <f>'TUSD BE'!$R$19*'TUSD BF'!$R$58</f>
        <v>3.2058630351298234</v>
      </c>
      <c r="S19" s="31">
        <f>'TUSD BE'!$R$19*'TUSD BF'!$S$58</f>
        <v>0</v>
      </c>
      <c r="T19" s="31">
        <f ca="1">SUM($L$19:$S$19)</f>
        <v>17.948964691164925</v>
      </c>
      <c r="U19" s="31">
        <f>'TUSD BE'!$U$19*'TUSD BF'!$U$58</f>
        <v>0</v>
      </c>
      <c r="V19" s="31">
        <f>'TUSD BE'!$V$19*'TUSD BF'!$V$58</f>
        <v>0</v>
      </c>
      <c r="W19" s="31">
        <f>'TUSD BE'!$W$19*'TUSD BF'!$W$58</f>
        <v>0</v>
      </c>
      <c r="X19" s="31">
        <f>'TUSD BE'!$X$19*'TUSD BF'!$X$58</f>
        <v>0</v>
      </c>
      <c r="Y19" s="31">
        <f>'TUSD BE'!$Y$19*'TUSD BF'!$Y$58</f>
        <v>0</v>
      </c>
      <c r="Z19" s="31">
        <f>'TUSD BE'!$Z$19*'TUSD BF'!$Z$58</f>
        <v>0</v>
      </c>
      <c r="AA19" s="31">
        <f>'TUSD BE'!$AA$19*'TUSD BF'!$AA$58</f>
        <v>0</v>
      </c>
      <c r="AB19" s="31">
        <f>SUM($U$19:$AA$19)</f>
        <v>0</v>
      </c>
      <c r="AC19" s="31">
        <f>'TUSD BE'!$AC$19*'TUSD BF'!$AC$58</f>
        <v>0</v>
      </c>
      <c r="AD19" s="31">
        <f>SUM($AC$19:$AC$19)</f>
        <v>0</v>
      </c>
      <c r="AE19" s="31">
        <f ca="1">$AO$19*$AO$55</f>
        <v>0</v>
      </c>
      <c r="AF19" s="31">
        <f ca="1">$AP$19*$AP$55</f>
        <v>0</v>
      </c>
      <c r="AG19" s="31">
        <f ca="1">SUM($AE$19:$AF$19)</f>
        <v>0</v>
      </c>
      <c r="AH19" s="31">
        <f>'TUSD BE'!$AH$19*'TUSD BF'!$AH$58</f>
        <v>1.951759692823581</v>
      </c>
      <c r="AI19" s="31">
        <f>'TUSD BE'!$AI$19*'TUSD BF'!$AI$58</f>
        <v>6.2765947092211394E-2</v>
      </c>
      <c r="AJ19" s="31">
        <f ca="1">'TUSD BE'!$AJ$19*'TUSD BF'!$AJ$58</f>
        <v>0.206324135063261</v>
      </c>
      <c r="AK19" s="31">
        <f ca="1">'TUSD BE'!$AK$19*'TUSD BF'!$AK$58</f>
        <v>0</v>
      </c>
      <c r="AL19" s="31">
        <f ca="1">SUM($AH$19:$AK$19)</f>
        <v>2.2208497749790532</v>
      </c>
      <c r="AM19" s="31">
        <f ca="1">SUMIF($L$4:$AL$4,"SUBTOTAL",$L$19:$AL$19)</f>
        <v>20.169814466143979</v>
      </c>
      <c r="AO19" s="44">
        <f ca="1">+'TUSD BE'!$T$19+'TUSD BE'!$AB$19+'TUSD BE'!$AD$19+'TUSD BE'!$AL$19</f>
        <v>224.36219102555833</v>
      </c>
      <c r="AP19" s="44">
        <f ca="1">+'TUSD BE'!$T$19+'TUSD BE'!$AB$19+'TUSD BE'!$AD$19+'TUSD BE'!$AL$19</f>
        <v>224.36219102555833</v>
      </c>
    </row>
    <row r="20" spans="1:42" ht="11.25" customHeight="1" x14ac:dyDescent="0.25">
      <c r="A20" s="137"/>
      <c r="B20" s="137" t="s">
        <v>23</v>
      </c>
      <c r="C20" s="137" t="s">
        <v>24</v>
      </c>
      <c r="D20" s="42" t="s">
        <v>24</v>
      </c>
      <c r="E20" s="42" t="s">
        <v>25</v>
      </c>
      <c r="F20" s="42" t="s">
        <v>25</v>
      </c>
      <c r="G20" s="41" t="s">
        <v>74</v>
      </c>
      <c r="H20" s="41" t="s">
        <v>70</v>
      </c>
      <c r="I20" s="41">
        <f>'MERCADO TUSD'!$U$17</f>
        <v>20530.876000000004</v>
      </c>
      <c r="J20" s="15"/>
      <c r="L20" s="31">
        <f>'TUSD BE'!$L$20*'TUSD BF'!$L$58</f>
        <v>0.16795040706898923</v>
      </c>
      <c r="M20" s="31">
        <f>'TUSD BE'!$M$20*'TUSD BF'!$M$58</f>
        <v>0</v>
      </c>
      <c r="N20" s="31">
        <f ca="1">'TUSD BE'!$N$20*'TUSD BF'!$N$58</f>
        <v>0</v>
      </c>
      <c r="O20" s="31">
        <f>'TUSD BE'!$O$20*'TUSD BF'!$O$58</f>
        <v>0</v>
      </c>
      <c r="P20" s="31">
        <f>'TUSD BE'!$P$20*'TUSD BF'!$P$58</f>
        <v>0</v>
      </c>
      <c r="Q20" s="31">
        <f>'TUSD BE'!$Q$20*'TUSD BF'!$Q$58</f>
        <v>14.575151248966112</v>
      </c>
      <c r="R20" s="31">
        <f>'TUSD BE'!$R$20*'TUSD BF'!$R$58</f>
        <v>3.2058630351298234</v>
      </c>
      <c r="S20" s="31">
        <f>'TUSD BE'!$R$20*'TUSD BF'!$S$58</f>
        <v>0</v>
      </c>
      <c r="T20" s="31">
        <f ca="1">SUM($L$20:$S$20)</f>
        <v>17.948964691164925</v>
      </c>
      <c r="U20" s="31">
        <f>'TUSD BE'!$U$20*'TUSD BF'!$U$58</f>
        <v>0</v>
      </c>
      <c r="V20" s="31">
        <f>'TUSD BE'!$V$20*'TUSD BF'!$V$58</f>
        <v>0</v>
      </c>
      <c r="W20" s="31">
        <f>'TUSD BE'!$W$20*'TUSD BF'!$W$58</f>
        <v>0</v>
      </c>
      <c r="X20" s="31">
        <f>'TUSD BE'!$X$20*'TUSD BF'!$X$58</f>
        <v>0</v>
      </c>
      <c r="Y20" s="31">
        <f>'TUSD BE'!$Y$20*'TUSD BF'!$Y$58</f>
        <v>0</v>
      </c>
      <c r="Z20" s="31">
        <f>'TUSD BE'!$Z$20*'TUSD BF'!$Z$58</f>
        <v>0</v>
      </c>
      <c r="AA20" s="31">
        <f>'TUSD BE'!$AA$20*'TUSD BF'!$AA$58</f>
        <v>0</v>
      </c>
      <c r="AB20" s="31">
        <f>SUM($U$20:$AA$20)</f>
        <v>0</v>
      </c>
      <c r="AC20" s="31">
        <f>'TUSD BE'!$AC$20*'TUSD BF'!$AC$58</f>
        <v>0</v>
      </c>
      <c r="AD20" s="31">
        <f>SUM($AC$20:$AC$20)</f>
        <v>0</v>
      </c>
      <c r="AE20" s="31">
        <f ca="1">$AO$20*$AO$55</f>
        <v>0</v>
      </c>
      <c r="AF20" s="31">
        <f ca="1">$AP$20*$AP$55</f>
        <v>0</v>
      </c>
      <c r="AG20" s="31">
        <f ca="1">SUM($AE$20:$AF$20)</f>
        <v>0</v>
      </c>
      <c r="AH20" s="31">
        <f>'TUSD BE'!$AH$20*'TUSD BF'!$AH$58</f>
        <v>1.951759692823581</v>
      </c>
      <c r="AI20" s="31">
        <f>'TUSD BE'!$AI$20*'TUSD BF'!$AI$58</f>
        <v>6.2765947092211394E-2</v>
      </c>
      <c r="AJ20" s="31">
        <f ca="1">'TUSD BE'!$AJ$20*'TUSD BF'!$AJ$58</f>
        <v>0.206324135063261</v>
      </c>
      <c r="AK20" s="31">
        <f ca="1">'TUSD BE'!$AK$20*'TUSD BF'!$AK$58</f>
        <v>0</v>
      </c>
      <c r="AL20" s="31">
        <f ca="1">SUM($AH$20:$AK$20)</f>
        <v>2.2208497749790532</v>
      </c>
      <c r="AM20" s="31">
        <f ca="1">SUMIF($L$4:$AL$4,"SUBTOTAL",$L$20:$AL$20)</f>
        <v>20.169814466143979</v>
      </c>
      <c r="AO20" s="44">
        <f ca="1">+'TUSD BE'!$T$20+'TUSD BE'!$AB$20+'TUSD BE'!$AD$20+'TUSD BE'!$AL$20</f>
        <v>393.82348431464209</v>
      </c>
      <c r="AP20" s="44">
        <f ca="1">+'TUSD BE'!$T$20+'TUSD BE'!$AB$20+'TUSD BE'!$AD$20+'TUSD BE'!$AL$20</f>
        <v>393.82348431464209</v>
      </c>
    </row>
    <row r="21" spans="1:42" ht="11.25" customHeight="1" x14ac:dyDescent="0.25">
      <c r="A21" s="137"/>
      <c r="B21" s="137"/>
      <c r="C21" s="137"/>
      <c r="D21" s="42" t="s">
        <v>28</v>
      </c>
      <c r="E21" s="42" t="s">
        <v>25</v>
      </c>
      <c r="F21" s="42" t="s">
        <v>25</v>
      </c>
      <c r="G21" s="41" t="s">
        <v>74</v>
      </c>
      <c r="H21" s="41" t="s">
        <v>70</v>
      </c>
      <c r="I21" s="41">
        <f>'MERCADO TUSD'!$U$18</f>
        <v>165.006</v>
      </c>
      <c r="J21" s="15"/>
      <c r="L21" s="31">
        <f>'TUSD BE'!$L$21*'TUSD BF'!$L$58</f>
        <v>0</v>
      </c>
      <c r="M21" s="31">
        <f>'TUSD BE'!$M$21*'TUSD BF'!$M$58</f>
        <v>0</v>
      </c>
      <c r="N21" s="31">
        <f ca="1">'TUSD BE'!$N$21*'TUSD BF'!$N$58</f>
        <v>0</v>
      </c>
      <c r="O21" s="31">
        <f>'TUSD BE'!$O$21*'TUSD BF'!$O$58</f>
        <v>0</v>
      </c>
      <c r="P21" s="31">
        <f>'TUSD BE'!$P$21*'TUSD BF'!$P$58</f>
        <v>0</v>
      </c>
      <c r="Q21" s="31">
        <f>'TUSD BE'!$Q$21*'TUSD BF'!$Q$58</f>
        <v>0</v>
      </c>
      <c r="R21" s="31">
        <f>'TUSD BE'!$R$21*'TUSD BF'!$R$58</f>
        <v>0</v>
      </c>
      <c r="S21" s="31">
        <f>'TUSD BE'!$R$21*'TUSD BF'!$S$58</f>
        <v>0</v>
      </c>
      <c r="T21" s="31">
        <f ca="1">SUM($L$21:$S$21)</f>
        <v>0</v>
      </c>
      <c r="U21" s="31">
        <f>'TUSD BE'!$U$21*'TUSD BF'!$U$58</f>
        <v>0</v>
      </c>
      <c r="V21" s="31">
        <f>'TUSD BE'!$V$21*'TUSD BF'!$V$58</f>
        <v>0</v>
      </c>
      <c r="W21" s="31">
        <f>'TUSD BE'!$W$21*'TUSD BF'!$W$58</f>
        <v>0</v>
      </c>
      <c r="X21" s="31">
        <f>'TUSD BE'!$X$21*'TUSD BF'!$X$58</f>
        <v>0</v>
      </c>
      <c r="Y21" s="31">
        <f>'TUSD BE'!$Y$21*'TUSD BF'!$Y$58</f>
        <v>0</v>
      </c>
      <c r="Z21" s="31">
        <f>'TUSD BE'!$Z$21*'TUSD BF'!$Z$58</f>
        <v>0</v>
      </c>
      <c r="AA21" s="31">
        <f>'TUSD BE'!$AA$21*'TUSD BF'!$AA$58</f>
        <v>0</v>
      </c>
      <c r="AB21" s="31">
        <f>SUM($U$21:$AA$21)</f>
        <v>0</v>
      </c>
      <c r="AC21" s="31">
        <f>'TUSD BE'!$AC$21*'TUSD BF'!$AC$58</f>
        <v>0</v>
      </c>
      <c r="AD21" s="31">
        <f>SUM($AC$21:$AC$21)</f>
        <v>0</v>
      </c>
      <c r="AE21" s="31">
        <f ca="1">$AO$21*$AO$55</f>
        <v>0</v>
      </c>
      <c r="AF21" s="31">
        <f ca="1">$AP$21*$AP$55</f>
        <v>0</v>
      </c>
      <c r="AG21" s="31">
        <f ca="1">SUM($AE$21:$AF$21)</f>
        <v>0</v>
      </c>
      <c r="AH21" s="31">
        <f>'TUSD BE'!$AH$21*'TUSD BF'!$AH$58</f>
        <v>1.951759692823581</v>
      </c>
      <c r="AI21" s="31">
        <f>'TUSD BE'!$AI$21*'TUSD BF'!$AI$58</f>
        <v>6.2765947092211394E-2</v>
      </c>
      <c r="AJ21" s="31">
        <f ca="1">'TUSD BE'!$AJ$21*'TUSD BF'!$AJ$58</f>
        <v>0.206324135063261</v>
      </c>
      <c r="AK21" s="31">
        <f ca="1">'TUSD BE'!$AK$21*'TUSD BF'!$AK$58</f>
        <v>0</v>
      </c>
      <c r="AL21" s="31">
        <f ca="1">SUM($AH$21:$AK$21)</f>
        <v>2.2208497749790532</v>
      </c>
      <c r="AM21" s="31">
        <f ca="1">SUMIF($L$4:$AL$4,"SUBTOTAL",$L$21:$AL$21)</f>
        <v>2.2208497749790532</v>
      </c>
      <c r="AO21" s="44">
        <f ca="1">+'TUSD BE'!$T$21+'TUSD BE'!$AB$21+'TUSD BE'!$AD$21+'TUSD BE'!$AL$21</f>
        <v>282.81138526722941</v>
      </c>
      <c r="AP21" s="44">
        <f ca="1">+'TUSD BE'!$T$21+'TUSD BE'!$AB$21+'TUSD BE'!$AD$21+'TUSD BE'!$AL$21</f>
        <v>282.81138526722941</v>
      </c>
    </row>
    <row r="22" spans="1:42" ht="11.25" customHeight="1" x14ac:dyDescent="0.25">
      <c r="A22" s="137"/>
      <c r="B22" s="137"/>
      <c r="C22" s="137"/>
      <c r="D22" s="42" t="s">
        <v>29</v>
      </c>
      <c r="E22" s="42" t="s">
        <v>25</v>
      </c>
      <c r="F22" s="42" t="s">
        <v>25</v>
      </c>
      <c r="G22" s="41" t="s">
        <v>74</v>
      </c>
      <c r="H22" s="41" t="s">
        <v>70</v>
      </c>
      <c r="I22" s="41">
        <f>'MERCADO TUSD'!$U$19</f>
        <v>350.56600000000003</v>
      </c>
      <c r="J22" s="15"/>
      <c r="L22" s="31">
        <f>'TUSD BE'!$L$22*'TUSD BF'!$L$58</f>
        <v>0</v>
      </c>
      <c r="M22" s="31">
        <f>'TUSD BE'!$M$22*'TUSD BF'!$M$58</f>
        <v>0</v>
      </c>
      <c r="N22" s="31">
        <f ca="1">'TUSD BE'!$N$22*'TUSD BF'!$N$58</f>
        <v>0</v>
      </c>
      <c r="O22" s="31">
        <f>'TUSD BE'!$O$22*'TUSD BF'!$O$58</f>
        <v>0</v>
      </c>
      <c r="P22" s="31">
        <f>'TUSD BE'!$P$22*'TUSD BF'!$P$58</f>
        <v>0</v>
      </c>
      <c r="Q22" s="31">
        <f>'TUSD BE'!$Q$22*'TUSD BF'!$Q$58</f>
        <v>0</v>
      </c>
      <c r="R22" s="31">
        <f>'TUSD BE'!$R$22*'TUSD BF'!$R$58</f>
        <v>0</v>
      </c>
      <c r="S22" s="31">
        <f>'TUSD BE'!$R$22*'TUSD BF'!$S$58</f>
        <v>0</v>
      </c>
      <c r="T22" s="31">
        <f ca="1">SUM($L$22:$S$22)</f>
        <v>0</v>
      </c>
      <c r="U22" s="31">
        <f>'TUSD BE'!$U$22*'TUSD BF'!$U$58</f>
        <v>0</v>
      </c>
      <c r="V22" s="31">
        <f>'TUSD BE'!$V$22*'TUSD BF'!$V$58</f>
        <v>0</v>
      </c>
      <c r="W22" s="31">
        <f>'TUSD BE'!$W$22*'TUSD BF'!$W$58</f>
        <v>0</v>
      </c>
      <c r="X22" s="31">
        <f>'TUSD BE'!$X$22*'TUSD BF'!$X$58</f>
        <v>0</v>
      </c>
      <c r="Y22" s="31">
        <f>'TUSD BE'!$Y$22*'TUSD BF'!$Y$58</f>
        <v>0</v>
      </c>
      <c r="Z22" s="31">
        <f>'TUSD BE'!$Z$22*'TUSD BF'!$Z$58</f>
        <v>0</v>
      </c>
      <c r="AA22" s="31">
        <f>'TUSD BE'!$AA$22*'TUSD BF'!$AA$58</f>
        <v>0</v>
      </c>
      <c r="AB22" s="31">
        <f>SUM($U$22:$AA$22)</f>
        <v>0</v>
      </c>
      <c r="AC22" s="31">
        <f>'TUSD BE'!$AC$22*'TUSD BF'!$AC$58</f>
        <v>0</v>
      </c>
      <c r="AD22" s="31">
        <f>SUM($AC$22:$AC$22)</f>
        <v>0</v>
      </c>
      <c r="AE22" s="31">
        <f ca="1">$AO$22*$AO$55</f>
        <v>0</v>
      </c>
      <c r="AF22" s="31">
        <f ca="1">$AP$22*$AP$55</f>
        <v>0</v>
      </c>
      <c r="AG22" s="31">
        <f ca="1">SUM($AE$22:$AF$22)</f>
        <v>0</v>
      </c>
      <c r="AH22" s="31">
        <f>'TUSD BE'!$AH$22*'TUSD BF'!$AH$58</f>
        <v>1.951759692823581</v>
      </c>
      <c r="AI22" s="31">
        <f>'TUSD BE'!$AI$22*'TUSD BF'!$AI$58</f>
        <v>6.2765947092211394E-2</v>
      </c>
      <c r="AJ22" s="31">
        <f ca="1">'TUSD BE'!$AJ$22*'TUSD BF'!$AJ$58</f>
        <v>0.206324135063261</v>
      </c>
      <c r="AK22" s="31">
        <f ca="1">'TUSD BE'!$AK$22*'TUSD BF'!$AK$58</f>
        <v>0</v>
      </c>
      <c r="AL22" s="31">
        <f ca="1">SUM($AH$22:$AK$22)</f>
        <v>2.2208497749790532</v>
      </c>
      <c r="AM22" s="31">
        <f ca="1">SUMIF($L$4:$AL$4,"SUBTOTAL",$L$22:$AL$22)</f>
        <v>2.2208497749790532</v>
      </c>
      <c r="AO22" s="44">
        <f ca="1">+'TUSD BE'!$T$22+'TUSD BE'!$AB$22+'TUSD BE'!$AD$22+'TUSD BE'!$AL$22</f>
        <v>282.81138526722941</v>
      </c>
      <c r="AP22" s="44">
        <f ca="1">+'TUSD BE'!$T$22+'TUSD BE'!$AB$22+'TUSD BE'!$AD$22+'TUSD BE'!$AL$22</f>
        <v>282.81138526722941</v>
      </c>
    </row>
    <row r="23" spans="1:42" ht="11.25" customHeight="1" x14ac:dyDescent="0.25">
      <c r="A23" s="137"/>
      <c r="B23" s="137"/>
      <c r="C23" s="137"/>
      <c r="D23" s="42" t="s">
        <v>30</v>
      </c>
      <c r="E23" s="42" t="s">
        <v>25</v>
      </c>
      <c r="F23" s="42" t="s">
        <v>25</v>
      </c>
      <c r="G23" s="41" t="s">
        <v>74</v>
      </c>
      <c r="H23" s="41" t="s">
        <v>70</v>
      </c>
      <c r="I23" s="41">
        <f>'MERCADO TUSD'!$U$20</f>
        <v>338.63600000000002</v>
      </c>
      <c r="J23" s="15"/>
      <c r="L23" s="31">
        <f>'TUSD BE'!$L$23*'TUSD BF'!$L$58</f>
        <v>0</v>
      </c>
      <c r="M23" s="31">
        <f>'TUSD BE'!$M$23*'TUSD BF'!$M$58</f>
        <v>0</v>
      </c>
      <c r="N23" s="31">
        <f ca="1">'TUSD BE'!$N$23*'TUSD BF'!$N$58</f>
        <v>0</v>
      </c>
      <c r="O23" s="31">
        <f>'TUSD BE'!$O$23*'TUSD BF'!$O$58</f>
        <v>0</v>
      </c>
      <c r="P23" s="31">
        <f>'TUSD BE'!$P$23*'TUSD BF'!$P$58</f>
        <v>0</v>
      </c>
      <c r="Q23" s="31">
        <f>'TUSD BE'!$Q$23*'TUSD BF'!$Q$58</f>
        <v>0</v>
      </c>
      <c r="R23" s="31">
        <f>'TUSD BE'!$R$23*'TUSD BF'!$R$58</f>
        <v>0</v>
      </c>
      <c r="S23" s="31">
        <f>'TUSD BE'!$R$23*'TUSD BF'!$S$58</f>
        <v>0</v>
      </c>
      <c r="T23" s="31">
        <f ca="1">SUM($L$23:$S$23)</f>
        <v>0</v>
      </c>
      <c r="U23" s="31">
        <f>'TUSD BE'!$U$23*'TUSD BF'!$U$58</f>
        <v>0</v>
      </c>
      <c r="V23" s="31">
        <f>'TUSD BE'!$V$23*'TUSD BF'!$V$58</f>
        <v>0</v>
      </c>
      <c r="W23" s="31">
        <f>'TUSD BE'!$W$23*'TUSD BF'!$W$58</f>
        <v>0</v>
      </c>
      <c r="X23" s="31">
        <f>'TUSD BE'!$X$23*'TUSD BF'!$X$58</f>
        <v>0</v>
      </c>
      <c r="Y23" s="31">
        <f>'TUSD BE'!$Y$23*'TUSD BF'!$Y$58</f>
        <v>0</v>
      </c>
      <c r="Z23" s="31">
        <f>'TUSD BE'!$Z$23*'TUSD BF'!$Z$58</f>
        <v>0</v>
      </c>
      <c r="AA23" s="31">
        <f>'TUSD BE'!$AA$23*'TUSD BF'!$AA$58</f>
        <v>0</v>
      </c>
      <c r="AB23" s="31">
        <f>SUM($U$23:$AA$23)</f>
        <v>0</v>
      </c>
      <c r="AC23" s="31">
        <f>'TUSD BE'!$AC$23*'TUSD BF'!$AC$58</f>
        <v>0</v>
      </c>
      <c r="AD23" s="31">
        <f>SUM($AC$23:$AC$23)</f>
        <v>0</v>
      </c>
      <c r="AE23" s="31">
        <f ca="1">$AO$23*$AO$55</f>
        <v>0</v>
      </c>
      <c r="AF23" s="31">
        <f ca="1">$AP$23*$AP$55</f>
        <v>0</v>
      </c>
      <c r="AG23" s="31">
        <f ca="1">SUM($AE$23:$AF$23)</f>
        <v>0</v>
      </c>
      <c r="AH23" s="31">
        <f>'TUSD BE'!$AH$23*'TUSD BF'!$AH$58</f>
        <v>1.951759692823581</v>
      </c>
      <c r="AI23" s="31">
        <f>'TUSD BE'!$AI$23*'TUSD BF'!$AI$58</f>
        <v>6.2765947092211394E-2</v>
      </c>
      <c r="AJ23" s="31">
        <f ca="1">'TUSD BE'!$AJ$23*'TUSD BF'!$AJ$58</f>
        <v>0.206324135063261</v>
      </c>
      <c r="AK23" s="31">
        <f ca="1">'TUSD BE'!$AK$23*'TUSD BF'!$AK$58</f>
        <v>0</v>
      </c>
      <c r="AL23" s="31">
        <f ca="1">SUM($AH$23:$AK$23)</f>
        <v>2.2208497749790532</v>
      </c>
      <c r="AM23" s="31">
        <f ca="1">SUMIF($L$4:$AL$4,"SUBTOTAL",$L$23:$AL$23)</f>
        <v>2.2208497749790532</v>
      </c>
      <c r="AO23" s="44">
        <f ca="1">+'TUSD BE'!$T$23+'TUSD BE'!$AB$23+'TUSD BE'!$AD$23+'TUSD BE'!$AL$23</f>
        <v>282.81138526722941</v>
      </c>
      <c r="AP23" s="44">
        <f ca="1">+'TUSD BE'!$T$23+'TUSD BE'!$AB$23+'TUSD BE'!$AD$23+'TUSD BE'!$AL$23</f>
        <v>282.81138526722941</v>
      </c>
    </row>
    <row r="24" spans="1:42" ht="11.25" customHeight="1" x14ac:dyDescent="0.25">
      <c r="A24" s="137"/>
      <c r="B24" s="137"/>
      <c r="C24" s="137"/>
      <c r="D24" s="42" t="s">
        <v>31</v>
      </c>
      <c r="E24" s="42" t="s">
        <v>25</v>
      </c>
      <c r="F24" s="42" t="s">
        <v>25</v>
      </c>
      <c r="G24" s="41" t="s">
        <v>74</v>
      </c>
      <c r="H24" s="41" t="s">
        <v>70</v>
      </c>
      <c r="I24" s="41">
        <f>'MERCADO TUSD'!$U$21</f>
        <v>113.66699999999999</v>
      </c>
      <c r="J24" s="15"/>
      <c r="L24" s="31">
        <f>'TUSD BE'!$L$24*'TUSD BF'!$L$58</f>
        <v>0</v>
      </c>
      <c r="M24" s="31">
        <f>'TUSD BE'!$M$24*'TUSD BF'!$M$58</f>
        <v>0</v>
      </c>
      <c r="N24" s="31">
        <f ca="1">'TUSD BE'!$N$24*'TUSD BF'!$N$58</f>
        <v>0</v>
      </c>
      <c r="O24" s="31">
        <f>'TUSD BE'!$O$24*'TUSD BF'!$O$58</f>
        <v>0</v>
      </c>
      <c r="P24" s="31">
        <f>'TUSD BE'!$P$24*'TUSD BF'!$P$58</f>
        <v>0</v>
      </c>
      <c r="Q24" s="31">
        <f>'TUSD BE'!$Q$24*'TUSD BF'!$Q$58</f>
        <v>0</v>
      </c>
      <c r="R24" s="31">
        <f>'TUSD BE'!$R$24*'TUSD BF'!$R$58</f>
        <v>0</v>
      </c>
      <c r="S24" s="31">
        <f>'TUSD BE'!$R$24*'TUSD BF'!$S$58</f>
        <v>0</v>
      </c>
      <c r="T24" s="31">
        <f ca="1">SUM($L$24:$S$24)</f>
        <v>0</v>
      </c>
      <c r="U24" s="31">
        <f>'TUSD BE'!$U$24*'TUSD BF'!$U$58</f>
        <v>0</v>
      </c>
      <c r="V24" s="31">
        <f>'TUSD BE'!$V$24*'TUSD BF'!$V$58</f>
        <v>0</v>
      </c>
      <c r="W24" s="31">
        <f>'TUSD BE'!$W$24*'TUSD BF'!$W$58</f>
        <v>0</v>
      </c>
      <c r="X24" s="31">
        <f>'TUSD BE'!$X$24*'TUSD BF'!$X$58</f>
        <v>0</v>
      </c>
      <c r="Y24" s="31">
        <f>'TUSD BE'!$Y$24*'TUSD BF'!$Y$58</f>
        <v>0</v>
      </c>
      <c r="Z24" s="31">
        <f>'TUSD BE'!$Z$24*'TUSD BF'!$Z$58</f>
        <v>0</v>
      </c>
      <c r="AA24" s="31">
        <f>'TUSD BE'!$AA$24*'TUSD BF'!$AA$58</f>
        <v>0</v>
      </c>
      <c r="AB24" s="31">
        <f>SUM($U$24:$AA$24)</f>
        <v>0</v>
      </c>
      <c r="AC24" s="31">
        <f>'TUSD BE'!$AC$24*'TUSD BF'!$AC$58</f>
        <v>0</v>
      </c>
      <c r="AD24" s="31">
        <f>SUM($AC$24:$AC$24)</f>
        <v>0</v>
      </c>
      <c r="AE24" s="31">
        <f ca="1">$AO$24*$AO$55</f>
        <v>0</v>
      </c>
      <c r="AF24" s="31">
        <f ca="1">$AP$24*$AP$55</f>
        <v>0</v>
      </c>
      <c r="AG24" s="31">
        <f ca="1">SUM($AE$24:$AF$24)</f>
        <v>0</v>
      </c>
      <c r="AH24" s="31">
        <f>'TUSD BE'!$AH$24*'TUSD BF'!$AH$58</f>
        <v>1.951759692823581</v>
      </c>
      <c r="AI24" s="31">
        <f>'TUSD BE'!$AI$24*'TUSD BF'!$AI$58</f>
        <v>6.2765947092211394E-2</v>
      </c>
      <c r="AJ24" s="31">
        <f ca="1">'TUSD BE'!$AJ$24*'TUSD BF'!$AJ$58</f>
        <v>0.206324135063261</v>
      </c>
      <c r="AK24" s="31">
        <f ca="1">'TUSD BE'!$AK$24*'TUSD BF'!$AK$58</f>
        <v>0</v>
      </c>
      <c r="AL24" s="31">
        <f ca="1">SUM($AH$24:$AK$24)</f>
        <v>2.2208497749790532</v>
      </c>
      <c r="AM24" s="31">
        <f ca="1">SUMIF($L$4:$AL$4,"SUBTOTAL",$L$24:$AL$24)</f>
        <v>2.2208497749790532</v>
      </c>
      <c r="AO24" s="44">
        <f ca="1">+'TUSD BE'!$T$24+'TUSD BE'!$AB$24+'TUSD BE'!$AD$24+'TUSD BE'!$AL$24</f>
        <v>282.81138526722941</v>
      </c>
      <c r="AP24" s="44">
        <f ca="1">+'TUSD BE'!$T$24+'TUSD BE'!$AB$24+'TUSD BE'!$AD$24+'TUSD BE'!$AL$24</f>
        <v>282.81138526722941</v>
      </c>
    </row>
    <row r="25" spans="1:42" ht="11.25" customHeight="1" x14ac:dyDescent="0.25">
      <c r="A25" s="137"/>
      <c r="B25" s="137" t="s">
        <v>85</v>
      </c>
      <c r="C25" s="137" t="s">
        <v>24</v>
      </c>
      <c r="D25" s="42" t="s">
        <v>24</v>
      </c>
      <c r="E25" s="42" t="s">
        <v>25</v>
      </c>
      <c r="F25" s="42" t="s">
        <v>25</v>
      </c>
      <c r="G25" s="41" t="s">
        <v>74</v>
      </c>
      <c r="H25" s="41" t="s">
        <v>70</v>
      </c>
      <c r="I25" s="41">
        <f>'MERCADO TUSD'!$U$22</f>
        <v>0</v>
      </c>
      <c r="J25" s="15"/>
      <c r="L25" s="31">
        <f>'TUSD BE'!$L$25*'TUSD BF'!$L$58</f>
        <v>0.16795040706898923</v>
      </c>
      <c r="M25" s="31">
        <f>'TUSD BE'!$M$25*'TUSD BF'!$M$58</f>
        <v>0</v>
      </c>
      <c r="N25" s="31">
        <f ca="1">'TUSD BE'!$N$25*'TUSD BF'!$N$58</f>
        <v>0</v>
      </c>
      <c r="O25" s="31">
        <f>'TUSD BE'!$O$25*'TUSD BF'!$O$58</f>
        <v>0</v>
      </c>
      <c r="P25" s="31">
        <f>'TUSD BE'!$P$25*'TUSD BF'!$P$58</f>
        <v>0</v>
      </c>
      <c r="Q25" s="31">
        <f>'TUSD BE'!$Q$25*'TUSD BF'!$Q$58</f>
        <v>14.575151248966112</v>
      </c>
      <c r="R25" s="31">
        <f>'TUSD BE'!$R$25*'TUSD BF'!$R$58</f>
        <v>3.2058630351298234</v>
      </c>
      <c r="S25" s="31">
        <f>'TUSD BE'!$R$25*'TUSD BF'!$S$58</f>
        <v>0</v>
      </c>
      <c r="T25" s="31">
        <f ca="1">SUM($L$25:$S$25)</f>
        <v>17.948964691164925</v>
      </c>
      <c r="U25" s="31">
        <f>'TUSD BE'!$U$25*'TUSD BF'!$U$58</f>
        <v>0</v>
      </c>
      <c r="V25" s="31">
        <f>'TUSD BE'!$V$25*'TUSD BF'!$V$58</f>
        <v>0</v>
      </c>
      <c r="W25" s="31">
        <f>'TUSD BE'!$W$25*'TUSD BF'!$W$58</f>
        <v>0</v>
      </c>
      <c r="X25" s="31">
        <f>'TUSD BE'!$X$25*'TUSD BF'!$X$58</f>
        <v>0</v>
      </c>
      <c r="Y25" s="31">
        <f>'TUSD BE'!$Y$25*'TUSD BF'!$Y$58</f>
        <v>0</v>
      </c>
      <c r="Z25" s="31">
        <f>'TUSD BE'!$Z$25*'TUSD BF'!$Z$58</f>
        <v>0</v>
      </c>
      <c r="AA25" s="31">
        <f>'TUSD BE'!$AA$25*'TUSD BF'!$AA$58</f>
        <v>0</v>
      </c>
      <c r="AB25" s="31">
        <f>SUM($U$25:$AA$25)</f>
        <v>0</v>
      </c>
      <c r="AC25" s="31">
        <f>'TUSD BE'!$AC$25*'TUSD BF'!$AC$58</f>
        <v>0</v>
      </c>
      <c r="AD25" s="31">
        <f>SUM($AC$25:$AC$25)</f>
        <v>0</v>
      </c>
      <c r="AE25" s="31">
        <f ca="1">$AO$25*$AO$55</f>
        <v>0</v>
      </c>
      <c r="AF25" s="31">
        <f ca="1">$AP$25*$AP$55</f>
        <v>0</v>
      </c>
      <c r="AG25" s="31">
        <f ca="1">SUM($AE$25:$AF$25)</f>
        <v>0</v>
      </c>
      <c r="AH25" s="31">
        <f>'TUSD BE'!$AH$25*'TUSD BF'!$AH$58</f>
        <v>1.951759692823581</v>
      </c>
      <c r="AI25" s="31">
        <f>'TUSD BE'!$AI$25*'TUSD BF'!$AI$58</f>
        <v>6.2765947092211394E-2</v>
      </c>
      <c r="AJ25" s="31">
        <f ca="1">'TUSD BE'!$AJ$25*'TUSD BF'!$AJ$58</f>
        <v>0.206324135063261</v>
      </c>
      <c r="AK25" s="31">
        <f ca="1">'TUSD BE'!$AK$25*'TUSD BF'!$AK$58</f>
        <v>0</v>
      </c>
      <c r="AL25" s="31">
        <f ca="1">SUM($AH$25:$AK$25)</f>
        <v>2.2208497749790532</v>
      </c>
      <c r="AM25" s="31">
        <f ca="1">SUMIF($L$4:$AL$4,"SUBTOTAL",$L$25:$AL$25)</f>
        <v>20.169814466143979</v>
      </c>
      <c r="AO25" s="44">
        <f ca="1">+'TUSD BE'!$T$25+'TUSD BE'!$AB$25+'TUSD BE'!$AD$25+'TUSD BE'!$AL$25</f>
        <v>393.82348431464209</v>
      </c>
      <c r="AP25" s="44">
        <f ca="1">+'TUSD BE'!$T$25+'TUSD BE'!$AB$25+'TUSD BE'!$AD$25+'TUSD BE'!$AL$25</f>
        <v>393.82348431464209</v>
      </c>
    </row>
    <row r="26" spans="1:42" ht="11.25" customHeight="1" x14ac:dyDescent="0.25">
      <c r="A26" s="137"/>
      <c r="B26" s="137"/>
      <c r="C26" s="137"/>
      <c r="D26" s="42" t="s">
        <v>28</v>
      </c>
      <c r="E26" s="42" t="s">
        <v>25</v>
      </c>
      <c r="F26" s="42" t="s">
        <v>25</v>
      </c>
      <c r="G26" s="41" t="s">
        <v>74</v>
      </c>
      <c r="H26" s="41" t="s">
        <v>70</v>
      </c>
      <c r="I26" s="41">
        <f>'MERCADO TUSD'!$U$23</f>
        <v>0</v>
      </c>
      <c r="J26" s="15"/>
      <c r="L26" s="31">
        <f>'TUSD BE'!$L$26*'TUSD BF'!$L$58</f>
        <v>0</v>
      </c>
      <c r="M26" s="31">
        <f>'TUSD BE'!$M$26*'TUSD BF'!$M$58</f>
        <v>0</v>
      </c>
      <c r="N26" s="31">
        <f ca="1">'TUSD BE'!$N$26*'TUSD BF'!$N$58</f>
        <v>0</v>
      </c>
      <c r="O26" s="31">
        <f>'TUSD BE'!$O$26*'TUSD BF'!$O$58</f>
        <v>0</v>
      </c>
      <c r="P26" s="31">
        <f>'TUSD BE'!$P$26*'TUSD BF'!$P$58</f>
        <v>0</v>
      </c>
      <c r="Q26" s="31">
        <f>'TUSD BE'!$Q$26*'TUSD BF'!$Q$58</f>
        <v>0</v>
      </c>
      <c r="R26" s="31">
        <f>'TUSD BE'!$R$26*'TUSD BF'!$R$58</f>
        <v>0</v>
      </c>
      <c r="S26" s="31">
        <f>'TUSD BE'!$R$26*'TUSD BF'!$S$58</f>
        <v>0</v>
      </c>
      <c r="T26" s="31">
        <f ca="1">SUM($L$26:$S$26)</f>
        <v>0</v>
      </c>
      <c r="U26" s="31">
        <f>'TUSD BE'!$U$26*'TUSD BF'!$U$58</f>
        <v>0</v>
      </c>
      <c r="V26" s="31">
        <f>'TUSD BE'!$V$26*'TUSD BF'!$V$58</f>
        <v>0</v>
      </c>
      <c r="W26" s="31">
        <f>'TUSD BE'!$W$26*'TUSD BF'!$W$58</f>
        <v>0</v>
      </c>
      <c r="X26" s="31">
        <f>'TUSD BE'!$X$26*'TUSD BF'!$X$58</f>
        <v>0</v>
      </c>
      <c r="Y26" s="31">
        <f>'TUSD BE'!$Y$26*'TUSD BF'!$Y$58</f>
        <v>0</v>
      </c>
      <c r="Z26" s="31">
        <f>'TUSD BE'!$Z$26*'TUSD BF'!$Z$58</f>
        <v>0</v>
      </c>
      <c r="AA26" s="31">
        <f>'TUSD BE'!$AA$26*'TUSD BF'!$AA$58</f>
        <v>0</v>
      </c>
      <c r="AB26" s="31">
        <f>SUM($U$26:$AA$26)</f>
        <v>0</v>
      </c>
      <c r="AC26" s="31">
        <f>'TUSD BE'!$AC$26*'TUSD BF'!$AC$58</f>
        <v>0</v>
      </c>
      <c r="AD26" s="31">
        <f>SUM($AC$26:$AC$26)</f>
        <v>0</v>
      </c>
      <c r="AE26" s="31">
        <f ca="1">$AO$26*$AO$55</f>
        <v>0</v>
      </c>
      <c r="AF26" s="31">
        <f ca="1">$AP$26*$AP$55</f>
        <v>0</v>
      </c>
      <c r="AG26" s="31">
        <f ca="1">SUM($AE$26:$AF$26)</f>
        <v>0</v>
      </c>
      <c r="AH26" s="31">
        <f>'TUSD BE'!$AH$26*'TUSD BF'!$AH$58</f>
        <v>1.951759692823581</v>
      </c>
      <c r="AI26" s="31">
        <f>'TUSD BE'!$AI$26*'TUSD BF'!$AI$58</f>
        <v>6.2765947092211394E-2</v>
      </c>
      <c r="AJ26" s="31">
        <f ca="1">'TUSD BE'!$AJ$26*'TUSD BF'!$AJ$58</f>
        <v>0.206324135063261</v>
      </c>
      <c r="AK26" s="31">
        <f ca="1">'TUSD BE'!$AK$26*'TUSD BF'!$AK$58</f>
        <v>0</v>
      </c>
      <c r="AL26" s="31">
        <f ca="1">SUM($AH$26:$AK$26)</f>
        <v>2.2208497749790532</v>
      </c>
      <c r="AM26" s="31">
        <f ca="1">SUMIF($L$4:$AL$4,"SUBTOTAL",$L$26:$AL$26)</f>
        <v>2.2208497749790532</v>
      </c>
      <c r="AO26" s="44">
        <f ca="1">+'TUSD BE'!$T$26+'TUSD BE'!$AB$26+'TUSD BE'!$AD$26+'TUSD BE'!$AL$26</f>
        <v>282.81138526722941</v>
      </c>
      <c r="AP26" s="44">
        <f ca="1">+'TUSD BE'!$T$26+'TUSD BE'!$AB$26+'TUSD BE'!$AD$26+'TUSD BE'!$AL$26</f>
        <v>282.81138526722941</v>
      </c>
    </row>
    <row r="27" spans="1:42" ht="11.25" customHeight="1" x14ac:dyDescent="0.25">
      <c r="A27" s="137"/>
      <c r="B27" s="137"/>
      <c r="C27" s="137"/>
      <c r="D27" s="42" t="s">
        <v>29</v>
      </c>
      <c r="E27" s="42" t="s">
        <v>25</v>
      </c>
      <c r="F27" s="42" t="s">
        <v>25</v>
      </c>
      <c r="G27" s="41" t="s">
        <v>74</v>
      </c>
      <c r="H27" s="41" t="s">
        <v>70</v>
      </c>
      <c r="I27" s="41">
        <f>'MERCADO TUSD'!$U$24</f>
        <v>0</v>
      </c>
      <c r="J27" s="15"/>
      <c r="L27" s="31">
        <f>'TUSD BE'!$L$27*'TUSD BF'!$L$58</f>
        <v>0</v>
      </c>
      <c r="M27" s="31">
        <f>'TUSD BE'!$M$27*'TUSD BF'!$M$58</f>
        <v>0</v>
      </c>
      <c r="N27" s="31">
        <f ca="1">'TUSD BE'!$N$27*'TUSD BF'!$N$58</f>
        <v>0</v>
      </c>
      <c r="O27" s="31">
        <f>'TUSD BE'!$O$27*'TUSD BF'!$O$58</f>
        <v>0</v>
      </c>
      <c r="P27" s="31">
        <f>'TUSD BE'!$P$27*'TUSD BF'!$P$58</f>
        <v>0</v>
      </c>
      <c r="Q27" s="31">
        <f>'TUSD BE'!$Q$27*'TUSD BF'!$Q$58</f>
        <v>0</v>
      </c>
      <c r="R27" s="31">
        <f>'TUSD BE'!$R$27*'TUSD BF'!$R$58</f>
        <v>0</v>
      </c>
      <c r="S27" s="31">
        <f>'TUSD BE'!$R$27*'TUSD BF'!$S$58</f>
        <v>0</v>
      </c>
      <c r="T27" s="31">
        <f ca="1">SUM($L$27:$S$27)</f>
        <v>0</v>
      </c>
      <c r="U27" s="31">
        <f>'TUSD BE'!$U$27*'TUSD BF'!$U$58</f>
        <v>0</v>
      </c>
      <c r="V27" s="31">
        <f>'TUSD BE'!$V$27*'TUSD BF'!$V$58</f>
        <v>0</v>
      </c>
      <c r="W27" s="31">
        <f>'TUSD BE'!$W$27*'TUSD BF'!$W$58</f>
        <v>0</v>
      </c>
      <c r="X27" s="31">
        <f>'TUSD BE'!$X$27*'TUSD BF'!$X$58</f>
        <v>0</v>
      </c>
      <c r="Y27" s="31">
        <f>'TUSD BE'!$Y$27*'TUSD BF'!$Y$58</f>
        <v>0</v>
      </c>
      <c r="Z27" s="31">
        <f>'TUSD BE'!$Z$27*'TUSD BF'!$Z$58</f>
        <v>0</v>
      </c>
      <c r="AA27" s="31">
        <f>'TUSD BE'!$AA$27*'TUSD BF'!$AA$58</f>
        <v>0</v>
      </c>
      <c r="AB27" s="31">
        <f>SUM($U$27:$AA$27)</f>
        <v>0</v>
      </c>
      <c r="AC27" s="31">
        <f>'TUSD BE'!$AC$27*'TUSD BF'!$AC$58</f>
        <v>0</v>
      </c>
      <c r="AD27" s="31">
        <f>SUM($AC$27:$AC$27)</f>
        <v>0</v>
      </c>
      <c r="AE27" s="31">
        <f ca="1">$AO$27*$AO$55</f>
        <v>0</v>
      </c>
      <c r="AF27" s="31">
        <f ca="1">$AP$27*$AP$55</f>
        <v>0</v>
      </c>
      <c r="AG27" s="31">
        <f ca="1">SUM($AE$27:$AF$27)</f>
        <v>0</v>
      </c>
      <c r="AH27" s="31">
        <f>'TUSD BE'!$AH$27*'TUSD BF'!$AH$58</f>
        <v>1.951759692823581</v>
      </c>
      <c r="AI27" s="31">
        <f>'TUSD BE'!$AI$27*'TUSD BF'!$AI$58</f>
        <v>6.2765947092211394E-2</v>
      </c>
      <c r="AJ27" s="31">
        <f ca="1">'TUSD BE'!$AJ$27*'TUSD BF'!$AJ$58</f>
        <v>0.206324135063261</v>
      </c>
      <c r="AK27" s="31">
        <f ca="1">'TUSD BE'!$AK$27*'TUSD BF'!$AK$58</f>
        <v>0</v>
      </c>
      <c r="AL27" s="31">
        <f ca="1">SUM($AH$27:$AK$27)</f>
        <v>2.2208497749790532</v>
      </c>
      <c r="AM27" s="31">
        <f ca="1">SUMIF($L$4:$AL$4,"SUBTOTAL",$L$27:$AL$27)</f>
        <v>2.2208497749790532</v>
      </c>
      <c r="AO27" s="44">
        <f ca="1">+'TUSD BE'!$T$27+'TUSD BE'!$AB$27+'TUSD BE'!$AD$27+'TUSD BE'!$AL$27</f>
        <v>282.81138526722941</v>
      </c>
      <c r="AP27" s="44">
        <f ca="1">+'TUSD BE'!$T$27+'TUSD BE'!$AB$27+'TUSD BE'!$AD$27+'TUSD BE'!$AL$27</f>
        <v>282.81138526722941</v>
      </c>
    </row>
    <row r="28" spans="1:42" ht="11.25" customHeight="1" x14ac:dyDescent="0.25">
      <c r="A28" s="137"/>
      <c r="B28" s="137"/>
      <c r="C28" s="137"/>
      <c r="D28" s="42" t="s">
        <v>30</v>
      </c>
      <c r="E28" s="42" t="s">
        <v>25</v>
      </c>
      <c r="F28" s="42" t="s">
        <v>25</v>
      </c>
      <c r="G28" s="41" t="s">
        <v>74</v>
      </c>
      <c r="H28" s="41" t="s">
        <v>70</v>
      </c>
      <c r="I28" s="41">
        <f>'MERCADO TUSD'!$U$25</f>
        <v>0</v>
      </c>
      <c r="J28" s="15"/>
      <c r="L28" s="31">
        <f>'TUSD BE'!$L$28*'TUSD BF'!$L$58</f>
        <v>0</v>
      </c>
      <c r="M28" s="31">
        <f>'TUSD BE'!$M$28*'TUSD BF'!$M$58</f>
        <v>0</v>
      </c>
      <c r="N28" s="31">
        <f ca="1">'TUSD BE'!$N$28*'TUSD BF'!$N$58</f>
        <v>0</v>
      </c>
      <c r="O28" s="31">
        <f>'TUSD BE'!$O$28*'TUSD BF'!$O$58</f>
        <v>0</v>
      </c>
      <c r="P28" s="31">
        <f>'TUSD BE'!$P$28*'TUSD BF'!$P$58</f>
        <v>0</v>
      </c>
      <c r="Q28" s="31">
        <f>'TUSD BE'!$Q$28*'TUSD BF'!$Q$58</f>
        <v>0</v>
      </c>
      <c r="R28" s="31">
        <f>'TUSD BE'!$R$28*'TUSD BF'!$R$58</f>
        <v>0</v>
      </c>
      <c r="S28" s="31">
        <f>'TUSD BE'!$R$28*'TUSD BF'!$S$58</f>
        <v>0</v>
      </c>
      <c r="T28" s="31">
        <f ca="1">SUM($L$28:$S$28)</f>
        <v>0</v>
      </c>
      <c r="U28" s="31">
        <f>'TUSD BE'!$U$28*'TUSD BF'!$U$58</f>
        <v>0</v>
      </c>
      <c r="V28" s="31">
        <f>'TUSD BE'!$V$28*'TUSD BF'!$V$58</f>
        <v>0</v>
      </c>
      <c r="W28" s="31">
        <f>'TUSD BE'!$W$28*'TUSD BF'!$W$58</f>
        <v>0</v>
      </c>
      <c r="X28" s="31">
        <f>'TUSD BE'!$X$28*'TUSD BF'!$X$58</f>
        <v>0</v>
      </c>
      <c r="Y28" s="31">
        <f>'TUSD BE'!$Y$28*'TUSD BF'!$Y$58</f>
        <v>0</v>
      </c>
      <c r="Z28" s="31">
        <f>'TUSD BE'!$Z$28*'TUSD BF'!$Z$58</f>
        <v>0</v>
      </c>
      <c r="AA28" s="31">
        <f>'TUSD BE'!$AA$28*'TUSD BF'!$AA$58</f>
        <v>0</v>
      </c>
      <c r="AB28" s="31">
        <f>SUM($U$28:$AA$28)</f>
        <v>0</v>
      </c>
      <c r="AC28" s="31">
        <f>'TUSD BE'!$AC$28*'TUSD BF'!$AC$58</f>
        <v>0</v>
      </c>
      <c r="AD28" s="31">
        <f>SUM($AC$28:$AC$28)</f>
        <v>0</v>
      </c>
      <c r="AE28" s="31">
        <f ca="1">$AO$28*$AO$55</f>
        <v>0</v>
      </c>
      <c r="AF28" s="31">
        <f ca="1">$AP$28*$AP$55</f>
        <v>0</v>
      </c>
      <c r="AG28" s="31">
        <f ca="1">SUM($AE$28:$AF$28)</f>
        <v>0</v>
      </c>
      <c r="AH28" s="31">
        <f>'TUSD BE'!$AH$28*'TUSD BF'!$AH$58</f>
        <v>1.951759692823581</v>
      </c>
      <c r="AI28" s="31">
        <f>'TUSD BE'!$AI$28*'TUSD BF'!$AI$58</f>
        <v>6.2765947092211394E-2</v>
      </c>
      <c r="AJ28" s="31">
        <f ca="1">'TUSD BE'!$AJ$28*'TUSD BF'!$AJ$58</f>
        <v>0.206324135063261</v>
      </c>
      <c r="AK28" s="31">
        <f ca="1">'TUSD BE'!$AK$28*'TUSD BF'!$AK$58</f>
        <v>0</v>
      </c>
      <c r="AL28" s="31">
        <f ca="1">SUM($AH$28:$AK$28)</f>
        <v>2.2208497749790532</v>
      </c>
      <c r="AM28" s="31">
        <f ca="1">SUMIF($L$4:$AL$4,"SUBTOTAL",$L$28:$AL$28)</f>
        <v>2.2208497749790532</v>
      </c>
      <c r="AO28" s="44">
        <f ca="1">+'TUSD BE'!$T$28+'TUSD BE'!$AB$28+'TUSD BE'!$AD$28+'TUSD BE'!$AL$28</f>
        <v>282.81138526722941</v>
      </c>
      <c r="AP28" s="44">
        <f ca="1">+'TUSD BE'!$T$28+'TUSD BE'!$AB$28+'TUSD BE'!$AD$28+'TUSD BE'!$AL$28</f>
        <v>282.81138526722941</v>
      </c>
    </row>
    <row r="29" spans="1:42" ht="11.25" customHeight="1" x14ac:dyDescent="0.25">
      <c r="A29" s="137"/>
      <c r="B29" s="137"/>
      <c r="C29" s="137"/>
      <c r="D29" s="42" t="s">
        <v>31</v>
      </c>
      <c r="E29" s="42" t="s">
        <v>25</v>
      </c>
      <c r="F29" s="42" t="s">
        <v>25</v>
      </c>
      <c r="G29" s="41" t="s">
        <v>74</v>
      </c>
      <c r="H29" s="41" t="s">
        <v>70</v>
      </c>
      <c r="I29" s="41">
        <f>'MERCADO TUSD'!$U$26</f>
        <v>0</v>
      </c>
      <c r="J29" s="15"/>
      <c r="L29" s="31">
        <f>'TUSD BE'!$L$29*'TUSD BF'!$L$58</f>
        <v>0</v>
      </c>
      <c r="M29" s="31">
        <f>'TUSD BE'!$M$29*'TUSD BF'!$M$58</f>
        <v>0</v>
      </c>
      <c r="N29" s="31">
        <f ca="1">'TUSD BE'!$N$29*'TUSD BF'!$N$58</f>
        <v>0</v>
      </c>
      <c r="O29" s="31">
        <f>'TUSD BE'!$O$29*'TUSD BF'!$O$58</f>
        <v>0</v>
      </c>
      <c r="P29" s="31">
        <f>'TUSD BE'!$P$29*'TUSD BF'!$P$58</f>
        <v>0</v>
      </c>
      <c r="Q29" s="31">
        <f>'TUSD BE'!$Q$29*'TUSD BF'!$Q$58</f>
        <v>0</v>
      </c>
      <c r="R29" s="31">
        <f>'TUSD BE'!$R$29*'TUSD BF'!$R$58</f>
        <v>0</v>
      </c>
      <c r="S29" s="31">
        <f>'TUSD BE'!$R$29*'TUSD BF'!$S$58</f>
        <v>0</v>
      </c>
      <c r="T29" s="31">
        <f ca="1">SUM($L$29:$S$29)</f>
        <v>0</v>
      </c>
      <c r="U29" s="31">
        <f>'TUSD BE'!$U$29*'TUSD BF'!$U$58</f>
        <v>0</v>
      </c>
      <c r="V29" s="31">
        <f>'TUSD BE'!$V$29*'TUSD BF'!$V$58</f>
        <v>0</v>
      </c>
      <c r="W29" s="31">
        <f>'TUSD BE'!$W$29*'TUSD BF'!$W$58</f>
        <v>0</v>
      </c>
      <c r="X29" s="31">
        <f>'TUSD BE'!$X$29*'TUSD BF'!$X$58</f>
        <v>0</v>
      </c>
      <c r="Y29" s="31">
        <f>'TUSD BE'!$Y$29*'TUSD BF'!$Y$58</f>
        <v>0</v>
      </c>
      <c r="Z29" s="31">
        <f>'TUSD BE'!$Z$29*'TUSD BF'!$Z$58</f>
        <v>0</v>
      </c>
      <c r="AA29" s="31">
        <f>'TUSD BE'!$AA$29*'TUSD BF'!$AA$58</f>
        <v>0</v>
      </c>
      <c r="AB29" s="31">
        <f>SUM($U$29:$AA$29)</f>
        <v>0</v>
      </c>
      <c r="AC29" s="31">
        <f>'TUSD BE'!$AC$29*'TUSD BF'!$AC$58</f>
        <v>0</v>
      </c>
      <c r="AD29" s="31">
        <f>SUM($AC$29:$AC$29)</f>
        <v>0</v>
      </c>
      <c r="AE29" s="31">
        <f ca="1">$AO$29*$AO$55</f>
        <v>0</v>
      </c>
      <c r="AF29" s="31">
        <f ca="1">$AP$29*$AP$55</f>
        <v>0</v>
      </c>
      <c r="AG29" s="31">
        <f ca="1">SUM($AE$29:$AF$29)</f>
        <v>0</v>
      </c>
      <c r="AH29" s="31">
        <f>'TUSD BE'!$AH$29*'TUSD BF'!$AH$58</f>
        <v>1.951759692823581</v>
      </c>
      <c r="AI29" s="31">
        <f>'TUSD BE'!$AI$29*'TUSD BF'!$AI$58</f>
        <v>6.2765947092211394E-2</v>
      </c>
      <c r="AJ29" s="31">
        <f ca="1">'TUSD BE'!$AJ$29*'TUSD BF'!$AJ$58</f>
        <v>0.206324135063261</v>
      </c>
      <c r="AK29" s="31">
        <f ca="1">'TUSD BE'!$AK$29*'TUSD BF'!$AK$58</f>
        <v>0</v>
      </c>
      <c r="AL29" s="31">
        <f ca="1">SUM($AH$29:$AK$29)</f>
        <v>2.2208497749790532</v>
      </c>
      <c r="AM29" s="31">
        <f ca="1">SUMIF($L$4:$AL$4,"SUBTOTAL",$L$29:$AL$29)</f>
        <v>2.2208497749790532</v>
      </c>
      <c r="AO29" s="44">
        <f ca="1">+'TUSD BE'!$T$29+'TUSD BE'!$AB$29+'TUSD BE'!$AD$29+'TUSD BE'!$AL$29</f>
        <v>282.81138526722941</v>
      </c>
      <c r="AP29" s="44">
        <f ca="1">+'TUSD BE'!$T$29+'TUSD BE'!$AB$29+'TUSD BE'!$AD$29+'TUSD BE'!$AL$29</f>
        <v>282.81138526722941</v>
      </c>
    </row>
    <row r="30" spans="1:42" ht="11.25" customHeight="1" x14ac:dyDescent="0.25">
      <c r="A30" s="137" t="s">
        <v>39</v>
      </c>
      <c r="B30" s="137" t="s">
        <v>49</v>
      </c>
      <c r="C30" s="137" t="s">
        <v>40</v>
      </c>
      <c r="D30" s="137" t="s">
        <v>25</v>
      </c>
      <c r="E30" s="137" t="s">
        <v>25</v>
      </c>
      <c r="F30" s="137" t="s">
        <v>25</v>
      </c>
      <c r="G30" s="41" t="s">
        <v>71</v>
      </c>
      <c r="H30" s="41" t="s">
        <v>70</v>
      </c>
      <c r="I30" s="41">
        <f>'MERCADO TUSD'!$U$27</f>
        <v>0</v>
      </c>
      <c r="J30" s="15"/>
      <c r="L30" s="31">
        <f>'TUSD BE'!$L$30*'TUSD BF'!$L$58</f>
        <v>0.16795040706898923</v>
      </c>
      <c r="M30" s="31">
        <f>'TUSD BE'!$M$30*'TUSD BF'!$M$58</f>
        <v>0</v>
      </c>
      <c r="N30" s="31">
        <f ca="1">'TUSD BE'!$N$30*'TUSD BF'!$N$58</f>
        <v>0</v>
      </c>
      <c r="O30" s="31">
        <f>'TUSD BE'!$O$30*'TUSD BF'!$O$58</f>
        <v>0</v>
      </c>
      <c r="P30" s="31">
        <f>'TUSD BE'!$P$30*'TUSD BF'!$P$58</f>
        <v>0</v>
      </c>
      <c r="Q30" s="31">
        <f>'TUSD BE'!$Q$30*'TUSD BF'!$Q$58</f>
        <v>14.575151248966112</v>
      </c>
      <c r="R30" s="31">
        <f>'TUSD BE'!$R$30*'TUSD BF'!$R$58</f>
        <v>3.2058630351298234</v>
      </c>
      <c r="S30" s="31">
        <f>'TUSD BE'!$R$30*'TUSD BF'!$S$58</f>
        <v>0</v>
      </c>
      <c r="T30" s="31">
        <f ca="1">SUM($L$30:$S$30)</f>
        <v>17.948964691164925</v>
      </c>
      <c r="U30" s="31">
        <f>'TUSD BE'!$U$30*'TUSD BF'!$U$58</f>
        <v>0</v>
      </c>
      <c r="V30" s="31">
        <f>'TUSD BE'!$V$30*'TUSD BF'!$V$58</f>
        <v>0</v>
      </c>
      <c r="W30" s="31">
        <f>'TUSD BE'!$W$30*'TUSD BF'!$W$58</f>
        <v>0</v>
      </c>
      <c r="X30" s="31">
        <f>'TUSD BE'!$X$30*'TUSD BF'!$X$58</f>
        <v>0</v>
      </c>
      <c r="Y30" s="31">
        <f>'TUSD BE'!$Y$30*'TUSD BF'!$Y$58</f>
        <v>0</v>
      </c>
      <c r="Z30" s="31">
        <f>'TUSD BE'!$Z$30*'TUSD BF'!$Z$58</f>
        <v>0</v>
      </c>
      <c r="AA30" s="31">
        <f>'TUSD BE'!$AA$30*'TUSD BF'!$AA$58</f>
        <v>0</v>
      </c>
      <c r="AB30" s="31">
        <f>SUM($U$30:$AA$30)</f>
        <v>0</v>
      </c>
      <c r="AC30" s="31">
        <f>'TUSD BE'!$AC$30*'TUSD BF'!$AC$58</f>
        <v>0</v>
      </c>
      <c r="AD30" s="31">
        <f>SUM($AC$30:$AC$30)</f>
        <v>0</v>
      </c>
      <c r="AE30" s="31">
        <f ca="1">$AO$30*$AO$55</f>
        <v>0</v>
      </c>
      <c r="AF30" s="31">
        <f ca="1">$AP$30*$AP$55</f>
        <v>0</v>
      </c>
      <c r="AG30" s="31">
        <f ca="1">SUM($AE$30:$AF$30)</f>
        <v>0</v>
      </c>
      <c r="AH30" s="31">
        <f>'TUSD BE'!$AH$30*'TUSD BF'!$AH$58</f>
        <v>1.951759692823581</v>
      </c>
      <c r="AI30" s="31">
        <f>'TUSD BE'!$AI$30*'TUSD BF'!$AI$58</f>
        <v>6.2765947092211394E-2</v>
      </c>
      <c r="AJ30" s="31">
        <f ca="1">'TUSD BE'!$AJ$30*'TUSD BF'!$AJ$58</f>
        <v>0.206324135063261</v>
      </c>
      <c r="AK30" s="31">
        <f ca="1">'TUSD BE'!$AK$30*'TUSD BF'!$AK$58</f>
        <v>0</v>
      </c>
      <c r="AL30" s="31">
        <f ca="1">SUM($AH$30:$AK$30)</f>
        <v>2.2208497749790532</v>
      </c>
      <c r="AM30" s="31">
        <f ca="1">SUMIF($L$4:$AL$4,"SUBTOTAL",$L$30:$AL$30)</f>
        <v>20.169814466143979</v>
      </c>
      <c r="AO30" s="44">
        <f ca="1">+'TUSD BE'!$T$30+'TUSD BE'!$AB$30+'TUSD BE'!$AD$30+'TUSD BE'!$AL$30</f>
        <v>823.99466944004996</v>
      </c>
      <c r="AP30" s="44">
        <f ca="1">+'TUSD BE'!$T$30+'TUSD BE'!$AB$30+'TUSD BE'!$AD$30+'TUSD BE'!$AL$30</f>
        <v>823.99466944004996</v>
      </c>
    </row>
    <row r="31" spans="1:42" ht="11.25" customHeight="1" x14ac:dyDescent="0.25">
      <c r="A31" s="137"/>
      <c r="B31" s="137"/>
      <c r="C31" s="137"/>
      <c r="D31" s="137"/>
      <c r="E31" s="137"/>
      <c r="F31" s="137"/>
      <c r="G31" s="41" t="s">
        <v>83</v>
      </c>
      <c r="H31" s="41" t="s">
        <v>70</v>
      </c>
      <c r="I31" s="41">
        <f>'MERCADO TUSD'!$U$28</f>
        <v>0</v>
      </c>
      <c r="J31" s="15"/>
      <c r="L31" s="31">
        <f>'TUSD BE'!$L$31*'TUSD BF'!$L$58</f>
        <v>0.16795040706898923</v>
      </c>
      <c r="M31" s="31">
        <f>'TUSD BE'!$M$31*'TUSD BF'!$M$58</f>
        <v>0</v>
      </c>
      <c r="N31" s="31">
        <f ca="1">'TUSD BE'!$N$31*'TUSD BF'!$N$58</f>
        <v>0</v>
      </c>
      <c r="O31" s="31">
        <f>'TUSD BE'!$O$31*'TUSD BF'!$O$58</f>
        <v>0</v>
      </c>
      <c r="P31" s="31">
        <f>'TUSD BE'!$P$31*'TUSD BF'!$P$58</f>
        <v>0</v>
      </c>
      <c r="Q31" s="31">
        <f>'TUSD BE'!$Q$31*'TUSD BF'!$Q$58</f>
        <v>14.575151248966112</v>
      </c>
      <c r="R31" s="31">
        <f>'TUSD BE'!$R$31*'TUSD BF'!$R$58</f>
        <v>3.2058630351298234</v>
      </c>
      <c r="S31" s="31">
        <f>'TUSD BE'!$R$31*'TUSD BF'!$S$58</f>
        <v>0</v>
      </c>
      <c r="T31" s="31">
        <f ca="1">SUM($L$31:$S$31)</f>
        <v>17.948964691164925</v>
      </c>
      <c r="U31" s="31">
        <f>'TUSD BE'!$U$31*'TUSD BF'!$U$58</f>
        <v>0</v>
      </c>
      <c r="V31" s="31">
        <f>'TUSD BE'!$V$31*'TUSD BF'!$V$58</f>
        <v>0</v>
      </c>
      <c r="W31" s="31">
        <f>'TUSD BE'!$W$31*'TUSD BF'!$W$58</f>
        <v>0</v>
      </c>
      <c r="X31" s="31">
        <f>'TUSD BE'!$X$31*'TUSD BF'!$X$58</f>
        <v>0</v>
      </c>
      <c r="Y31" s="31">
        <f>'TUSD BE'!$Y$31*'TUSD BF'!$Y$58</f>
        <v>0</v>
      </c>
      <c r="Z31" s="31">
        <f>'TUSD BE'!$Z$31*'TUSD BF'!$Z$58</f>
        <v>0</v>
      </c>
      <c r="AA31" s="31">
        <f>'TUSD BE'!$AA$31*'TUSD BF'!$AA$58</f>
        <v>0</v>
      </c>
      <c r="AB31" s="31">
        <f>SUM($U$31:$AA$31)</f>
        <v>0</v>
      </c>
      <c r="AC31" s="31">
        <f>'TUSD BE'!$AC$31*'TUSD BF'!$AC$58</f>
        <v>0</v>
      </c>
      <c r="AD31" s="31">
        <f>SUM($AC$31:$AC$31)</f>
        <v>0</v>
      </c>
      <c r="AE31" s="31">
        <f ca="1">$AO$31*$AO$55</f>
        <v>0</v>
      </c>
      <c r="AF31" s="31">
        <f ca="1">$AP$31*$AP$55</f>
        <v>0</v>
      </c>
      <c r="AG31" s="31">
        <f ca="1">SUM($AE$31:$AF$31)</f>
        <v>0</v>
      </c>
      <c r="AH31" s="31">
        <f>'TUSD BE'!$AH$31*'TUSD BF'!$AH$58</f>
        <v>1.951759692823581</v>
      </c>
      <c r="AI31" s="31">
        <f>'TUSD BE'!$AI$31*'TUSD BF'!$AI$58</f>
        <v>6.2765947092211394E-2</v>
      </c>
      <c r="AJ31" s="31">
        <f ca="1">'TUSD BE'!$AJ$31*'TUSD BF'!$AJ$58</f>
        <v>0.206324135063261</v>
      </c>
      <c r="AK31" s="31">
        <f ca="1">'TUSD BE'!$AK$31*'TUSD BF'!$AK$58</f>
        <v>0</v>
      </c>
      <c r="AL31" s="31">
        <f ca="1">SUM($AH$31:$AK$31)</f>
        <v>2.2208497749790532</v>
      </c>
      <c r="AM31" s="31">
        <f ca="1">SUMIF($L$4:$AL$4,"SUBTOTAL",$L$31:$AL$31)</f>
        <v>20.169814466143979</v>
      </c>
      <c r="AO31" s="44">
        <f ca="1">+'TUSD BE'!$T$31+'TUSD BE'!$AB$31+'TUSD BE'!$AD$31+'TUSD BE'!$AL$31</f>
        <v>547.64234358157103</v>
      </c>
      <c r="AP31" s="44">
        <f ca="1">+'TUSD BE'!$T$31+'TUSD BE'!$AB$31+'TUSD BE'!$AD$31+'TUSD BE'!$AL$31</f>
        <v>547.64234358157103</v>
      </c>
    </row>
    <row r="32" spans="1:42" ht="11.25" customHeight="1" x14ac:dyDescent="0.25">
      <c r="A32" s="137"/>
      <c r="B32" s="137"/>
      <c r="C32" s="137"/>
      <c r="D32" s="137"/>
      <c r="E32" s="137"/>
      <c r="F32" s="137"/>
      <c r="G32" s="41" t="s">
        <v>72</v>
      </c>
      <c r="H32" s="41" t="s">
        <v>70</v>
      </c>
      <c r="I32" s="41">
        <f>'MERCADO TUSD'!$U$29</f>
        <v>0</v>
      </c>
      <c r="J32" s="15"/>
      <c r="L32" s="31">
        <f>'TUSD BE'!$L$32*'TUSD BF'!$L$58</f>
        <v>0.16795040706898923</v>
      </c>
      <c r="M32" s="31">
        <f>'TUSD BE'!$M$32*'TUSD BF'!$M$58</f>
        <v>0</v>
      </c>
      <c r="N32" s="31">
        <f ca="1">'TUSD BE'!$N$32*'TUSD BF'!$N$58</f>
        <v>0</v>
      </c>
      <c r="O32" s="31">
        <f>'TUSD BE'!$O$32*'TUSD BF'!$O$58</f>
        <v>0</v>
      </c>
      <c r="P32" s="31">
        <f>'TUSD BE'!$P$32*'TUSD BF'!$P$58</f>
        <v>0</v>
      </c>
      <c r="Q32" s="31">
        <f>'TUSD BE'!$Q$32*'TUSD BF'!$Q$58</f>
        <v>14.575151248966112</v>
      </c>
      <c r="R32" s="31">
        <f>'TUSD BE'!$R$32*'TUSD BF'!$R$58</f>
        <v>3.2058630351298234</v>
      </c>
      <c r="S32" s="31">
        <f>'TUSD BE'!$R$32*'TUSD BF'!$S$58</f>
        <v>0</v>
      </c>
      <c r="T32" s="31">
        <f ca="1">SUM($L$32:$S$32)</f>
        <v>17.948964691164925</v>
      </c>
      <c r="U32" s="31">
        <f>'TUSD BE'!$U$32*'TUSD BF'!$U$58</f>
        <v>0</v>
      </c>
      <c r="V32" s="31">
        <f>'TUSD BE'!$V$32*'TUSD BF'!$V$58</f>
        <v>0</v>
      </c>
      <c r="W32" s="31">
        <f>'TUSD BE'!$W$32*'TUSD BF'!$W$58</f>
        <v>0</v>
      </c>
      <c r="X32" s="31">
        <f>'TUSD BE'!$X$32*'TUSD BF'!$X$58</f>
        <v>0</v>
      </c>
      <c r="Y32" s="31">
        <f>'TUSD BE'!$Y$32*'TUSD BF'!$Y$58</f>
        <v>0</v>
      </c>
      <c r="Z32" s="31">
        <f>'TUSD BE'!$Z$32*'TUSD BF'!$Z$58</f>
        <v>0</v>
      </c>
      <c r="AA32" s="31">
        <f>'TUSD BE'!$AA$32*'TUSD BF'!$AA$58</f>
        <v>0</v>
      </c>
      <c r="AB32" s="31">
        <f>SUM($U$32:$AA$32)</f>
        <v>0</v>
      </c>
      <c r="AC32" s="31">
        <f>'TUSD BE'!$AC$32*'TUSD BF'!$AC$58</f>
        <v>0</v>
      </c>
      <c r="AD32" s="31">
        <f>SUM($AC$32:$AC$32)</f>
        <v>0</v>
      </c>
      <c r="AE32" s="31">
        <f ca="1">$AO$32*$AO$55</f>
        <v>0</v>
      </c>
      <c r="AF32" s="31">
        <f ca="1">$AP$32*$AP$55</f>
        <v>0</v>
      </c>
      <c r="AG32" s="31">
        <f ca="1">SUM($AE$32:$AF$32)</f>
        <v>0</v>
      </c>
      <c r="AH32" s="31">
        <f>'TUSD BE'!$AH$32*'TUSD BF'!$AH$58</f>
        <v>1.951759692823581</v>
      </c>
      <c r="AI32" s="31">
        <f>'TUSD BE'!$AI$32*'TUSD BF'!$AI$58</f>
        <v>6.2765947092211394E-2</v>
      </c>
      <c r="AJ32" s="31">
        <f ca="1">'TUSD BE'!$AJ$32*'TUSD BF'!$AJ$58</f>
        <v>0.206324135063261</v>
      </c>
      <c r="AK32" s="31">
        <f ca="1">'TUSD BE'!$AK$32*'TUSD BF'!$AK$58</f>
        <v>0</v>
      </c>
      <c r="AL32" s="31">
        <f ca="1">SUM($AH$32:$AK$32)</f>
        <v>2.2208497749790532</v>
      </c>
      <c r="AM32" s="31">
        <f ca="1">SUMIF($L$4:$AL$4,"SUBTOTAL",$L$32:$AL$32)</f>
        <v>20.169814466143979</v>
      </c>
      <c r="AO32" s="44">
        <f ca="1">+'TUSD BE'!$T$32+'TUSD BE'!$AB$32+'TUSD BE'!$AD$32+'TUSD BE'!$AL$32</f>
        <v>271.28990325894767</v>
      </c>
      <c r="AP32" s="44">
        <f ca="1">+'TUSD BE'!$T$32+'TUSD BE'!$AB$32+'TUSD BE'!$AD$32+'TUSD BE'!$AL$32</f>
        <v>271.28990325894767</v>
      </c>
    </row>
    <row r="33" spans="1:42" ht="11.25" customHeight="1" x14ac:dyDescent="0.25">
      <c r="A33" s="137"/>
      <c r="B33" s="42" t="s">
        <v>23</v>
      </c>
      <c r="C33" s="42" t="s">
        <v>40</v>
      </c>
      <c r="D33" s="42" t="s">
        <v>25</v>
      </c>
      <c r="E33" s="42" t="s">
        <v>25</v>
      </c>
      <c r="F33" s="42" t="s">
        <v>25</v>
      </c>
      <c r="G33" s="41" t="s">
        <v>74</v>
      </c>
      <c r="H33" s="41" t="s">
        <v>70</v>
      </c>
      <c r="I33" s="41">
        <f>'MERCADO TUSD'!$U$30</f>
        <v>45.472000000000001</v>
      </c>
      <c r="J33" s="15"/>
      <c r="L33" s="31">
        <f>'TUSD BE'!$L$33*'TUSD BF'!$L$58</f>
        <v>0.16795040706898923</v>
      </c>
      <c r="M33" s="31">
        <f>'TUSD BE'!$M$33*'TUSD BF'!$M$58</f>
        <v>0</v>
      </c>
      <c r="N33" s="31">
        <f ca="1">'TUSD BE'!$N$33*'TUSD BF'!$N$58</f>
        <v>0</v>
      </c>
      <c r="O33" s="31">
        <f>'TUSD BE'!$O$33*'TUSD BF'!$O$58</f>
        <v>0</v>
      </c>
      <c r="P33" s="31">
        <f>'TUSD BE'!$P$33*'TUSD BF'!$P$58</f>
        <v>0</v>
      </c>
      <c r="Q33" s="31">
        <f>'TUSD BE'!$Q$33*'TUSD BF'!$Q$58</f>
        <v>14.575151248966112</v>
      </c>
      <c r="R33" s="31">
        <f>'TUSD BE'!$R$33*'TUSD BF'!$R$58</f>
        <v>3.2058630351298234</v>
      </c>
      <c r="S33" s="31">
        <f>'TUSD BE'!$R$33*'TUSD BF'!$S$58</f>
        <v>0</v>
      </c>
      <c r="T33" s="31">
        <f ca="1">SUM($L$33:$S$33)</f>
        <v>17.948964691164925</v>
      </c>
      <c r="U33" s="31">
        <f>'TUSD BE'!$U$33*'TUSD BF'!$U$58</f>
        <v>0</v>
      </c>
      <c r="V33" s="31">
        <f>'TUSD BE'!$V$33*'TUSD BF'!$V$58</f>
        <v>0</v>
      </c>
      <c r="W33" s="31">
        <f>'TUSD BE'!$W$33*'TUSD BF'!$W$58</f>
        <v>0</v>
      </c>
      <c r="X33" s="31">
        <f>'TUSD BE'!$X$33*'TUSD BF'!$X$58</f>
        <v>0</v>
      </c>
      <c r="Y33" s="31">
        <f>'TUSD BE'!$Y$33*'TUSD BF'!$Y$58</f>
        <v>0</v>
      </c>
      <c r="Z33" s="31">
        <f>'TUSD BE'!$Z$33*'TUSD BF'!$Z$58</f>
        <v>0</v>
      </c>
      <c r="AA33" s="31">
        <f>'TUSD BE'!$AA$33*'TUSD BF'!$AA$58</f>
        <v>0</v>
      </c>
      <c r="AB33" s="31">
        <f>SUM($U$33:$AA$33)</f>
        <v>0</v>
      </c>
      <c r="AC33" s="31">
        <f>'TUSD BE'!$AC$33*'TUSD BF'!$AC$58</f>
        <v>0</v>
      </c>
      <c r="AD33" s="31">
        <f>SUM($AC$33:$AC$33)</f>
        <v>0</v>
      </c>
      <c r="AE33" s="31">
        <f ca="1">$AO$33*$AO$55</f>
        <v>0</v>
      </c>
      <c r="AF33" s="31">
        <f ca="1">$AP$33*$AP$55</f>
        <v>0</v>
      </c>
      <c r="AG33" s="31">
        <f ca="1">SUM($AE$33:$AF$33)</f>
        <v>0</v>
      </c>
      <c r="AH33" s="31">
        <f>'TUSD BE'!$AH$33*'TUSD BF'!$AH$58</f>
        <v>1.951759692823581</v>
      </c>
      <c r="AI33" s="31">
        <f>'TUSD BE'!$AI$33*'TUSD BF'!$AI$58</f>
        <v>6.2765947092211394E-2</v>
      </c>
      <c r="AJ33" s="31">
        <f ca="1">'TUSD BE'!$AJ$33*'TUSD BF'!$AJ$58</f>
        <v>0.206324135063261</v>
      </c>
      <c r="AK33" s="31">
        <f ca="1">'TUSD BE'!$AK$33*'TUSD BF'!$AK$58</f>
        <v>0</v>
      </c>
      <c r="AL33" s="31">
        <f ca="1">SUM($AH$33:$AK$33)</f>
        <v>2.2208497749790532</v>
      </c>
      <c r="AM33" s="31">
        <f ca="1">SUMIF($L$4:$AL$4,"SUBTOTAL",$L$33:$AL$33)</f>
        <v>20.169814466143979</v>
      </c>
      <c r="AO33" s="44">
        <f ca="1">+'TUSD BE'!$T$33+'TUSD BE'!$AB$33+'TUSD BE'!$AD$33+'TUSD BE'!$AL$33</f>
        <v>393.82348431464209</v>
      </c>
      <c r="AP33" s="44">
        <f ca="1">+'TUSD BE'!$T$33+'TUSD BE'!$AB$33+'TUSD BE'!$AD$33+'TUSD BE'!$AL$33</f>
        <v>393.82348431464209</v>
      </c>
    </row>
    <row r="34" spans="1:42" ht="11.25" customHeight="1" x14ac:dyDescent="0.25">
      <c r="A34" s="137"/>
      <c r="B34" s="137" t="s">
        <v>49</v>
      </c>
      <c r="C34" s="137" t="s">
        <v>40</v>
      </c>
      <c r="D34" s="137" t="s">
        <v>86</v>
      </c>
      <c r="E34" s="137" t="s">
        <v>25</v>
      </c>
      <c r="F34" s="137" t="s">
        <v>25</v>
      </c>
      <c r="G34" s="41" t="s">
        <v>71</v>
      </c>
      <c r="H34" s="41" t="s">
        <v>70</v>
      </c>
      <c r="I34" s="41">
        <f>'MERCADO TUSD'!$U$31</f>
        <v>0</v>
      </c>
      <c r="J34" s="15"/>
      <c r="L34" s="31">
        <f>'TUSD BE'!$L$34*'TUSD BF'!$L$58</f>
        <v>0.16795040706898923</v>
      </c>
      <c r="M34" s="31">
        <f>'TUSD BE'!$M$34*'TUSD BF'!$M$58</f>
        <v>0</v>
      </c>
      <c r="N34" s="31">
        <f ca="1">'TUSD BE'!$N$34*'TUSD BF'!$N$58</f>
        <v>0</v>
      </c>
      <c r="O34" s="31">
        <f>'TUSD BE'!$O$34*'TUSD BF'!$O$58</f>
        <v>0</v>
      </c>
      <c r="P34" s="31">
        <f>'TUSD BE'!$P$34*'TUSD BF'!$P$58</f>
        <v>0</v>
      </c>
      <c r="Q34" s="31">
        <f>'TUSD BE'!$Q$34*'TUSD BF'!$Q$58</f>
        <v>14.575151248966112</v>
      </c>
      <c r="R34" s="31">
        <f>'TUSD BE'!$R$34*'TUSD BF'!$R$58</f>
        <v>3.2058630351298234</v>
      </c>
      <c r="S34" s="31">
        <f>'TUSD BE'!$R$34*'TUSD BF'!$S$58</f>
        <v>0</v>
      </c>
      <c r="T34" s="31">
        <f ca="1">SUM($L$34:$S$34)</f>
        <v>17.948964691164925</v>
      </c>
      <c r="U34" s="31">
        <f>'TUSD BE'!$U$34*'TUSD BF'!$U$58</f>
        <v>0</v>
      </c>
      <c r="V34" s="31">
        <f>'TUSD BE'!$V$34*'TUSD BF'!$V$58</f>
        <v>0</v>
      </c>
      <c r="W34" s="31">
        <f>'TUSD BE'!$W$34*'TUSD BF'!$W$58</f>
        <v>0</v>
      </c>
      <c r="X34" s="31">
        <f>'TUSD BE'!$X$34*'TUSD BF'!$X$58</f>
        <v>0</v>
      </c>
      <c r="Y34" s="31">
        <f>'TUSD BE'!$Y$34*'TUSD BF'!$Y$58</f>
        <v>0</v>
      </c>
      <c r="Z34" s="31">
        <f>'TUSD BE'!$Z$34*'TUSD BF'!$Z$58</f>
        <v>0</v>
      </c>
      <c r="AA34" s="31">
        <f>'TUSD BE'!$AA$34*'TUSD BF'!$AA$58</f>
        <v>0</v>
      </c>
      <c r="AB34" s="31">
        <f>SUM($U$34:$AA$34)</f>
        <v>0</v>
      </c>
      <c r="AC34" s="31">
        <f>'TUSD BE'!$AC$34*'TUSD BF'!$AC$58</f>
        <v>0</v>
      </c>
      <c r="AD34" s="31">
        <f>SUM($AC$34:$AC$34)</f>
        <v>0</v>
      </c>
      <c r="AE34" s="31">
        <f ca="1">$AO$34*$AO$55</f>
        <v>0</v>
      </c>
      <c r="AF34" s="31">
        <f ca="1">$AP$34*$AP$55</f>
        <v>0</v>
      </c>
      <c r="AG34" s="31">
        <f ca="1">SUM($AE$34:$AF$34)</f>
        <v>0</v>
      </c>
      <c r="AH34" s="31">
        <f>'TUSD BE'!$AH$34*'TUSD BF'!$AH$58</f>
        <v>1.951759692823581</v>
      </c>
      <c r="AI34" s="31">
        <f>'TUSD BE'!$AI$34*'TUSD BF'!$AI$58</f>
        <v>6.2765947092211394E-2</v>
      </c>
      <c r="AJ34" s="31">
        <f ca="1">'TUSD BE'!$AJ$34*'TUSD BF'!$AJ$58</f>
        <v>0.206324135063261</v>
      </c>
      <c r="AK34" s="31">
        <f ca="1">'TUSD BE'!$AK$34*'TUSD BF'!$AK$58</f>
        <v>0</v>
      </c>
      <c r="AL34" s="31">
        <f ca="1">SUM($AH$34:$AK$34)</f>
        <v>2.2208497749790532</v>
      </c>
      <c r="AM34" s="31">
        <f ca="1">SUMIF($L$4:$AL$4,"SUBTOTAL",$L$34:$AL$34)</f>
        <v>20.169814466143979</v>
      </c>
      <c r="AO34" s="44">
        <f ca="1">+'TUSD BE'!$T$34+'TUSD BE'!$AB$34+'TUSD BE'!$AD$34+'TUSD BE'!$AL$34</f>
        <v>823.99466944004996</v>
      </c>
      <c r="AP34" s="44">
        <f ca="1">+'TUSD BE'!$T$34+'TUSD BE'!$AB$34+'TUSD BE'!$AD$34+'TUSD BE'!$AL$34</f>
        <v>823.99466944004996</v>
      </c>
    </row>
    <row r="35" spans="1:42" ht="11.25" customHeight="1" x14ac:dyDescent="0.25">
      <c r="A35" s="137"/>
      <c r="B35" s="137"/>
      <c r="C35" s="137"/>
      <c r="D35" s="137"/>
      <c r="E35" s="137"/>
      <c r="F35" s="137"/>
      <c r="G35" s="41" t="s">
        <v>83</v>
      </c>
      <c r="H35" s="41" t="s">
        <v>70</v>
      </c>
      <c r="I35" s="41">
        <f>'MERCADO TUSD'!$U$32</f>
        <v>0</v>
      </c>
      <c r="J35" s="15"/>
      <c r="L35" s="31">
        <f>'TUSD BE'!$L$35*'TUSD BF'!$L$58</f>
        <v>0.16795040706898923</v>
      </c>
      <c r="M35" s="31">
        <f>'TUSD BE'!$M$35*'TUSD BF'!$M$58</f>
        <v>0</v>
      </c>
      <c r="N35" s="31">
        <f ca="1">'TUSD BE'!$N$35*'TUSD BF'!$N$58</f>
        <v>0</v>
      </c>
      <c r="O35" s="31">
        <f>'TUSD BE'!$O$35*'TUSD BF'!$O$58</f>
        <v>0</v>
      </c>
      <c r="P35" s="31">
        <f>'TUSD BE'!$P$35*'TUSD BF'!$P$58</f>
        <v>0</v>
      </c>
      <c r="Q35" s="31">
        <f>'TUSD BE'!$Q$35*'TUSD BF'!$Q$58</f>
        <v>14.575151248966112</v>
      </c>
      <c r="R35" s="31">
        <f>'TUSD BE'!$R$35*'TUSD BF'!$R$58</f>
        <v>3.2058630351298234</v>
      </c>
      <c r="S35" s="31">
        <f>'TUSD BE'!$R$35*'TUSD BF'!$S$58</f>
        <v>0</v>
      </c>
      <c r="T35" s="31">
        <f ca="1">SUM($L$35:$S$35)</f>
        <v>17.948964691164925</v>
      </c>
      <c r="U35" s="31">
        <f>'TUSD BE'!$U$35*'TUSD BF'!$U$58</f>
        <v>0</v>
      </c>
      <c r="V35" s="31">
        <f>'TUSD BE'!$V$35*'TUSD BF'!$V$58</f>
        <v>0</v>
      </c>
      <c r="W35" s="31">
        <f>'TUSD BE'!$W$35*'TUSD BF'!$W$58</f>
        <v>0</v>
      </c>
      <c r="X35" s="31">
        <f>'TUSD BE'!$X$35*'TUSD BF'!$X$58</f>
        <v>0</v>
      </c>
      <c r="Y35" s="31">
        <f>'TUSD BE'!$Y$35*'TUSD BF'!$Y$58</f>
        <v>0</v>
      </c>
      <c r="Z35" s="31">
        <f>'TUSD BE'!$Z$35*'TUSD BF'!$Z$58</f>
        <v>0</v>
      </c>
      <c r="AA35" s="31">
        <f>'TUSD BE'!$AA$35*'TUSD BF'!$AA$58</f>
        <v>0</v>
      </c>
      <c r="AB35" s="31">
        <f>SUM($U$35:$AA$35)</f>
        <v>0</v>
      </c>
      <c r="AC35" s="31">
        <f>'TUSD BE'!$AC$35*'TUSD BF'!$AC$58</f>
        <v>0</v>
      </c>
      <c r="AD35" s="31">
        <f>SUM($AC$35:$AC$35)</f>
        <v>0</v>
      </c>
      <c r="AE35" s="31">
        <f ca="1">$AO$35*$AO$55</f>
        <v>0</v>
      </c>
      <c r="AF35" s="31">
        <f ca="1">$AP$35*$AP$55</f>
        <v>0</v>
      </c>
      <c r="AG35" s="31">
        <f ca="1">SUM($AE$35:$AF$35)</f>
        <v>0</v>
      </c>
      <c r="AH35" s="31">
        <f>'TUSD BE'!$AH$35*'TUSD BF'!$AH$58</f>
        <v>1.951759692823581</v>
      </c>
      <c r="AI35" s="31">
        <f>'TUSD BE'!$AI$35*'TUSD BF'!$AI$58</f>
        <v>6.2765947092211394E-2</v>
      </c>
      <c r="AJ35" s="31">
        <f ca="1">'TUSD BE'!$AJ$35*'TUSD BF'!$AJ$58</f>
        <v>0.206324135063261</v>
      </c>
      <c r="AK35" s="31">
        <f ca="1">'TUSD BE'!$AK$35*'TUSD BF'!$AK$58</f>
        <v>0</v>
      </c>
      <c r="AL35" s="31">
        <f ca="1">SUM($AH$35:$AK$35)</f>
        <v>2.2208497749790532</v>
      </c>
      <c r="AM35" s="31">
        <f ca="1">SUMIF($L$4:$AL$4,"SUBTOTAL",$L$35:$AL$35)</f>
        <v>20.169814466143979</v>
      </c>
      <c r="AO35" s="44">
        <f ca="1">+'TUSD BE'!$T$35+'TUSD BE'!$AB$35+'TUSD BE'!$AD$35+'TUSD BE'!$AL$35</f>
        <v>547.64234358157103</v>
      </c>
      <c r="AP35" s="44">
        <f ca="1">+'TUSD BE'!$T$35+'TUSD BE'!$AB$35+'TUSD BE'!$AD$35+'TUSD BE'!$AL$35</f>
        <v>547.64234358157103</v>
      </c>
    </row>
    <row r="36" spans="1:42" ht="11.25" customHeight="1" x14ac:dyDescent="0.25">
      <c r="A36" s="137"/>
      <c r="B36" s="137"/>
      <c r="C36" s="137"/>
      <c r="D36" s="137"/>
      <c r="E36" s="137"/>
      <c r="F36" s="137"/>
      <c r="G36" s="41" t="s">
        <v>72</v>
      </c>
      <c r="H36" s="41" t="s">
        <v>70</v>
      </c>
      <c r="I36" s="41">
        <f>'MERCADO TUSD'!$U$33</f>
        <v>0</v>
      </c>
      <c r="J36" s="15"/>
      <c r="L36" s="31">
        <f>'TUSD BE'!$L$36*'TUSD BF'!$L$58</f>
        <v>0.16795040706898923</v>
      </c>
      <c r="M36" s="31">
        <f>'TUSD BE'!$M$36*'TUSD BF'!$M$58</f>
        <v>0</v>
      </c>
      <c r="N36" s="31">
        <f ca="1">'TUSD BE'!$N$36*'TUSD BF'!$N$58</f>
        <v>0</v>
      </c>
      <c r="O36" s="31">
        <f>'TUSD BE'!$O$36*'TUSD BF'!$O$58</f>
        <v>0</v>
      </c>
      <c r="P36" s="31">
        <f>'TUSD BE'!$P$36*'TUSD BF'!$P$58</f>
        <v>0</v>
      </c>
      <c r="Q36" s="31">
        <f>'TUSD BE'!$Q$36*'TUSD BF'!$Q$58</f>
        <v>14.575151248966112</v>
      </c>
      <c r="R36" s="31">
        <f>'TUSD BE'!$R$36*'TUSD BF'!$R$58</f>
        <v>3.2058630351298234</v>
      </c>
      <c r="S36" s="31">
        <f>'TUSD BE'!$R$36*'TUSD BF'!$S$58</f>
        <v>0</v>
      </c>
      <c r="T36" s="31">
        <f ca="1">SUM($L$36:$S$36)</f>
        <v>17.948964691164925</v>
      </c>
      <c r="U36" s="31">
        <f>'TUSD BE'!$U$36*'TUSD BF'!$U$58</f>
        <v>0</v>
      </c>
      <c r="V36" s="31">
        <f>'TUSD BE'!$V$36*'TUSD BF'!$V$58</f>
        <v>0</v>
      </c>
      <c r="W36" s="31">
        <f>'TUSD BE'!$W$36*'TUSD BF'!$W$58</f>
        <v>0</v>
      </c>
      <c r="X36" s="31">
        <f>'TUSD BE'!$X$36*'TUSD BF'!$X$58</f>
        <v>0</v>
      </c>
      <c r="Y36" s="31">
        <f>'TUSD BE'!$Y$36*'TUSD BF'!$Y$58</f>
        <v>0</v>
      </c>
      <c r="Z36" s="31">
        <f>'TUSD BE'!$Z$36*'TUSD BF'!$Z$58</f>
        <v>0</v>
      </c>
      <c r="AA36" s="31">
        <f>'TUSD BE'!$AA$36*'TUSD BF'!$AA$58</f>
        <v>0</v>
      </c>
      <c r="AB36" s="31">
        <f>SUM($U$36:$AA$36)</f>
        <v>0</v>
      </c>
      <c r="AC36" s="31">
        <f>'TUSD BE'!$AC$36*'TUSD BF'!$AC$58</f>
        <v>0</v>
      </c>
      <c r="AD36" s="31">
        <f>SUM($AC$36:$AC$36)</f>
        <v>0</v>
      </c>
      <c r="AE36" s="31">
        <f ca="1">$AO$36*$AO$55</f>
        <v>0</v>
      </c>
      <c r="AF36" s="31">
        <f ca="1">$AP$36*$AP$55</f>
        <v>0</v>
      </c>
      <c r="AG36" s="31">
        <f ca="1">SUM($AE$36:$AF$36)</f>
        <v>0</v>
      </c>
      <c r="AH36" s="31">
        <f>'TUSD BE'!$AH$36*'TUSD BF'!$AH$58</f>
        <v>1.951759692823581</v>
      </c>
      <c r="AI36" s="31">
        <f>'TUSD BE'!$AI$36*'TUSD BF'!$AI$58</f>
        <v>6.2765947092211394E-2</v>
      </c>
      <c r="AJ36" s="31">
        <f ca="1">'TUSD BE'!$AJ$36*'TUSD BF'!$AJ$58</f>
        <v>0.206324135063261</v>
      </c>
      <c r="AK36" s="31">
        <f ca="1">'TUSD BE'!$AK$36*'TUSD BF'!$AK$58</f>
        <v>0</v>
      </c>
      <c r="AL36" s="31">
        <f ca="1">SUM($AH$36:$AK$36)</f>
        <v>2.2208497749790532</v>
      </c>
      <c r="AM36" s="31">
        <f ca="1">SUMIF($L$4:$AL$4,"SUBTOTAL",$L$36:$AL$36)</f>
        <v>20.169814466143979</v>
      </c>
      <c r="AO36" s="44">
        <f ca="1">+'TUSD BE'!$T$36+'TUSD BE'!$AB$36+'TUSD BE'!$AD$36+'TUSD BE'!$AL$36</f>
        <v>271.28990325894767</v>
      </c>
      <c r="AP36" s="44">
        <f ca="1">+'TUSD BE'!$T$36+'TUSD BE'!$AB$36+'TUSD BE'!$AD$36+'TUSD BE'!$AL$36</f>
        <v>271.28990325894767</v>
      </c>
    </row>
    <row r="37" spans="1:42" ht="11.25" customHeight="1" x14ac:dyDescent="0.25">
      <c r="A37" s="137"/>
      <c r="B37" s="42" t="s">
        <v>23</v>
      </c>
      <c r="C37" s="42" t="s">
        <v>40</v>
      </c>
      <c r="D37" s="42" t="s">
        <v>86</v>
      </c>
      <c r="E37" s="42" t="s">
        <v>25</v>
      </c>
      <c r="F37" s="42" t="s">
        <v>25</v>
      </c>
      <c r="G37" s="41" t="s">
        <v>74</v>
      </c>
      <c r="H37" s="41" t="s">
        <v>70</v>
      </c>
      <c r="I37" s="41">
        <f>'MERCADO TUSD'!$U$34</f>
        <v>0</v>
      </c>
      <c r="J37" s="15"/>
      <c r="L37" s="31">
        <f>'TUSD BE'!$L$37*'TUSD BF'!$L$58</f>
        <v>0.16795040706898923</v>
      </c>
      <c r="M37" s="31">
        <f>'TUSD BE'!$M$37*'TUSD BF'!$M$58</f>
        <v>0</v>
      </c>
      <c r="N37" s="31">
        <f ca="1">'TUSD BE'!$N$37*'TUSD BF'!$N$58</f>
        <v>0</v>
      </c>
      <c r="O37" s="31">
        <f>'TUSD BE'!$O$37*'TUSD BF'!$O$58</f>
        <v>0</v>
      </c>
      <c r="P37" s="31">
        <f>'TUSD BE'!$P$37*'TUSD BF'!$P$58</f>
        <v>0</v>
      </c>
      <c r="Q37" s="31">
        <f>'TUSD BE'!$Q$37*'TUSD BF'!$Q$58</f>
        <v>14.575151248966112</v>
      </c>
      <c r="R37" s="31">
        <f>'TUSD BE'!$R$37*'TUSD BF'!$R$58</f>
        <v>3.2058630351298234</v>
      </c>
      <c r="S37" s="31">
        <f>'TUSD BE'!$R$37*'TUSD BF'!$S$58</f>
        <v>0</v>
      </c>
      <c r="T37" s="31">
        <f ca="1">SUM($L$37:$S$37)</f>
        <v>17.948964691164925</v>
      </c>
      <c r="U37" s="31">
        <f>'TUSD BE'!$U$37*'TUSD BF'!$U$58</f>
        <v>0</v>
      </c>
      <c r="V37" s="31">
        <f>'TUSD BE'!$V$37*'TUSD BF'!$V$58</f>
        <v>0</v>
      </c>
      <c r="W37" s="31">
        <f>'TUSD BE'!$W$37*'TUSD BF'!$W$58</f>
        <v>0</v>
      </c>
      <c r="X37" s="31">
        <f>'TUSD BE'!$X$37*'TUSD BF'!$X$58</f>
        <v>0</v>
      </c>
      <c r="Y37" s="31">
        <f>'TUSD BE'!$Y$37*'TUSD BF'!$Y$58</f>
        <v>0</v>
      </c>
      <c r="Z37" s="31">
        <f>'TUSD BE'!$Z$37*'TUSD BF'!$Z$58</f>
        <v>0</v>
      </c>
      <c r="AA37" s="31">
        <f>'TUSD BE'!$AA$37*'TUSD BF'!$AA$58</f>
        <v>0</v>
      </c>
      <c r="AB37" s="31">
        <f>SUM($U$37:$AA$37)</f>
        <v>0</v>
      </c>
      <c r="AC37" s="31">
        <f>'TUSD BE'!$AC$37*'TUSD BF'!$AC$58</f>
        <v>0</v>
      </c>
      <c r="AD37" s="31">
        <f>SUM($AC$37:$AC$37)</f>
        <v>0</v>
      </c>
      <c r="AE37" s="31">
        <f ca="1">$AO$37*$AO$55</f>
        <v>0</v>
      </c>
      <c r="AF37" s="31">
        <f ca="1">$AP$37*$AP$55</f>
        <v>0</v>
      </c>
      <c r="AG37" s="31">
        <f ca="1">SUM($AE$37:$AF$37)</f>
        <v>0</v>
      </c>
      <c r="AH37" s="31">
        <f>'TUSD BE'!$AH$37*'TUSD BF'!$AH$58</f>
        <v>1.951759692823581</v>
      </c>
      <c r="AI37" s="31">
        <f>'TUSD BE'!$AI$37*'TUSD BF'!$AI$58</f>
        <v>6.2765947092211394E-2</v>
      </c>
      <c r="AJ37" s="31">
        <f ca="1">'TUSD BE'!$AJ$37*'TUSD BF'!$AJ$58</f>
        <v>0.206324135063261</v>
      </c>
      <c r="AK37" s="31">
        <f ca="1">'TUSD BE'!$AK$37*'TUSD BF'!$AK$58</f>
        <v>0</v>
      </c>
      <c r="AL37" s="31">
        <f ca="1">SUM($AH$37:$AK$37)</f>
        <v>2.2208497749790532</v>
      </c>
      <c r="AM37" s="31">
        <f ca="1">SUMIF($L$4:$AL$4,"SUBTOTAL",$L$37:$AL$37)</f>
        <v>20.169814466143979</v>
      </c>
      <c r="AO37" s="44">
        <f ca="1">+'TUSD BE'!$T$37+'TUSD BE'!$AB$37+'TUSD BE'!$AD$37+'TUSD BE'!$AL$37</f>
        <v>393.82348431464209</v>
      </c>
      <c r="AP37" s="44">
        <f ca="1">+'TUSD BE'!$T$37+'TUSD BE'!$AB$37+'TUSD BE'!$AD$37+'TUSD BE'!$AL$37</f>
        <v>393.82348431464209</v>
      </c>
    </row>
    <row r="38" spans="1:42" ht="11.25" customHeight="1" x14ac:dyDescent="0.25">
      <c r="A38" s="137"/>
      <c r="B38" s="137" t="s">
        <v>49</v>
      </c>
      <c r="C38" s="137" t="s">
        <v>40</v>
      </c>
      <c r="D38" s="137" t="s">
        <v>87</v>
      </c>
      <c r="E38" s="137" t="s">
        <v>25</v>
      </c>
      <c r="F38" s="137" t="s">
        <v>25</v>
      </c>
      <c r="G38" s="41" t="s">
        <v>71</v>
      </c>
      <c r="H38" s="41" t="s">
        <v>70</v>
      </c>
      <c r="I38" s="41">
        <f>'MERCADO TUSD'!$U$35</f>
        <v>0</v>
      </c>
      <c r="J38" s="15"/>
      <c r="L38" s="31">
        <f>'TUSD BE'!$L$38*'TUSD BF'!$L$58</f>
        <v>0.16795040706898923</v>
      </c>
      <c r="M38" s="31">
        <f>'TUSD BE'!$M$38*'TUSD BF'!$M$58</f>
        <v>0</v>
      </c>
      <c r="N38" s="31">
        <f ca="1">'TUSD BE'!$N$38*'TUSD BF'!$N$58</f>
        <v>0</v>
      </c>
      <c r="O38" s="31">
        <f>'TUSD BE'!$O$38*'TUSD BF'!$O$58</f>
        <v>0</v>
      </c>
      <c r="P38" s="31">
        <f>'TUSD BE'!$P$38*'TUSD BF'!$P$58</f>
        <v>0</v>
      </c>
      <c r="Q38" s="31">
        <f>'TUSD BE'!$Q$38*'TUSD BF'!$Q$58</f>
        <v>14.575151248966112</v>
      </c>
      <c r="R38" s="31">
        <f>'TUSD BE'!$R$38*'TUSD BF'!$R$58</f>
        <v>3.2058630351298234</v>
      </c>
      <c r="S38" s="31">
        <f>'TUSD BE'!$R$38*'TUSD BF'!$S$58</f>
        <v>0</v>
      </c>
      <c r="T38" s="31">
        <f ca="1">SUM($L$38:$S$38)</f>
        <v>17.948964691164925</v>
      </c>
      <c r="U38" s="31">
        <f>'TUSD BE'!$U$38*'TUSD BF'!$U$58</f>
        <v>0</v>
      </c>
      <c r="V38" s="31">
        <f>'TUSD BE'!$V$38*'TUSD BF'!$V$58</f>
        <v>0</v>
      </c>
      <c r="W38" s="31">
        <f>'TUSD BE'!$W$38*'TUSD BF'!$W$58</f>
        <v>0</v>
      </c>
      <c r="X38" s="31">
        <f>'TUSD BE'!$X$38*'TUSD BF'!$X$58</f>
        <v>0</v>
      </c>
      <c r="Y38" s="31">
        <f>'TUSD BE'!$Y$38*'TUSD BF'!$Y$58</f>
        <v>0</v>
      </c>
      <c r="Z38" s="31">
        <f>'TUSD BE'!$Z$38*'TUSD BF'!$Z$58</f>
        <v>0</v>
      </c>
      <c r="AA38" s="31">
        <f>'TUSD BE'!$AA$38*'TUSD BF'!$AA$58</f>
        <v>0</v>
      </c>
      <c r="AB38" s="31">
        <f>SUM($U$38:$AA$38)</f>
        <v>0</v>
      </c>
      <c r="AC38" s="31">
        <f>'TUSD BE'!$AC$38*'TUSD BF'!$AC$58</f>
        <v>0</v>
      </c>
      <c r="AD38" s="31">
        <f>SUM($AC$38:$AC$38)</f>
        <v>0</v>
      </c>
      <c r="AE38" s="31">
        <f ca="1">$AO$38*$AO$55</f>
        <v>0</v>
      </c>
      <c r="AF38" s="31">
        <f ca="1">$AP$38*$AP$55</f>
        <v>0</v>
      </c>
      <c r="AG38" s="31">
        <f ca="1">SUM($AE$38:$AF$38)</f>
        <v>0</v>
      </c>
      <c r="AH38" s="31">
        <f>'TUSD BE'!$AH$38*'TUSD BF'!$AH$58</f>
        <v>1.951759692823581</v>
      </c>
      <c r="AI38" s="31">
        <f>'TUSD BE'!$AI$38*'TUSD BF'!$AI$58</f>
        <v>6.2765947092211394E-2</v>
      </c>
      <c r="AJ38" s="31">
        <f ca="1">'TUSD BE'!$AJ$38*'TUSD BF'!$AJ$58</f>
        <v>0.206324135063261</v>
      </c>
      <c r="AK38" s="31">
        <f ca="1">'TUSD BE'!$AK$38*'TUSD BF'!$AK$58</f>
        <v>0</v>
      </c>
      <c r="AL38" s="31">
        <f ca="1">SUM($AH$38:$AK$38)</f>
        <v>2.2208497749790532</v>
      </c>
      <c r="AM38" s="31">
        <f ca="1">SUMIF($L$4:$AL$4,"SUBTOTAL",$L$38:$AL$38)</f>
        <v>20.169814466143979</v>
      </c>
      <c r="AO38" s="44">
        <f ca="1">+'TUSD BE'!$T$38+'TUSD BE'!$AB$38+'TUSD BE'!$AD$38+'TUSD BE'!$AL$38</f>
        <v>823.99466944004996</v>
      </c>
      <c r="AP38" s="44">
        <f ca="1">+'TUSD BE'!$T$38+'TUSD BE'!$AB$38+'TUSD BE'!$AD$38+'TUSD BE'!$AL$38</f>
        <v>823.99466944004996</v>
      </c>
    </row>
    <row r="39" spans="1:42" ht="11.25" customHeight="1" x14ac:dyDescent="0.25">
      <c r="A39" s="137"/>
      <c r="B39" s="137"/>
      <c r="C39" s="137"/>
      <c r="D39" s="137"/>
      <c r="E39" s="137"/>
      <c r="F39" s="137"/>
      <c r="G39" s="41" t="s">
        <v>83</v>
      </c>
      <c r="H39" s="41" t="s">
        <v>70</v>
      </c>
      <c r="I39" s="41">
        <f>'MERCADO TUSD'!$U$36</f>
        <v>0</v>
      </c>
      <c r="J39" s="15"/>
      <c r="L39" s="31">
        <f>'TUSD BE'!$L$39*'TUSD BF'!$L$58</f>
        <v>0.16795040706898923</v>
      </c>
      <c r="M39" s="31">
        <f>'TUSD BE'!$M$39*'TUSD BF'!$M$58</f>
        <v>0</v>
      </c>
      <c r="N39" s="31">
        <f ca="1">'TUSD BE'!$N$39*'TUSD BF'!$N$58</f>
        <v>0</v>
      </c>
      <c r="O39" s="31">
        <f>'TUSD BE'!$O$39*'TUSD BF'!$O$58</f>
        <v>0</v>
      </c>
      <c r="P39" s="31">
        <f>'TUSD BE'!$P$39*'TUSD BF'!$P$58</f>
        <v>0</v>
      </c>
      <c r="Q39" s="31">
        <f>'TUSD BE'!$Q$39*'TUSD BF'!$Q$58</f>
        <v>14.575151248966112</v>
      </c>
      <c r="R39" s="31">
        <f>'TUSD BE'!$R$39*'TUSD BF'!$R$58</f>
        <v>3.2058630351298234</v>
      </c>
      <c r="S39" s="31">
        <f>'TUSD BE'!$R$39*'TUSD BF'!$S$58</f>
        <v>0</v>
      </c>
      <c r="T39" s="31">
        <f ca="1">SUM($L$39:$S$39)</f>
        <v>17.948964691164925</v>
      </c>
      <c r="U39" s="31">
        <f>'TUSD BE'!$U$39*'TUSD BF'!$U$58</f>
        <v>0</v>
      </c>
      <c r="V39" s="31">
        <f>'TUSD BE'!$V$39*'TUSD BF'!$V$58</f>
        <v>0</v>
      </c>
      <c r="W39" s="31">
        <f>'TUSD BE'!$W$39*'TUSD BF'!$W$58</f>
        <v>0</v>
      </c>
      <c r="X39" s="31">
        <f>'TUSD BE'!$X$39*'TUSD BF'!$X$58</f>
        <v>0</v>
      </c>
      <c r="Y39" s="31">
        <f>'TUSD BE'!$Y$39*'TUSD BF'!$Y$58</f>
        <v>0</v>
      </c>
      <c r="Z39" s="31">
        <f>'TUSD BE'!$Z$39*'TUSD BF'!$Z$58</f>
        <v>0</v>
      </c>
      <c r="AA39" s="31">
        <f>'TUSD BE'!$AA$39*'TUSD BF'!$AA$58</f>
        <v>0</v>
      </c>
      <c r="AB39" s="31">
        <f>SUM($U$39:$AA$39)</f>
        <v>0</v>
      </c>
      <c r="AC39" s="31">
        <f>'TUSD BE'!$AC$39*'TUSD BF'!$AC$58</f>
        <v>0</v>
      </c>
      <c r="AD39" s="31">
        <f>SUM($AC$39:$AC$39)</f>
        <v>0</v>
      </c>
      <c r="AE39" s="31">
        <f ca="1">$AO$39*$AO$55</f>
        <v>0</v>
      </c>
      <c r="AF39" s="31">
        <f ca="1">$AP$39*$AP$55</f>
        <v>0</v>
      </c>
      <c r="AG39" s="31">
        <f ca="1">SUM($AE$39:$AF$39)</f>
        <v>0</v>
      </c>
      <c r="AH39" s="31">
        <f>'TUSD BE'!$AH$39*'TUSD BF'!$AH$58</f>
        <v>1.951759692823581</v>
      </c>
      <c r="AI39" s="31">
        <f>'TUSD BE'!$AI$39*'TUSD BF'!$AI$58</f>
        <v>6.2765947092211394E-2</v>
      </c>
      <c r="AJ39" s="31">
        <f ca="1">'TUSD BE'!$AJ$39*'TUSD BF'!$AJ$58</f>
        <v>0.206324135063261</v>
      </c>
      <c r="AK39" s="31">
        <f ca="1">'TUSD BE'!$AK$39*'TUSD BF'!$AK$58</f>
        <v>0</v>
      </c>
      <c r="AL39" s="31">
        <f ca="1">SUM($AH$39:$AK$39)</f>
        <v>2.2208497749790532</v>
      </c>
      <c r="AM39" s="31">
        <f ca="1">SUMIF($L$4:$AL$4,"SUBTOTAL",$L$39:$AL$39)</f>
        <v>20.169814466143979</v>
      </c>
      <c r="AO39" s="44">
        <f ca="1">+'TUSD BE'!$T$39+'TUSD BE'!$AB$39+'TUSD BE'!$AD$39+'TUSD BE'!$AL$39</f>
        <v>547.64234358157103</v>
      </c>
      <c r="AP39" s="44">
        <f ca="1">+'TUSD BE'!$T$39+'TUSD BE'!$AB$39+'TUSD BE'!$AD$39+'TUSD BE'!$AL$39</f>
        <v>547.64234358157103</v>
      </c>
    </row>
    <row r="40" spans="1:42" ht="11.25" customHeight="1" x14ac:dyDescent="0.25">
      <c r="A40" s="137"/>
      <c r="B40" s="137"/>
      <c r="C40" s="137"/>
      <c r="D40" s="137"/>
      <c r="E40" s="137"/>
      <c r="F40" s="137"/>
      <c r="G40" s="41" t="s">
        <v>72</v>
      </c>
      <c r="H40" s="41" t="s">
        <v>70</v>
      </c>
      <c r="I40" s="41">
        <f>'MERCADO TUSD'!$U$37</f>
        <v>0</v>
      </c>
      <c r="J40" s="15"/>
      <c r="L40" s="31">
        <f>'TUSD BE'!$L$40*'TUSD BF'!$L$58</f>
        <v>0.16795040706898923</v>
      </c>
      <c r="M40" s="31">
        <f>'TUSD BE'!$M$40*'TUSD BF'!$M$58</f>
        <v>0</v>
      </c>
      <c r="N40" s="31">
        <f ca="1">'TUSD BE'!$N$40*'TUSD BF'!$N$58</f>
        <v>0</v>
      </c>
      <c r="O40" s="31">
        <f>'TUSD BE'!$O$40*'TUSD BF'!$O$58</f>
        <v>0</v>
      </c>
      <c r="P40" s="31">
        <f>'TUSD BE'!$P$40*'TUSD BF'!$P$58</f>
        <v>0</v>
      </c>
      <c r="Q40" s="31">
        <f>'TUSD BE'!$Q$40*'TUSD BF'!$Q$58</f>
        <v>14.575151248966112</v>
      </c>
      <c r="R40" s="31">
        <f>'TUSD BE'!$R$40*'TUSD BF'!$R$58</f>
        <v>3.2058630351298234</v>
      </c>
      <c r="S40" s="31">
        <f>'TUSD BE'!$R$40*'TUSD BF'!$S$58</f>
        <v>0</v>
      </c>
      <c r="T40" s="31">
        <f ca="1">SUM($L$40:$S$40)</f>
        <v>17.948964691164925</v>
      </c>
      <c r="U40" s="31">
        <f>'TUSD BE'!$U$40*'TUSD BF'!$U$58</f>
        <v>0</v>
      </c>
      <c r="V40" s="31">
        <f>'TUSD BE'!$V$40*'TUSD BF'!$V$58</f>
        <v>0</v>
      </c>
      <c r="W40" s="31">
        <f>'TUSD BE'!$W$40*'TUSD BF'!$W$58</f>
        <v>0</v>
      </c>
      <c r="X40" s="31">
        <f>'TUSD BE'!$X$40*'TUSD BF'!$X$58</f>
        <v>0</v>
      </c>
      <c r="Y40" s="31">
        <f>'TUSD BE'!$Y$40*'TUSD BF'!$Y$58</f>
        <v>0</v>
      </c>
      <c r="Z40" s="31">
        <f>'TUSD BE'!$Z$40*'TUSD BF'!$Z$58</f>
        <v>0</v>
      </c>
      <c r="AA40" s="31">
        <f>'TUSD BE'!$AA$40*'TUSD BF'!$AA$58</f>
        <v>0</v>
      </c>
      <c r="AB40" s="31">
        <f>SUM($U$40:$AA$40)</f>
        <v>0</v>
      </c>
      <c r="AC40" s="31">
        <f>'TUSD BE'!$AC$40*'TUSD BF'!$AC$58</f>
        <v>0</v>
      </c>
      <c r="AD40" s="31">
        <f>SUM($AC$40:$AC$40)</f>
        <v>0</v>
      </c>
      <c r="AE40" s="31">
        <f ca="1">$AO$40*$AO$55</f>
        <v>0</v>
      </c>
      <c r="AF40" s="31">
        <f ca="1">$AP$40*$AP$55</f>
        <v>0</v>
      </c>
      <c r="AG40" s="31">
        <f ca="1">SUM($AE$40:$AF$40)</f>
        <v>0</v>
      </c>
      <c r="AH40" s="31">
        <f>'TUSD BE'!$AH$40*'TUSD BF'!$AH$58</f>
        <v>1.951759692823581</v>
      </c>
      <c r="AI40" s="31">
        <f>'TUSD BE'!$AI$40*'TUSD BF'!$AI$58</f>
        <v>6.2765947092211394E-2</v>
      </c>
      <c r="AJ40" s="31">
        <f ca="1">'TUSD BE'!$AJ$40*'TUSD BF'!$AJ$58</f>
        <v>0.206324135063261</v>
      </c>
      <c r="AK40" s="31">
        <f ca="1">'TUSD BE'!$AK$40*'TUSD BF'!$AK$58</f>
        <v>0</v>
      </c>
      <c r="AL40" s="31">
        <f ca="1">SUM($AH$40:$AK$40)</f>
        <v>2.2208497749790532</v>
      </c>
      <c r="AM40" s="31">
        <f ca="1">SUMIF($L$4:$AL$4,"SUBTOTAL",$L$40:$AL$40)</f>
        <v>20.169814466143979</v>
      </c>
      <c r="AO40" s="44">
        <f ca="1">+'TUSD BE'!$T$40+'TUSD BE'!$AB$40+'TUSD BE'!$AD$40+'TUSD BE'!$AL$40</f>
        <v>271.28990325894767</v>
      </c>
      <c r="AP40" s="44">
        <f ca="1">+'TUSD BE'!$T$40+'TUSD BE'!$AB$40+'TUSD BE'!$AD$40+'TUSD BE'!$AL$40</f>
        <v>271.28990325894767</v>
      </c>
    </row>
    <row r="41" spans="1:42" ht="11.25" customHeight="1" x14ac:dyDescent="0.25">
      <c r="A41" s="137"/>
      <c r="B41" s="42" t="s">
        <v>23</v>
      </c>
      <c r="C41" s="42" t="s">
        <v>40</v>
      </c>
      <c r="D41" s="42" t="s">
        <v>87</v>
      </c>
      <c r="E41" s="42" t="s">
        <v>25</v>
      </c>
      <c r="F41" s="42" t="s">
        <v>25</v>
      </c>
      <c r="G41" s="41" t="s">
        <v>74</v>
      </c>
      <c r="H41" s="41" t="s">
        <v>70</v>
      </c>
      <c r="I41" s="41">
        <f>'MERCADO TUSD'!$U$38</f>
        <v>0</v>
      </c>
      <c r="J41" s="15"/>
      <c r="L41" s="31">
        <f>'TUSD BE'!$L$41*'TUSD BF'!$L$58</f>
        <v>0.16795040706898923</v>
      </c>
      <c r="M41" s="31">
        <f>'TUSD BE'!$M$41*'TUSD BF'!$M$58</f>
        <v>0</v>
      </c>
      <c r="N41" s="31">
        <f ca="1">'TUSD BE'!$N$41*'TUSD BF'!$N$58</f>
        <v>0</v>
      </c>
      <c r="O41" s="31">
        <f>'TUSD BE'!$O$41*'TUSD BF'!$O$58</f>
        <v>0</v>
      </c>
      <c r="P41" s="31">
        <f>'TUSD BE'!$P$41*'TUSD BF'!$P$58</f>
        <v>0</v>
      </c>
      <c r="Q41" s="31">
        <f>'TUSD BE'!$Q$41*'TUSD BF'!$Q$58</f>
        <v>14.575151248966112</v>
      </c>
      <c r="R41" s="31">
        <f>'TUSD BE'!$R$41*'TUSD BF'!$R$58</f>
        <v>3.2058630351298234</v>
      </c>
      <c r="S41" s="31">
        <f>'TUSD BE'!$R$41*'TUSD BF'!$S$58</f>
        <v>0</v>
      </c>
      <c r="T41" s="31">
        <f ca="1">SUM($L$41:$S$41)</f>
        <v>17.948964691164925</v>
      </c>
      <c r="U41" s="31">
        <f>'TUSD BE'!$U$41*'TUSD BF'!$U$58</f>
        <v>0</v>
      </c>
      <c r="V41" s="31">
        <f>'TUSD BE'!$V$41*'TUSD BF'!$V$58</f>
        <v>0</v>
      </c>
      <c r="W41" s="31">
        <f>'TUSD BE'!$W$41*'TUSD BF'!$W$58</f>
        <v>0</v>
      </c>
      <c r="X41" s="31">
        <f>'TUSD BE'!$X$41*'TUSD BF'!$X$58</f>
        <v>0</v>
      </c>
      <c r="Y41" s="31">
        <f>'TUSD BE'!$Y$41*'TUSD BF'!$Y$58</f>
        <v>0</v>
      </c>
      <c r="Z41" s="31">
        <f>'TUSD BE'!$Z$41*'TUSD BF'!$Z$58</f>
        <v>0</v>
      </c>
      <c r="AA41" s="31">
        <f>'TUSD BE'!$AA$41*'TUSD BF'!$AA$58</f>
        <v>0</v>
      </c>
      <c r="AB41" s="31">
        <f>SUM($U$41:$AA$41)</f>
        <v>0</v>
      </c>
      <c r="AC41" s="31">
        <f>'TUSD BE'!$AC$41*'TUSD BF'!$AC$58</f>
        <v>0</v>
      </c>
      <c r="AD41" s="31">
        <f>SUM($AC$41:$AC$41)</f>
        <v>0</v>
      </c>
      <c r="AE41" s="31">
        <f ca="1">$AO$41*$AO$55</f>
        <v>0</v>
      </c>
      <c r="AF41" s="31">
        <f ca="1">$AP$41*$AP$55</f>
        <v>0</v>
      </c>
      <c r="AG41" s="31">
        <f ca="1">SUM($AE$41:$AF$41)</f>
        <v>0</v>
      </c>
      <c r="AH41" s="31">
        <f>'TUSD BE'!$AH$41*'TUSD BF'!$AH$58</f>
        <v>1.951759692823581</v>
      </c>
      <c r="AI41" s="31">
        <f>'TUSD BE'!$AI$41*'TUSD BF'!$AI$58</f>
        <v>6.2765947092211394E-2</v>
      </c>
      <c r="AJ41" s="31">
        <f ca="1">'TUSD BE'!$AJ$41*'TUSD BF'!$AJ$58</f>
        <v>0.206324135063261</v>
      </c>
      <c r="AK41" s="31">
        <f ca="1">'TUSD BE'!$AK$41*'TUSD BF'!$AK$58</f>
        <v>0</v>
      </c>
      <c r="AL41" s="31">
        <f ca="1">SUM($AH$41:$AK$41)</f>
        <v>2.2208497749790532</v>
      </c>
      <c r="AM41" s="31">
        <f ca="1">SUMIF($L$4:$AL$4,"SUBTOTAL",$L$41:$AL$41)</f>
        <v>20.169814466143979</v>
      </c>
      <c r="AO41" s="44">
        <f ca="1">+'TUSD BE'!$T$41+'TUSD BE'!$AB$41+'TUSD BE'!$AD$41+'TUSD BE'!$AL$41</f>
        <v>393.82348431464209</v>
      </c>
      <c r="AP41" s="44">
        <f ca="1">+'TUSD BE'!$T$41+'TUSD BE'!$AB$41+'TUSD BE'!$AD$41+'TUSD BE'!$AL$41</f>
        <v>393.82348431464209</v>
      </c>
    </row>
    <row r="42" spans="1:42" ht="11.25" customHeight="1" x14ac:dyDescent="0.25">
      <c r="A42" s="137"/>
      <c r="B42" s="137" t="s">
        <v>85</v>
      </c>
      <c r="C42" s="137" t="s">
        <v>40</v>
      </c>
      <c r="D42" s="42" t="s">
        <v>25</v>
      </c>
      <c r="E42" s="42" t="s">
        <v>25</v>
      </c>
      <c r="F42" s="42" t="s">
        <v>25</v>
      </c>
      <c r="G42" s="41" t="s">
        <v>74</v>
      </c>
      <c r="H42" s="41" t="s">
        <v>70</v>
      </c>
      <c r="I42" s="41">
        <f>'MERCADO TUSD'!$U$39</f>
        <v>0</v>
      </c>
      <c r="J42" s="15"/>
      <c r="L42" s="31">
        <f>'TUSD BE'!$L$42*'TUSD BF'!$L$58</f>
        <v>0.16795040706898923</v>
      </c>
      <c r="M42" s="31">
        <f>'TUSD BE'!$M$42*'TUSD BF'!$M$58</f>
        <v>0</v>
      </c>
      <c r="N42" s="31">
        <f ca="1">'TUSD BE'!$N$42*'TUSD BF'!$N$58</f>
        <v>0</v>
      </c>
      <c r="O42" s="31">
        <f>'TUSD BE'!$O$42*'TUSD BF'!$O$58</f>
        <v>0</v>
      </c>
      <c r="P42" s="31">
        <f>'TUSD BE'!$P$42*'TUSD BF'!$P$58</f>
        <v>0</v>
      </c>
      <c r="Q42" s="31">
        <f>'TUSD BE'!$Q$42*'TUSD BF'!$Q$58</f>
        <v>14.575151248966112</v>
      </c>
      <c r="R42" s="31">
        <f>'TUSD BE'!$R$42*'TUSD BF'!$R$58</f>
        <v>3.2058630351298234</v>
      </c>
      <c r="S42" s="31">
        <f>'TUSD BE'!$R$42*'TUSD BF'!$S$58</f>
        <v>0</v>
      </c>
      <c r="T42" s="31">
        <f ca="1">SUM($L$42:$S$42)</f>
        <v>17.948964691164925</v>
      </c>
      <c r="U42" s="31">
        <f>'TUSD BE'!$U$42*'TUSD BF'!$U$58</f>
        <v>0</v>
      </c>
      <c r="V42" s="31">
        <f>'TUSD BE'!$V$42*'TUSD BF'!$V$58</f>
        <v>0</v>
      </c>
      <c r="W42" s="31">
        <f>'TUSD BE'!$W$42*'TUSD BF'!$W$58</f>
        <v>0</v>
      </c>
      <c r="X42" s="31">
        <f>'TUSD BE'!$X$42*'TUSD BF'!$X$58</f>
        <v>0</v>
      </c>
      <c r="Y42" s="31">
        <f>'TUSD BE'!$Y$42*'TUSD BF'!$Y$58</f>
        <v>0</v>
      </c>
      <c r="Z42" s="31">
        <f>'TUSD BE'!$Z$42*'TUSD BF'!$Z$58</f>
        <v>0</v>
      </c>
      <c r="AA42" s="31">
        <f>'TUSD BE'!$AA$42*'TUSD BF'!$AA$58</f>
        <v>0</v>
      </c>
      <c r="AB42" s="31">
        <f>SUM($U$42:$AA$42)</f>
        <v>0</v>
      </c>
      <c r="AC42" s="31">
        <f>'TUSD BE'!$AC$42*'TUSD BF'!$AC$58</f>
        <v>0</v>
      </c>
      <c r="AD42" s="31">
        <f>SUM($AC$42:$AC$42)</f>
        <v>0</v>
      </c>
      <c r="AE42" s="31">
        <f ca="1">$AO$42*$AO$55</f>
        <v>0</v>
      </c>
      <c r="AF42" s="31">
        <f ca="1">$AP$42*$AP$55</f>
        <v>0</v>
      </c>
      <c r="AG42" s="31">
        <f ca="1">SUM($AE$42:$AF$42)</f>
        <v>0</v>
      </c>
      <c r="AH42" s="31">
        <f>'TUSD BE'!$AH$42*'TUSD BF'!$AH$58</f>
        <v>1.951759692823581</v>
      </c>
      <c r="AI42" s="31">
        <f>'TUSD BE'!$AI$42*'TUSD BF'!$AI$58</f>
        <v>6.2765947092211394E-2</v>
      </c>
      <c r="AJ42" s="31">
        <f ca="1">'TUSD BE'!$AJ$42*'TUSD BF'!$AJ$58</f>
        <v>0.206324135063261</v>
      </c>
      <c r="AK42" s="31">
        <f ca="1">'TUSD BE'!$AK$42*'TUSD BF'!$AK$58</f>
        <v>0</v>
      </c>
      <c r="AL42" s="31">
        <f ca="1">SUM($AH$42:$AK$42)</f>
        <v>2.2208497749790532</v>
      </c>
      <c r="AM42" s="31">
        <f ca="1">SUMIF($L$4:$AL$4,"SUBTOTAL",$L$42:$AL$42)</f>
        <v>20.169814466143979</v>
      </c>
      <c r="AO42" s="44">
        <f ca="1">+'TUSD BE'!$T$42+'TUSD BE'!$AB$42+'TUSD BE'!$AD$42+'TUSD BE'!$AL$42</f>
        <v>393.82348431464209</v>
      </c>
      <c r="AP42" s="44">
        <f ca="1">+'TUSD BE'!$T$42+'TUSD BE'!$AB$42+'TUSD BE'!$AD$42+'TUSD BE'!$AL$42</f>
        <v>393.82348431464209</v>
      </c>
    </row>
    <row r="43" spans="1:42" ht="11.25" customHeight="1" x14ac:dyDescent="0.25">
      <c r="A43" s="137"/>
      <c r="B43" s="137"/>
      <c r="C43" s="137"/>
      <c r="D43" s="42" t="s">
        <v>86</v>
      </c>
      <c r="E43" s="42" t="s">
        <v>25</v>
      </c>
      <c r="F43" s="42" t="s">
        <v>25</v>
      </c>
      <c r="G43" s="41" t="s">
        <v>74</v>
      </c>
      <c r="H43" s="41" t="s">
        <v>70</v>
      </c>
      <c r="I43" s="41">
        <f>'MERCADO TUSD'!$U$40</f>
        <v>0</v>
      </c>
      <c r="J43" s="15"/>
      <c r="L43" s="31">
        <f>'TUSD BE'!$L$43*'TUSD BF'!$L$58</f>
        <v>0.16795040706898923</v>
      </c>
      <c r="M43" s="31">
        <f>'TUSD BE'!$M$43*'TUSD BF'!$M$58</f>
        <v>0</v>
      </c>
      <c r="N43" s="31">
        <f ca="1">'TUSD BE'!$N$43*'TUSD BF'!$N$58</f>
        <v>0</v>
      </c>
      <c r="O43" s="31">
        <f>'TUSD BE'!$O$43*'TUSD BF'!$O$58</f>
        <v>0</v>
      </c>
      <c r="P43" s="31">
        <f>'TUSD BE'!$P$43*'TUSD BF'!$P$58</f>
        <v>0</v>
      </c>
      <c r="Q43" s="31">
        <f>'TUSD BE'!$Q$43*'TUSD BF'!$Q$58</f>
        <v>14.575151248966112</v>
      </c>
      <c r="R43" s="31">
        <f>'TUSD BE'!$R$43*'TUSD BF'!$R$58</f>
        <v>3.2058630351298234</v>
      </c>
      <c r="S43" s="31">
        <f>'TUSD BE'!$R$43*'TUSD BF'!$S$58</f>
        <v>0</v>
      </c>
      <c r="T43" s="31">
        <f ca="1">SUM($L$43:$S$43)</f>
        <v>17.948964691164925</v>
      </c>
      <c r="U43" s="31">
        <f>'TUSD BE'!$U$43*'TUSD BF'!$U$58</f>
        <v>0</v>
      </c>
      <c r="V43" s="31">
        <f>'TUSD BE'!$V$43*'TUSD BF'!$V$58</f>
        <v>0</v>
      </c>
      <c r="W43" s="31">
        <f>'TUSD BE'!$W$43*'TUSD BF'!$W$58</f>
        <v>0</v>
      </c>
      <c r="X43" s="31">
        <f>'TUSD BE'!$X$43*'TUSD BF'!$X$58</f>
        <v>0</v>
      </c>
      <c r="Y43" s="31">
        <f>'TUSD BE'!$Y$43*'TUSD BF'!$Y$58</f>
        <v>0</v>
      </c>
      <c r="Z43" s="31">
        <f>'TUSD BE'!$Z$43*'TUSD BF'!$Z$58</f>
        <v>0</v>
      </c>
      <c r="AA43" s="31">
        <f>'TUSD BE'!$AA$43*'TUSD BF'!$AA$58</f>
        <v>0</v>
      </c>
      <c r="AB43" s="31">
        <f>SUM($U$43:$AA$43)</f>
        <v>0</v>
      </c>
      <c r="AC43" s="31">
        <f>'TUSD BE'!$AC$43*'TUSD BF'!$AC$58</f>
        <v>0</v>
      </c>
      <c r="AD43" s="31">
        <f>SUM($AC$43:$AC$43)</f>
        <v>0</v>
      </c>
      <c r="AE43" s="31">
        <f ca="1">$AO$43*$AO$55</f>
        <v>0</v>
      </c>
      <c r="AF43" s="31">
        <f ca="1">$AP$43*$AP$55</f>
        <v>0</v>
      </c>
      <c r="AG43" s="31">
        <f ca="1">SUM($AE$43:$AF$43)</f>
        <v>0</v>
      </c>
      <c r="AH43" s="31">
        <f>'TUSD BE'!$AH$43*'TUSD BF'!$AH$58</f>
        <v>1.951759692823581</v>
      </c>
      <c r="AI43" s="31">
        <f>'TUSD BE'!$AI$43*'TUSD BF'!$AI$58</f>
        <v>6.2765947092211394E-2</v>
      </c>
      <c r="AJ43" s="31">
        <f ca="1">'TUSD BE'!$AJ$43*'TUSD BF'!$AJ$58</f>
        <v>0.206324135063261</v>
      </c>
      <c r="AK43" s="31">
        <f ca="1">'TUSD BE'!$AK$43*'TUSD BF'!$AK$58</f>
        <v>0</v>
      </c>
      <c r="AL43" s="31">
        <f ca="1">SUM($AH$43:$AK$43)</f>
        <v>2.2208497749790532</v>
      </c>
      <c r="AM43" s="31">
        <f ca="1">SUMIF($L$4:$AL$4,"SUBTOTAL",$L$43:$AL$43)</f>
        <v>20.169814466143979</v>
      </c>
      <c r="AO43" s="44">
        <f ca="1">+'TUSD BE'!$T$43+'TUSD BE'!$AB$43+'TUSD BE'!$AD$43+'TUSD BE'!$AL$43</f>
        <v>393.82348431464209</v>
      </c>
      <c r="AP43" s="44">
        <f ca="1">+'TUSD BE'!$T$43+'TUSD BE'!$AB$43+'TUSD BE'!$AD$43+'TUSD BE'!$AL$43</f>
        <v>393.82348431464209</v>
      </c>
    </row>
    <row r="44" spans="1:42" ht="11.25" customHeight="1" x14ac:dyDescent="0.25">
      <c r="A44" s="137"/>
      <c r="B44" s="137"/>
      <c r="C44" s="137"/>
      <c r="D44" s="42" t="s">
        <v>87</v>
      </c>
      <c r="E44" s="42" t="s">
        <v>25</v>
      </c>
      <c r="F44" s="42" t="s">
        <v>25</v>
      </c>
      <c r="G44" s="41" t="s">
        <v>74</v>
      </c>
      <c r="H44" s="41" t="s">
        <v>70</v>
      </c>
      <c r="I44" s="41">
        <f>'MERCADO TUSD'!$U$41</f>
        <v>0</v>
      </c>
      <c r="J44" s="15"/>
      <c r="L44" s="31">
        <f>'TUSD BE'!$L$44*'TUSD BF'!$L$58</f>
        <v>0.16795040706898923</v>
      </c>
      <c r="M44" s="31">
        <f>'TUSD BE'!$M$44*'TUSD BF'!$M$58</f>
        <v>0</v>
      </c>
      <c r="N44" s="31">
        <f ca="1">'TUSD BE'!$N$44*'TUSD BF'!$N$58</f>
        <v>0</v>
      </c>
      <c r="O44" s="31">
        <f>'TUSD BE'!$O$44*'TUSD BF'!$O$58</f>
        <v>0</v>
      </c>
      <c r="P44" s="31">
        <f>'TUSD BE'!$P$44*'TUSD BF'!$P$58</f>
        <v>0</v>
      </c>
      <c r="Q44" s="31">
        <f>'TUSD BE'!$Q$44*'TUSD BF'!$Q$58</f>
        <v>14.575151248966112</v>
      </c>
      <c r="R44" s="31">
        <f>'TUSD BE'!$R$44*'TUSD BF'!$R$58</f>
        <v>3.2058630351298234</v>
      </c>
      <c r="S44" s="31">
        <f>'TUSD BE'!$R$44*'TUSD BF'!$S$58</f>
        <v>0</v>
      </c>
      <c r="T44" s="31">
        <f ca="1">SUM($L$44:$S$44)</f>
        <v>17.948964691164925</v>
      </c>
      <c r="U44" s="31">
        <f>'TUSD BE'!$U$44*'TUSD BF'!$U$58</f>
        <v>0</v>
      </c>
      <c r="V44" s="31">
        <f>'TUSD BE'!$V$44*'TUSD BF'!$V$58</f>
        <v>0</v>
      </c>
      <c r="W44" s="31">
        <f>'TUSD BE'!$W$44*'TUSD BF'!$W$58</f>
        <v>0</v>
      </c>
      <c r="X44" s="31">
        <f>'TUSD BE'!$X$44*'TUSD BF'!$X$58</f>
        <v>0</v>
      </c>
      <c r="Y44" s="31">
        <f>'TUSD BE'!$Y$44*'TUSD BF'!$Y$58</f>
        <v>0</v>
      </c>
      <c r="Z44" s="31">
        <f>'TUSD BE'!$Z$44*'TUSD BF'!$Z$58</f>
        <v>0</v>
      </c>
      <c r="AA44" s="31">
        <f>'TUSD BE'!$AA$44*'TUSD BF'!$AA$58</f>
        <v>0</v>
      </c>
      <c r="AB44" s="31">
        <f>SUM($U$44:$AA$44)</f>
        <v>0</v>
      </c>
      <c r="AC44" s="31">
        <f>'TUSD BE'!$AC$44*'TUSD BF'!$AC$58</f>
        <v>0</v>
      </c>
      <c r="AD44" s="31">
        <f>SUM($AC$44:$AC$44)</f>
        <v>0</v>
      </c>
      <c r="AE44" s="31">
        <f ca="1">$AO$44*$AO$55</f>
        <v>0</v>
      </c>
      <c r="AF44" s="31">
        <f ca="1">$AP$44*$AP$55</f>
        <v>0</v>
      </c>
      <c r="AG44" s="31">
        <f ca="1">SUM($AE$44:$AF$44)</f>
        <v>0</v>
      </c>
      <c r="AH44" s="31">
        <f>'TUSD BE'!$AH$44*'TUSD BF'!$AH$58</f>
        <v>1.951759692823581</v>
      </c>
      <c r="AI44" s="31">
        <f>'TUSD BE'!$AI$44*'TUSD BF'!$AI$58</f>
        <v>6.2765947092211394E-2</v>
      </c>
      <c r="AJ44" s="31">
        <f ca="1">'TUSD BE'!$AJ$44*'TUSD BF'!$AJ$58</f>
        <v>0.206324135063261</v>
      </c>
      <c r="AK44" s="31">
        <f ca="1">'TUSD BE'!$AK$44*'TUSD BF'!$AK$58</f>
        <v>0</v>
      </c>
      <c r="AL44" s="31">
        <f ca="1">SUM($AH$44:$AK$44)</f>
        <v>2.2208497749790532</v>
      </c>
      <c r="AM44" s="31">
        <f ca="1">SUMIF($L$4:$AL$4,"SUBTOTAL",$L$44:$AL$44)</f>
        <v>20.169814466143979</v>
      </c>
      <c r="AO44" s="44">
        <f ca="1">+'TUSD BE'!$T$44+'TUSD BE'!$AB$44+'TUSD BE'!$AD$44+'TUSD BE'!$AL$44</f>
        <v>393.82348431464209</v>
      </c>
      <c r="AP44" s="44">
        <f ca="1">+'TUSD BE'!$T$44+'TUSD BE'!$AB$44+'TUSD BE'!$AD$44+'TUSD BE'!$AL$44</f>
        <v>393.82348431464209</v>
      </c>
    </row>
    <row r="45" spans="1:42" ht="11.25" customHeight="1" x14ac:dyDescent="0.25">
      <c r="A45" s="137" t="s">
        <v>32</v>
      </c>
      <c r="B45" s="137" t="s">
        <v>49</v>
      </c>
      <c r="C45" s="137" t="s">
        <v>25</v>
      </c>
      <c r="D45" s="137" t="s">
        <v>25</v>
      </c>
      <c r="E45" s="137" t="s">
        <v>25</v>
      </c>
      <c r="F45" s="137" t="s">
        <v>25</v>
      </c>
      <c r="G45" s="41" t="s">
        <v>71</v>
      </c>
      <c r="H45" s="41" t="s">
        <v>70</v>
      </c>
      <c r="I45" s="41">
        <f>'MERCADO TUSD'!$U$42</f>
        <v>0.216</v>
      </c>
      <c r="J45" s="15"/>
      <c r="L45" s="31">
        <f>'TUSD BE'!$L$45*'TUSD BF'!$L$58</f>
        <v>0.16795040706898923</v>
      </c>
      <c r="M45" s="31">
        <f>'TUSD BE'!$M$45*'TUSD BF'!$M$58</f>
        <v>0</v>
      </c>
      <c r="N45" s="31">
        <f ca="1">'TUSD BE'!$N$45*'TUSD BF'!$N$58</f>
        <v>0</v>
      </c>
      <c r="O45" s="31">
        <f>'TUSD BE'!$O$45*'TUSD BF'!$O$58</f>
        <v>0</v>
      </c>
      <c r="P45" s="31">
        <f>'TUSD BE'!$P$45*'TUSD BF'!$P$58</f>
        <v>0</v>
      </c>
      <c r="Q45" s="31">
        <f>'TUSD BE'!$Q$45*'TUSD BF'!$Q$58</f>
        <v>14.575151248966112</v>
      </c>
      <c r="R45" s="31">
        <f>'TUSD BE'!$R$45*'TUSD BF'!$R$58</f>
        <v>3.2058630351298234</v>
      </c>
      <c r="S45" s="31">
        <f>'TUSD BE'!$R$45*'TUSD BF'!$S$58</f>
        <v>0</v>
      </c>
      <c r="T45" s="31">
        <f ca="1">SUM($L$45:$S$45)</f>
        <v>17.948964691164925</v>
      </c>
      <c r="U45" s="31">
        <f>'TUSD BE'!$U$45*'TUSD BF'!$U$58</f>
        <v>0</v>
      </c>
      <c r="V45" s="31">
        <f>'TUSD BE'!$V$45*'TUSD BF'!$V$58</f>
        <v>0</v>
      </c>
      <c r="W45" s="31">
        <f>'TUSD BE'!$W$45*'TUSD BF'!$W$58</f>
        <v>0</v>
      </c>
      <c r="X45" s="31">
        <f>'TUSD BE'!$X$45*'TUSD BF'!$X$58</f>
        <v>0</v>
      </c>
      <c r="Y45" s="31">
        <f>'TUSD BE'!$Y$45*'TUSD BF'!$Y$58</f>
        <v>0</v>
      </c>
      <c r="Z45" s="31">
        <f>'TUSD BE'!$Z$45*'TUSD BF'!$Z$58</f>
        <v>0</v>
      </c>
      <c r="AA45" s="31">
        <f>'TUSD BE'!$AA$45*'TUSD BF'!$AA$58</f>
        <v>0</v>
      </c>
      <c r="AB45" s="31">
        <f>SUM($U$45:$AA$45)</f>
        <v>0</v>
      </c>
      <c r="AC45" s="31">
        <f>'TUSD BE'!$AC$45*'TUSD BF'!$AC$58</f>
        <v>0</v>
      </c>
      <c r="AD45" s="31">
        <f>SUM($AC$45:$AC$45)</f>
        <v>0</v>
      </c>
      <c r="AE45" s="31">
        <f ca="1">$AO$45*$AO$55</f>
        <v>0</v>
      </c>
      <c r="AF45" s="31">
        <f ca="1">$AP$45*$AP$55</f>
        <v>0</v>
      </c>
      <c r="AG45" s="31">
        <f ca="1">SUM($AE$45:$AF$45)</f>
        <v>0</v>
      </c>
      <c r="AH45" s="31">
        <f>'TUSD BE'!$AH$45*'TUSD BF'!$AH$58</f>
        <v>1.951759692823581</v>
      </c>
      <c r="AI45" s="31">
        <f>'TUSD BE'!$AI$45*'TUSD BF'!$AI$58</f>
        <v>6.2765947092211394E-2</v>
      </c>
      <c r="AJ45" s="31">
        <f ca="1">'TUSD BE'!$AJ$45*'TUSD BF'!$AJ$58</f>
        <v>0.206324135063261</v>
      </c>
      <c r="AK45" s="31">
        <f ca="1">'TUSD BE'!$AK$45*'TUSD BF'!$AK$58</f>
        <v>0</v>
      </c>
      <c r="AL45" s="31">
        <f ca="1">SUM($AH$45:$AK$45)</f>
        <v>2.2208497749790532</v>
      </c>
      <c r="AM45" s="31">
        <f ca="1">SUMIF($L$4:$AL$4,"SUBTOTAL",$L$45:$AL$45)</f>
        <v>20.169814466143979</v>
      </c>
      <c r="AO45" s="44">
        <f ca="1">+'TUSD BE'!$T$45+'TUSD BE'!$AB$45+'TUSD BE'!$AD$45+'TUSD BE'!$AL$45</f>
        <v>1342.8071121000212</v>
      </c>
      <c r="AP45" s="44">
        <f ca="1">+'TUSD BE'!$T$45+'TUSD BE'!$AB$45+'TUSD BE'!$AD$45+'TUSD BE'!$AL$45</f>
        <v>1342.8071121000212</v>
      </c>
    </row>
    <row r="46" spans="1:42" ht="11.25" customHeight="1" x14ac:dyDescent="0.25">
      <c r="A46" s="137"/>
      <c r="B46" s="137"/>
      <c r="C46" s="137"/>
      <c r="D46" s="137"/>
      <c r="E46" s="137"/>
      <c r="F46" s="137"/>
      <c r="G46" s="41" t="s">
        <v>83</v>
      </c>
      <c r="H46" s="41" t="s">
        <v>70</v>
      </c>
      <c r="I46" s="41">
        <f>'MERCADO TUSD'!$U$43</f>
        <v>0.24</v>
      </c>
      <c r="J46" s="15"/>
      <c r="L46" s="31">
        <f>'TUSD BE'!$L$46*'TUSD BF'!$L$58</f>
        <v>0.16795040706898923</v>
      </c>
      <c r="M46" s="31">
        <f>'TUSD BE'!$M$46*'TUSD BF'!$M$58</f>
        <v>0</v>
      </c>
      <c r="N46" s="31">
        <f ca="1">'TUSD BE'!$N$46*'TUSD BF'!$N$58</f>
        <v>0</v>
      </c>
      <c r="O46" s="31">
        <f>'TUSD BE'!$O$46*'TUSD BF'!$O$58</f>
        <v>0</v>
      </c>
      <c r="P46" s="31">
        <f>'TUSD BE'!$P$46*'TUSD BF'!$P$58</f>
        <v>0</v>
      </c>
      <c r="Q46" s="31">
        <f>'TUSD BE'!$Q$46*'TUSD BF'!$Q$58</f>
        <v>14.575151248966112</v>
      </c>
      <c r="R46" s="31">
        <f>'TUSD BE'!$R$46*'TUSD BF'!$R$58</f>
        <v>3.2058630351298234</v>
      </c>
      <c r="S46" s="31">
        <f>'TUSD BE'!$R$46*'TUSD BF'!$S$58</f>
        <v>0</v>
      </c>
      <c r="T46" s="31">
        <f ca="1">SUM($L$46:$S$46)</f>
        <v>17.948964691164925</v>
      </c>
      <c r="U46" s="31">
        <f>'TUSD BE'!$U$46*'TUSD BF'!$U$58</f>
        <v>0</v>
      </c>
      <c r="V46" s="31">
        <f>'TUSD BE'!$V$46*'TUSD BF'!$V$58</f>
        <v>0</v>
      </c>
      <c r="W46" s="31">
        <f>'TUSD BE'!$W$46*'TUSD BF'!$W$58</f>
        <v>0</v>
      </c>
      <c r="X46" s="31">
        <f>'TUSD BE'!$X$46*'TUSD BF'!$X$58</f>
        <v>0</v>
      </c>
      <c r="Y46" s="31">
        <f>'TUSD BE'!$Y$46*'TUSD BF'!$Y$58</f>
        <v>0</v>
      </c>
      <c r="Z46" s="31">
        <f>'TUSD BE'!$Z$46*'TUSD BF'!$Z$58</f>
        <v>0</v>
      </c>
      <c r="AA46" s="31">
        <f>'TUSD BE'!$AA$46*'TUSD BF'!$AA$58</f>
        <v>0</v>
      </c>
      <c r="AB46" s="31">
        <f>SUM($U$46:$AA$46)</f>
        <v>0</v>
      </c>
      <c r="AC46" s="31">
        <f>'TUSD BE'!$AC$46*'TUSD BF'!$AC$58</f>
        <v>0</v>
      </c>
      <c r="AD46" s="31">
        <f>SUM($AC$46:$AC$46)</f>
        <v>0</v>
      </c>
      <c r="AE46" s="31">
        <f ca="1">$AO$46*$AO$55</f>
        <v>0</v>
      </c>
      <c r="AF46" s="31">
        <f ca="1">$AP$46*$AP$55</f>
        <v>0</v>
      </c>
      <c r="AG46" s="31">
        <f ca="1">SUM($AE$46:$AF$46)</f>
        <v>0</v>
      </c>
      <c r="AH46" s="31">
        <f>'TUSD BE'!$AH$46*'TUSD BF'!$AH$58</f>
        <v>1.951759692823581</v>
      </c>
      <c r="AI46" s="31">
        <f>'TUSD BE'!$AI$46*'TUSD BF'!$AI$58</f>
        <v>6.2765947092211394E-2</v>
      </c>
      <c r="AJ46" s="31">
        <f ca="1">'TUSD BE'!$AJ$46*'TUSD BF'!$AJ$58</f>
        <v>0.206324135063261</v>
      </c>
      <c r="AK46" s="31">
        <f ca="1">'TUSD BE'!$AK$46*'TUSD BF'!$AK$58</f>
        <v>0</v>
      </c>
      <c r="AL46" s="31">
        <f ca="1">SUM($AH$46:$AK$46)</f>
        <v>2.2208497749790532</v>
      </c>
      <c r="AM46" s="31">
        <f ca="1">SUMIF($L$4:$AL$4,"SUBTOTAL",$L$46:$AL$46)</f>
        <v>20.169814466143979</v>
      </c>
      <c r="AO46" s="44">
        <f ca="1">+'TUSD BE'!$T$46+'TUSD BE'!$AB$46+'TUSD BE'!$AD$46+'TUSD BE'!$AL$46</f>
        <v>586.74873864663437</v>
      </c>
      <c r="AP46" s="44">
        <f ca="1">+'TUSD BE'!$T$46+'TUSD BE'!$AB$46+'TUSD BE'!$AD$46+'TUSD BE'!$AL$46</f>
        <v>586.74873864663437</v>
      </c>
    </row>
    <row r="47" spans="1:42" ht="11.25" customHeight="1" x14ac:dyDescent="0.25">
      <c r="A47" s="137"/>
      <c r="B47" s="137"/>
      <c r="C47" s="137"/>
      <c r="D47" s="137"/>
      <c r="E47" s="137"/>
      <c r="F47" s="137"/>
      <c r="G47" s="41" t="s">
        <v>72</v>
      </c>
      <c r="H47" s="41" t="s">
        <v>70</v>
      </c>
      <c r="I47" s="41">
        <f>'MERCADO TUSD'!$U$44</f>
        <v>3.742</v>
      </c>
      <c r="J47" s="15"/>
      <c r="L47" s="31">
        <f>'TUSD BE'!$L$47*'TUSD BF'!$L$58</f>
        <v>0.16795040706898923</v>
      </c>
      <c r="M47" s="31">
        <f>'TUSD BE'!$M$47*'TUSD BF'!$M$58</f>
        <v>0</v>
      </c>
      <c r="N47" s="31">
        <f ca="1">'TUSD BE'!$N$47*'TUSD BF'!$N$58</f>
        <v>0</v>
      </c>
      <c r="O47" s="31">
        <f>'TUSD BE'!$O$47*'TUSD BF'!$O$58</f>
        <v>0</v>
      </c>
      <c r="P47" s="31">
        <f>'TUSD BE'!$P$47*'TUSD BF'!$P$58</f>
        <v>0</v>
      </c>
      <c r="Q47" s="31">
        <f>'TUSD BE'!$Q$47*'TUSD BF'!$Q$58</f>
        <v>14.575151248966112</v>
      </c>
      <c r="R47" s="31">
        <f>'TUSD BE'!$R$47*'TUSD BF'!$R$58</f>
        <v>3.2058630351298234</v>
      </c>
      <c r="S47" s="31">
        <f>'TUSD BE'!$R$47*'TUSD BF'!$S$58</f>
        <v>0</v>
      </c>
      <c r="T47" s="31">
        <f ca="1">SUM($L$47:$S$47)</f>
        <v>17.948964691164925</v>
      </c>
      <c r="U47" s="31">
        <f>'TUSD BE'!$U$47*'TUSD BF'!$U$58</f>
        <v>0</v>
      </c>
      <c r="V47" s="31">
        <f>'TUSD BE'!$V$47*'TUSD BF'!$V$58</f>
        <v>0</v>
      </c>
      <c r="W47" s="31">
        <f>'TUSD BE'!$W$47*'TUSD BF'!$W$58</f>
        <v>0</v>
      </c>
      <c r="X47" s="31">
        <f>'TUSD BE'!$X$47*'TUSD BF'!$X$58</f>
        <v>0</v>
      </c>
      <c r="Y47" s="31">
        <f>'TUSD BE'!$Y$47*'TUSD BF'!$Y$58</f>
        <v>0</v>
      </c>
      <c r="Z47" s="31">
        <f>'TUSD BE'!$Z$47*'TUSD BF'!$Z$58</f>
        <v>0</v>
      </c>
      <c r="AA47" s="31">
        <f>'TUSD BE'!$AA$47*'TUSD BF'!$AA$58</f>
        <v>0</v>
      </c>
      <c r="AB47" s="31">
        <f>SUM($U$47:$AA$47)</f>
        <v>0</v>
      </c>
      <c r="AC47" s="31">
        <f>'TUSD BE'!$AC$47*'TUSD BF'!$AC$58</f>
        <v>0</v>
      </c>
      <c r="AD47" s="31">
        <f>SUM($AC$47:$AC$47)</f>
        <v>0</v>
      </c>
      <c r="AE47" s="31">
        <f ca="1">$AO$47*$AO$55</f>
        <v>0</v>
      </c>
      <c r="AF47" s="31">
        <f ca="1">$AP$47*$AP$55</f>
        <v>0</v>
      </c>
      <c r="AG47" s="31">
        <f ca="1">SUM($AE$47:$AF$47)</f>
        <v>0</v>
      </c>
      <c r="AH47" s="31">
        <f>'TUSD BE'!$AH$47*'TUSD BF'!$AH$58</f>
        <v>1.951759692823581</v>
      </c>
      <c r="AI47" s="31">
        <f>'TUSD BE'!$AI$47*'TUSD BF'!$AI$58</f>
        <v>6.2765947092211394E-2</v>
      </c>
      <c r="AJ47" s="31">
        <f ca="1">'TUSD BE'!$AJ$47*'TUSD BF'!$AJ$58</f>
        <v>0.206324135063261</v>
      </c>
      <c r="AK47" s="31">
        <f ca="1">'TUSD BE'!$AK$47*'TUSD BF'!$AK$58</f>
        <v>0</v>
      </c>
      <c r="AL47" s="31">
        <f ca="1">SUM($AH$47:$AK$47)</f>
        <v>2.2208497749790532</v>
      </c>
      <c r="AM47" s="31">
        <f ca="1">SUMIF($L$4:$AL$4,"SUBTOTAL",$L$47:$AL$47)</f>
        <v>20.169814466143979</v>
      </c>
      <c r="AO47" s="44">
        <f ca="1">+'TUSD BE'!$T$47+'TUSD BE'!$AB$47+'TUSD BE'!$AD$47+'TUSD BE'!$AL$47</f>
        <v>284.32540643535026</v>
      </c>
      <c r="AP47" s="44">
        <f ca="1">+'TUSD BE'!$T$47+'TUSD BE'!$AB$47+'TUSD BE'!$AD$47+'TUSD BE'!$AL$47</f>
        <v>284.32540643535026</v>
      </c>
    </row>
    <row r="48" spans="1:42" ht="11.25" customHeight="1" x14ac:dyDescent="0.25">
      <c r="A48" s="137"/>
      <c r="B48" s="42" t="s">
        <v>23</v>
      </c>
      <c r="C48" s="42" t="s">
        <v>25</v>
      </c>
      <c r="D48" s="42" t="s">
        <v>25</v>
      </c>
      <c r="E48" s="42" t="s">
        <v>25</v>
      </c>
      <c r="F48" s="42" t="s">
        <v>25</v>
      </c>
      <c r="G48" s="41" t="s">
        <v>74</v>
      </c>
      <c r="H48" s="41" t="s">
        <v>70</v>
      </c>
      <c r="I48" s="41">
        <f>'MERCADO TUSD'!$U$45</f>
        <v>12398.925999999999</v>
      </c>
      <c r="J48" s="15"/>
      <c r="L48" s="31">
        <f>'TUSD BE'!$L$48*'TUSD BF'!$L$58</f>
        <v>0.16795040706898923</v>
      </c>
      <c r="M48" s="31">
        <f>'TUSD BE'!$M$48*'TUSD BF'!$M$58</f>
        <v>0</v>
      </c>
      <c r="N48" s="31">
        <f ca="1">'TUSD BE'!$N$48*'TUSD BF'!$N$58</f>
        <v>0</v>
      </c>
      <c r="O48" s="31">
        <f>'TUSD BE'!$O$48*'TUSD BF'!$O$58</f>
        <v>0</v>
      </c>
      <c r="P48" s="31">
        <f>'TUSD BE'!$P$48*'TUSD BF'!$P$58</f>
        <v>0</v>
      </c>
      <c r="Q48" s="31">
        <f>'TUSD BE'!$Q$48*'TUSD BF'!$Q$58</f>
        <v>14.575151248966112</v>
      </c>
      <c r="R48" s="31">
        <f>'TUSD BE'!$R$48*'TUSD BF'!$R$58</f>
        <v>3.2058630351298234</v>
      </c>
      <c r="S48" s="31">
        <f>'TUSD BE'!$R$48*'TUSD BF'!$S$58</f>
        <v>0</v>
      </c>
      <c r="T48" s="31">
        <f ca="1">SUM($L$48:$S$48)</f>
        <v>17.948964691164925</v>
      </c>
      <c r="U48" s="31">
        <f>'TUSD BE'!$U$48*'TUSD BF'!$U$58</f>
        <v>0</v>
      </c>
      <c r="V48" s="31">
        <f>'TUSD BE'!$V$48*'TUSD BF'!$V$58</f>
        <v>0</v>
      </c>
      <c r="W48" s="31">
        <f>'TUSD BE'!$W$48*'TUSD BF'!$W$58</f>
        <v>0</v>
      </c>
      <c r="X48" s="31">
        <f>'TUSD BE'!$X$48*'TUSD BF'!$X$58</f>
        <v>0</v>
      </c>
      <c r="Y48" s="31">
        <f>'TUSD BE'!$Y$48*'TUSD BF'!$Y$58</f>
        <v>0</v>
      </c>
      <c r="Z48" s="31">
        <f>'TUSD BE'!$Z$48*'TUSD BF'!$Z$58</f>
        <v>0</v>
      </c>
      <c r="AA48" s="31">
        <f>'TUSD BE'!$AA$48*'TUSD BF'!$AA$58</f>
        <v>0</v>
      </c>
      <c r="AB48" s="31">
        <f>SUM($U$48:$AA$48)</f>
        <v>0</v>
      </c>
      <c r="AC48" s="31">
        <f>'TUSD BE'!$AC$48*'TUSD BF'!$AC$58</f>
        <v>0</v>
      </c>
      <c r="AD48" s="31">
        <f>SUM($AC$48:$AC$48)</f>
        <v>0</v>
      </c>
      <c r="AE48" s="31">
        <f ca="1">$AO$48*$AO$55</f>
        <v>0</v>
      </c>
      <c r="AF48" s="31">
        <f ca="1">$AP$48*$AP$55</f>
        <v>0</v>
      </c>
      <c r="AG48" s="31">
        <f ca="1">SUM($AE$48:$AF$48)</f>
        <v>0</v>
      </c>
      <c r="AH48" s="31">
        <f>'TUSD BE'!$AH$48*'TUSD BF'!$AH$58</f>
        <v>1.951759692823581</v>
      </c>
      <c r="AI48" s="31">
        <f>'TUSD BE'!$AI$48*'TUSD BF'!$AI$58</f>
        <v>6.2765947092211394E-2</v>
      </c>
      <c r="AJ48" s="31">
        <f ca="1">'TUSD BE'!$AJ$48*'TUSD BF'!$AJ$58</f>
        <v>0.206324135063261</v>
      </c>
      <c r="AK48" s="31">
        <f ca="1">'TUSD BE'!$AK$48*'TUSD BF'!$AK$58</f>
        <v>0</v>
      </c>
      <c r="AL48" s="31">
        <f ca="1">SUM($AH$48:$AK$48)</f>
        <v>2.2208497749790532</v>
      </c>
      <c r="AM48" s="31">
        <f ca="1">SUMIF($L$4:$AL$4,"SUBTOTAL",$L$48:$AL$48)</f>
        <v>20.169814466143979</v>
      </c>
      <c r="AO48" s="44">
        <f ca="1">+'TUSD BE'!$T$48+'TUSD BE'!$AB$48+'TUSD BE'!$AD$48+'TUSD BE'!$AL$48</f>
        <v>393.82348431464209</v>
      </c>
      <c r="AP48" s="44">
        <f ca="1">+'TUSD BE'!$T$48+'TUSD BE'!$AB$48+'TUSD BE'!$AD$48+'TUSD BE'!$AL$48</f>
        <v>393.82348431464209</v>
      </c>
    </row>
    <row r="49" spans="1:42" ht="11.25" customHeight="1" x14ac:dyDescent="0.25">
      <c r="A49" s="137"/>
      <c r="B49" s="42" t="s">
        <v>85</v>
      </c>
      <c r="C49" s="42" t="s">
        <v>25</v>
      </c>
      <c r="D49" s="42" t="s">
        <v>25</v>
      </c>
      <c r="E49" s="42" t="s">
        <v>25</v>
      </c>
      <c r="F49" s="42" t="s">
        <v>25</v>
      </c>
      <c r="G49" s="41" t="s">
        <v>74</v>
      </c>
      <c r="H49" s="41" t="s">
        <v>70</v>
      </c>
      <c r="I49" s="41">
        <f>'MERCADO TUSD'!$U$46</f>
        <v>0</v>
      </c>
      <c r="J49" s="15"/>
      <c r="L49" s="31">
        <f>'TUSD BE'!$L$49*'TUSD BF'!$L$58</f>
        <v>0.16795040706898923</v>
      </c>
      <c r="M49" s="31">
        <f>'TUSD BE'!$M$49*'TUSD BF'!$M$58</f>
        <v>0</v>
      </c>
      <c r="N49" s="31">
        <f ca="1">'TUSD BE'!$N$49*'TUSD BF'!$N$58</f>
        <v>0</v>
      </c>
      <c r="O49" s="31">
        <f>'TUSD BE'!$O$49*'TUSD BF'!$O$58</f>
        <v>0</v>
      </c>
      <c r="P49" s="31">
        <f>'TUSD BE'!$P$49*'TUSD BF'!$P$58</f>
        <v>0</v>
      </c>
      <c r="Q49" s="31">
        <f>'TUSD BE'!$Q$49*'TUSD BF'!$Q$58</f>
        <v>14.575151248966112</v>
      </c>
      <c r="R49" s="31">
        <f>'TUSD BE'!$R$49*'TUSD BF'!$R$58</f>
        <v>3.2058630351298234</v>
      </c>
      <c r="S49" s="31">
        <f>'TUSD BE'!$R$49*'TUSD BF'!$S$58</f>
        <v>0</v>
      </c>
      <c r="T49" s="31">
        <f ca="1">SUM($L$49:$S$49)</f>
        <v>17.948964691164925</v>
      </c>
      <c r="U49" s="31">
        <f>'TUSD BE'!$U$49*'TUSD BF'!$U$58</f>
        <v>0</v>
      </c>
      <c r="V49" s="31">
        <f>'TUSD BE'!$V$49*'TUSD BF'!$V$58</f>
        <v>0</v>
      </c>
      <c r="W49" s="31">
        <f>'TUSD BE'!$W$49*'TUSD BF'!$W$58</f>
        <v>0</v>
      </c>
      <c r="X49" s="31">
        <f>'TUSD BE'!$X$49*'TUSD BF'!$X$58</f>
        <v>0</v>
      </c>
      <c r="Y49" s="31">
        <f>'TUSD BE'!$Y$49*'TUSD BF'!$Y$58</f>
        <v>0</v>
      </c>
      <c r="Z49" s="31">
        <f>'TUSD BE'!$Z$49*'TUSD BF'!$Z$58</f>
        <v>0</v>
      </c>
      <c r="AA49" s="31">
        <f>'TUSD BE'!$AA$49*'TUSD BF'!$AA$58</f>
        <v>0</v>
      </c>
      <c r="AB49" s="31">
        <f>SUM($U$49:$AA$49)</f>
        <v>0</v>
      </c>
      <c r="AC49" s="31">
        <f>'TUSD BE'!$AC$49*'TUSD BF'!$AC$58</f>
        <v>0</v>
      </c>
      <c r="AD49" s="31">
        <f>SUM($AC$49:$AC$49)</f>
        <v>0</v>
      </c>
      <c r="AE49" s="31">
        <f ca="1">$AO$49*$AO$55</f>
        <v>0</v>
      </c>
      <c r="AF49" s="31">
        <f ca="1">$AP$49*$AP$55</f>
        <v>0</v>
      </c>
      <c r="AG49" s="31">
        <f ca="1">SUM($AE$49:$AF$49)</f>
        <v>0</v>
      </c>
      <c r="AH49" s="31">
        <f>'TUSD BE'!$AH$49*'TUSD BF'!$AH$58</f>
        <v>1.951759692823581</v>
      </c>
      <c r="AI49" s="31">
        <f>'TUSD BE'!$AI$49*'TUSD BF'!$AI$58</f>
        <v>6.2765947092211394E-2</v>
      </c>
      <c r="AJ49" s="31">
        <f ca="1">'TUSD BE'!$AJ$49*'TUSD BF'!$AJ$58</f>
        <v>0.206324135063261</v>
      </c>
      <c r="AK49" s="31">
        <f ca="1">'TUSD BE'!$AK$49*'TUSD BF'!$AK$58</f>
        <v>0</v>
      </c>
      <c r="AL49" s="31">
        <f ca="1">SUM($AH$49:$AK$49)</f>
        <v>2.2208497749790532</v>
      </c>
      <c r="AM49" s="31">
        <f ca="1">SUMIF($L$4:$AL$4,"SUBTOTAL",$L$49:$AL$49)</f>
        <v>20.169814466143979</v>
      </c>
      <c r="AO49" s="44">
        <f ca="1">+'TUSD BE'!$T$49+'TUSD BE'!$AB$49+'TUSD BE'!$AD$49+'TUSD BE'!$AL$49</f>
        <v>393.82348431464209</v>
      </c>
      <c r="AP49" s="44">
        <f ca="1">+'TUSD BE'!$T$49+'TUSD BE'!$AB$49+'TUSD BE'!$AD$49+'TUSD BE'!$AL$49</f>
        <v>393.82348431464209</v>
      </c>
    </row>
    <row r="50" spans="1:42" ht="11.25" customHeight="1" x14ac:dyDescent="0.25">
      <c r="A50" s="137" t="s">
        <v>42</v>
      </c>
      <c r="B50" s="137" t="s">
        <v>23</v>
      </c>
      <c r="C50" s="137" t="s">
        <v>43</v>
      </c>
      <c r="D50" s="42" t="s">
        <v>44</v>
      </c>
      <c r="E50" s="42" t="s">
        <v>25</v>
      </c>
      <c r="F50" s="42" t="s">
        <v>25</v>
      </c>
      <c r="G50" s="41" t="s">
        <v>74</v>
      </c>
      <c r="H50" s="41" t="s">
        <v>70</v>
      </c>
      <c r="I50" s="41">
        <f>'MERCADO TUSD'!$U$47</f>
        <v>3575.7699999999995</v>
      </c>
      <c r="J50" s="15"/>
      <c r="L50" s="31">
        <f>'TUSD BE'!$L$50*'TUSD BF'!$L$58</f>
        <v>9.2372723887944069E-2</v>
      </c>
      <c r="M50" s="31">
        <f>'TUSD BE'!$M$50*'TUSD BF'!$M$58</f>
        <v>0</v>
      </c>
      <c r="N50" s="31">
        <f ca="1">'TUSD BE'!$N$50*'TUSD BF'!$N$58</f>
        <v>0</v>
      </c>
      <c r="O50" s="31">
        <f>'TUSD BE'!$O$50*'TUSD BF'!$O$58</f>
        <v>0</v>
      </c>
      <c r="P50" s="31">
        <f>'TUSD BE'!$P$50*'TUSD BF'!$P$58</f>
        <v>0</v>
      </c>
      <c r="Q50" s="31">
        <f>'TUSD BE'!$Q$50*'TUSD BF'!$Q$58</f>
        <v>8.0163331869313623</v>
      </c>
      <c r="R50" s="31">
        <f>'TUSD BE'!$R$50*'TUSD BF'!$R$58</f>
        <v>1.7632246693214033</v>
      </c>
      <c r="S50" s="31">
        <f>'TUSD BE'!$R$50*'TUSD BF'!$S$58</f>
        <v>0</v>
      </c>
      <c r="T50" s="31">
        <f ca="1">SUM($L$50:$S$50)</f>
        <v>9.8719305801407096</v>
      </c>
      <c r="U50" s="31">
        <f>'TUSD BE'!$U$50*'TUSD BF'!$U$58</f>
        <v>0</v>
      </c>
      <c r="V50" s="31">
        <f>'TUSD BE'!$V$50*'TUSD BF'!$V$58</f>
        <v>0</v>
      </c>
      <c r="W50" s="31">
        <f>'TUSD BE'!$W$50*'TUSD BF'!$W$58</f>
        <v>0</v>
      </c>
      <c r="X50" s="31">
        <f>'TUSD BE'!$X$50*'TUSD BF'!$X$58</f>
        <v>0</v>
      </c>
      <c r="Y50" s="31">
        <f>'TUSD BE'!$Y$50*'TUSD BF'!$Y$58</f>
        <v>0</v>
      </c>
      <c r="Z50" s="31">
        <f>'TUSD BE'!$Z$50*'TUSD BF'!$Z$58</f>
        <v>0</v>
      </c>
      <c r="AA50" s="31">
        <f>'TUSD BE'!$AA$50*'TUSD BF'!$AA$58</f>
        <v>0</v>
      </c>
      <c r="AB50" s="31">
        <f>SUM($U$50:$AA$50)</f>
        <v>0</v>
      </c>
      <c r="AC50" s="31">
        <f>'TUSD BE'!$AC$50*'TUSD BF'!$AC$58</f>
        <v>0</v>
      </c>
      <c r="AD50" s="31">
        <f>SUM($AC$50:$AC$50)</f>
        <v>0</v>
      </c>
      <c r="AE50" s="31">
        <f ca="1">$AO$50*$AO$55</f>
        <v>0</v>
      </c>
      <c r="AF50" s="31">
        <f ca="1">$AP$50*$AP$55</f>
        <v>0</v>
      </c>
      <c r="AG50" s="31">
        <f ca="1">SUM($AE$50:$AF$50)</f>
        <v>0</v>
      </c>
      <c r="AH50" s="31">
        <f>'TUSD BE'!$AH$50*'TUSD BF'!$AH$58</f>
        <v>1.0734678310529697</v>
      </c>
      <c r="AI50" s="31">
        <f>'TUSD BE'!$AI$50*'TUSD BF'!$AI$58</f>
        <v>3.4521270900716279E-2</v>
      </c>
      <c r="AJ50" s="31">
        <f ca="1">'TUSD BE'!$AJ$50*'TUSD BF'!$AJ$58</f>
        <v>0.11347827428479357</v>
      </c>
      <c r="AK50" s="31">
        <f ca="1">'TUSD BE'!$AK$50*'TUSD BF'!$AK$58</f>
        <v>0</v>
      </c>
      <c r="AL50" s="31">
        <f ca="1">SUM($AH$50:$AK$50)</f>
        <v>1.2214673762384796</v>
      </c>
      <c r="AM50" s="31">
        <f ca="1">SUMIF($L$4:$AL$4,"SUBTOTAL",$L$50:$AL$50)</f>
        <v>11.093397956379189</v>
      </c>
      <c r="AO50" s="44">
        <f ca="1">+'TUSD BE'!$T$50+'TUSD BE'!$AB$50+'TUSD BE'!$AD$50+'TUSD BE'!$AL$50</f>
        <v>216.6029163730532</v>
      </c>
      <c r="AP50" s="44">
        <f ca="1">+'TUSD BE'!$T$50+'TUSD BE'!$AB$50+'TUSD BE'!$AD$50+'TUSD BE'!$AL$50</f>
        <v>216.6029163730532</v>
      </c>
    </row>
    <row r="51" spans="1:42" ht="11.25" customHeight="1" x14ac:dyDescent="0.25">
      <c r="A51" s="137"/>
      <c r="B51" s="137"/>
      <c r="C51" s="137"/>
      <c r="D51" s="41" t="s">
        <v>88</v>
      </c>
      <c r="E51" s="41" t="s">
        <v>25</v>
      </c>
      <c r="F51" s="41" t="s">
        <v>25</v>
      </c>
      <c r="G51" s="41" t="s">
        <v>74</v>
      </c>
      <c r="H51" s="41" t="s">
        <v>70</v>
      </c>
      <c r="I51" s="41">
        <f>'MERCADO TUSD'!$U$48</f>
        <v>0</v>
      </c>
      <c r="J51" s="15"/>
      <c r="L51" s="31">
        <f>'TUSD BE'!$L$51*'TUSD BF'!$L$58</f>
        <v>0.10077024424139353</v>
      </c>
      <c r="M51" s="31">
        <f>'TUSD BE'!$M$51*'TUSD BF'!$M$58</f>
        <v>0</v>
      </c>
      <c r="N51" s="31">
        <f ca="1">'TUSD BE'!$N$51*'TUSD BF'!$N$58</f>
        <v>0</v>
      </c>
      <c r="O51" s="31">
        <f>'TUSD BE'!$O$51*'TUSD BF'!$O$58</f>
        <v>0</v>
      </c>
      <c r="P51" s="31">
        <f>'TUSD BE'!$P$51*'TUSD BF'!$P$58</f>
        <v>0</v>
      </c>
      <c r="Q51" s="31">
        <f>'TUSD BE'!$Q$51*'TUSD BF'!$Q$58</f>
        <v>8.745090749379667</v>
      </c>
      <c r="R51" s="31">
        <f>'TUSD BE'!$R$51*'TUSD BF'!$R$58</f>
        <v>1.923517821077894</v>
      </c>
      <c r="S51" s="31">
        <f>'TUSD BE'!$R$51*'TUSD BF'!$S$58</f>
        <v>0</v>
      </c>
      <c r="T51" s="31">
        <f ca="1">SUM($L$51:$S$51)</f>
        <v>10.769378814698955</v>
      </c>
      <c r="U51" s="31">
        <f>'TUSD BE'!$U$51*'TUSD BF'!$U$58</f>
        <v>0</v>
      </c>
      <c r="V51" s="31">
        <f>'TUSD BE'!$V$51*'TUSD BF'!$V$58</f>
        <v>0</v>
      </c>
      <c r="W51" s="31">
        <f>'TUSD BE'!$W$51*'TUSD BF'!$W$58</f>
        <v>0</v>
      </c>
      <c r="X51" s="31">
        <f>'TUSD BE'!$X$51*'TUSD BF'!$X$58</f>
        <v>0</v>
      </c>
      <c r="Y51" s="31">
        <f>'TUSD BE'!$Y$51*'TUSD BF'!$Y$58</f>
        <v>0</v>
      </c>
      <c r="Z51" s="31">
        <f>'TUSD BE'!$Z$51*'TUSD BF'!$Z$58</f>
        <v>0</v>
      </c>
      <c r="AA51" s="31">
        <f>'TUSD BE'!$AA$51*'TUSD BF'!$AA$58</f>
        <v>0</v>
      </c>
      <c r="AB51" s="31">
        <f>SUM($U$51:$AA$51)</f>
        <v>0</v>
      </c>
      <c r="AC51" s="31">
        <f>'TUSD BE'!$AC$51*'TUSD BF'!$AC$58</f>
        <v>0</v>
      </c>
      <c r="AD51" s="31">
        <f>SUM($AC$51:$AC$51)</f>
        <v>0</v>
      </c>
      <c r="AE51" s="31">
        <f ca="1">$AO$51*$AO$55</f>
        <v>0</v>
      </c>
      <c r="AF51" s="31">
        <f ca="1">$AP$51*$AP$55</f>
        <v>0</v>
      </c>
      <c r="AG51" s="31">
        <f ca="1">SUM($AE$51:$AF$51)</f>
        <v>0</v>
      </c>
      <c r="AH51" s="31">
        <f>'TUSD BE'!$AH$51*'TUSD BF'!$AH$58</f>
        <v>1.1710558156941486</v>
      </c>
      <c r="AI51" s="31">
        <f>'TUSD BE'!$AI$51*'TUSD BF'!$AI$58</f>
        <v>3.765956825532684E-2</v>
      </c>
      <c r="AJ51" s="31">
        <f ca="1">'TUSD BE'!$AJ$51*'TUSD BF'!$AJ$58</f>
        <v>0.12379448103795659</v>
      </c>
      <c r="AK51" s="31">
        <f ca="1">'TUSD BE'!$AK$51*'TUSD BF'!$AK$58</f>
        <v>0</v>
      </c>
      <c r="AL51" s="31">
        <f ca="1">SUM($AH$51:$AK$51)</f>
        <v>1.3325098649874321</v>
      </c>
      <c r="AM51" s="31">
        <f ca="1">SUMIF($L$4:$AL$4,"SUBTOTAL",$L$51:$AL$51)</f>
        <v>12.101888679686388</v>
      </c>
      <c r="AO51" s="44">
        <f ca="1">+'TUSD BE'!$T$51+'TUSD BE'!$AB$51+'TUSD BE'!$AD$51+'TUSD BE'!$AL$51</f>
        <v>236.29409058878525</v>
      </c>
      <c r="AP51" s="44">
        <f ca="1">+'TUSD BE'!$T$51+'TUSD BE'!$AB$51+'TUSD BE'!$AD$51+'TUSD BE'!$AL$51</f>
        <v>236.29409058878525</v>
      </c>
    </row>
    <row r="53" spans="1:42" ht="11.25" customHeight="1" x14ac:dyDescent="0.25">
      <c r="K53" s="35" t="s">
        <v>518</v>
      </c>
      <c r="L53" s="31">
        <f>SUMPRODUCT($I$5:$I51,$L$5:$L51)</f>
        <v>11176.038919799439</v>
      </c>
      <c r="M53" s="31">
        <f>SUMPRODUCT($I$5:$I51,$M$5:$M51)</f>
        <v>0</v>
      </c>
      <c r="N53" s="31">
        <f ca="1">SUMPRODUCT($I$5:$I51,$N$5:$N51)</f>
        <v>0</v>
      </c>
      <c r="O53" s="31">
        <f>SUMPRODUCT($I$5:$I51,$O$5:$O51)</f>
        <v>0</v>
      </c>
      <c r="P53" s="31">
        <f>SUMPRODUCT($I$5:$I51,$P$5:$P51)</f>
        <v>0</v>
      </c>
      <c r="Q53" s="31">
        <f>SUMPRODUCT($I$5:$I51,$Q$5:$Q51)</f>
        <v>969884.26800000004</v>
      </c>
      <c r="R53" s="31">
        <f>SUMPRODUCT($I$5:$I51,$R$5:$R51)</f>
        <v>232624.67829999997</v>
      </c>
      <c r="S53" s="31">
        <f>SUMPRODUCT($I$5:$I51,$S$5:$S51)</f>
        <v>0</v>
      </c>
      <c r="T53" s="31">
        <f ca="1">SUMPRODUCT($I$5:$I51,$T$5:$T51)</f>
        <v>1213684.9852197992</v>
      </c>
      <c r="U53" s="31">
        <f>SUMPRODUCT($I$5:$I51,$U$5:$U51)</f>
        <v>0</v>
      </c>
      <c r="V53" s="31">
        <f>SUMPRODUCT($I$5:$I51,$V$5:$V51)</f>
        <v>0</v>
      </c>
      <c r="W53" s="31">
        <f>SUMPRODUCT($I$5:$I51,$W$5:$W51)</f>
        <v>0</v>
      </c>
      <c r="X53" s="31">
        <f>SUMPRODUCT($I$5:$I51,$X$5:$X51)</f>
        <v>0</v>
      </c>
      <c r="Y53" s="31">
        <f>SUMPRODUCT($I$5:$I51,$Y$5:$Y51)</f>
        <v>0</v>
      </c>
      <c r="Z53" s="31">
        <f>SUMPRODUCT($I$5:$I51,$Z$5:$Z51)</f>
        <v>0</v>
      </c>
      <c r="AA53" s="31">
        <f>SUMPRODUCT($I$5:$I51,$AA$5:$AA51)</f>
        <v>0</v>
      </c>
      <c r="AB53" s="31">
        <f>SUMPRODUCT($I$5:$I51,$AB$5:$AB51)</f>
        <v>0</v>
      </c>
      <c r="AC53" s="31">
        <f>SUMPRODUCT($I$5:$I51,$AC$5:$AC51)</f>
        <v>0</v>
      </c>
      <c r="AD53" s="31">
        <f>SUMPRODUCT($I$5:$I51,$AD$5:$AD51)</f>
        <v>0</v>
      </c>
      <c r="AE53" s="31">
        <f ca="1">SUMPRODUCT($I$5:$I51,$AE$5:$AE51)</f>
        <v>0</v>
      </c>
      <c r="AF53" s="31">
        <f ca="1">SUMPRODUCT($I$5:$I51,$AF$5:$AF51)</f>
        <v>0</v>
      </c>
      <c r="AG53" s="31">
        <f ca="1">SUMPRODUCT($I$5:$I51,$AG$5:$AG51)</f>
        <v>0</v>
      </c>
      <c r="AH53" s="31">
        <f>SUMPRODUCT($I$5:$I51,$AH$5:$AH51)</f>
        <v>112325.37685601895</v>
      </c>
      <c r="AI53" s="31">
        <f>SUMPRODUCT($I$5:$I51,$AI$5:$AI51)</f>
        <v>3612.23191911406</v>
      </c>
      <c r="AJ53" s="31">
        <f ca="1">SUMPRODUCT($I$5:$I51,$AJ$5:$AJ51)</f>
        <v>12606.182371891928</v>
      </c>
      <c r="AK53" s="31">
        <f ca="1">SUMPRODUCT($I$5:$I51,$AK$5:$AK51)</f>
        <v>0</v>
      </c>
      <c r="AL53" s="31">
        <f ca="1">SUMPRODUCT($I$5:$I51,$AL$5:$AL51)</f>
        <v>128543.79114702492</v>
      </c>
      <c r="AM53" s="31">
        <f ca="1">SUMPRODUCT($I$5:$I51,$AM$5:$AM51)</f>
        <v>1342228.7763668245</v>
      </c>
      <c r="AO53" s="41">
        <f ca="1">SUMPRODUCT($I$5:$I51,$AO$5:$AO51)</f>
        <v>23459438.436199155</v>
      </c>
      <c r="AP53" s="41">
        <f ca="1">SUMPRODUCT($I$5:$I51,$AP$5:$AP51)</f>
        <v>23459438.436199155</v>
      </c>
    </row>
    <row r="54" spans="1:42" ht="11.25" customHeight="1" x14ac:dyDescent="0.25">
      <c r="K54" s="35" t="s">
        <v>450</v>
      </c>
      <c r="L54" s="31">
        <f>'TR TUSD'!$L$56</f>
        <v>170367.27770803907</v>
      </c>
      <c r="M54" s="31">
        <f>'TR TUSD'!$M$56</f>
        <v>32115.181223352905</v>
      </c>
      <c r="N54" s="31">
        <f>'TR TUSD'!$N$56</f>
        <v>147303.02270457585</v>
      </c>
      <c r="O54" s="31">
        <f>'TR TUSD'!$O$56</f>
        <v>0</v>
      </c>
      <c r="P54" s="31">
        <f>'TR TUSD'!$P$56</f>
        <v>0</v>
      </c>
      <c r="Q54" s="31">
        <f>'TR TUSD'!$Q$56</f>
        <v>6229100.7423415985</v>
      </c>
      <c r="R54" s="31">
        <f>'TR TUSD'!$R$56</f>
        <v>1076201.0144336333</v>
      </c>
      <c r="S54" s="31">
        <f>'TR TUSD'!$S$56</f>
        <v>0</v>
      </c>
      <c r="T54" s="31">
        <f>'TR TUSD'!$T$56</f>
        <v>7655087.2384112002</v>
      </c>
      <c r="U54" s="31">
        <f>'TR TUSD'!$U$56</f>
        <v>0</v>
      </c>
      <c r="V54" s="31">
        <f>'TR TUSD'!$V$56</f>
        <v>0</v>
      </c>
      <c r="W54" s="31">
        <f>'TR TUSD'!$W$56</f>
        <v>0</v>
      </c>
      <c r="X54" s="31">
        <f>'TR TUSD'!$X$56</f>
        <v>0</v>
      </c>
      <c r="Y54" s="31">
        <f>'TR TUSD'!$Y$56</f>
        <v>8758233.2120063994</v>
      </c>
      <c r="Z54" s="31">
        <f>'TR TUSD'!$Z$56</f>
        <v>0</v>
      </c>
      <c r="AA54" s="31">
        <f>'TR TUSD'!$AA$56</f>
        <v>0</v>
      </c>
      <c r="AB54" s="31">
        <f>'TR TUSD'!$AB$56</f>
        <v>8758233.2120063994</v>
      </c>
      <c r="AC54" s="31">
        <f>'TR TUSD'!$AC$56</f>
        <v>5836168.2498144377</v>
      </c>
      <c r="AD54" s="31">
        <f>'TR TUSD'!$AD$56</f>
        <v>5836168.2498144377</v>
      </c>
      <c r="AE54" s="31">
        <f>'TR TUSD'!$AE$56</f>
        <v>0</v>
      </c>
      <c r="AF54" s="31">
        <f>'TR TUSD'!$AF$56</f>
        <v>0</v>
      </c>
      <c r="AG54" s="31">
        <f>'TR TUSD'!$AG$56</f>
        <v>0</v>
      </c>
      <c r="AH54" s="31">
        <f>'TR TUSD'!$AH$56</f>
        <v>1040518.760215919</v>
      </c>
      <c r="AI54" s="31">
        <f>'TR TUSD'!$AI$56</f>
        <v>33461.673428496732</v>
      </c>
      <c r="AJ54" s="31">
        <f>'TR TUSD'!$AJ$56</f>
        <v>116776.54346506554</v>
      </c>
      <c r="AK54" s="31">
        <f>'TR TUSD'!$AK$56</f>
        <v>19192.758857639066</v>
      </c>
      <c r="AL54" s="31">
        <f>'TR TUSD'!$AL$56</f>
        <v>1209949.7359671204</v>
      </c>
      <c r="AM54" s="31">
        <f>CUSTOS!$D$29</f>
        <v>23459438.436199158</v>
      </c>
      <c r="AO54" s="41">
        <f>$AE$56</f>
        <v>0</v>
      </c>
      <c r="AP54" s="41">
        <f>$AF$56</f>
        <v>0</v>
      </c>
    </row>
    <row r="55" spans="1:42" ht="11.25" customHeight="1" x14ac:dyDescent="0.25">
      <c r="K55" s="35" t="s">
        <v>451</v>
      </c>
      <c r="L55" s="31">
        <f>CUSTOS!$E$2</f>
        <v>3301.4954897160933</v>
      </c>
      <c r="M55" s="31">
        <f>CUSTOS!$E$3</f>
        <v>-709.4579393557384</v>
      </c>
      <c r="N55" s="31">
        <f>CUSTOS!$E$4</f>
        <v>2.7684535812032011E-2</v>
      </c>
      <c r="O55" s="31">
        <f>CUSTOS!$E$5</f>
        <v>0</v>
      </c>
      <c r="P55" s="31">
        <f>CUSTOS!$E$6</f>
        <v>0</v>
      </c>
      <c r="Q55" s="31">
        <f>CUSTOS!$E$7</f>
        <v>93285.851679284708</v>
      </c>
      <c r="R55" s="31">
        <f>CUSTOS!$E$8</f>
        <v>19469.144143643061</v>
      </c>
      <c r="S55" s="31">
        <f>CUSTOS!$E$9</f>
        <v>0</v>
      </c>
      <c r="T55" s="31">
        <f>CUSTOS!$E$10</f>
        <v>115347.06105782394</v>
      </c>
      <c r="U55" s="31">
        <f>CUSTOS!$E$11</f>
        <v>0</v>
      </c>
      <c r="V55" s="31">
        <f>CUSTOS!$E$12</f>
        <v>0</v>
      </c>
      <c r="W55" s="31">
        <f>CUSTOS!$E$13</f>
        <v>0</v>
      </c>
      <c r="X55" s="31">
        <f>CUSTOS!$E$14</f>
        <v>0</v>
      </c>
      <c r="Y55" s="31">
        <f>CUSTOS!$E$15</f>
        <v>400916.46700567618</v>
      </c>
      <c r="Z55" s="31">
        <f>CUSTOS!$E$16</f>
        <v>0</v>
      </c>
      <c r="AA55" s="31">
        <f>CUSTOS!$E$17</f>
        <v>0</v>
      </c>
      <c r="AB55" s="31">
        <f>CUSTOS!$E$18</f>
        <v>400916.46700567618</v>
      </c>
      <c r="AC55" s="31">
        <f>CUSTOS!$E$19</f>
        <v>-95906.210517291445</v>
      </c>
      <c r="AD55" s="31">
        <f>CUSTOS!$E$20</f>
        <v>-95906.210517291445</v>
      </c>
      <c r="AE55" s="31">
        <f>CUSTOS!$E$21</f>
        <v>-2474985.4297311138</v>
      </c>
      <c r="AF55" s="31">
        <f>CUSTOS!$E$22</f>
        <v>0</v>
      </c>
      <c r="AG55" s="31">
        <f>CUSTOS!$E$23</f>
        <v>-2474985.4297311138</v>
      </c>
      <c r="AH55" s="31">
        <f>CUSTOS!$E$24</f>
        <v>-64378.818270429307</v>
      </c>
      <c r="AI55" s="31">
        <f>CUSTOS!$E$25</f>
        <v>-2070.3355624559999</v>
      </c>
      <c r="AJ55" s="31">
        <f>CUSTOS!$E$26</f>
        <v>-7225.1805132531108</v>
      </c>
      <c r="AK55" s="31">
        <f>CUSTOS!$E$27</f>
        <v>2554.9068334908661</v>
      </c>
      <c r="AL55" s="31">
        <f>CUSTOS!$E$28</f>
        <v>-71119.427512647555</v>
      </c>
      <c r="AM55" s="31">
        <f>CUSTOS!$E$29</f>
        <v>-2125747.5396975526</v>
      </c>
      <c r="AO55" s="41">
        <f ca="1">IF(AO53&lt;&gt;0,AO54/AO53,0)</f>
        <v>0</v>
      </c>
      <c r="AP55" s="41">
        <f ca="1">IF(AP53&lt;&gt;0,AP54/AP53,0)</f>
        <v>0</v>
      </c>
    </row>
    <row r="56" spans="1:42" ht="11.25" customHeight="1" x14ac:dyDescent="0.25">
      <c r="K56" s="35" t="s">
        <v>452</v>
      </c>
      <c r="L56" s="31">
        <f>CUSTOS!$F$2</f>
        <v>11176.038919799439</v>
      </c>
      <c r="M56" s="31">
        <f>CUSTOS!$F$3</f>
        <v>0</v>
      </c>
      <c r="N56" s="31">
        <f>CUSTOS!$F$4</f>
        <v>0</v>
      </c>
      <c r="O56" s="31">
        <f>CUSTOS!$F$5</f>
        <v>0</v>
      </c>
      <c r="P56" s="31">
        <f>CUSTOS!$F$6</f>
        <v>0</v>
      </c>
      <c r="Q56" s="31">
        <f>CUSTOS!$F$7</f>
        <v>969884.26800000004</v>
      </c>
      <c r="R56" s="31">
        <f>CUSTOS!$F$8</f>
        <v>232624.6783</v>
      </c>
      <c r="S56" s="31">
        <f>CUSTOS!$F$9</f>
        <v>0</v>
      </c>
      <c r="T56" s="31">
        <f>CUSTOS!$F$10</f>
        <v>1213684.9852197994</v>
      </c>
      <c r="U56" s="31">
        <f>CUSTOS!$F$11</f>
        <v>0</v>
      </c>
      <c r="V56" s="31">
        <f>CUSTOS!$F$12</f>
        <v>0</v>
      </c>
      <c r="W56" s="31">
        <f>CUSTOS!$F$13</f>
        <v>0</v>
      </c>
      <c r="X56" s="31">
        <f>CUSTOS!$F$14</f>
        <v>0</v>
      </c>
      <c r="Y56" s="31">
        <f>CUSTOS!$F$15</f>
        <v>0</v>
      </c>
      <c r="Z56" s="31">
        <f>CUSTOS!$F$16</f>
        <v>0</v>
      </c>
      <c r="AA56" s="31">
        <f>CUSTOS!$F$17</f>
        <v>0</v>
      </c>
      <c r="AB56" s="31">
        <f>CUSTOS!$F$18</f>
        <v>0</v>
      </c>
      <c r="AC56" s="31">
        <f>CUSTOS!$F$19</f>
        <v>0</v>
      </c>
      <c r="AD56" s="31">
        <f>CUSTOS!$F$20</f>
        <v>0</v>
      </c>
      <c r="AE56" s="31">
        <f>CUSTOS!$F$21</f>
        <v>0</v>
      </c>
      <c r="AF56" s="31">
        <f>CUSTOS!$F$22</f>
        <v>0</v>
      </c>
      <c r="AG56" s="31">
        <f>CUSTOS!$F$23</f>
        <v>0</v>
      </c>
      <c r="AH56" s="31">
        <f>CUSTOS!$F$24</f>
        <v>112325.37685601893</v>
      </c>
      <c r="AI56" s="31">
        <f>CUSTOS!$F$25</f>
        <v>3612.2319191140596</v>
      </c>
      <c r="AJ56" s="31">
        <f>CUSTOS!$F$26</f>
        <v>12606.18237189193</v>
      </c>
      <c r="AK56" s="31">
        <f>CUSTOS!$F$27</f>
        <v>0</v>
      </c>
      <c r="AL56" s="31">
        <f>CUSTOS!$F$28</f>
        <v>128543.79114702492</v>
      </c>
      <c r="AM56" s="31">
        <f>CUSTOS!$F$29</f>
        <v>1342228.7763668243</v>
      </c>
    </row>
    <row r="57" spans="1:42" ht="11.25" customHeight="1" x14ac:dyDescent="0.25">
      <c r="K57" s="35" t="s">
        <v>515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/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/>
      <c r="AC57" s="31">
        <v>0</v>
      </c>
      <c r="AD57" s="31"/>
      <c r="AE57" s="31">
        <v>0</v>
      </c>
      <c r="AF57" s="31">
        <v>0</v>
      </c>
      <c r="AG57" s="31"/>
      <c r="AH57" s="31">
        <v>0</v>
      </c>
      <c r="AI57" s="31">
        <v>0</v>
      </c>
      <c r="AJ57" s="31">
        <v>0</v>
      </c>
      <c r="AK57" s="31">
        <v>0</v>
      </c>
      <c r="AL57" s="31"/>
      <c r="AM57" s="31"/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conditionalFormatting sqref="L53">
    <cfRule type="cellIs" dxfId="905" priority="55" operator="notEqual">
      <formula>$L$56</formula>
    </cfRule>
    <cfRule type="cellIs" dxfId="904" priority="56" operator="equal">
      <formula>$L$56</formula>
    </cfRule>
  </conditionalFormatting>
  <conditionalFormatting sqref="M53">
    <cfRule type="cellIs" dxfId="903" priority="53" operator="notEqual">
      <formula>$M$56</formula>
    </cfRule>
    <cfRule type="cellIs" dxfId="902" priority="54" operator="equal">
      <formula>$M$56</formula>
    </cfRule>
  </conditionalFormatting>
  <conditionalFormatting sqref="N53">
    <cfRule type="cellIs" dxfId="901" priority="51" operator="notEqual">
      <formula>$N$56</formula>
    </cfRule>
    <cfRule type="cellIs" dxfId="900" priority="52" operator="equal">
      <formula>$N$56</formula>
    </cfRule>
  </conditionalFormatting>
  <conditionalFormatting sqref="O53">
    <cfRule type="cellIs" dxfId="899" priority="49" operator="notEqual">
      <formula>$O$56</formula>
    </cfRule>
    <cfRule type="cellIs" dxfId="898" priority="50" operator="equal">
      <formula>$O$56</formula>
    </cfRule>
  </conditionalFormatting>
  <conditionalFormatting sqref="P53">
    <cfRule type="cellIs" dxfId="897" priority="47" operator="notEqual">
      <formula>$P$56</formula>
    </cfRule>
    <cfRule type="cellIs" dxfId="896" priority="48" operator="equal">
      <formula>$P$56</formula>
    </cfRule>
  </conditionalFormatting>
  <conditionalFormatting sqref="Q53">
    <cfRule type="cellIs" dxfId="895" priority="45" operator="notEqual">
      <formula>$Q$56</formula>
    </cfRule>
    <cfRule type="cellIs" dxfId="894" priority="46" operator="equal">
      <formula>$Q$56</formula>
    </cfRule>
  </conditionalFormatting>
  <conditionalFormatting sqref="R53">
    <cfRule type="cellIs" dxfId="893" priority="43" operator="notEqual">
      <formula>$R$56</formula>
    </cfRule>
    <cfRule type="cellIs" dxfId="892" priority="44" operator="equal">
      <formula>$R$56</formula>
    </cfRule>
  </conditionalFormatting>
  <conditionalFormatting sqref="S53">
    <cfRule type="cellIs" dxfId="891" priority="41" operator="notEqual">
      <formula>$S$56</formula>
    </cfRule>
    <cfRule type="cellIs" dxfId="890" priority="42" operator="equal">
      <formula>$S$56</formula>
    </cfRule>
  </conditionalFormatting>
  <conditionalFormatting sqref="T53">
    <cfRule type="cellIs" dxfId="889" priority="39" operator="notEqual">
      <formula>$T$56</formula>
    </cfRule>
    <cfRule type="cellIs" dxfId="888" priority="40" operator="equal">
      <formula>$T$56</formula>
    </cfRule>
  </conditionalFormatting>
  <conditionalFormatting sqref="U53">
    <cfRule type="cellIs" dxfId="887" priority="37" operator="notEqual">
      <formula>$U$56</formula>
    </cfRule>
    <cfRule type="cellIs" dxfId="886" priority="38" operator="equal">
      <formula>$U$56</formula>
    </cfRule>
  </conditionalFormatting>
  <conditionalFormatting sqref="V53">
    <cfRule type="cellIs" dxfId="885" priority="35" operator="notEqual">
      <formula>$V$56</formula>
    </cfRule>
    <cfRule type="cellIs" dxfId="884" priority="36" operator="equal">
      <formula>$V$56</formula>
    </cfRule>
  </conditionalFormatting>
  <conditionalFormatting sqref="W53">
    <cfRule type="cellIs" dxfId="883" priority="33" operator="notEqual">
      <formula>$W$56</formula>
    </cfRule>
    <cfRule type="cellIs" dxfId="882" priority="34" operator="equal">
      <formula>$W$56</formula>
    </cfRule>
  </conditionalFormatting>
  <conditionalFormatting sqref="X53">
    <cfRule type="cellIs" dxfId="881" priority="31" operator="notEqual">
      <formula>$X$56</formula>
    </cfRule>
    <cfRule type="cellIs" dxfId="880" priority="32" operator="equal">
      <formula>$X$56</formula>
    </cfRule>
  </conditionalFormatting>
  <conditionalFormatting sqref="Y53">
    <cfRule type="cellIs" dxfId="879" priority="29" operator="notEqual">
      <formula>$Y$56</formula>
    </cfRule>
    <cfRule type="cellIs" dxfId="878" priority="30" operator="equal">
      <formula>$Y$56</formula>
    </cfRule>
  </conditionalFormatting>
  <conditionalFormatting sqref="Z53">
    <cfRule type="cellIs" dxfId="877" priority="27" operator="notEqual">
      <formula>$Z$56</formula>
    </cfRule>
    <cfRule type="cellIs" dxfId="876" priority="28" operator="equal">
      <formula>$Z$56</formula>
    </cfRule>
  </conditionalFormatting>
  <conditionalFormatting sqref="AA53">
    <cfRule type="cellIs" dxfId="875" priority="25" operator="notEqual">
      <formula>$AA$56</formula>
    </cfRule>
    <cfRule type="cellIs" dxfId="874" priority="26" operator="equal">
      <formula>$AA$56</formula>
    </cfRule>
  </conditionalFormatting>
  <conditionalFormatting sqref="AB53">
    <cfRule type="cellIs" dxfId="873" priority="23" operator="notEqual">
      <formula>$AB$56</formula>
    </cfRule>
    <cfRule type="cellIs" dxfId="872" priority="24" operator="equal">
      <formula>$AB$56</formula>
    </cfRule>
  </conditionalFormatting>
  <conditionalFormatting sqref="AC53">
    <cfRule type="cellIs" dxfId="871" priority="21" operator="notEqual">
      <formula>$AC$56</formula>
    </cfRule>
    <cfRule type="cellIs" dxfId="870" priority="22" operator="equal">
      <formula>$AC$56</formula>
    </cfRule>
  </conditionalFormatting>
  <conditionalFormatting sqref="AD53">
    <cfRule type="cellIs" dxfId="869" priority="19" operator="notEqual">
      <formula>$AD$56</formula>
    </cfRule>
    <cfRule type="cellIs" dxfId="868" priority="20" operator="equal">
      <formula>$AD$56</formula>
    </cfRule>
  </conditionalFormatting>
  <conditionalFormatting sqref="AE53">
    <cfRule type="cellIs" dxfId="867" priority="17" operator="notEqual">
      <formula>$AE$56</formula>
    </cfRule>
    <cfRule type="cellIs" dxfId="866" priority="18" operator="equal">
      <formula>$AE$56</formula>
    </cfRule>
  </conditionalFormatting>
  <conditionalFormatting sqref="AF53">
    <cfRule type="cellIs" dxfId="865" priority="16" operator="equal">
      <formula>$AF$56</formula>
    </cfRule>
  </conditionalFormatting>
  <conditionalFormatting sqref="AF53">
    <cfRule type="cellIs" dxfId="864" priority="15" operator="notEqual">
      <formula>$AF$56</formula>
    </cfRule>
  </conditionalFormatting>
  <conditionalFormatting sqref="AG53">
    <cfRule type="cellIs" dxfId="863" priority="14" operator="equal">
      <formula>$AG$56</formula>
    </cfRule>
  </conditionalFormatting>
  <conditionalFormatting sqref="AG53">
    <cfRule type="cellIs" dxfId="862" priority="13" operator="notEqual">
      <formula>$AG$56</formula>
    </cfRule>
  </conditionalFormatting>
  <conditionalFormatting sqref="AH53">
    <cfRule type="cellIs" dxfId="861" priority="12" operator="equal">
      <formula>$AH$56</formula>
    </cfRule>
  </conditionalFormatting>
  <conditionalFormatting sqref="AH53">
    <cfRule type="cellIs" dxfId="860" priority="11" operator="notEqual">
      <formula>$AH$56</formula>
    </cfRule>
  </conditionalFormatting>
  <conditionalFormatting sqref="AI53">
    <cfRule type="cellIs" dxfId="859" priority="10" operator="equal">
      <formula>$AI$56</formula>
    </cfRule>
  </conditionalFormatting>
  <conditionalFormatting sqref="AI53">
    <cfRule type="cellIs" dxfId="858" priority="9" operator="notEqual">
      <formula>$AI$56</formula>
    </cfRule>
  </conditionalFormatting>
  <conditionalFormatting sqref="AJ53">
    <cfRule type="cellIs" dxfId="857" priority="8" operator="equal">
      <formula>$AJ$56</formula>
    </cfRule>
  </conditionalFormatting>
  <conditionalFormatting sqref="AJ53">
    <cfRule type="cellIs" dxfId="856" priority="7" operator="notEqual">
      <formula>$AJ$56</formula>
    </cfRule>
  </conditionalFormatting>
  <conditionalFormatting sqref="AK53">
    <cfRule type="cellIs" dxfId="855" priority="6" operator="equal">
      <formula>$AK$56</formula>
    </cfRule>
  </conditionalFormatting>
  <conditionalFormatting sqref="AK53">
    <cfRule type="cellIs" dxfId="854" priority="5" operator="notEqual">
      <formula>$AK$56</formula>
    </cfRule>
  </conditionalFormatting>
  <conditionalFormatting sqref="AL53">
    <cfRule type="cellIs" dxfId="853" priority="4" operator="equal">
      <formula>$AL$56</formula>
    </cfRule>
  </conditionalFormatting>
  <conditionalFormatting sqref="AL53">
    <cfRule type="cellIs" dxfId="852" priority="3" operator="notEqual">
      <formula>$AL$56</formula>
    </cfRule>
  </conditionalFormatting>
  <conditionalFormatting sqref="AM53">
    <cfRule type="cellIs" dxfId="851" priority="2" operator="equal">
      <formula>$AM$56</formula>
    </cfRule>
  </conditionalFormatting>
  <conditionalFormatting sqref="AM53">
    <cfRule type="cellIs" dxfId="850" priority="1" operator="notEqual">
      <formula>$AM$56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03903-0F27-4E3E-8F6F-262815B7ADC5}">
  <dimension ref="A1:AB50"/>
  <sheetViews>
    <sheetView showGridLines="0" topLeftCell="A29" workbookViewId="0">
      <selection activeCell="K44" sqref="K44:AB50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" style="9" bestFit="1" customWidth="1"/>
    <col min="14" max="14" width="7.85546875" style="9" bestFit="1" customWidth="1"/>
    <col min="15" max="15" width="11.140625" style="9" bestFit="1" customWidth="1"/>
    <col min="16" max="17" width="9.28515625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7.85546875" style="9" bestFit="1" customWidth="1"/>
    <col min="23" max="23" width="9.28515625" style="9" bestFit="1" customWidth="1"/>
    <col min="24" max="25" width="10.57031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42" t="s">
        <v>60</v>
      </c>
      <c r="B1" s="142" t="s">
        <v>61</v>
      </c>
      <c r="C1" s="142" t="s">
        <v>62</v>
      </c>
      <c r="D1" s="142" t="s">
        <v>63</v>
      </c>
      <c r="E1" s="142" t="s">
        <v>64</v>
      </c>
      <c r="F1" s="142" t="s">
        <v>15</v>
      </c>
      <c r="G1" s="142" t="s">
        <v>66</v>
      </c>
      <c r="H1" s="142" t="s">
        <v>67</v>
      </c>
      <c r="I1" s="142" t="s">
        <v>509</v>
      </c>
      <c r="J1" s="129"/>
      <c r="L1" s="143" t="s">
        <v>524</v>
      </c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</row>
    <row r="2" spans="1:28" ht="11.25" customHeight="1" x14ac:dyDescent="0.25">
      <c r="A2" s="142"/>
      <c r="B2" s="142"/>
      <c r="C2" s="142"/>
      <c r="D2" s="142"/>
      <c r="E2" s="142"/>
      <c r="F2" s="142"/>
      <c r="G2" s="142"/>
      <c r="H2" s="142"/>
      <c r="I2" s="142"/>
      <c r="J2" s="129"/>
      <c r="L2" s="143" t="s">
        <v>436</v>
      </c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  <c r="AA2" s="143"/>
      <c r="AB2" s="143"/>
    </row>
    <row r="3" spans="1:28" ht="11.25" customHeight="1" x14ac:dyDescent="0.25">
      <c r="A3" s="142"/>
      <c r="B3" s="142"/>
      <c r="C3" s="142"/>
      <c r="D3" s="142"/>
      <c r="E3" s="142"/>
      <c r="F3" s="142"/>
      <c r="G3" s="142"/>
      <c r="H3" s="142"/>
      <c r="I3" s="142"/>
      <c r="J3" s="129"/>
      <c r="L3" s="143" t="s">
        <v>409</v>
      </c>
      <c r="M3" s="143"/>
      <c r="N3" s="143"/>
      <c r="O3" s="143"/>
      <c r="P3" s="143"/>
      <c r="Q3" s="143"/>
      <c r="R3" s="143" t="s">
        <v>440</v>
      </c>
      <c r="S3" s="143"/>
      <c r="T3" s="143" t="s">
        <v>418</v>
      </c>
      <c r="U3" s="143"/>
      <c r="V3" s="143"/>
      <c r="W3" s="143"/>
      <c r="X3" s="143" t="s">
        <v>428</v>
      </c>
      <c r="Y3" s="143"/>
      <c r="Z3" s="143" t="s">
        <v>431</v>
      </c>
      <c r="AA3" s="143"/>
      <c r="AB3" s="143" t="s">
        <v>417</v>
      </c>
    </row>
    <row r="4" spans="1:28" ht="11.25" customHeight="1" x14ac:dyDescent="0.25">
      <c r="A4" s="142"/>
      <c r="B4" s="142"/>
      <c r="C4" s="142"/>
      <c r="D4" s="142"/>
      <c r="E4" s="142"/>
      <c r="F4" s="142"/>
      <c r="G4" s="142"/>
      <c r="H4" s="142"/>
      <c r="I4" s="142"/>
      <c r="J4" s="129"/>
      <c r="L4" s="48" t="s">
        <v>411</v>
      </c>
      <c r="M4" s="48" t="s">
        <v>437</v>
      </c>
      <c r="N4" s="48" t="s">
        <v>438</v>
      </c>
      <c r="O4" s="48" t="s">
        <v>497</v>
      </c>
      <c r="P4" s="48" t="s">
        <v>439</v>
      </c>
      <c r="Q4" s="48" t="s">
        <v>417</v>
      </c>
      <c r="R4" s="48" t="s">
        <v>441</v>
      </c>
      <c r="S4" s="48" t="s">
        <v>417</v>
      </c>
      <c r="T4" s="48" t="s">
        <v>442</v>
      </c>
      <c r="U4" s="48" t="s">
        <v>443</v>
      </c>
      <c r="V4" s="48" t="s">
        <v>444</v>
      </c>
      <c r="W4" s="48" t="s">
        <v>417</v>
      </c>
      <c r="X4" s="48" t="s">
        <v>429</v>
      </c>
      <c r="Y4" s="48" t="s">
        <v>417</v>
      </c>
      <c r="Z4" s="48" t="s">
        <v>445</v>
      </c>
      <c r="AA4" s="48" t="s">
        <v>417</v>
      </c>
      <c r="AB4" s="144"/>
    </row>
    <row r="5" spans="1:28" ht="11.25" customHeight="1" x14ac:dyDescent="0.25">
      <c r="A5" s="141" t="s">
        <v>34</v>
      </c>
      <c r="B5" s="141" t="s">
        <v>69</v>
      </c>
      <c r="C5" s="141" t="s">
        <v>25</v>
      </c>
      <c r="D5" s="141" t="s">
        <v>25</v>
      </c>
      <c r="E5" s="141" t="s">
        <v>25</v>
      </c>
      <c r="F5" s="141" t="s">
        <v>25</v>
      </c>
      <c r="G5" s="46" t="s">
        <v>71</v>
      </c>
      <c r="H5" s="46" t="s">
        <v>70</v>
      </c>
      <c r="I5" s="46">
        <f>'MERCADO TE'!$U$2</f>
        <v>2156.2699999999995</v>
      </c>
      <c r="J5" s="15"/>
      <c r="L5" s="44">
        <v>1</v>
      </c>
      <c r="M5" s="44">
        <v>1</v>
      </c>
      <c r="N5" s="44">
        <v>1</v>
      </c>
      <c r="O5" s="44">
        <v>1</v>
      </c>
      <c r="P5" s="44">
        <v>1</v>
      </c>
      <c r="Q5" s="44"/>
      <c r="R5" s="44">
        <v>1.72</v>
      </c>
      <c r="S5" s="44"/>
      <c r="T5" s="44">
        <v>1</v>
      </c>
      <c r="U5" s="44">
        <v>1</v>
      </c>
      <c r="V5" s="44">
        <v>1</v>
      </c>
      <c r="W5" s="44"/>
      <c r="X5" s="44"/>
      <c r="Y5" s="44"/>
      <c r="Z5" s="44">
        <v>1</v>
      </c>
      <c r="AA5" s="44"/>
      <c r="AB5" s="44"/>
    </row>
    <row r="6" spans="1:28" ht="11.25" customHeight="1" x14ac:dyDescent="0.25">
      <c r="A6" s="141"/>
      <c r="B6" s="141"/>
      <c r="C6" s="141"/>
      <c r="D6" s="141"/>
      <c r="E6" s="141"/>
      <c r="F6" s="141"/>
      <c r="G6" s="46" t="s">
        <v>72</v>
      </c>
      <c r="H6" s="46" t="s">
        <v>70</v>
      </c>
      <c r="I6" s="46">
        <f>'MERCADO TE'!$U$3</f>
        <v>23356.773000000001</v>
      </c>
      <c r="J6" s="15"/>
      <c r="L6" s="44">
        <v>1</v>
      </c>
      <c r="M6" s="44">
        <v>1</v>
      </c>
      <c r="N6" s="44">
        <v>1</v>
      </c>
      <c r="O6" s="44">
        <v>1</v>
      </c>
      <c r="P6" s="44">
        <v>1</v>
      </c>
      <c r="Q6" s="44"/>
      <c r="R6" s="44">
        <v>1</v>
      </c>
      <c r="S6" s="44"/>
      <c r="T6" s="44">
        <v>1</v>
      </c>
      <c r="U6" s="44">
        <v>1</v>
      </c>
      <c r="V6" s="44">
        <v>1</v>
      </c>
      <c r="W6" s="44"/>
      <c r="X6" s="44"/>
      <c r="Y6" s="44"/>
      <c r="Z6" s="44">
        <v>1</v>
      </c>
      <c r="AA6" s="44"/>
      <c r="AB6" s="44"/>
    </row>
    <row r="7" spans="1:28" ht="11.25" customHeight="1" x14ac:dyDescent="0.25">
      <c r="A7" s="141"/>
      <c r="B7" s="47" t="s">
        <v>73</v>
      </c>
      <c r="C7" s="47" t="s">
        <v>25</v>
      </c>
      <c r="D7" s="47" t="s">
        <v>25</v>
      </c>
      <c r="E7" s="47" t="s">
        <v>25</v>
      </c>
      <c r="F7" s="47" t="s">
        <v>25</v>
      </c>
      <c r="G7" s="46" t="s">
        <v>74</v>
      </c>
      <c r="H7" s="46" t="s">
        <v>70</v>
      </c>
      <c r="I7" s="46">
        <f>'MERCADO TE'!$U$4</f>
        <v>0</v>
      </c>
      <c r="J7" s="15"/>
      <c r="L7" s="44">
        <v>1</v>
      </c>
      <c r="M7" s="44">
        <v>1</v>
      </c>
      <c r="N7" s="44">
        <v>1</v>
      </c>
      <c r="O7" s="44">
        <v>1</v>
      </c>
      <c r="P7" s="44">
        <v>1</v>
      </c>
      <c r="Q7" s="44"/>
      <c r="R7" s="44">
        <v>1.06</v>
      </c>
      <c r="S7" s="44"/>
      <c r="T7" s="44">
        <v>1</v>
      </c>
      <c r="U7" s="44">
        <v>1</v>
      </c>
      <c r="V7" s="44">
        <v>1</v>
      </c>
      <c r="W7" s="44"/>
      <c r="X7" s="44"/>
      <c r="Y7" s="44"/>
      <c r="Z7" s="44">
        <v>1</v>
      </c>
      <c r="AA7" s="44"/>
      <c r="AB7" s="44"/>
    </row>
    <row r="8" spans="1:28" ht="11.25" customHeight="1" x14ac:dyDescent="0.25">
      <c r="A8" s="141" t="s">
        <v>22</v>
      </c>
      <c r="B8" s="141" t="s">
        <v>69</v>
      </c>
      <c r="C8" s="141" t="s">
        <v>24</v>
      </c>
      <c r="D8" s="141" t="s">
        <v>24</v>
      </c>
      <c r="E8" s="141" t="s">
        <v>25</v>
      </c>
      <c r="F8" s="141" t="s">
        <v>25</v>
      </c>
      <c r="G8" s="46" t="s">
        <v>71</v>
      </c>
      <c r="H8" s="46" t="s">
        <v>70</v>
      </c>
      <c r="I8" s="46">
        <f>'MERCADO TE'!$U$5</f>
        <v>0</v>
      </c>
      <c r="J8" s="15"/>
      <c r="L8" s="44">
        <v>1</v>
      </c>
      <c r="M8" s="44">
        <v>1</v>
      </c>
      <c r="N8" s="44">
        <v>1</v>
      </c>
      <c r="O8" s="44">
        <v>1</v>
      </c>
      <c r="P8" s="44">
        <v>1</v>
      </c>
      <c r="Q8" s="44"/>
      <c r="R8" s="44">
        <v>1.72</v>
      </c>
      <c r="S8" s="44"/>
      <c r="T8" s="44">
        <v>1</v>
      </c>
      <c r="U8" s="44">
        <v>1</v>
      </c>
      <c r="V8" s="44">
        <v>1</v>
      </c>
      <c r="W8" s="44"/>
      <c r="X8" s="44"/>
      <c r="Y8" s="44"/>
      <c r="Z8" s="44">
        <v>1</v>
      </c>
      <c r="AA8" s="44"/>
      <c r="AB8" s="44"/>
    </row>
    <row r="9" spans="1:28" ht="11.25" customHeight="1" x14ac:dyDescent="0.25">
      <c r="A9" s="141"/>
      <c r="B9" s="141"/>
      <c r="C9" s="141"/>
      <c r="D9" s="141"/>
      <c r="E9" s="141"/>
      <c r="F9" s="141"/>
      <c r="G9" s="46" t="s">
        <v>83</v>
      </c>
      <c r="H9" s="46" t="s">
        <v>70</v>
      </c>
      <c r="I9" s="46">
        <f>'MERCADO TE'!$U$6</f>
        <v>0</v>
      </c>
      <c r="J9" s="15"/>
      <c r="L9" s="44">
        <v>1</v>
      </c>
      <c r="M9" s="44">
        <v>1</v>
      </c>
      <c r="N9" s="44">
        <v>1</v>
      </c>
      <c r="O9" s="44">
        <v>1</v>
      </c>
      <c r="P9" s="44">
        <v>1</v>
      </c>
      <c r="Q9" s="44"/>
      <c r="R9" s="44">
        <v>1</v>
      </c>
      <c r="S9" s="44"/>
      <c r="T9" s="44">
        <v>1</v>
      </c>
      <c r="U9" s="44">
        <v>1</v>
      </c>
      <c r="V9" s="44">
        <v>1</v>
      </c>
      <c r="W9" s="44"/>
      <c r="X9" s="44"/>
      <c r="Y9" s="44"/>
      <c r="Z9" s="44">
        <v>1</v>
      </c>
      <c r="AA9" s="44"/>
      <c r="AB9" s="44"/>
    </row>
    <row r="10" spans="1:28" ht="11.25" customHeight="1" x14ac:dyDescent="0.25">
      <c r="A10" s="141"/>
      <c r="B10" s="141"/>
      <c r="C10" s="141"/>
      <c r="D10" s="141"/>
      <c r="E10" s="141"/>
      <c r="F10" s="141"/>
      <c r="G10" s="46" t="s">
        <v>72</v>
      </c>
      <c r="H10" s="46" t="s">
        <v>70</v>
      </c>
      <c r="I10" s="46">
        <f>'MERCADO TE'!$U$7</f>
        <v>0</v>
      </c>
      <c r="J10" s="15"/>
      <c r="L10" s="44">
        <v>1</v>
      </c>
      <c r="M10" s="44">
        <v>1</v>
      </c>
      <c r="N10" s="44">
        <v>1</v>
      </c>
      <c r="O10" s="44">
        <v>1</v>
      </c>
      <c r="P10" s="44">
        <v>1</v>
      </c>
      <c r="Q10" s="44"/>
      <c r="R10" s="44">
        <v>1</v>
      </c>
      <c r="S10" s="44"/>
      <c r="T10" s="44">
        <v>1</v>
      </c>
      <c r="U10" s="44">
        <v>1</v>
      </c>
      <c r="V10" s="44">
        <v>1</v>
      </c>
      <c r="W10" s="44"/>
      <c r="X10" s="44"/>
      <c r="Y10" s="44"/>
      <c r="Z10" s="44">
        <v>1</v>
      </c>
      <c r="AA10" s="44"/>
      <c r="AB10" s="44"/>
    </row>
    <row r="11" spans="1:28" ht="11.25" customHeight="1" x14ac:dyDescent="0.25">
      <c r="A11" s="141"/>
      <c r="B11" s="141" t="s">
        <v>73</v>
      </c>
      <c r="C11" s="141" t="s">
        <v>24</v>
      </c>
      <c r="D11" s="47" t="s">
        <v>24</v>
      </c>
      <c r="E11" s="47" t="s">
        <v>25</v>
      </c>
      <c r="F11" s="47" t="s">
        <v>25</v>
      </c>
      <c r="G11" s="46" t="s">
        <v>74</v>
      </c>
      <c r="H11" s="46" t="s">
        <v>70</v>
      </c>
      <c r="I11" s="46">
        <f>'MERCADO TE'!$U$8</f>
        <v>20530.876000000004</v>
      </c>
      <c r="J11" s="15"/>
      <c r="L11" s="44">
        <v>1</v>
      </c>
      <c r="M11" s="44">
        <v>1</v>
      </c>
      <c r="N11" s="44">
        <v>1</v>
      </c>
      <c r="O11" s="44">
        <v>1</v>
      </c>
      <c r="P11" s="44">
        <v>1</v>
      </c>
      <c r="Q11" s="44"/>
      <c r="R11" s="44">
        <v>1.06</v>
      </c>
      <c r="S11" s="44"/>
      <c r="T11" s="44">
        <v>1</v>
      </c>
      <c r="U11" s="44">
        <v>1</v>
      </c>
      <c r="V11" s="44">
        <v>1</v>
      </c>
      <c r="W11" s="44"/>
      <c r="X11" s="44"/>
      <c r="Y11" s="44"/>
      <c r="Z11" s="44">
        <v>1</v>
      </c>
      <c r="AA11" s="44"/>
      <c r="AB11" s="44"/>
    </row>
    <row r="12" spans="1:28" ht="11.25" customHeight="1" x14ac:dyDescent="0.25">
      <c r="A12" s="141"/>
      <c r="B12" s="141"/>
      <c r="C12" s="141"/>
      <c r="D12" s="47" t="s">
        <v>28</v>
      </c>
      <c r="E12" s="47" t="s">
        <v>25</v>
      </c>
      <c r="F12" s="47" t="s">
        <v>25</v>
      </c>
      <c r="G12" s="46" t="s">
        <v>74</v>
      </c>
      <c r="H12" s="46" t="s">
        <v>70</v>
      </c>
      <c r="I12" s="46">
        <f>'MERCADO TE'!$U$9</f>
        <v>165.006</v>
      </c>
      <c r="J12" s="15"/>
      <c r="L12" s="44">
        <f>1 - CUSTOS!$M$24</f>
        <v>1</v>
      </c>
      <c r="M12" s="44">
        <f>1 - CUSTOS!$M$24</f>
        <v>1</v>
      </c>
      <c r="N12" s="44">
        <f>1 - CUSTOS!$M$24</f>
        <v>1</v>
      </c>
      <c r="O12" s="44">
        <f>1 - CUSTOS!$M$24</f>
        <v>1</v>
      </c>
      <c r="P12" s="44">
        <f>1 - CUSTOS!$M$24</f>
        <v>1</v>
      </c>
      <c r="Q12" s="44"/>
      <c r="R12" s="44">
        <f>(1 - CUSTOS!$M$24)*1.06</f>
        <v>1.06</v>
      </c>
      <c r="S12" s="44"/>
      <c r="T12" s="44">
        <f>1 - CUSTOS!$M$24</f>
        <v>1</v>
      </c>
      <c r="U12" s="44">
        <f>1 - CUSTOS!$M$24</f>
        <v>1</v>
      </c>
      <c r="V12" s="44">
        <f>1 - CUSTOS!$M$24</f>
        <v>1</v>
      </c>
      <c r="W12" s="44"/>
      <c r="X12" s="44"/>
      <c r="Y12" s="44"/>
      <c r="Z12" s="44">
        <f>1 - CUSTOS!$M$24</f>
        <v>1</v>
      </c>
      <c r="AA12" s="44"/>
      <c r="AB12" s="44"/>
    </row>
    <row r="13" spans="1:28" ht="11.25" customHeight="1" x14ac:dyDescent="0.25">
      <c r="A13" s="141"/>
      <c r="B13" s="141"/>
      <c r="C13" s="141"/>
      <c r="D13" s="47" t="s">
        <v>29</v>
      </c>
      <c r="E13" s="47" t="s">
        <v>25</v>
      </c>
      <c r="F13" s="47" t="s">
        <v>25</v>
      </c>
      <c r="G13" s="46" t="s">
        <v>74</v>
      </c>
      <c r="H13" s="46" t="s">
        <v>70</v>
      </c>
      <c r="I13" s="46">
        <f>'MERCADO TE'!$U$10</f>
        <v>350.56600000000003</v>
      </c>
      <c r="J13" s="15"/>
      <c r="L13" s="44">
        <f>1 - CUSTOS!$M$25</f>
        <v>1</v>
      </c>
      <c r="M13" s="44">
        <f>1 - CUSTOS!$M$25</f>
        <v>1</v>
      </c>
      <c r="N13" s="44">
        <f>1 - CUSTOS!$M$25</f>
        <v>1</v>
      </c>
      <c r="O13" s="44">
        <f>1 - CUSTOS!$M$25</f>
        <v>1</v>
      </c>
      <c r="P13" s="44">
        <f>1 - CUSTOS!$M$25</f>
        <v>1</v>
      </c>
      <c r="Q13" s="44"/>
      <c r="R13" s="44">
        <f>(1 - CUSTOS!$M$25)*1.06</f>
        <v>1.06</v>
      </c>
      <c r="S13" s="44"/>
      <c r="T13" s="44">
        <f>1 - CUSTOS!$M$25</f>
        <v>1</v>
      </c>
      <c r="U13" s="44">
        <f>1 - CUSTOS!$M$25</f>
        <v>1</v>
      </c>
      <c r="V13" s="44">
        <f>1 - CUSTOS!$M$25</f>
        <v>1</v>
      </c>
      <c r="W13" s="44"/>
      <c r="X13" s="44"/>
      <c r="Y13" s="44"/>
      <c r="Z13" s="44">
        <f>1 - CUSTOS!$M$25</f>
        <v>1</v>
      </c>
      <c r="AA13" s="44"/>
      <c r="AB13" s="44"/>
    </row>
    <row r="14" spans="1:28" ht="11.25" customHeight="1" x14ac:dyDescent="0.25">
      <c r="A14" s="141"/>
      <c r="B14" s="141"/>
      <c r="C14" s="141"/>
      <c r="D14" s="47" t="s">
        <v>30</v>
      </c>
      <c r="E14" s="47" t="s">
        <v>25</v>
      </c>
      <c r="F14" s="47" t="s">
        <v>25</v>
      </c>
      <c r="G14" s="46" t="s">
        <v>74</v>
      </c>
      <c r="H14" s="46" t="s">
        <v>70</v>
      </c>
      <c r="I14" s="46">
        <f>'MERCADO TE'!$U$11</f>
        <v>338.63600000000002</v>
      </c>
      <c r="J14" s="15"/>
      <c r="L14" s="44">
        <f>1 - CUSTOS!$M$26</f>
        <v>1</v>
      </c>
      <c r="M14" s="44">
        <f>1 - CUSTOS!$M$26</f>
        <v>1</v>
      </c>
      <c r="N14" s="44">
        <f>1 - CUSTOS!$M$26</f>
        <v>1</v>
      </c>
      <c r="O14" s="44">
        <f>1 - CUSTOS!$M$26</f>
        <v>1</v>
      </c>
      <c r="P14" s="44">
        <f>1 - CUSTOS!$M$26</f>
        <v>1</v>
      </c>
      <c r="Q14" s="44"/>
      <c r="R14" s="44">
        <f>(1 - CUSTOS!$M$26)*1.06</f>
        <v>1.06</v>
      </c>
      <c r="S14" s="44"/>
      <c r="T14" s="44">
        <f>1 - CUSTOS!$M$26</f>
        <v>1</v>
      </c>
      <c r="U14" s="44">
        <f>1 - CUSTOS!$M$26</f>
        <v>1</v>
      </c>
      <c r="V14" s="44">
        <f>1 - CUSTOS!$M$26</f>
        <v>1</v>
      </c>
      <c r="W14" s="44"/>
      <c r="X14" s="44"/>
      <c r="Y14" s="44"/>
      <c r="Z14" s="44">
        <f>1 - CUSTOS!$M$26</f>
        <v>1</v>
      </c>
      <c r="AA14" s="44"/>
      <c r="AB14" s="44"/>
    </row>
    <row r="15" spans="1:28" ht="11.25" customHeight="1" x14ac:dyDescent="0.25">
      <c r="A15" s="141"/>
      <c r="B15" s="141"/>
      <c r="C15" s="141"/>
      <c r="D15" s="47" t="s">
        <v>31</v>
      </c>
      <c r="E15" s="47" t="s">
        <v>25</v>
      </c>
      <c r="F15" s="47" t="s">
        <v>25</v>
      </c>
      <c r="G15" s="46" t="s">
        <v>74</v>
      </c>
      <c r="H15" s="46" t="s">
        <v>70</v>
      </c>
      <c r="I15" s="46">
        <f>'MERCADO TE'!$U$12</f>
        <v>113.66699999999999</v>
      </c>
      <c r="J15" s="15"/>
      <c r="L15" s="44">
        <f>1 - CUSTOS!$M$27</f>
        <v>1</v>
      </c>
      <c r="M15" s="44">
        <f>1 - CUSTOS!$M$27</f>
        <v>1</v>
      </c>
      <c r="N15" s="44">
        <f>1 - CUSTOS!$M$27</f>
        <v>1</v>
      </c>
      <c r="O15" s="44">
        <f>1 - CUSTOS!$M$27</f>
        <v>1</v>
      </c>
      <c r="P15" s="44">
        <f>1 - CUSTOS!$M$27</f>
        <v>1</v>
      </c>
      <c r="Q15" s="44"/>
      <c r="R15" s="44">
        <f>(1 - CUSTOS!$M$27)*1.06</f>
        <v>1.06</v>
      </c>
      <c r="S15" s="44"/>
      <c r="T15" s="44">
        <f>1 - CUSTOS!$M$27</f>
        <v>1</v>
      </c>
      <c r="U15" s="44">
        <f>1 - CUSTOS!$M$27</f>
        <v>1</v>
      </c>
      <c r="V15" s="44">
        <f>1 - CUSTOS!$M$27</f>
        <v>1</v>
      </c>
      <c r="W15" s="44"/>
      <c r="X15" s="44"/>
      <c r="Y15" s="44"/>
      <c r="Z15" s="44">
        <f>1 - CUSTOS!$M$27</f>
        <v>1</v>
      </c>
      <c r="AA15" s="44"/>
      <c r="AB15" s="44"/>
    </row>
    <row r="16" spans="1:28" ht="11.25" customHeight="1" x14ac:dyDescent="0.25">
      <c r="A16" s="141"/>
      <c r="B16" s="141" t="s">
        <v>84</v>
      </c>
      <c r="C16" s="141" t="s">
        <v>24</v>
      </c>
      <c r="D16" s="47" t="s">
        <v>24</v>
      </c>
      <c r="E16" s="47" t="s">
        <v>25</v>
      </c>
      <c r="F16" s="47" t="s">
        <v>25</v>
      </c>
      <c r="G16" s="46" t="s">
        <v>74</v>
      </c>
      <c r="H16" s="46" t="s">
        <v>70</v>
      </c>
      <c r="I16" s="46">
        <f>'MERCADO TE'!$U$13</f>
        <v>0</v>
      </c>
      <c r="J16" s="15"/>
      <c r="L16" s="44">
        <v>1</v>
      </c>
      <c r="M16" s="44">
        <v>1</v>
      </c>
      <c r="N16" s="44">
        <v>1</v>
      </c>
      <c r="O16" s="44">
        <v>1</v>
      </c>
      <c r="P16" s="44">
        <v>1</v>
      </c>
      <c r="Q16" s="44"/>
      <c r="R16" s="44">
        <v>1.06</v>
      </c>
      <c r="S16" s="44"/>
      <c r="T16" s="44">
        <v>1</v>
      </c>
      <c r="U16" s="44">
        <v>1</v>
      </c>
      <c r="V16" s="44">
        <v>1</v>
      </c>
      <c r="W16" s="44"/>
      <c r="X16" s="44"/>
      <c r="Y16" s="44"/>
      <c r="Z16" s="44">
        <v>1</v>
      </c>
      <c r="AA16" s="44"/>
      <c r="AB16" s="44"/>
    </row>
    <row r="17" spans="1:28" ht="11.25" customHeight="1" x14ac:dyDescent="0.25">
      <c r="A17" s="141"/>
      <c r="B17" s="141"/>
      <c r="C17" s="141"/>
      <c r="D17" s="47" t="s">
        <v>28</v>
      </c>
      <c r="E17" s="47" t="s">
        <v>25</v>
      </c>
      <c r="F17" s="47" t="s">
        <v>25</v>
      </c>
      <c r="G17" s="46" t="s">
        <v>74</v>
      </c>
      <c r="H17" s="46" t="s">
        <v>70</v>
      </c>
      <c r="I17" s="46">
        <f>'MERCADO TE'!$U$14</f>
        <v>0</v>
      </c>
      <c r="J17" s="15"/>
      <c r="L17" s="44">
        <f>1 - CUSTOS!$M$24</f>
        <v>1</v>
      </c>
      <c r="M17" s="44">
        <f>1 - CUSTOS!$M$24</f>
        <v>1</v>
      </c>
      <c r="N17" s="44">
        <f>1 - CUSTOS!$M$24</f>
        <v>1</v>
      </c>
      <c r="O17" s="44">
        <f>1 - CUSTOS!$M$24</f>
        <v>1</v>
      </c>
      <c r="P17" s="44">
        <f>1 - CUSTOS!$M$24</f>
        <v>1</v>
      </c>
      <c r="Q17" s="44"/>
      <c r="R17" s="44">
        <f>(1 - CUSTOS!$M$24)*1.06</f>
        <v>1.06</v>
      </c>
      <c r="S17" s="44"/>
      <c r="T17" s="44">
        <f>1 - CUSTOS!$M$24</f>
        <v>1</v>
      </c>
      <c r="U17" s="44">
        <f>1 - CUSTOS!$M$24</f>
        <v>1</v>
      </c>
      <c r="V17" s="44">
        <f>1 - CUSTOS!$M$24</f>
        <v>1</v>
      </c>
      <c r="W17" s="44"/>
      <c r="X17" s="44"/>
      <c r="Y17" s="44"/>
      <c r="Z17" s="44">
        <f>1 - CUSTOS!$M$24</f>
        <v>1</v>
      </c>
      <c r="AA17" s="44"/>
      <c r="AB17" s="44"/>
    </row>
    <row r="18" spans="1:28" ht="11.25" customHeight="1" x14ac:dyDescent="0.25">
      <c r="A18" s="141"/>
      <c r="B18" s="141"/>
      <c r="C18" s="141"/>
      <c r="D18" s="47" t="s">
        <v>29</v>
      </c>
      <c r="E18" s="47" t="s">
        <v>25</v>
      </c>
      <c r="F18" s="47" t="s">
        <v>25</v>
      </c>
      <c r="G18" s="46" t="s">
        <v>74</v>
      </c>
      <c r="H18" s="46" t="s">
        <v>70</v>
      </c>
      <c r="I18" s="46">
        <f>'MERCADO TE'!$U$15</f>
        <v>0</v>
      </c>
      <c r="J18" s="15"/>
      <c r="L18" s="44">
        <f>1 - CUSTOS!$M$25</f>
        <v>1</v>
      </c>
      <c r="M18" s="44">
        <f>1 - CUSTOS!$M$25</f>
        <v>1</v>
      </c>
      <c r="N18" s="44">
        <f>1 - CUSTOS!$M$25</f>
        <v>1</v>
      </c>
      <c r="O18" s="44">
        <f>1 - CUSTOS!$M$25</f>
        <v>1</v>
      </c>
      <c r="P18" s="44">
        <f>1 - CUSTOS!$M$25</f>
        <v>1</v>
      </c>
      <c r="Q18" s="44"/>
      <c r="R18" s="44">
        <f>(1 - CUSTOS!$M$25)*1.06</f>
        <v>1.06</v>
      </c>
      <c r="S18" s="44"/>
      <c r="T18" s="44">
        <f>1 - CUSTOS!$M$25</f>
        <v>1</v>
      </c>
      <c r="U18" s="44">
        <f>1 - CUSTOS!$M$25</f>
        <v>1</v>
      </c>
      <c r="V18" s="44">
        <f>1 - CUSTOS!$M$25</f>
        <v>1</v>
      </c>
      <c r="W18" s="44"/>
      <c r="X18" s="44"/>
      <c r="Y18" s="44"/>
      <c r="Z18" s="44">
        <f>1 - CUSTOS!$M$25</f>
        <v>1</v>
      </c>
      <c r="AA18" s="44"/>
      <c r="AB18" s="44"/>
    </row>
    <row r="19" spans="1:28" ht="11.25" customHeight="1" x14ac:dyDescent="0.25">
      <c r="A19" s="141"/>
      <c r="B19" s="141"/>
      <c r="C19" s="141"/>
      <c r="D19" s="47" t="s">
        <v>30</v>
      </c>
      <c r="E19" s="47" t="s">
        <v>25</v>
      </c>
      <c r="F19" s="47" t="s">
        <v>25</v>
      </c>
      <c r="G19" s="46" t="s">
        <v>74</v>
      </c>
      <c r="H19" s="46" t="s">
        <v>70</v>
      </c>
      <c r="I19" s="46">
        <f>'MERCADO TE'!$U$16</f>
        <v>0</v>
      </c>
      <c r="J19" s="15"/>
      <c r="L19" s="44">
        <f>1 - CUSTOS!$M$26</f>
        <v>1</v>
      </c>
      <c r="M19" s="44">
        <f>1 - CUSTOS!$M$26</f>
        <v>1</v>
      </c>
      <c r="N19" s="44">
        <f>1 - CUSTOS!$M$26</f>
        <v>1</v>
      </c>
      <c r="O19" s="44">
        <f>1 - CUSTOS!$M$26</f>
        <v>1</v>
      </c>
      <c r="P19" s="44">
        <f>1 - CUSTOS!$M$26</f>
        <v>1</v>
      </c>
      <c r="Q19" s="44"/>
      <c r="R19" s="44">
        <f>(1 - CUSTOS!$M$26)*1.06</f>
        <v>1.06</v>
      </c>
      <c r="S19" s="44"/>
      <c r="T19" s="44">
        <f>1 - CUSTOS!$M$26</f>
        <v>1</v>
      </c>
      <c r="U19" s="44">
        <f>1 - CUSTOS!$M$26</f>
        <v>1</v>
      </c>
      <c r="V19" s="44">
        <f>1 - CUSTOS!$M$26</f>
        <v>1</v>
      </c>
      <c r="W19" s="44"/>
      <c r="X19" s="44"/>
      <c r="Y19" s="44"/>
      <c r="Z19" s="44">
        <f>1 - CUSTOS!$M$26</f>
        <v>1</v>
      </c>
      <c r="AA19" s="44"/>
      <c r="AB19" s="44"/>
    </row>
    <row r="20" spans="1:28" ht="11.25" customHeight="1" x14ac:dyDescent="0.25">
      <c r="A20" s="141"/>
      <c r="B20" s="141"/>
      <c r="C20" s="141"/>
      <c r="D20" s="47" t="s">
        <v>31</v>
      </c>
      <c r="E20" s="47" t="s">
        <v>25</v>
      </c>
      <c r="F20" s="47" t="s">
        <v>25</v>
      </c>
      <c r="G20" s="46" t="s">
        <v>74</v>
      </c>
      <c r="H20" s="46" t="s">
        <v>70</v>
      </c>
      <c r="I20" s="46">
        <f>'MERCADO TE'!$U$17</f>
        <v>0</v>
      </c>
      <c r="J20" s="15"/>
      <c r="L20" s="44">
        <f>1 - CUSTOS!$M$27</f>
        <v>1</v>
      </c>
      <c r="M20" s="44">
        <f>1 - CUSTOS!$M$27</f>
        <v>1</v>
      </c>
      <c r="N20" s="44">
        <f>1 - CUSTOS!$M$27</f>
        <v>1</v>
      </c>
      <c r="O20" s="44">
        <f>1 - CUSTOS!$M$27</f>
        <v>1</v>
      </c>
      <c r="P20" s="44">
        <f>1 - CUSTOS!$M$27</f>
        <v>1</v>
      </c>
      <c r="Q20" s="44"/>
      <c r="R20" s="44">
        <f>(1 - CUSTOS!$M$27)*1.06</f>
        <v>1.06</v>
      </c>
      <c r="S20" s="44"/>
      <c r="T20" s="44">
        <f>1 - CUSTOS!$M$27</f>
        <v>1</v>
      </c>
      <c r="U20" s="44">
        <f>1 - CUSTOS!$M$27</f>
        <v>1</v>
      </c>
      <c r="V20" s="44">
        <f>1 - CUSTOS!$M$27</f>
        <v>1</v>
      </c>
      <c r="W20" s="44"/>
      <c r="X20" s="44"/>
      <c r="Y20" s="44"/>
      <c r="Z20" s="44">
        <f>1 - CUSTOS!$M$27</f>
        <v>1</v>
      </c>
      <c r="AA20" s="44"/>
      <c r="AB20" s="44"/>
    </row>
    <row r="21" spans="1:28" ht="11.25" customHeight="1" x14ac:dyDescent="0.25">
      <c r="A21" s="141" t="s">
        <v>39</v>
      </c>
      <c r="B21" s="141" t="s">
        <v>69</v>
      </c>
      <c r="C21" s="141" t="s">
        <v>40</v>
      </c>
      <c r="D21" s="141" t="s">
        <v>25</v>
      </c>
      <c r="E21" s="141" t="s">
        <v>25</v>
      </c>
      <c r="F21" s="141" t="s">
        <v>25</v>
      </c>
      <c r="G21" s="46" t="s">
        <v>71</v>
      </c>
      <c r="H21" s="46" t="s">
        <v>70</v>
      </c>
      <c r="I21" s="46">
        <f>'MERCADO TE'!$U$18</f>
        <v>0</v>
      </c>
      <c r="J21" s="15"/>
      <c r="L21" s="44">
        <f>1 - CUSTOS!$M$28</f>
        <v>1</v>
      </c>
      <c r="M21" s="44">
        <f>1 - CUSTOS!$M$28</f>
        <v>1</v>
      </c>
      <c r="N21" s="44">
        <f>1 - CUSTOS!$M$28</f>
        <v>1</v>
      </c>
      <c r="O21" s="44">
        <f>1 - CUSTOS!$M$28</f>
        <v>1</v>
      </c>
      <c r="P21" s="44">
        <f>1 - CUSTOS!$M$28</f>
        <v>1</v>
      </c>
      <c r="Q21" s="44"/>
      <c r="R21" s="44">
        <f>(1 - CUSTOS!$M$28)*1.72</f>
        <v>1.72</v>
      </c>
      <c r="S21" s="44"/>
      <c r="T21" s="44">
        <f>1 - CUSTOS!$M$28</f>
        <v>1</v>
      </c>
      <c r="U21" s="44">
        <f>1 - CUSTOS!$M$28</f>
        <v>1</v>
      </c>
      <c r="V21" s="44">
        <f>1 - CUSTOS!$M$28</f>
        <v>1</v>
      </c>
      <c r="W21" s="44"/>
      <c r="X21" s="44"/>
      <c r="Y21" s="44"/>
      <c r="Z21" s="44">
        <f>1 - CUSTOS!$M$28</f>
        <v>1</v>
      </c>
      <c r="AA21" s="44"/>
      <c r="AB21" s="44"/>
    </row>
    <row r="22" spans="1:28" ht="11.25" customHeight="1" x14ac:dyDescent="0.25">
      <c r="A22" s="141"/>
      <c r="B22" s="141"/>
      <c r="C22" s="141"/>
      <c r="D22" s="141"/>
      <c r="E22" s="141"/>
      <c r="F22" s="141"/>
      <c r="G22" s="46" t="s">
        <v>83</v>
      </c>
      <c r="H22" s="46" t="s">
        <v>70</v>
      </c>
      <c r="I22" s="46">
        <f>'MERCADO TE'!$U$19</f>
        <v>0</v>
      </c>
      <c r="J22" s="15"/>
      <c r="L22" s="44">
        <f>1 - CUSTOS!$M$28</f>
        <v>1</v>
      </c>
      <c r="M22" s="44">
        <f>1 - CUSTOS!$M$28</f>
        <v>1</v>
      </c>
      <c r="N22" s="44">
        <f>1 - CUSTOS!$M$28</f>
        <v>1</v>
      </c>
      <c r="O22" s="44">
        <f>1 - CUSTOS!$M$28</f>
        <v>1</v>
      </c>
      <c r="P22" s="44">
        <f>1 - CUSTOS!$M$28</f>
        <v>1</v>
      </c>
      <c r="Q22" s="44"/>
      <c r="R22" s="44">
        <f>(1 - CUSTOS!$M$28)*1</f>
        <v>1</v>
      </c>
      <c r="S22" s="44"/>
      <c r="T22" s="44">
        <f>1 - CUSTOS!$M$28</f>
        <v>1</v>
      </c>
      <c r="U22" s="44">
        <f>1 - CUSTOS!$M$28</f>
        <v>1</v>
      </c>
      <c r="V22" s="44">
        <f>1 - CUSTOS!$M$28</f>
        <v>1</v>
      </c>
      <c r="W22" s="44"/>
      <c r="X22" s="44"/>
      <c r="Y22" s="44"/>
      <c r="Z22" s="44">
        <f>1 - CUSTOS!$M$28</f>
        <v>1</v>
      </c>
      <c r="AA22" s="44"/>
      <c r="AB22" s="44"/>
    </row>
    <row r="23" spans="1:28" ht="11.25" customHeight="1" x14ac:dyDescent="0.25">
      <c r="A23" s="141"/>
      <c r="B23" s="141"/>
      <c r="C23" s="141"/>
      <c r="D23" s="141"/>
      <c r="E23" s="141"/>
      <c r="F23" s="141"/>
      <c r="G23" s="46" t="s">
        <v>72</v>
      </c>
      <c r="H23" s="46" t="s">
        <v>70</v>
      </c>
      <c r="I23" s="46">
        <f>'MERCADO TE'!$U$20</f>
        <v>0</v>
      </c>
      <c r="J23" s="15"/>
      <c r="L23" s="44">
        <f>1 - CUSTOS!$M$28</f>
        <v>1</v>
      </c>
      <c r="M23" s="44">
        <f>1 - CUSTOS!$M$28</f>
        <v>1</v>
      </c>
      <c r="N23" s="44">
        <f>1 - CUSTOS!$M$28</f>
        <v>1</v>
      </c>
      <c r="O23" s="44">
        <f>1 - CUSTOS!$M$28</f>
        <v>1</v>
      </c>
      <c r="P23" s="44">
        <f>1 - CUSTOS!$M$28</f>
        <v>1</v>
      </c>
      <c r="Q23" s="44"/>
      <c r="R23" s="44">
        <f>(1 - CUSTOS!$M$28)*1</f>
        <v>1</v>
      </c>
      <c r="S23" s="44"/>
      <c r="T23" s="44">
        <f>1 - CUSTOS!$M$28</f>
        <v>1</v>
      </c>
      <c r="U23" s="44">
        <f>1 - CUSTOS!$M$28</f>
        <v>1</v>
      </c>
      <c r="V23" s="44">
        <f>1 - CUSTOS!$M$28</f>
        <v>1</v>
      </c>
      <c r="W23" s="44"/>
      <c r="X23" s="44"/>
      <c r="Y23" s="44"/>
      <c r="Z23" s="44">
        <f>1 - CUSTOS!$M$28</f>
        <v>1</v>
      </c>
      <c r="AA23" s="44"/>
      <c r="AB23" s="44"/>
    </row>
    <row r="24" spans="1:28" ht="11.25" customHeight="1" x14ac:dyDescent="0.25">
      <c r="A24" s="141"/>
      <c r="B24" s="47" t="s">
        <v>73</v>
      </c>
      <c r="C24" s="47" t="s">
        <v>40</v>
      </c>
      <c r="D24" s="47" t="s">
        <v>25</v>
      </c>
      <c r="E24" s="47" t="s">
        <v>25</v>
      </c>
      <c r="F24" s="47" t="s">
        <v>25</v>
      </c>
      <c r="G24" s="46" t="s">
        <v>74</v>
      </c>
      <c r="H24" s="46" t="s">
        <v>70</v>
      </c>
      <c r="I24" s="46">
        <f>'MERCADO TE'!$U$21</f>
        <v>45.472000000000001</v>
      </c>
      <c r="J24" s="15"/>
      <c r="L24" s="44">
        <f>1 - CUSTOS!$M$28</f>
        <v>1</v>
      </c>
      <c r="M24" s="44">
        <f>1 - CUSTOS!$M$28</f>
        <v>1</v>
      </c>
      <c r="N24" s="44">
        <f>1 - CUSTOS!$M$28</f>
        <v>1</v>
      </c>
      <c r="O24" s="44">
        <f>1 - CUSTOS!$M$28</f>
        <v>1</v>
      </c>
      <c r="P24" s="44">
        <f>1 - CUSTOS!$M$28</f>
        <v>1</v>
      </c>
      <c r="Q24" s="44"/>
      <c r="R24" s="44">
        <f>(1 - CUSTOS!$M$28)*1.06</f>
        <v>1.06</v>
      </c>
      <c r="S24" s="44"/>
      <c r="T24" s="44">
        <f>1 - CUSTOS!$M$28</f>
        <v>1</v>
      </c>
      <c r="U24" s="44">
        <f>1 - CUSTOS!$M$28</f>
        <v>1</v>
      </c>
      <c r="V24" s="44">
        <f>1 - CUSTOS!$M$28</f>
        <v>1</v>
      </c>
      <c r="W24" s="44"/>
      <c r="X24" s="44"/>
      <c r="Y24" s="44"/>
      <c r="Z24" s="44">
        <f>1 - CUSTOS!$M$28</f>
        <v>1</v>
      </c>
      <c r="AA24" s="44"/>
      <c r="AB24" s="44"/>
    </row>
    <row r="25" spans="1:28" ht="11.25" customHeight="1" x14ac:dyDescent="0.25">
      <c r="A25" s="141"/>
      <c r="B25" s="141" t="s">
        <v>69</v>
      </c>
      <c r="C25" s="141" t="s">
        <v>40</v>
      </c>
      <c r="D25" s="141" t="s">
        <v>86</v>
      </c>
      <c r="E25" s="141" t="s">
        <v>25</v>
      </c>
      <c r="F25" s="141" t="s">
        <v>25</v>
      </c>
      <c r="G25" s="46" t="s">
        <v>71</v>
      </c>
      <c r="H25" s="46" t="s">
        <v>70</v>
      </c>
      <c r="I25" s="46">
        <f>'MERCADO TE'!$U$22</f>
        <v>0</v>
      </c>
      <c r="J25" s="15"/>
      <c r="L25" s="44">
        <f>1 - CUSTOS!$M$29</f>
        <v>1</v>
      </c>
      <c r="M25" s="44">
        <f>1 - CUSTOS!$M$29</f>
        <v>1</v>
      </c>
      <c r="N25" s="44">
        <f>1 - CUSTOS!$M$29</f>
        <v>1</v>
      </c>
      <c r="O25" s="44">
        <f>1 - CUSTOS!$M$29</f>
        <v>1</v>
      </c>
      <c r="P25" s="44">
        <f>1 - CUSTOS!$M$29</f>
        <v>1</v>
      </c>
      <c r="Q25" s="44"/>
      <c r="R25" s="44">
        <f>(1 - CUSTOS!$M$29)*1.72</f>
        <v>1.72</v>
      </c>
      <c r="S25" s="44"/>
      <c r="T25" s="44">
        <f>1 - CUSTOS!$M$29</f>
        <v>1</v>
      </c>
      <c r="U25" s="44">
        <f>1 - CUSTOS!$M$29</f>
        <v>1</v>
      </c>
      <c r="V25" s="44">
        <f>1 - CUSTOS!$M$29</f>
        <v>1</v>
      </c>
      <c r="W25" s="44"/>
      <c r="X25" s="44"/>
      <c r="Y25" s="44"/>
      <c r="Z25" s="44">
        <f>1 - CUSTOS!$M$29</f>
        <v>1</v>
      </c>
      <c r="AA25" s="44"/>
      <c r="AB25" s="44"/>
    </row>
    <row r="26" spans="1:28" ht="11.25" customHeight="1" x14ac:dyDescent="0.25">
      <c r="A26" s="141"/>
      <c r="B26" s="141"/>
      <c r="C26" s="141"/>
      <c r="D26" s="141"/>
      <c r="E26" s="141"/>
      <c r="F26" s="141"/>
      <c r="G26" s="46" t="s">
        <v>83</v>
      </c>
      <c r="H26" s="46" t="s">
        <v>70</v>
      </c>
      <c r="I26" s="46">
        <f>'MERCADO TE'!$U$23</f>
        <v>0</v>
      </c>
      <c r="J26" s="15"/>
      <c r="L26" s="44">
        <f>1 - CUSTOS!$M$29</f>
        <v>1</v>
      </c>
      <c r="M26" s="44">
        <f>1 - CUSTOS!$M$29</f>
        <v>1</v>
      </c>
      <c r="N26" s="44">
        <f>1 - CUSTOS!$M$29</f>
        <v>1</v>
      </c>
      <c r="O26" s="44">
        <f>1 - CUSTOS!$M$29</f>
        <v>1</v>
      </c>
      <c r="P26" s="44">
        <f>1 - CUSTOS!$M$29</f>
        <v>1</v>
      </c>
      <c r="Q26" s="44"/>
      <c r="R26" s="44">
        <f>(1 - CUSTOS!$M$29)*1</f>
        <v>1</v>
      </c>
      <c r="S26" s="44"/>
      <c r="T26" s="44">
        <f>1 - CUSTOS!$M$29</f>
        <v>1</v>
      </c>
      <c r="U26" s="44">
        <f>1 - CUSTOS!$M$29</f>
        <v>1</v>
      </c>
      <c r="V26" s="44">
        <f>1 - CUSTOS!$M$29</f>
        <v>1</v>
      </c>
      <c r="W26" s="44"/>
      <c r="X26" s="44"/>
      <c r="Y26" s="44"/>
      <c r="Z26" s="44">
        <f>1 - CUSTOS!$M$29</f>
        <v>1</v>
      </c>
      <c r="AA26" s="44"/>
      <c r="AB26" s="44"/>
    </row>
    <row r="27" spans="1:28" ht="11.25" customHeight="1" x14ac:dyDescent="0.25">
      <c r="A27" s="141"/>
      <c r="B27" s="141"/>
      <c r="C27" s="141"/>
      <c r="D27" s="141"/>
      <c r="E27" s="141"/>
      <c r="F27" s="141"/>
      <c r="G27" s="46" t="s">
        <v>72</v>
      </c>
      <c r="H27" s="46" t="s">
        <v>70</v>
      </c>
      <c r="I27" s="46">
        <f>'MERCADO TE'!$U$24</f>
        <v>0</v>
      </c>
      <c r="J27" s="15"/>
      <c r="L27" s="44">
        <f>1 - CUSTOS!$M$29</f>
        <v>1</v>
      </c>
      <c r="M27" s="44">
        <f>1 - CUSTOS!$M$29</f>
        <v>1</v>
      </c>
      <c r="N27" s="44">
        <f>1 - CUSTOS!$M$29</f>
        <v>1</v>
      </c>
      <c r="O27" s="44">
        <f>1 - CUSTOS!$M$29</f>
        <v>1</v>
      </c>
      <c r="P27" s="44">
        <f>1 - CUSTOS!$M$29</f>
        <v>1</v>
      </c>
      <c r="Q27" s="44"/>
      <c r="R27" s="44">
        <f>(1 - CUSTOS!$M$29)*1</f>
        <v>1</v>
      </c>
      <c r="S27" s="44"/>
      <c r="T27" s="44">
        <f>1 - CUSTOS!$M$29</f>
        <v>1</v>
      </c>
      <c r="U27" s="44">
        <f>1 - CUSTOS!$M$29</f>
        <v>1</v>
      </c>
      <c r="V27" s="44">
        <f>1 - CUSTOS!$M$29</f>
        <v>1</v>
      </c>
      <c r="W27" s="44"/>
      <c r="X27" s="44"/>
      <c r="Y27" s="44"/>
      <c r="Z27" s="44">
        <f>1 - CUSTOS!$M$29</f>
        <v>1</v>
      </c>
      <c r="AA27" s="44"/>
      <c r="AB27" s="44"/>
    </row>
    <row r="28" spans="1:28" ht="11.25" customHeight="1" x14ac:dyDescent="0.25">
      <c r="A28" s="141"/>
      <c r="B28" s="47" t="s">
        <v>73</v>
      </c>
      <c r="C28" s="47" t="s">
        <v>40</v>
      </c>
      <c r="D28" s="47" t="s">
        <v>86</v>
      </c>
      <c r="E28" s="47" t="s">
        <v>25</v>
      </c>
      <c r="F28" s="47" t="s">
        <v>25</v>
      </c>
      <c r="G28" s="46" t="s">
        <v>74</v>
      </c>
      <c r="H28" s="46" t="s">
        <v>70</v>
      </c>
      <c r="I28" s="46">
        <f>'MERCADO TE'!$U$25</f>
        <v>0</v>
      </c>
      <c r="J28" s="15"/>
      <c r="L28" s="44">
        <f>1 - CUSTOS!$M$29</f>
        <v>1</v>
      </c>
      <c r="M28" s="44">
        <f>1 - CUSTOS!$M$29</f>
        <v>1</v>
      </c>
      <c r="N28" s="44">
        <f>1 - CUSTOS!$M$29</f>
        <v>1</v>
      </c>
      <c r="O28" s="44">
        <f>1 - CUSTOS!$M$29</f>
        <v>1</v>
      </c>
      <c r="P28" s="44">
        <f>1 - CUSTOS!$M$29</f>
        <v>1</v>
      </c>
      <c r="Q28" s="44"/>
      <c r="R28" s="44">
        <f>(1 - CUSTOS!$M$29)*1.06</f>
        <v>1.06</v>
      </c>
      <c r="S28" s="44"/>
      <c r="T28" s="44">
        <f>1 - CUSTOS!$M$29</f>
        <v>1</v>
      </c>
      <c r="U28" s="44">
        <f>1 - CUSTOS!$M$29</f>
        <v>1</v>
      </c>
      <c r="V28" s="44">
        <f>1 - CUSTOS!$M$29</f>
        <v>1</v>
      </c>
      <c r="W28" s="44"/>
      <c r="X28" s="44"/>
      <c r="Y28" s="44"/>
      <c r="Z28" s="44">
        <f>1 - CUSTOS!$M$29</f>
        <v>1</v>
      </c>
      <c r="AA28" s="44"/>
      <c r="AB28" s="44"/>
    </row>
    <row r="29" spans="1:28" ht="11.25" customHeight="1" x14ac:dyDescent="0.25">
      <c r="A29" s="141"/>
      <c r="B29" s="141" t="s">
        <v>69</v>
      </c>
      <c r="C29" s="141" t="s">
        <v>40</v>
      </c>
      <c r="D29" s="141" t="s">
        <v>87</v>
      </c>
      <c r="E29" s="141" t="s">
        <v>25</v>
      </c>
      <c r="F29" s="141" t="s">
        <v>25</v>
      </c>
      <c r="G29" s="46" t="s">
        <v>71</v>
      </c>
      <c r="H29" s="46" t="s">
        <v>70</v>
      </c>
      <c r="I29" s="46">
        <f>'MERCADO TE'!$U$26</f>
        <v>0</v>
      </c>
      <c r="J29" s="15"/>
      <c r="L29" s="44">
        <f>1 - CUSTOS!$M$30</f>
        <v>1</v>
      </c>
      <c r="M29" s="44">
        <f>1 - CUSTOS!$M$30</f>
        <v>1</v>
      </c>
      <c r="N29" s="44">
        <f>1 - CUSTOS!$M$30</f>
        <v>1</v>
      </c>
      <c r="O29" s="44">
        <f>1 - CUSTOS!$M$30</f>
        <v>1</v>
      </c>
      <c r="P29" s="44">
        <f>1 - CUSTOS!$M$30</f>
        <v>1</v>
      </c>
      <c r="Q29" s="44"/>
      <c r="R29" s="44">
        <f>(1 - CUSTOS!$M$30)*1.72</f>
        <v>1.72</v>
      </c>
      <c r="S29" s="44"/>
      <c r="T29" s="44">
        <f>1 - CUSTOS!$M$30</f>
        <v>1</v>
      </c>
      <c r="U29" s="44">
        <f>1 - CUSTOS!$M$30</f>
        <v>1</v>
      </c>
      <c r="V29" s="44">
        <f>1 - CUSTOS!$M$30</f>
        <v>1</v>
      </c>
      <c r="W29" s="44"/>
      <c r="X29" s="44"/>
      <c r="Y29" s="44"/>
      <c r="Z29" s="44">
        <f>1 - CUSTOS!$M$30</f>
        <v>1</v>
      </c>
      <c r="AA29" s="44"/>
      <c r="AB29" s="44"/>
    </row>
    <row r="30" spans="1:28" ht="11.25" customHeight="1" x14ac:dyDescent="0.25">
      <c r="A30" s="141"/>
      <c r="B30" s="141"/>
      <c r="C30" s="141"/>
      <c r="D30" s="141"/>
      <c r="E30" s="141"/>
      <c r="F30" s="141"/>
      <c r="G30" s="46" t="s">
        <v>83</v>
      </c>
      <c r="H30" s="46" t="s">
        <v>70</v>
      </c>
      <c r="I30" s="46">
        <f>'MERCADO TE'!$U$27</f>
        <v>0</v>
      </c>
      <c r="J30" s="15"/>
      <c r="L30" s="44">
        <f>1 - CUSTOS!$M$30</f>
        <v>1</v>
      </c>
      <c r="M30" s="44">
        <f>1 - CUSTOS!$M$30</f>
        <v>1</v>
      </c>
      <c r="N30" s="44">
        <f>1 - CUSTOS!$M$30</f>
        <v>1</v>
      </c>
      <c r="O30" s="44">
        <f>1 - CUSTOS!$M$30</f>
        <v>1</v>
      </c>
      <c r="P30" s="44">
        <f>1 - CUSTOS!$M$30</f>
        <v>1</v>
      </c>
      <c r="Q30" s="44"/>
      <c r="R30" s="44">
        <f>(1 - CUSTOS!$M$30)*1</f>
        <v>1</v>
      </c>
      <c r="S30" s="44"/>
      <c r="T30" s="44">
        <f>1 - CUSTOS!$M$30</f>
        <v>1</v>
      </c>
      <c r="U30" s="44">
        <f>1 - CUSTOS!$M$30</f>
        <v>1</v>
      </c>
      <c r="V30" s="44">
        <f>1 - CUSTOS!$M$30</f>
        <v>1</v>
      </c>
      <c r="W30" s="44"/>
      <c r="X30" s="44"/>
      <c r="Y30" s="44"/>
      <c r="Z30" s="44">
        <f>1 - CUSTOS!$M$30</f>
        <v>1</v>
      </c>
      <c r="AA30" s="44"/>
      <c r="AB30" s="44"/>
    </row>
    <row r="31" spans="1:28" ht="11.25" customHeight="1" x14ac:dyDescent="0.25">
      <c r="A31" s="141"/>
      <c r="B31" s="141"/>
      <c r="C31" s="141"/>
      <c r="D31" s="141"/>
      <c r="E31" s="141"/>
      <c r="F31" s="141"/>
      <c r="G31" s="46" t="s">
        <v>72</v>
      </c>
      <c r="H31" s="46" t="s">
        <v>70</v>
      </c>
      <c r="I31" s="46">
        <f>'MERCADO TE'!$U$28</f>
        <v>0</v>
      </c>
      <c r="J31" s="15"/>
      <c r="L31" s="44">
        <f>1 - CUSTOS!$M$30</f>
        <v>1</v>
      </c>
      <c r="M31" s="44">
        <f>1 - CUSTOS!$M$30</f>
        <v>1</v>
      </c>
      <c r="N31" s="44">
        <f>1 - CUSTOS!$M$30</f>
        <v>1</v>
      </c>
      <c r="O31" s="44">
        <f>1 - CUSTOS!$M$30</f>
        <v>1</v>
      </c>
      <c r="P31" s="44">
        <f>1 - CUSTOS!$M$30</f>
        <v>1</v>
      </c>
      <c r="Q31" s="44"/>
      <c r="R31" s="44">
        <f>(1 - CUSTOS!$M$30)*1</f>
        <v>1</v>
      </c>
      <c r="S31" s="44"/>
      <c r="T31" s="44">
        <f>1 - CUSTOS!$M$30</f>
        <v>1</v>
      </c>
      <c r="U31" s="44">
        <f>1 - CUSTOS!$M$30</f>
        <v>1</v>
      </c>
      <c r="V31" s="44">
        <f>1 - CUSTOS!$M$30</f>
        <v>1</v>
      </c>
      <c r="W31" s="44"/>
      <c r="X31" s="44"/>
      <c r="Y31" s="44"/>
      <c r="Z31" s="44">
        <f>1 - CUSTOS!$M$30</f>
        <v>1</v>
      </c>
      <c r="AA31" s="44"/>
      <c r="AB31" s="44"/>
    </row>
    <row r="32" spans="1:28" ht="11.25" customHeight="1" x14ac:dyDescent="0.25">
      <c r="A32" s="141"/>
      <c r="B32" s="47" t="s">
        <v>73</v>
      </c>
      <c r="C32" s="47" t="s">
        <v>40</v>
      </c>
      <c r="D32" s="47" t="s">
        <v>87</v>
      </c>
      <c r="E32" s="47" t="s">
        <v>25</v>
      </c>
      <c r="F32" s="47" t="s">
        <v>25</v>
      </c>
      <c r="G32" s="46" t="s">
        <v>74</v>
      </c>
      <c r="H32" s="46" t="s">
        <v>70</v>
      </c>
      <c r="I32" s="46">
        <f>'MERCADO TE'!$U$29</f>
        <v>0</v>
      </c>
      <c r="J32" s="15"/>
      <c r="L32" s="44">
        <f>1 - CUSTOS!$M$30</f>
        <v>1</v>
      </c>
      <c r="M32" s="44">
        <f>1 - CUSTOS!$M$30</f>
        <v>1</v>
      </c>
      <c r="N32" s="44">
        <f>1 - CUSTOS!$M$30</f>
        <v>1</v>
      </c>
      <c r="O32" s="44">
        <f>1 - CUSTOS!$M$30</f>
        <v>1</v>
      </c>
      <c r="P32" s="44">
        <f>1 - CUSTOS!$M$30</f>
        <v>1</v>
      </c>
      <c r="Q32" s="44"/>
      <c r="R32" s="44">
        <f>(1 - CUSTOS!$M$30)*1.06</f>
        <v>1.06</v>
      </c>
      <c r="S32" s="44"/>
      <c r="T32" s="44">
        <f>1 - CUSTOS!$M$30</f>
        <v>1</v>
      </c>
      <c r="U32" s="44">
        <f>1 - CUSTOS!$M$30</f>
        <v>1</v>
      </c>
      <c r="V32" s="44">
        <f>1 - CUSTOS!$M$30</f>
        <v>1</v>
      </c>
      <c r="W32" s="44"/>
      <c r="X32" s="44"/>
      <c r="Y32" s="44"/>
      <c r="Z32" s="44">
        <f>1 - CUSTOS!$M$30</f>
        <v>1</v>
      </c>
      <c r="AA32" s="44"/>
      <c r="AB32" s="44"/>
    </row>
    <row r="33" spans="1:28" ht="11.25" customHeight="1" x14ac:dyDescent="0.25">
      <c r="A33" s="141"/>
      <c r="B33" s="141" t="s">
        <v>84</v>
      </c>
      <c r="C33" s="141" t="s">
        <v>40</v>
      </c>
      <c r="D33" s="47" t="s">
        <v>25</v>
      </c>
      <c r="E33" s="47" t="s">
        <v>25</v>
      </c>
      <c r="F33" s="47" t="s">
        <v>25</v>
      </c>
      <c r="G33" s="46" t="s">
        <v>74</v>
      </c>
      <c r="H33" s="46" t="s">
        <v>70</v>
      </c>
      <c r="I33" s="46">
        <f>'MERCADO TE'!$U$30</f>
        <v>0</v>
      </c>
      <c r="J33" s="15"/>
      <c r="L33" s="44">
        <f>1 - CUSTOS!$M$28</f>
        <v>1</v>
      </c>
      <c r="M33" s="44">
        <f>1 - CUSTOS!$M$28</f>
        <v>1</v>
      </c>
      <c r="N33" s="44">
        <f>1 - CUSTOS!$M$28</f>
        <v>1</v>
      </c>
      <c r="O33" s="44">
        <f>1 - CUSTOS!$M$28</f>
        <v>1</v>
      </c>
      <c r="P33" s="44">
        <f>1 - CUSTOS!$M$28</f>
        <v>1</v>
      </c>
      <c r="Q33" s="44"/>
      <c r="R33" s="44">
        <f>(1 - CUSTOS!$M$28)*1.06</f>
        <v>1.06</v>
      </c>
      <c r="S33" s="44"/>
      <c r="T33" s="44">
        <f>1 - CUSTOS!$M$28</f>
        <v>1</v>
      </c>
      <c r="U33" s="44">
        <f>1 - CUSTOS!$M$28</f>
        <v>1</v>
      </c>
      <c r="V33" s="44">
        <f>1 - CUSTOS!$M$28</f>
        <v>1</v>
      </c>
      <c r="W33" s="44"/>
      <c r="X33" s="44"/>
      <c r="Y33" s="44"/>
      <c r="Z33" s="44">
        <f>1 - CUSTOS!$M$28</f>
        <v>1</v>
      </c>
      <c r="AA33" s="44"/>
      <c r="AB33" s="44"/>
    </row>
    <row r="34" spans="1:28" ht="11.25" customHeight="1" x14ac:dyDescent="0.25">
      <c r="A34" s="141"/>
      <c r="B34" s="141"/>
      <c r="C34" s="141"/>
      <c r="D34" s="47" t="s">
        <v>86</v>
      </c>
      <c r="E34" s="47" t="s">
        <v>25</v>
      </c>
      <c r="F34" s="47" t="s">
        <v>25</v>
      </c>
      <c r="G34" s="46" t="s">
        <v>74</v>
      </c>
      <c r="H34" s="46" t="s">
        <v>70</v>
      </c>
      <c r="I34" s="46">
        <f>'MERCADO TE'!$U$31</f>
        <v>0</v>
      </c>
      <c r="J34" s="15"/>
      <c r="L34" s="44">
        <f>1 - CUSTOS!$M$29</f>
        <v>1</v>
      </c>
      <c r="M34" s="44">
        <f>1 - CUSTOS!$M$29</f>
        <v>1</v>
      </c>
      <c r="N34" s="44">
        <f>1 - CUSTOS!$M$29</f>
        <v>1</v>
      </c>
      <c r="O34" s="44">
        <f>1 - CUSTOS!$M$29</f>
        <v>1</v>
      </c>
      <c r="P34" s="44">
        <f>1 - CUSTOS!$M$29</f>
        <v>1</v>
      </c>
      <c r="Q34" s="44"/>
      <c r="R34" s="44">
        <f>(1 - CUSTOS!$M$29)*1.06</f>
        <v>1.06</v>
      </c>
      <c r="S34" s="44"/>
      <c r="T34" s="44">
        <f>1 - CUSTOS!$M$29</f>
        <v>1</v>
      </c>
      <c r="U34" s="44">
        <f>1 - CUSTOS!$M$29</f>
        <v>1</v>
      </c>
      <c r="V34" s="44">
        <f>1 - CUSTOS!$M$29</f>
        <v>1</v>
      </c>
      <c r="W34" s="44"/>
      <c r="X34" s="44"/>
      <c r="Y34" s="44"/>
      <c r="Z34" s="44">
        <f>1 - CUSTOS!$M$29</f>
        <v>1</v>
      </c>
      <c r="AA34" s="44"/>
      <c r="AB34" s="44"/>
    </row>
    <row r="35" spans="1:28" ht="11.25" customHeight="1" x14ac:dyDescent="0.25">
      <c r="A35" s="141"/>
      <c r="B35" s="141"/>
      <c r="C35" s="141"/>
      <c r="D35" s="47" t="s">
        <v>87</v>
      </c>
      <c r="E35" s="47" t="s">
        <v>25</v>
      </c>
      <c r="F35" s="47" t="s">
        <v>25</v>
      </c>
      <c r="G35" s="46" t="s">
        <v>74</v>
      </c>
      <c r="H35" s="46" t="s">
        <v>70</v>
      </c>
      <c r="I35" s="46">
        <f>'MERCADO TE'!$U$32</f>
        <v>0</v>
      </c>
      <c r="J35" s="15"/>
      <c r="L35" s="44">
        <f>1 - CUSTOS!$M$30</f>
        <v>1</v>
      </c>
      <c r="M35" s="44">
        <f>1 - CUSTOS!$M$30</f>
        <v>1</v>
      </c>
      <c r="N35" s="44">
        <f>1 - CUSTOS!$M$30</f>
        <v>1</v>
      </c>
      <c r="O35" s="44">
        <f>1 - CUSTOS!$M$30</f>
        <v>1</v>
      </c>
      <c r="P35" s="44">
        <f>1 - CUSTOS!$M$30</f>
        <v>1</v>
      </c>
      <c r="Q35" s="44"/>
      <c r="R35" s="44">
        <f>(1 - CUSTOS!$M$30)*1.06</f>
        <v>1.06</v>
      </c>
      <c r="S35" s="44"/>
      <c r="T35" s="44">
        <f>1 - CUSTOS!$M$30</f>
        <v>1</v>
      </c>
      <c r="U35" s="44">
        <f>1 - CUSTOS!$M$30</f>
        <v>1</v>
      </c>
      <c r="V35" s="44">
        <f>1 - CUSTOS!$M$30</f>
        <v>1</v>
      </c>
      <c r="W35" s="44"/>
      <c r="X35" s="44"/>
      <c r="Y35" s="44"/>
      <c r="Z35" s="44">
        <f>1 - CUSTOS!$M$30</f>
        <v>1</v>
      </c>
      <c r="AA35" s="44"/>
      <c r="AB35" s="44"/>
    </row>
    <row r="36" spans="1:28" ht="11.25" customHeight="1" x14ac:dyDescent="0.25">
      <c r="A36" s="141" t="s">
        <v>32</v>
      </c>
      <c r="B36" s="141" t="s">
        <v>69</v>
      </c>
      <c r="C36" s="141" t="s">
        <v>25</v>
      </c>
      <c r="D36" s="141" t="s">
        <v>25</v>
      </c>
      <c r="E36" s="141" t="s">
        <v>25</v>
      </c>
      <c r="F36" s="141" t="s">
        <v>25</v>
      </c>
      <c r="G36" s="46" t="s">
        <v>71</v>
      </c>
      <c r="H36" s="46" t="s">
        <v>70</v>
      </c>
      <c r="I36" s="46">
        <f>'MERCADO TE'!$U$33</f>
        <v>0.216</v>
      </c>
      <c r="J36" s="15"/>
      <c r="L36" s="44">
        <f>1 - CUSTOS!$M$31</f>
        <v>1</v>
      </c>
      <c r="M36" s="44">
        <f>1 - CUSTOS!$M$31</f>
        <v>1</v>
      </c>
      <c r="N36" s="44">
        <f>1 - CUSTOS!$M$31</f>
        <v>1</v>
      </c>
      <c r="O36" s="44">
        <f>1 - CUSTOS!$M$31</f>
        <v>1</v>
      </c>
      <c r="P36" s="44">
        <f>1 - CUSTOS!$M$31</f>
        <v>1</v>
      </c>
      <c r="Q36" s="44"/>
      <c r="R36" s="44">
        <f>(1 - CUSTOS!$M$31)*1.72</f>
        <v>1.72</v>
      </c>
      <c r="S36" s="44"/>
      <c r="T36" s="44">
        <f>1 - CUSTOS!$M$31</f>
        <v>1</v>
      </c>
      <c r="U36" s="44">
        <f>1 - CUSTOS!$M$31</f>
        <v>1</v>
      </c>
      <c r="V36" s="44">
        <f>1 - CUSTOS!$M$31</f>
        <v>1</v>
      </c>
      <c r="W36" s="44"/>
      <c r="X36" s="44"/>
      <c r="Y36" s="44"/>
      <c r="Z36" s="44">
        <f>1 - CUSTOS!$M$31</f>
        <v>1</v>
      </c>
      <c r="AA36" s="44"/>
      <c r="AB36" s="44"/>
    </row>
    <row r="37" spans="1:28" ht="11.25" customHeight="1" x14ac:dyDescent="0.25">
      <c r="A37" s="141"/>
      <c r="B37" s="141"/>
      <c r="C37" s="141"/>
      <c r="D37" s="141"/>
      <c r="E37" s="141"/>
      <c r="F37" s="141"/>
      <c r="G37" s="46" t="s">
        <v>83</v>
      </c>
      <c r="H37" s="46" t="s">
        <v>70</v>
      </c>
      <c r="I37" s="46">
        <f>'MERCADO TE'!$U$34</f>
        <v>0.24</v>
      </c>
      <c r="J37" s="15"/>
      <c r="L37" s="44">
        <f>1 - CUSTOS!$M$31</f>
        <v>1</v>
      </c>
      <c r="M37" s="44">
        <f>1 - CUSTOS!$M$31</f>
        <v>1</v>
      </c>
      <c r="N37" s="44">
        <f>1 - CUSTOS!$M$31</f>
        <v>1</v>
      </c>
      <c r="O37" s="44">
        <f>1 - CUSTOS!$M$31</f>
        <v>1</v>
      </c>
      <c r="P37" s="44">
        <f>1 - CUSTOS!$M$31</f>
        <v>1</v>
      </c>
      <c r="Q37" s="44"/>
      <c r="R37" s="44">
        <f>(1 - CUSTOS!$M$31)*1</f>
        <v>1</v>
      </c>
      <c r="S37" s="44"/>
      <c r="T37" s="44">
        <f>1 - CUSTOS!$M$31</f>
        <v>1</v>
      </c>
      <c r="U37" s="44">
        <f>1 - CUSTOS!$M$31</f>
        <v>1</v>
      </c>
      <c r="V37" s="44">
        <f>1 - CUSTOS!$M$31</f>
        <v>1</v>
      </c>
      <c r="W37" s="44"/>
      <c r="X37" s="44"/>
      <c r="Y37" s="44"/>
      <c r="Z37" s="44">
        <f>1 - CUSTOS!$M$31</f>
        <v>1</v>
      </c>
      <c r="AA37" s="44"/>
      <c r="AB37" s="44"/>
    </row>
    <row r="38" spans="1:28" ht="11.25" customHeight="1" x14ac:dyDescent="0.25">
      <c r="A38" s="141"/>
      <c r="B38" s="141"/>
      <c r="C38" s="141"/>
      <c r="D38" s="141"/>
      <c r="E38" s="141"/>
      <c r="F38" s="141"/>
      <c r="G38" s="46" t="s">
        <v>72</v>
      </c>
      <c r="H38" s="46" t="s">
        <v>70</v>
      </c>
      <c r="I38" s="46">
        <f>'MERCADO TE'!$U$35</f>
        <v>3.742</v>
      </c>
      <c r="J38" s="15"/>
      <c r="L38" s="44">
        <f>1 - CUSTOS!$M$31</f>
        <v>1</v>
      </c>
      <c r="M38" s="44">
        <f>1 - CUSTOS!$M$31</f>
        <v>1</v>
      </c>
      <c r="N38" s="44">
        <f>1 - CUSTOS!$M$31</f>
        <v>1</v>
      </c>
      <c r="O38" s="44">
        <f>1 - CUSTOS!$M$31</f>
        <v>1</v>
      </c>
      <c r="P38" s="44">
        <f>1 - CUSTOS!$M$31</f>
        <v>1</v>
      </c>
      <c r="Q38" s="44"/>
      <c r="R38" s="44">
        <f>(1 - CUSTOS!$M$31)*1</f>
        <v>1</v>
      </c>
      <c r="S38" s="44"/>
      <c r="T38" s="44">
        <f>1 - CUSTOS!$M$31</f>
        <v>1</v>
      </c>
      <c r="U38" s="44">
        <f>1 - CUSTOS!$M$31</f>
        <v>1</v>
      </c>
      <c r="V38" s="44">
        <f>1 - CUSTOS!$M$31</f>
        <v>1</v>
      </c>
      <c r="W38" s="44"/>
      <c r="X38" s="44"/>
      <c r="Y38" s="44"/>
      <c r="Z38" s="44">
        <f>1 - CUSTOS!$M$31</f>
        <v>1</v>
      </c>
      <c r="AA38" s="44"/>
      <c r="AB38" s="44"/>
    </row>
    <row r="39" spans="1:28" ht="11.25" customHeight="1" x14ac:dyDescent="0.25">
      <c r="A39" s="141"/>
      <c r="B39" s="47" t="s">
        <v>73</v>
      </c>
      <c r="C39" s="47" t="s">
        <v>25</v>
      </c>
      <c r="D39" s="47" t="s">
        <v>25</v>
      </c>
      <c r="E39" s="47" t="s">
        <v>25</v>
      </c>
      <c r="F39" s="47" t="s">
        <v>25</v>
      </c>
      <c r="G39" s="46" t="s">
        <v>74</v>
      </c>
      <c r="H39" s="46" t="s">
        <v>70</v>
      </c>
      <c r="I39" s="46">
        <f>'MERCADO TE'!$U$36</f>
        <v>12398.925999999999</v>
      </c>
      <c r="J39" s="15"/>
      <c r="L39" s="44">
        <f>1 - CUSTOS!$M$31</f>
        <v>1</v>
      </c>
      <c r="M39" s="44">
        <f>1 - CUSTOS!$M$31</f>
        <v>1</v>
      </c>
      <c r="N39" s="44">
        <f>1 - CUSTOS!$M$31</f>
        <v>1</v>
      </c>
      <c r="O39" s="44">
        <f>1 - CUSTOS!$M$31</f>
        <v>1</v>
      </c>
      <c r="P39" s="44">
        <f>1 - CUSTOS!$M$31</f>
        <v>1</v>
      </c>
      <c r="Q39" s="44"/>
      <c r="R39" s="44">
        <f>(1 - CUSTOS!$M$31)*1.06</f>
        <v>1.06</v>
      </c>
      <c r="S39" s="44"/>
      <c r="T39" s="44">
        <f>1 - CUSTOS!$M$31</f>
        <v>1</v>
      </c>
      <c r="U39" s="44">
        <f>1 - CUSTOS!$M$31</f>
        <v>1</v>
      </c>
      <c r="V39" s="44">
        <f>1 - CUSTOS!$M$31</f>
        <v>1</v>
      </c>
      <c r="W39" s="44"/>
      <c r="X39" s="44"/>
      <c r="Y39" s="44"/>
      <c r="Z39" s="44">
        <f>1 - CUSTOS!$M$31</f>
        <v>1</v>
      </c>
      <c r="AA39" s="44"/>
      <c r="AB39" s="44"/>
    </row>
    <row r="40" spans="1:28" ht="11.25" customHeight="1" x14ac:dyDescent="0.25">
      <c r="A40" s="141"/>
      <c r="B40" s="47" t="s">
        <v>84</v>
      </c>
      <c r="C40" s="47" t="s">
        <v>25</v>
      </c>
      <c r="D40" s="47" t="s">
        <v>25</v>
      </c>
      <c r="E40" s="47" t="s">
        <v>25</v>
      </c>
      <c r="F40" s="47" t="s">
        <v>25</v>
      </c>
      <c r="G40" s="46" t="s">
        <v>74</v>
      </c>
      <c r="H40" s="46" t="s">
        <v>70</v>
      </c>
      <c r="I40" s="46">
        <f>'MERCADO TE'!$U$37</f>
        <v>0</v>
      </c>
      <c r="J40" s="15"/>
      <c r="L40" s="44">
        <f>1 - CUSTOS!$M$31</f>
        <v>1</v>
      </c>
      <c r="M40" s="44">
        <f>1 - CUSTOS!$M$31</f>
        <v>1</v>
      </c>
      <c r="N40" s="44">
        <f>1 - CUSTOS!$M$31</f>
        <v>1</v>
      </c>
      <c r="O40" s="44">
        <f>1 - CUSTOS!$M$31</f>
        <v>1</v>
      </c>
      <c r="P40" s="44">
        <f>1 - CUSTOS!$M$31</f>
        <v>1</v>
      </c>
      <c r="Q40" s="44"/>
      <c r="R40" s="44">
        <f>(1 - CUSTOS!$M$31)*1.06</f>
        <v>1.06</v>
      </c>
      <c r="S40" s="44"/>
      <c r="T40" s="44">
        <f>1 - CUSTOS!$M$31</f>
        <v>1</v>
      </c>
      <c r="U40" s="44">
        <f>1 - CUSTOS!$M$31</f>
        <v>1</v>
      </c>
      <c r="V40" s="44">
        <f>1 - CUSTOS!$M$31</f>
        <v>1</v>
      </c>
      <c r="W40" s="44"/>
      <c r="X40" s="44"/>
      <c r="Y40" s="44"/>
      <c r="Z40" s="44">
        <f>1 - CUSTOS!$M$31</f>
        <v>1</v>
      </c>
      <c r="AA40" s="44"/>
      <c r="AB40" s="44"/>
    </row>
    <row r="41" spans="1:28" ht="11.25" customHeight="1" x14ac:dyDescent="0.25">
      <c r="A41" s="141" t="s">
        <v>42</v>
      </c>
      <c r="B41" s="141" t="s">
        <v>73</v>
      </c>
      <c r="C41" s="141" t="s">
        <v>43</v>
      </c>
      <c r="D41" s="47" t="s">
        <v>44</v>
      </c>
      <c r="E41" s="47" t="s">
        <v>25</v>
      </c>
      <c r="F41" s="47" t="s">
        <v>25</v>
      </c>
      <c r="G41" s="46" t="s">
        <v>74</v>
      </c>
      <c r="H41" s="46" t="s">
        <v>70</v>
      </c>
      <c r="I41" s="46">
        <f>'MERCADO TE'!$U$38</f>
        <v>3575.7699999999995</v>
      </c>
      <c r="J41" s="15"/>
      <c r="L41" s="44">
        <f>1 - CUSTOS!$M$32</f>
        <v>0.55000000000000004</v>
      </c>
      <c r="M41" s="44">
        <f>1 - CUSTOS!$M$32</f>
        <v>0.55000000000000004</v>
      </c>
      <c r="N41" s="44">
        <f>1 - CUSTOS!$M$32</f>
        <v>0.55000000000000004</v>
      </c>
      <c r="O41" s="44">
        <f>1 - CUSTOS!$M$32</f>
        <v>0.55000000000000004</v>
      </c>
      <c r="P41" s="44">
        <f>1 - CUSTOS!$M$32</f>
        <v>0.55000000000000004</v>
      </c>
      <c r="Q41" s="44"/>
      <c r="R41" s="44">
        <f>(1 - CUSTOS!$M$32)*1.06</f>
        <v>0.58300000000000007</v>
      </c>
      <c r="S41" s="44"/>
      <c r="T41" s="44">
        <f>1 - CUSTOS!$M$32</f>
        <v>0.55000000000000004</v>
      </c>
      <c r="U41" s="44">
        <f>1 - CUSTOS!$M$32</f>
        <v>0.55000000000000004</v>
      </c>
      <c r="V41" s="44">
        <f>1 - CUSTOS!$M$32</f>
        <v>0.55000000000000004</v>
      </c>
      <c r="W41" s="44"/>
      <c r="X41" s="44"/>
      <c r="Y41" s="44"/>
      <c r="Z41" s="44">
        <f>1 - CUSTOS!$M$32</f>
        <v>0.55000000000000004</v>
      </c>
      <c r="AA41" s="44"/>
      <c r="AB41" s="44"/>
    </row>
    <row r="42" spans="1:28" ht="11.25" customHeight="1" x14ac:dyDescent="0.25">
      <c r="A42" s="141"/>
      <c r="B42" s="141"/>
      <c r="C42" s="141"/>
      <c r="D42" s="46" t="s">
        <v>88</v>
      </c>
      <c r="E42" s="46" t="s">
        <v>25</v>
      </c>
      <c r="F42" s="46" t="s">
        <v>25</v>
      </c>
      <c r="G42" s="46" t="s">
        <v>74</v>
      </c>
      <c r="H42" s="46" t="s">
        <v>70</v>
      </c>
      <c r="I42" s="46">
        <f>'MERCADO TE'!$U$39</f>
        <v>0</v>
      </c>
      <c r="J42" s="15"/>
      <c r="L42" s="44">
        <f>1 - CUSTOS!$M$33</f>
        <v>0.6</v>
      </c>
      <c r="M42" s="44">
        <f>1 - CUSTOS!$M$33</f>
        <v>0.6</v>
      </c>
      <c r="N42" s="44">
        <f>1 - CUSTOS!$M$33</f>
        <v>0.6</v>
      </c>
      <c r="O42" s="44">
        <f>1 - CUSTOS!$M$33</f>
        <v>0.6</v>
      </c>
      <c r="P42" s="44">
        <f>1 - CUSTOS!$M$33</f>
        <v>0.6</v>
      </c>
      <c r="Q42" s="44"/>
      <c r="R42" s="44">
        <f>(1 - CUSTOS!$M$33)*1.06</f>
        <v>0.63600000000000001</v>
      </c>
      <c r="S42" s="44"/>
      <c r="T42" s="44">
        <f>1 - CUSTOS!$M$33</f>
        <v>0.6</v>
      </c>
      <c r="U42" s="44">
        <f>1 - CUSTOS!$M$33</f>
        <v>0.6</v>
      </c>
      <c r="V42" s="44">
        <f>1 - CUSTOS!$M$33</f>
        <v>0.6</v>
      </c>
      <c r="W42" s="44"/>
      <c r="X42" s="44"/>
      <c r="Y42" s="44"/>
      <c r="Z42" s="44">
        <f>1 - CUSTOS!$M$33</f>
        <v>0.6</v>
      </c>
      <c r="AA42" s="44"/>
      <c r="AB42" s="44"/>
    </row>
    <row r="44" spans="1:28" ht="11.25" customHeight="1" x14ac:dyDescent="0.25">
      <c r="K44" s="49" t="s">
        <v>525</v>
      </c>
      <c r="L44" s="44">
        <f t="shared" ref="L44:AB44" si="0">SUMPRODUCT($I$5:$I$42,L$5:L$42)</f>
        <v>61427.063500000004</v>
      </c>
      <c r="M44" s="44">
        <f t="shared" si="0"/>
        <v>61427.063500000004</v>
      </c>
      <c r="N44" s="44">
        <f t="shared" si="0"/>
        <v>61427.063500000004</v>
      </c>
      <c r="O44" s="44">
        <f t="shared" si="0"/>
        <v>61427.063500000004</v>
      </c>
      <c r="P44" s="44">
        <f t="shared" si="0"/>
        <v>61427.063500000004</v>
      </c>
      <c r="Q44" s="44">
        <f t="shared" si="0"/>
        <v>0</v>
      </c>
      <c r="R44" s="44">
        <f t="shared" si="0"/>
        <v>65134.322770000006</v>
      </c>
      <c r="S44" s="44">
        <f t="shared" si="0"/>
        <v>0</v>
      </c>
      <c r="T44" s="44">
        <f t="shared" si="0"/>
        <v>61427.063500000004</v>
      </c>
      <c r="U44" s="44">
        <f t="shared" si="0"/>
        <v>61427.063500000004</v>
      </c>
      <c r="V44" s="44">
        <f t="shared" si="0"/>
        <v>61427.063500000004</v>
      </c>
      <c r="W44" s="44">
        <f t="shared" si="0"/>
        <v>0</v>
      </c>
      <c r="X44" s="44">
        <f t="shared" si="0"/>
        <v>0</v>
      </c>
      <c r="Y44" s="44">
        <f t="shared" si="0"/>
        <v>0</v>
      </c>
      <c r="Z44" s="44">
        <f t="shared" si="0"/>
        <v>61427.063500000004</v>
      </c>
      <c r="AA44" s="44">
        <f t="shared" si="0"/>
        <v>0</v>
      </c>
      <c r="AB44" s="44">
        <f t="shared" si="0"/>
        <v>0</v>
      </c>
    </row>
    <row r="45" spans="1:28" ht="11.25" customHeight="1" x14ac:dyDescent="0.25">
      <c r="K45" s="49" t="s">
        <v>450</v>
      </c>
      <c r="L45" s="44">
        <f>CUSTOS!$D$30</f>
        <v>149957.71426059183</v>
      </c>
      <c r="M45" s="44">
        <f>CUSTOS!$D$31</f>
        <v>1373181.1307278299</v>
      </c>
      <c r="N45" s="44">
        <f>CUSTOS!$D$32</f>
        <v>0</v>
      </c>
      <c r="O45" s="44">
        <f>CUSTOS!$D$33</f>
        <v>140072.77572115077</v>
      </c>
      <c r="P45" s="44">
        <f>CUSTOS!$D$34</f>
        <v>-989999.99999999988</v>
      </c>
      <c r="Q45" s="44">
        <f>CUSTOS!$D$35</f>
        <v>673211.62070957257</v>
      </c>
      <c r="R45" s="44">
        <f>CUSTOS!$D$36</f>
        <v>12636690.427500499</v>
      </c>
      <c r="S45" s="44">
        <f>CUSTOS!$D$37</f>
        <v>12636690.427500499</v>
      </c>
      <c r="T45" s="44">
        <f>CUSTOS!$D$38</f>
        <v>349006.23466233397</v>
      </c>
      <c r="U45" s="44">
        <f>CUSTOS!$D$39</f>
        <v>244313.99991106981</v>
      </c>
      <c r="V45" s="44">
        <f>CUSTOS!$D$40</f>
        <v>0</v>
      </c>
      <c r="W45" s="44">
        <f>CUSTOS!$D$41</f>
        <v>593320.23457340384</v>
      </c>
      <c r="X45" s="44">
        <f>CUSTOS!$D$42</f>
        <v>0</v>
      </c>
      <c r="Y45" s="44">
        <f>CUSTOS!$D$43</f>
        <v>0</v>
      </c>
      <c r="Z45" s="44">
        <f>CUSTOS!$D$44</f>
        <v>365373.30356141517</v>
      </c>
      <c r="AA45" s="44">
        <f>CUSTOS!$D$45</f>
        <v>365373.30356141517</v>
      </c>
      <c r="AB45" s="44">
        <f>CUSTOS!$D$46</f>
        <v>14268595.58634489</v>
      </c>
    </row>
    <row r="46" spans="1:28" ht="11.25" customHeight="1" x14ac:dyDescent="0.25">
      <c r="K46" s="49" t="s">
        <v>451</v>
      </c>
      <c r="L46" s="44">
        <f>CUSTOS!$E$30</f>
        <v>2.8183465855034721E-2</v>
      </c>
      <c r="M46" s="44">
        <f>CUSTOS!$E$31</f>
        <v>-305393.76818123687</v>
      </c>
      <c r="N46" s="44">
        <f>CUSTOS!$E$32</f>
        <v>0</v>
      </c>
      <c r="O46" s="44">
        <f>CUSTOS!$E$33</f>
        <v>-2078.5898471862465</v>
      </c>
      <c r="P46" s="44">
        <f>CUSTOS!$E$34</f>
        <v>0</v>
      </c>
      <c r="Q46" s="44">
        <f>CUSTOS!$E$35</f>
        <v>-307472.32984495722</v>
      </c>
      <c r="R46" s="44">
        <f>CUSTOS!$E$36</f>
        <v>-781855.38567599771</v>
      </c>
      <c r="S46" s="44">
        <f>CUSTOS!$E$37</f>
        <v>-781855.38567599771</v>
      </c>
      <c r="T46" s="44">
        <f>CUSTOS!$E$38</f>
        <v>12010.748699454911</v>
      </c>
      <c r="U46" s="44">
        <f>CUSTOS!$E$39</f>
        <v>1848.8338852243451</v>
      </c>
      <c r="V46" s="44">
        <f>CUSTOS!$E$40</f>
        <v>0</v>
      </c>
      <c r="W46" s="44">
        <f>CUSTOS!$E$41</f>
        <v>13859.582584679256</v>
      </c>
      <c r="X46" s="44">
        <f>CUSTOS!$E$42</f>
        <v>-1505345.7598727958</v>
      </c>
      <c r="Y46" s="44">
        <f>CUSTOS!$E$43</f>
        <v>-1505345.7598727958</v>
      </c>
      <c r="Z46" s="44">
        <f>CUSTOS!$E$44</f>
        <v>-22606.321394883464</v>
      </c>
      <c r="AA46" s="44">
        <f>CUSTOS!$E$45</f>
        <v>-22606.321394883464</v>
      </c>
      <c r="AB46" s="44">
        <f>CUSTOS!$E$46</f>
        <v>-2603420.2142039551</v>
      </c>
    </row>
    <row r="47" spans="1:28" ht="11.25" customHeight="1" x14ac:dyDescent="0.25">
      <c r="K47" s="49" t="s">
        <v>452</v>
      </c>
      <c r="L47" s="44">
        <f>CUSTOS!$F$30</f>
        <v>0</v>
      </c>
      <c r="M47" s="44">
        <f>CUSTOS!$F$31</f>
        <v>796793.7746</v>
      </c>
      <c r="N47" s="44">
        <f>CUSTOS!$F$32</f>
        <v>0</v>
      </c>
      <c r="O47" s="44">
        <f>CUSTOS!$F$33</f>
        <v>9188.7292802005632</v>
      </c>
      <c r="P47" s="44">
        <f>CUSTOS!$F$34</f>
        <v>0</v>
      </c>
      <c r="Q47" s="44">
        <f>CUSTOS!$F$35</f>
        <v>805982.50388020056</v>
      </c>
      <c r="R47" s="44">
        <f>CUSTOS!$F$36</f>
        <v>1364147.4510150065</v>
      </c>
      <c r="S47" s="44">
        <f>CUSTOS!$F$37</f>
        <v>1364147.4510150065</v>
      </c>
      <c r="T47" s="44">
        <f>CUSTOS!$F$38</f>
        <v>88608.9905</v>
      </c>
      <c r="U47" s="44">
        <f>CUSTOS!$F$39</f>
        <v>18356.556700000001</v>
      </c>
      <c r="V47" s="44">
        <f>CUSTOS!$F$40</f>
        <v>0</v>
      </c>
      <c r="W47" s="44">
        <f>CUSTOS!$F$41</f>
        <v>106965.5472</v>
      </c>
      <c r="X47" s="44">
        <f>CUSTOS!$F$42</f>
        <v>0</v>
      </c>
      <c r="Y47" s="44">
        <f>CUSTOS!$F$43</f>
        <v>0</v>
      </c>
      <c r="Z47" s="44">
        <f>CUSTOS!$F$44</f>
        <v>39442.531537968789</v>
      </c>
      <c r="AA47" s="44">
        <f>CUSTOS!$F$45</f>
        <v>39442.531537968789</v>
      </c>
      <c r="AB47" s="44">
        <f>CUSTOS!$F$46</f>
        <v>2316538.0336331758</v>
      </c>
    </row>
    <row r="48" spans="1:28" ht="11.25" customHeight="1" x14ac:dyDescent="0.25">
      <c r="K48" s="49" t="s">
        <v>526</v>
      </c>
      <c r="L48" s="44">
        <f>IF(SUMPRODUCT($I$5:$I$42,$L$5:$L$42)&lt;&gt;0,L45/SUMPRODUCT($I$5:$I$42,$L$5:$L$42),0)</f>
        <v>2.4412320191830728</v>
      </c>
      <c r="M48" s="44">
        <f>IF(SUMPRODUCT($I$5:$I$42,$M$5:$M$42)&lt;&gt;0,M45/SUMPRODUCT($I$5:$I$42,$M$5:$M$42),0)</f>
        <v>22.354660185373014</v>
      </c>
      <c r="N48" s="44">
        <f>IF(SUMPRODUCT($I$5:$I$42,$N$5:$N$42)&lt;&gt;0,N45/SUMPRODUCT($I$5:$I$42,$N$5:$N$42),0)</f>
        <v>0</v>
      </c>
      <c r="O48" s="44">
        <f>IF(SUMPRODUCT($I$5:$I$42,$O$5:$O$42)&lt;&gt;0,O45/SUMPRODUCT($I$5:$I$42,$O$5:$O$42),0)</f>
        <v>2.2803104648027128</v>
      </c>
      <c r="P48" s="44">
        <f>IF(SUMPRODUCT($I$5:$I$42,$P$5:$P$42)&lt;&gt;0,P45/SUMPRODUCT($I$5:$I$42,$P$5:$P$42),0)</f>
        <v>-16.116674696650602</v>
      </c>
      <c r="Q48" s="44"/>
      <c r="R48" s="44">
        <f>IF((CUSTOS!$M$12-CUSTOS!$M$13)&lt;&gt;0,(CUSTOS!$M$12*CUSTOS!$M$14)/(CUSTOS!$M$12-CUSTOS!$M$13),0)</f>
        <v>204.88470402920365</v>
      </c>
      <c r="S48" s="44"/>
      <c r="T48" s="44">
        <f>IF(SUMPRODUCT($I$5:$I$42,$T$5:$T$42)&lt;&gt;0,T45/SUMPRODUCT($I$5:$I$42,$T$5:$T$42),0)</f>
        <v>5.6816363142987285</v>
      </c>
      <c r="U48" s="44">
        <f>IF(SUMPRODUCT($I$5:$I$42,$U$5:$U$42)&lt;&gt;0,U45/SUMPRODUCT($I$5:$I$42,$U$5:$U$42),0)</f>
        <v>3.977302283236603</v>
      </c>
      <c r="V48" s="44">
        <f>IF(SUMPRODUCT($I$5:$I$42,$V$5:$V$42)&lt;&gt;0,V45/SUMPRODUCT($I$5:$I$42,$V$5:$V$42),0)</f>
        <v>0</v>
      </c>
      <c r="W48" s="44"/>
      <c r="X48" s="44">
        <f>IF(SUMPRODUCT($I$5:$I$42,$X$5:$X$42)&lt;&gt;0,X45/SUMPRODUCT($I$5:$I$42,$X$5:$X$42),0)</f>
        <v>0</v>
      </c>
      <c r="Y48" s="44"/>
      <c r="Z48" s="44">
        <f>IF(SUMPRODUCT($I$5:$I$42,$Z$5:$Z$42)&lt;&gt;0,Z45/SUMPRODUCT($I$5:$I$42,$Z$5:$Z$42),0)</f>
        <v>5.9480835114544446</v>
      </c>
      <c r="AA48" s="44"/>
      <c r="AB48" s="44"/>
    </row>
    <row r="49" spans="11:28" ht="11.25" customHeight="1" x14ac:dyDescent="0.25">
      <c r="K49" s="49" t="s">
        <v>527</v>
      </c>
      <c r="L49" s="44">
        <f>IF(L44&lt;&gt;0,(L45-L48*0)/(L44-0),0)</f>
        <v>2.4412320191830728</v>
      </c>
      <c r="M49" s="44">
        <f>IF(M44&lt;&gt;0,(M45-M48*0)/(M44-0),0)</f>
        <v>22.354660185373014</v>
      </c>
      <c r="N49" s="44">
        <f>IF(N44&lt;&gt;0,(N45-N48*0)/(N44-0),0)</f>
        <v>0</v>
      </c>
      <c r="O49" s="44">
        <f>IF(O44&lt;&gt;0,(O45-O48*0)/(O44-0),0)</f>
        <v>2.2803104648027128</v>
      </c>
      <c r="P49" s="44">
        <f>IF(P44&lt;&gt;0,(P45-P48*0)/(P44-0),0)</f>
        <v>-16.116674696650602</v>
      </c>
      <c r="Q49" s="44"/>
      <c r="R49" s="44">
        <f>IF(R44&lt;&gt;0,(R45-R48*0)/(R44-0),0)</f>
        <v>194.00970011038157</v>
      </c>
      <c r="S49" s="44"/>
      <c r="T49" s="44">
        <f>IF(T44&lt;&gt;0,(T45-T48*0)/(T44-0),0)</f>
        <v>5.6816363142987285</v>
      </c>
      <c r="U49" s="44">
        <f>IF(U44&lt;&gt;0,(U45-U48*0)/(U44-0),0)</f>
        <v>3.977302283236603</v>
      </c>
      <c r="V49" s="44">
        <f>IF(V44&lt;&gt;0,(V45-V48*0)/(V44-0),0)</f>
        <v>0</v>
      </c>
      <c r="W49" s="44"/>
      <c r="X49" s="44">
        <f>IF(X44&lt;&gt;0,(X45-X48*0)/(X44-0),0)</f>
        <v>0</v>
      </c>
      <c r="Y49" s="44"/>
      <c r="Z49" s="44">
        <f>IF(Z44&lt;&gt;0,(Z45-Z48*0)/(Z44-0),0)</f>
        <v>5.9480835114544446</v>
      </c>
      <c r="AA49" s="44"/>
      <c r="AB49" s="44"/>
    </row>
    <row r="50" spans="11:28" ht="11.25" customHeight="1" x14ac:dyDescent="0.25">
      <c r="K50" s="49" t="s">
        <v>528</v>
      </c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</row>
  </sheetData>
  <mergeCells count="61">
    <mergeCell ref="Z3:AA3"/>
    <mergeCell ref="AB3:AB4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  <mergeCell ref="E36:E38"/>
    <mergeCell ref="F36:F38"/>
    <mergeCell ref="A41:A42"/>
    <mergeCell ref="B41:B42"/>
    <mergeCell ref="C41:C42"/>
    <mergeCell ref="B33:B35"/>
    <mergeCell ref="C33:C35"/>
    <mergeCell ref="A36:A40"/>
    <mergeCell ref="B36:B38"/>
    <mergeCell ref="C36:C38"/>
    <mergeCell ref="D36:D38"/>
    <mergeCell ref="F25:F27"/>
    <mergeCell ref="B29:B31"/>
    <mergeCell ref="C29:C31"/>
    <mergeCell ref="D29:D31"/>
    <mergeCell ref="E29:E31"/>
    <mergeCell ref="F29:F31"/>
    <mergeCell ref="A21:A35"/>
    <mergeCell ref="B21:B23"/>
    <mergeCell ref="C21:C23"/>
    <mergeCell ref="D21:D23"/>
    <mergeCell ref="E21:E23"/>
    <mergeCell ref="F21:F23"/>
    <mergeCell ref="B25:B27"/>
    <mergeCell ref="C25:C27"/>
    <mergeCell ref="D25:D27"/>
    <mergeCell ref="E25:E27"/>
    <mergeCell ref="A8:A20"/>
    <mergeCell ref="B8:B10"/>
    <mergeCell ref="C8:C10"/>
    <mergeCell ref="D8:D10"/>
    <mergeCell ref="E8:E10"/>
    <mergeCell ref="F8:F10"/>
    <mergeCell ref="B11:B15"/>
    <mergeCell ref="C11:C15"/>
    <mergeCell ref="B16:B20"/>
    <mergeCell ref="C16:C20"/>
    <mergeCell ref="F5:F6"/>
    <mergeCell ref="A5:A7"/>
    <mergeCell ref="B5:B6"/>
    <mergeCell ref="C5:C6"/>
    <mergeCell ref="D5:D6"/>
    <mergeCell ref="E5:E6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C0D4B-E752-4DD0-A8A7-BD3B1671DC41}">
  <dimension ref="A1:AB50"/>
  <sheetViews>
    <sheetView showGridLines="0" topLeftCell="P29" workbookViewId="0">
      <selection activeCell="AB44" sqref="AB44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" style="9" bestFit="1" customWidth="1"/>
    <col min="14" max="14" width="7.85546875" style="9" bestFit="1" customWidth="1"/>
    <col min="15" max="15" width="11.140625" style="9" bestFit="1" customWidth="1"/>
    <col min="16" max="17" width="9.28515625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7.85546875" style="9" bestFit="1" customWidth="1"/>
    <col min="23" max="23" width="9.28515625" style="9" bestFit="1" customWidth="1"/>
    <col min="24" max="25" width="10.57031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42" t="s">
        <v>60</v>
      </c>
      <c r="B1" s="142" t="s">
        <v>61</v>
      </c>
      <c r="C1" s="142" t="s">
        <v>62</v>
      </c>
      <c r="D1" s="142" t="s">
        <v>63</v>
      </c>
      <c r="E1" s="142" t="s">
        <v>64</v>
      </c>
      <c r="F1" s="142" t="s">
        <v>15</v>
      </c>
      <c r="G1" s="142" t="s">
        <v>66</v>
      </c>
      <c r="H1" s="142" t="s">
        <v>67</v>
      </c>
      <c r="I1" s="142" t="s">
        <v>509</v>
      </c>
      <c r="J1" s="129"/>
      <c r="L1" s="143" t="s">
        <v>529</v>
      </c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</row>
    <row r="2" spans="1:28" ht="11.25" customHeight="1" x14ac:dyDescent="0.25">
      <c r="A2" s="142"/>
      <c r="B2" s="142"/>
      <c r="C2" s="142"/>
      <c r="D2" s="142"/>
      <c r="E2" s="142"/>
      <c r="F2" s="142"/>
      <c r="G2" s="142"/>
      <c r="H2" s="142"/>
      <c r="I2" s="142"/>
      <c r="J2" s="129"/>
      <c r="L2" s="143" t="s">
        <v>436</v>
      </c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  <c r="AA2" s="143"/>
      <c r="AB2" s="143"/>
    </row>
    <row r="3" spans="1:28" ht="11.25" customHeight="1" x14ac:dyDescent="0.25">
      <c r="A3" s="142"/>
      <c r="B3" s="142"/>
      <c r="C3" s="142"/>
      <c r="D3" s="142"/>
      <c r="E3" s="142"/>
      <c r="F3" s="142"/>
      <c r="G3" s="142"/>
      <c r="H3" s="142"/>
      <c r="I3" s="142"/>
      <c r="J3" s="129"/>
      <c r="L3" s="143" t="s">
        <v>409</v>
      </c>
      <c r="M3" s="143"/>
      <c r="N3" s="143"/>
      <c r="O3" s="143"/>
      <c r="P3" s="143"/>
      <c r="Q3" s="143"/>
      <c r="R3" s="143" t="s">
        <v>440</v>
      </c>
      <c r="S3" s="143"/>
      <c r="T3" s="143" t="s">
        <v>418</v>
      </c>
      <c r="U3" s="143"/>
      <c r="V3" s="143"/>
      <c r="W3" s="143"/>
      <c r="X3" s="143" t="s">
        <v>428</v>
      </c>
      <c r="Y3" s="143"/>
      <c r="Z3" s="143" t="s">
        <v>431</v>
      </c>
      <c r="AA3" s="143"/>
      <c r="AB3" s="143" t="s">
        <v>417</v>
      </c>
    </row>
    <row r="4" spans="1:28" ht="11.25" customHeight="1" x14ac:dyDescent="0.25">
      <c r="A4" s="142"/>
      <c r="B4" s="142"/>
      <c r="C4" s="142"/>
      <c r="D4" s="142"/>
      <c r="E4" s="142"/>
      <c r="F4" s="142"/>
      <c r="G4" s="142"/>
      <c r="H4" s="142"/>
      <c r="I4" s="142"/>
      <c r="J4" s="129"/>
      <c r="L4" s="48" t="s">
        <v>411</v>
      </c>
      <c r="M4" s="48" t="s">
        <v>437</v>
      </c>
      <c r="N4" s="48" t="s">
        <v>438</v>
      </c>
      <c r="O4" s="48" t="s">
        <v>497</v>
      </c>
      <c r="P4" s="48" t="s">
        <v>439</v>
      </c>
      <c r="Q4" s="48" t="s">
        <v>417</v>
      </c>
      <c r="R4" s="48" t="s">
        <v>441</v>
      </c>
      <c r="S4" s="48" t="s">
        <v>417</v>
      </c>
      <c r="T4" s="48" t="s">
        <v>442</v>
      </c>
      <c r="U4" s="48" t="s">
        <v>443</v>
      </c>
      <c r="V4" s="48" t="s">
        <v>444</v>
      </c>
      <c r="W4" s="48" t="s">
        <v>417</v>
      </c>
      <c r="X4" s="48" t="s">
        <v>429</v>
      </c>
      <c r="Y4" s="48" t="s">
        <v>417</v>
      </c>
      <c r="Z4" s="48" t="s">
        <v>445</v>
      </c>
      <c r="AA4" s="48" t="s">
        <v>417</v>
      </c>
      <c r="AB4" s="144"/>
    </row>
    <row r="5" spans="1:28" ht="11.25" customHeight="1" x14ac:dyDescent="0.25">
      <c r="A5" s="141" t="s">
        <v>34</v>
      </c>
      <c r="B5" s="141" t="s">
        <v>69</v>
      </c>
      <c r="C5" s="141" t="s">
        <v>25</v>
      </c>
      <c r="D5" s="141" t="s">
        <v>25</v>
      </c>
      <c r="E5" s="141" t="s">
        <v>25</v>
      </c>
      <c r="F5" s="141" t="s">
        <v>25</v>
      </c>
      <c r="G5" s="46" t="s">
        <v>71</v>
      </c>
      <c r="H5" s="46" t="s">
        <v>70</v>
      </c>
      <c r="I5" s="46">
        <f>'MERCADO TE'!$U$2</f>
        <v>2156.2699999999995</v>
      </c>
      <c r="J5" s="15"/>
      <c r="L5" s="44">
        <f>'TR TE'!$L$5*'TR TE'!$L$49</f>
        <v>2.4412320191830728</v>
      </c>
      <c r="M5" s="44">
        <f>'TR TE'!$M$5*'TR TE'!$M$49</f>
        <v>22.354660185373014</v>
      </c>
      <c r="N5" s="44">
        <f>'TR TE'!$N$5*'TR TE'!$N$49</f>
        <v>0</v>
      </c>
      <c r="O5" s="44">
        <f>'TR TE'!$O$5*'TR TE'!$O$49</f>
        <v>2.2803104648027128</v>
      </c>
      <c r="P5" s="44">
        <f>'TR TE'!$P$5*'TR TE'!$P$49</f>
        <v>-16.116674696650602</v>
      </c>
      <c r="Q5" s="44">
        <f>SUM($L$5:$P$5)</f>
        <v>10.959527972708198</v>
      </c>
      <c r="R5" s="44">
        <f>'TR TE'!$R$5*'TR TE'!$R$49</f>
        <v>333.69668418985628</v>
      </c>
      <c r="S5" s="44">
        <f>SUM($R$5:$R$5)</f>
        <v>333.69668418985628</v>
      </c>
      <c r="T5" s="44">
        <f>'TR TE'!$T$5*'TR TE'!$T$49</f>
        <v>5.6816363142987285</v>
      </c>
      <c r="U5" s="44">
        <f>'TR TE'!$U$5*'TR TE'!$U$49</f>
        <v>3.977302283236603</v>
      </c>
      <c r="V5" s="44">
        <f>'TR TE'!$V$5*'TR TE'!$V$49</f>
        <v>0</v>
      </c>
      <c r="W5" s="44">
        <f>SUM($T$5:$V$5)</f>
        <v>9.6589385975353323</v>
      </c>
      <c r="X5" s="44"/>
      <c r="Y5" s="44">
        <f>SUM($X$5:$X$5)</f>
        <v>0</v>
      </c>
      <c r="Z5" s="44">
        <f>'TR TE'!$Z$5*'TR TE'!$Z$49</f>
        <v>5.9480835114544446</v>
      </c>
      <c r="AA5" s="44">
        <f>SUM($Z$5:$Z$5)</f>
        <v>5.9480835114544446</v>
      </c>
      <c r="AB5" s="44">
        <f>SUMIF($L$4:$AA$4,"SUBTOTAL",$L$5:$AA$5)</f>
        <v>360.26323427155427</v>
      </c>
    </row>
    <row r="6" spans="1:28" ht="11.25" customHeight="1" x14ac:dyDescent="0.25">
      <c r="A6" s="141"/>
      <c r="B6" s="141"/>
      <c r="C6" s="141"/>
      <c r="D6" s="141"/>
      <c r="E6" s="141"/>
      <c r="F6" s="141"/>
      <c r="G6" s="46" t="s">
        <v>72</v>
      </c>
      <c r="H6" s="46" t="s">
        <v>70</v>
      </c>
      <c r="I6" s="46">
        <f>'MERCADO TE'!$U$3</f>
        <v>23356.773000000001</v>
      </c>
      <c r="J6" s="15"/>
      <c r="L6" s="44">
        <f>'TR TE'!$L$6*'TR TE'!$L$49</f>
        <v>2.4412320191830728</v>
      </c>
      <c r="M6" s="44">
        <f>'TR TE'!$M$6*'TR TE'!$M$49</f>
        <v>22.354660185373014</v>
      </c>
      <c r="N6" s="44">
        <f>'TR TE'!$N$6*'TR TE'!$N$49</f>
        <v>0</v>
      </c>
      <c r="O6" s="44">
        <f>'TR TE'!$O$6*'TR TE'!$O$49</f>
        <v>2.2803104648027128</v>
      </c>
      <c r="P6" s="44">
        <f>'TR TE'!$P$6*'TR TE'!$P$49</f>
        <v>-16.116674696650602</v>
      </c>
      <c r="Q6" s="44">
        <f>SUM($L$6:$P$6)</f>
        <v>10.959527972708198</v>
      </c>
      <c r="R6" s="44">
        <f>'TR TE'!$R$6*'TR TE'!$R$49</f>
        <v>194.00970011038157</v>
      </c>
      <c r="S6" s="44">
        <f>SUM($R$6:$R$6)</f>
        <v>194.00970011038157</v>
      </c>
      <c r="T6" s="44">
        <f>'TR TE'!$T$6*'TR TE'!$T$49</f>
        <v>5.6816363142987285</v>
      </c>
      <c r="U6" s="44">
        <f>'TR TE'!$U$6*'TR TE'!$U$49</f>
        <v>3.977302283236603</v>
      </c>
      <c r="V6" s="44">
        <f>'TR TE'!$V$6*'TR TE'!$V$49</f>
        <v>0</v>
      </c>
      <c r="W6" s="44">
        <f>SUM($T$6:$V$6)</f>
        <v>9.6589385975353323</v>
      </c>
      <c r="X6" s="44"/>
      <c r="Y6" s="44">
        <f>SUM($X$6:$X$6)</f>
        <v>0</v>
      </c>
      <c r="Z6" s="44">
        <f>'TR TE'!$Z$6*'TR TE'!$Z$49</f>
        <v>5.9480835114544446</v>
      </c>
      <c r="AA6" s="44">
        <f>SUM($Z$6:$Z$6)</f>
        <v>5.9480835114544446</v>
      </c>
      <c r="AB6" s="44">
        <f>SUMIF($L$4:$AA$4,"SUBTOTAL",$L$6:$AA$6)</f>
        <v>220.57625019207956</v>
      </c>
    </row>
    <row r="7" spans="1:28" ht="11.25" customHeight="1" x14ac:dyDescent="0.25">
      <c r="A7" s="141"/>
      <c r="B7" s="47" t="s">
        <v>73</v>
      </c>
      <c r="C7" s="47" t="s">
        <v>25</v>
      </c>
      <c r="D7" s="47" t="s">
        <v>25</v>
      </c>
      <c r="E7" s="47" t="s">
        <v>25</v>
      </c>
      <c r="F7" s="47" t="s">
        <v>25</v>
      </c>
      <c r="G7" s="46" t="s">
        <v>74</v>
      </c>
      <c r="H7" s="46" t="s">
        <v>70</v>
      </c>
      <c r="I7" s="46">
        <f>'MERCADO TE'!$U$4</f>
        <v>0</v>
      </c>
      <c r="J7" s="15"/>
      <c r="L7" s="44">
        <f>'TR TE'!$L$7*'TR TE'!$L$49</f>
        <v>2.4412320191830728</v>
      </c>
      <c r="M7" s="44">
        <f>'TR TE'!$M$7*'TR TE'!$M$49</f>
        <v>22.354660185373014</v>
      </c>
      <c r="N7" s="44">
        <f>'TR TE'!$N$7*'TR TE'!$N$49</f>
        <v>0</v>
      </c>
      <c r="O7" s="44">
        <f>'TR TE'!$O$7*'TR TE'!$O$49</f>
        <v>2.2803104648027128</v>
      </c>
      <c r="P7" s="44">
        <f>'TR TE'!$P$7*'TR TE'!$P$49</f>
        <v>-16.116674696650602</v>
      </c>
      <c r="Q7" s="44">
        <f>SUM($L$7:$P$7)</f>
        <v>10.959527972708198</v>
      </c>
      <c r="R7" s="44">
        <f>'TR TE'!$R$7*'TR TE'!$R$49</f>
        <v>205.65028211700448</v>
      </c>
      <c r="S7" s="44">
        <f>SUM($R$7:$R$7)</f>
        <v>205.65028211700448</v>
      </c>
      <c r="T7" s="44">
        <f>'TR TE'!$T$7*'TR TE'!$T$49</f>
        <v>5.6816363142987285</v>
      </c>
      <c r="U7" s="44">
        <f>'TR TE'!$U$7*'TR TE'!$U$49</f>
        <v>3.977302283236603</v>
      </c>
      <c r="V7" s="44">
        <f>'TR TE'!$V$7*'TR TE'!$V$49</f>
        <v>0</v>
      </c>
      <c r="W7" s="44">
        <f>SUM($T$7:$V$7)</f>
        <v>9.6589385975353323</v>
      </c>
      <c r="X7" s="44"/>
      <c r="Y7" s="44">
        <f>SUM($X$7:$X$7)</f>
        <v>0</v>
      </c>
      <c r="Z7" s="44">
        <f>'TR TE'!$Z$7*'TR TE'!$Z$49</f>
        <v>5.9480835114544446</v>
      </c>
      <c r="AA7" s="44">
        <f>SUM($Z$7:$Z$7)</f>
        <v>5.9480835114544446</v>
      </c>
      <c r="AB7" s="44">
        <f>SUMIF($L$4:$AA$4,"SUBTOTAL",$L$7:$AA$7)</f>
        <v>232.21683219870246</v>
      </c>
    </row>
    <row r="8" spans="1:28" ht="11.25" customHeight="1" x14ac:dyDescent="0.25">
      <c r="A8" s="141" t="s">
        <v>22</v>
      </c>
      <c r="B8" s="141" t="s">
        <v>69</v>
      </c>
      <c r="C8" s="141" t="s">
        <v>24</v>
      </c>
      <c r="D8" s="141" t="s">
        <v>24</v>
      </c>
      <c r="E8" s="141" t="s">
        <v>25</v>
      </c>
      <c r="F8" s="141" t="s">
        <v>25</v>
      </c>
      <c r="G8" s="46" t="s">
        <v>71</v>
      </c>
      <c r="H8" s="46" t="s">
        <v>70</v>
      </c>
      <c r="I8" s="46">
        <f>'MERCADO TE'!$U$5</f>
        <v>0</v>
      </c>
      <c r="J8" s="15"/>
      <c r="L8" s="44">
        <f>'TR TE'!$L$8*'TR TE'!$L$49</f>
        <v>2.4412320191830728</v>
      </c>
      <c r="M8" s="44">
        <f>'TR TE'!$M$8*'TR TE'!$M$49</f>
        <v>22.354660185373014</v>
      </c>
      <c r="N8" s="44">
        <f>'TR TE'!$N$8*'TR TE'!$N$49</f>
        <v>0</v>
      </c>
      <c r="O8" s="44">
        <f>'TR TE'!$O$8*'TR TE'!$O$49</f>
        <v>2.2803104648027128</v>
      </c>
      <c r="P8" s="44">
        <f>'TR TE'!$P$8*'TR TE'!$P$49</f>
        <v>-16.116674696650602</v>
      </c>
      <c r="Q8" s="44">
        <f>SUM($L$8:$P$8)</f>
        <v>10.959527972708198</v>
      </c>
      <c r="R8" s="44">
        <f>'TR TE'!$R$8*'TR TE'!$R$49</f>
        <v>333.69668418985628</v>
      </c>
      <c r="S8" s="44">
        <f>SUM($R$8:$R$8)</f>
        <v>333.69668418985628</v>
      </c>
      <c r="T8" s="44">
        <f>'TR TE'!$T$8*'TR TE'!$T$49</f>
        <v>5.6816363142987285</v>
      </c>
      <c r="U8" s="44">
        <f>'TR TE'!$U$8*'TR TE'!$U$49</f>
        <v>3.977302283236603</v>
      </c>
      <c r="V8" s="44">
        <f>'TR TE'!$V$8*'TR TE'!$V$49</f>
        <v>0</v>
      </c>
      <c r="W8" s="44">
        <f>SUM($T$8:$V$8)</f>
        <v>9.6589385975353323</v>
      </c>
      <c r="X8" s="44"/>
      <c r="Y8" s="44">
        <f>SUM($X$8:$X$8)</f>
        <v>0</v>
      </c>
      <c r="Z8" s="44">
        <f>'TR TE'!$Z$8*'TR TE'!$Z$49</f>
        <v>5.9480835114544446</v>
      </c>
      <c r="AA8" s="44">
        <f>SUM($Z$8:$Z$8)</f>
        <v>5.9480835114544446</v>
      </c>
      <c r="AB8" s="44">
        <f>SUMIF($L$4:$AA$4,"SUBTOTAL",$L$8:$AA$8)</f>
        <v>360.26323427155427</v>
      </c>
    </row>
    <row r="9" spans="1:28" ht="11.25" customHeight="1" x14ac:dyDescent="0.25">
      <c r="A9" s="141"/>
      <c r="B9" s="141"/>
      <c r="C9" s="141"/>
      <c r="D9" s="141"/>
      <c r="E9" s="141"/>
      <c r="F9" s="141"/>
      <c r="G9" s="46" t="s">
        <v>83</v>
      </c>
      <c r="H9" s="46" t="s">
        <v>70</v>
      </c>
      <c r="I9" s="46">
        <f>'MERCADO TE'!$U$6</f>
        <v>0</v>
      </c>
      <c r="J9" s="15"/>
      <c r="L9" s="44">
        <f>'TR TE'!$L$9*'TR TE'!$L$49</f>
        <v>2.4412320191830728</v>
      </c>
      <c r="M9" s="44">
        <f>'TR TE'!$M$9*'TR TE'!$M$49</f>
        <v>22.354660185373014</v>
      </c>
      <c r="N9" s="44">
        <f>'TR TE'!$N$9*'TR TE'!$N$49</f>
        <v>0</v>
      </c>
      <c r="O9" s="44">
        <f>'TR TE'!$O$9*'TR TE'!$O$49</f>
        <v>2.2803104648027128</v>
      </c>
      <c r="P9" s="44">
        <f>'TR TE'!$P$9*'TR TE'!$P$49</f>
        <v>-16.116674696650602</v>
      </c>
      <c r="Q9" s="44">
        <f>SUM($L$9:$P$9)</f>
        <v>10.959527972708198</v>
      </c>
      <c r="R9" s="44">
        <f>'TR TE'!$R$9*'TR TE'!$R$49</f>
        <v>194.00970011038157</v>
      </c>
      <c r="S9" s="44">
        <f>SUM($R$9:$R$9)</f>
        <v>194.00970011038157</v>
      </c>
      <c r="T9" s="44">
        <f>'TR TE'!$T$9*'TR TE'!$T$49</f>
        <v>5.6816363142987285</v>
      </c>
      <c r="U9" s="44">
        <f>'TR TE'!$U$9*'TR TE'!$U$49</f>
        <v>3.977302283236603</v>
      </c>
      <c r="V9" s="44">
        <f>'TR TE'!$V$9*'TR TE'!$V$49</f>
        <v>0</v>
      </c>
      <c r="W9" s="44">
        <f>SUM($T$9:$V$9)</f>
        <v>9.6589385975353323</v>
      </c>
      <c r="X9" s="44"/>
      <c r="Y9" s="44">
        <f>SUM($X$9:$X$9)</f>
        <v>0</v>
      </c>
      <c r="Z9" s="44">
        <f>'TR TE'!$Z$9*'TR TE'!$Z$49</f>
        <v>5.9480835114544446</v>
      </c>
      <c r="AA9" s="44">
        <f>SUM($Z$9:$Z$9)</f>
        <v>5.9480835114544446</v>
      </c>
      <c r="AB9" s="44">
        <f>SUMIF($L$4:$AA$4,"SUBTOTAL",$L$9:$AA$9)</f>
        <v>220.57625019207956</v>
      </c>
    </row>
    <row r="10" spans="1:28" ht="11.25" customHeight="1" x14ac:dyDescent="0.25">
      <c r="A10" s="141"/>
      <c r="B10" s="141"/>
      <c r="C10" s="141"/>
      <c r="D10" s="141"/>
      <c r="E10" s="141"/>
      <c r="F10" s="141"/>
      <c r="G10" s="46" t="s">
        <v>72</v>
      </c>
      <c r="H10" s="46" t="s">
        <v>70</v>
      </c>
      <c r="I10" s="46">
        <f>'MERCADO TE'!$U$7</f>
        <v>0</v>
      </c>
      <c r="J10" s="15"/>
      <c r="L10" s="44">
        <f>'TR TE'!$L$10*'TR TE'!$L$49</f>
        <v>2.4412320191830728</v>
      </c>
      <c r="M10" s="44">
        <f>'TR TE'!$M$10*'TR TE'!$M$49</f>
        <v>22.354660185373014</v>
      </c>
      <c r="N10" s="44">
        <f>'TR TE'!$N$10*'TR TE'!$N$49</f>
        <v>0</v>
      </c>
      <c r="O10" s="44">
        <f>'TR TE'!$O$10*'TR TE'!$O$49</f>
        <v>2.2803104648027128</v>
      </c>
      <c r="P10" s="44">
        <f>'TR TE'!$P$10*'TR TE'!$P$49</f>
        <v>-16.116674696650602</v>
      </c>
      <c r="Q10" s="44">
        <f>SUM($L$10:$P$10)</f>
        <v>10.959527972708198</v>
      </c>
      <c r="R10" s="44">
        <f>'TR TE'!$R$10*'TR TE'!$R$49</f>
        <v>194.00970011038157</v>
      </c>
      <c r="S10" s="44">
        <f>SUM($R$10:$R$10)</f>
        <v>194.00970011038157</v>
      </c>
      <c r="T10" s="44">
        <f>'TR TE'!$T$10*'TR TE'!$T$49</f>
        <v>5.6816363142987285</v>
      </c>
      <c r="U10" s="44">
        <f>'TR TE'!$U$10*'TR TE'!$U$49</f>
        <v>3.977302283236603</v>
      </c>
      <c r="V10" s="44">
        <f>'TR TE'!$V$10*'TR TE'!$V$49</f>
        <v>0</v>
      </c>
      <c r="W10" s="44">
        <f>SUM($T$10:$V$10)</f>
        <v>9.6589385975353323</v>
      </c>
      <c r="X10" s="44"/>
      <c r="Y10" s="44">
        <f>SUM($X$10:$X$10)</f>
        <v>0</v>
      </c>
      <c r="Z10" s="44">
        <f>'TR TE'!$Z$10*'TR TE'!$Z$49</f>
        <v>5.9480835114544446</v>
      </c>
      <c r="AA10" s="44">
        <f>SUM($Z$10:$Z$10)</f>
        <v>5.9480835114544446</v>
      </c>
      <c r="AB10" s="44">
        <f>SUMIF($L$4:$AA$4,"SUBTOTAL",$L$10:$AA$10)</f>
        <v>220.57625019207956</v>
      </c>
    </row>
    <row r="11" spans="1:28" ht="11.25" customHeight="1" x14ac:dyDescent="0.25">
      <c r="A11" s="141"/>
      <c r="B11" s="141" t="s">
        <v>73</v>
      </c>
      <c r="C11" s="141" t="s">
        <v>24</v>
      </c>
      <c r="D11" s="47" t="s">
        <v>24</v>
      </c>
      <c r="E11" s="47" t="s">
        <v>25</v>
      </c>
      <c r="F11" s="47" t="s">
        <v>25</v>
      </c>
      <c r="G11" s="46" t="s">
        <v>74</v>
      </c>
      <c r="H11" s="46" t="s">
        <v>70</v>
      </c>
      <c r="I11" s="46">
        <f>'MERCADO TE'!$U$8</f>
        <v>20530.876000000004</v>
      </c>
      <c r="J11" s="15"/>
      <c r="L11" s="44">
        <f>'TR TE'!$L$11*'TR TE'!$L$49</f>
        <v>2.4412320191830728</v>
      </c>
      <c r="M11" s="44">
        <f>'TR TE'!$M$11*'TR TE'!$M$49</f>
        <v>22.354660185373014</v>
      </c>
      <c r="N11" s="44">
        <f>'TR TE'!$N$11*'TR TE'!$N$49</f>
        <v>0</v>
      </c>
      <c r="O11" s="44">
        <f>'TR TE'!$O$11*'TR TE'!$O$49</f>
        <v>2.2803104648027128</v>
      </c>
      <c r="P11" s="44">
        <f>'TR TE'!$P$11*'TR TE'!$P$49</f>
        <v>-16.116674696650602</v>
      </c>
      <c r="Q11" s="44">
        <f>SUM($L$11:$P$11)</f>
        <v>10.959527972708198</v>
      </c>
      <c r="R11" s="44">
        <f>'TR TE'!$R$11*'TR TE'!$R$49</f>
        <v>205.65028211700448</v>
      </c>
      <c r="S11" s="44">
        <f>SUM($R$11:$R$11)</f>
        <v>205.65028211700448</v>
      </c>
      <c r="T11" s="44">
        <f>'TR TE'!$T$11*'TR TE'!$T$49</f>
        <v>5.6816363142987285</v>
      </c>
      <c r="U11" s="44">
        <f>'TR TE'!$U$11*'TR TE'!$U$49</f>
        <v>3.977302283236603</v>
      </c>
      <c r="V11" s="44">
        <f>'TR TE'!$V$11*'TR TE'!$V$49</f>
        <v>0</v>
      </c>
      <c r="W11" s="44">
        <f>SUM($T$11:$V$11)</f>
        <v>9.6589385975353323</v>
      </c>
      <c r="X11" s="44"/>
      <c r="Y11" s="44">
        <f>SUM($X$11:$X$11)</f>
        <v>0</v>
      </c>
      <c r="Z11" s="44">
        <f>'TR TE'!$Z$11*'TR TE'!$Z$49</f>
        <v>5.9480835114544446</v>
      </c>
      <c r="AA11" s="44">
        <f>SUM($Z$11:$Z$11)</f>
        <v>5.9480835114544446</v>
      </c>
      <c r="AB11" s="44">
        <f>SUMIF($L$4:$AA$4,"SUBTOTAL",$L$11:$AA$11)</f>
        <v>232.21683219870246</v>
      </c>
    </row>
    <row r="12" spans="1:28" ht="11.25" customHeight="1" x14ac:dyDescent="0.25">
      <c r="A12" s="141"/>
      <c r="B12" s="141"/>
      <c r="C12" s="141"/>
      <c r="D12" s="47" t="s">
        <v>28</v>
      </c>
      <c r="E12" s="47" t="s">
        <v>25</v>
      </c>
      <c r="F12" s="47" t="s">
        <v>25</v>
      </c>
      <c r="G12" s="46" t="s">
        <v>74</v>
      </c>
      <c r="H12" s="46" t="s">
        <v>70</v>
      </c>
      <c r="I12" s="46">
        <f>'MERCADO TE'!$U$9</f>
        <v>165.006</v>
      </c>
      <c r="J12" s="15"/>
      <c r="L12" s="44">
        <f>'TR TE'!$L$12*'TR TE'!$L$49</f>
        <v>2.4412320191830728</v>
      </c>
      <c r="M12" s="44">
        <f>'TR TE'!$M$12*'TR TE'!$M$49</f>
        <v>22.354660185373014</v>
      </c>
      <c r="N12" s="44">
        <f>'TR TE'!$N$12*'TR TE'!$N$49</f>
        <v>0</v>
      </c>
      <c r="O12" s="44">
        <f>'TR TE'!$O$12*'TR TE'!$O$49</f>
        <v>2.2803104648027128</v>
      </c>
      <c r="P12" s="44">
        <f>'TR TE'!$P$12*'TR TE'!$P$49</f>
        <v>-16.116674696650602</v>
      </c>
      <c r="Q12" s="44">
        <f>SUM($L$12:$P$12)</f>
        <v>10.959527972708198</v>
      </c>
      <c r="R12" s="44">
        <f>'TR TE'!$R$12*'TR TE'!$R$49</f>
        <v>205.65028211700448</v>
      </c>
      <c r="S12" s="44">
        <f>SUM($R$12:$R$12)</f>
        <v>205.65028211700448</v>
      </c>
      <c r="T12" s="44">
        <f>'TR TE'!$T$12*'TR TE'!$T$49</f>
        <v>5.6816363142987285</v>
      </c>
      <c r="U12" s="44">
        <f>'TR TE'!$U$12*'TR TE'!$U$49</f>
        <v>3.977302283236603</v>
      </c>
      <c r="V12" s="44">
        <f>'TR TE'!$V$12*'TR TE'!$V$49</f>
        <v>0</v>
      </c>
      <c r="W12" s="44">
        <f>SUM($T$12:$V$12)</f>
        <v>9.6589385975353323</v>
      </c>
      <c r="X12" s="44"/>
      <c r="Y12" s="44">
        <f>SUM($X$12:$X$12)</f>
        <v>0</v>
      </c>
      <c r="Z12" s="44">
        <f>'TR TE'!$Z$12*'TR TE'!$Z$49</f>
        <v>5.9480835114544446</v>
      </c>
      <c r="AA12" s="44">
        <f>SUM($Z$12:$Z$12)</f>
        <v>5.9480835114544446</v>
      </c>
      <c r="AB12" s="44">
        <f>SUMIF($L$4:$AA$4,"SUBTOTAL",$L$12:$AA$12)</f>
        <v>232.21683219870246</v>
      </c>
    </row>
    <row r="13" spans="1:28" ht="11.25" customHeight="1" x14ac:dyDescent="0.25">
      <c r="A13" s="141"/>
      <c r="B13" s="141"/>
      <c r="C13" s="141"/>
      <c r="D13" s="47" t="s">
        <v>29</v>
      </c>
      <c r="E13" s="47" t="s">
        <v>25</v>
      </c>
      <c r="F13" s="47" t="s">
        <v>25</v>
      </c>
      <c r="G13" s="46" t="s">
        <v>74</v>
      </c>
      <c r="H13" s="46" t="s">
        <v>70</v>
      </c>
      <c r="I13" s="46">
        <f>'MERCADO TE'!$U$10</f>
        <v>350.56600000000003</v>
      </c>
      <c r="J13" s="15"/>
      <c r="L13" s="44">
        <f>'TR TE'!$L$13*'TR TE'!$L$49</f>
        <v>2.4412320191830728</v>
      </c>
      <c r="M13" s="44">
        <f>'TR TE'!$M$13*'TR TE'!$M$49</f>
        <v>22.354660185373014</v>
      </c>
      <c r="N13" s="44">
        <f>'TR TE'!$N$13*'TR TE'!$N$49</f>
        <v>0</v>
      </c>
      <c r="O13" s="44">
        <f>'TR TE'!$O$13*'TR TE'!$O$49</f>
        <v>2.2803104648027128</v>
      </c>
      <c r="P13" s="44">
        <f>'TR TE'!$P$13*'TR TE'!$P$49</f>
        <v>-16.116674696650602</v>
      </c>
      <c r="Q13" s="44">
        <f>SUM($L$13:$P$13)</f>
        <v>10.959527972708198</v>
      </c>
      <c r="R13" s="44">
        <f>'TR TE'!$R$13*'TR TE'!$R$49</f>
        <v>205.65028211700448</v>
      </c>
      <c r="S13" s="44">
        <f>SUM($R$13:$R$13)</f>
        <v>205.65028211700448</v>
      </c>
      <c r="T13" s="44">
        <f>'TR TE'!$T$13*'TR TE'!$T$49</f>
        <v>5.6816363142987285</v>
      </c>
      <c r="U13" s="44">
        <f>'TR TE'!$U$13*'TR TE'!$U$49</f>
        <v>3.977302283236603</v>
      </c>
      <c r="V13" s="44">
        <f>'TR TE'!$V$13*'TR TE'!$V$49</f>
        <v>0</v>
      </c>
      <c r="W13" s="44">
        <f>SUM($T$13:$V$13)</f>
        <v>9.6589385975353323</v>
      </c>
      <c r="X13" s="44"/>
      <c r="Y13" s="44">
        <f>SUM($X$13:$X$13)</f>
        <v>0</v>
      </c>
      <c r="Z13" s="44">
        <f>'TR TE'!$Z$13*'TR TE'!$Z$49</f>
        <v>5.9480835114544446</v>
      </c>
      <c r="AA13" s="44">
        <f>SUM($Z$13:$Z$13)</f>
        <v>5.9480835114544446</v>
      </c>
      <c r="AB13" s="44">
        <f>SUMIF($L$4:$AA$4,"SUBTOTAL",$L$13:$AA$13)</f>
        <v>232.21683219870246</v>
      </c>
    </row>
    <row r="14" spans="1:28" ht="11.25" customHeight="1" x14ac:dyDescent="0.25">
      <c r="A14" s="141"/>
      <c r="B14" s="141"/>
      <c r="C14" s="141"/>
      <c r="D14" s="47" t="s">
        <v>30</v>
      </c>
      <c r="E14" s="47" t="s">
        <v>25</v>
      </c>
      <c r="F14" s="47" t="s">
        <v>25</v>
      </c>
      <c r="G14" s="46" t="s">
        <v>74</v>
      </c>
      <c r="H14" s="46" t="s">
        <v>70</v>
      </c>
      <c r="I14" s="46">
        <f>'MERCADO TE'!$U$11</f>
        <v>338.63600000000002</v>
      </c>
      <c r="J14" s="15"/>
      <c r="L14" s="44">
        <f>'TR TE'!$L$14*'TR TE'!$L$49</f>
        <v>2.4412320191830728</v>
      </c>
      <c r="M14" s="44">
        <f>'TR TE'!$M$14*'TR TE'!$M$49</f>
        <v>22.354660185373014</v>
      </c>
      <c r="N14" s="44">
        <f>'TR TE'!$N$14*'TR TE'!$N$49</f>
        <v>0</v>
      </c>
      <c r="O14" s="44">
        <f>'TR TE'!$O$14*'TR TE'!$O$49</f>
        <v>2.2803104648027128</v>
      </c>
      <c r="P14" s="44">
        <f>'TR TE'!$P$14*'TR TE'!$P$49</f>
        <v>-16.116674696650602</v>
      </c>
      <c r="Q14" s="44">
        <f>SUM($L$14:$P$14)</f>
        <v>10.959527972708198</v>
      </c>
      <c r="R14" s="44">
        <f>'TR TE'!$R$14*'TR TE'!$R$49</f>
        <v>205.65028211700448</v>
      </c>
      <c r="S14" s="44">
        <f>SUM($R$14:$R$14)</f>
        <v>205.65028211700448</v>
      </c>
      <c r="T14" s="44">
        <f>'TR TE'!$T$14*'TR TE'!$T$49</f>
        <v>5.6816363142987285</v>
      </c>
      <c r="U14" s="44">
        <f>'TR TE'!$U$14*'TR TE'!$U$49</f>
        <v>3.977302283236603</v>
      </c>
      <c r="V14" s="44">
        <f>'TR TE'!$V$14*'TR TE'!$V$49</f>
        <v>0</v>
      </c>
      <c r="W14" s="44">
        <f>SUM($T$14:$V$14)</f>
        <v>9.6589385975353323</v>
      </c>
      <c r="X14" s="44"/>
      <c r="Y14" s="44">
        <f>SUM($X$14:$X$14)</f>
        <v>0</v>
      </c>
      <c r="Z14" s="44">
        <f>'TR TE'!$Z$14*'TR TE'!$Z$49</f>
        <v>5.9480835114544446</v>
      </c>
      <c r="AA14" s="44">
        <f>SUM($Z$14:$Z$14)</f>
        <v>5.9480835114544446</v>
      </c>
      <c r="AB14" s="44">
        <f>SUMIF($L$4:$AA$4,"SUBTOTAL",$L$14:$AA$14)</f>
        <v>232.21683219870246</v>
      </c>
    </row>
    <row r="15" spans="1:28" ht="11.25" customHeight="1" x14ac:dyDescent="0.25">
      <c r="A15" s="141"/>
      <c r="B15" s="141"/>
      <c r="C15" s="141"/>
      <c r="D15" s="47" t="s">
        <v>31</v>
      </c>
      <c r="E15" s="47" t="s">
        <v>25</v>
      </c>
      <c r="F15" s="47" t="s">
        <v>25</v>
      </c>
      <c r="G15" s="46" t="s">
        <v>74</v>
      </c>
      <c r="H15" s="46" t="s">
        <v>70</v>
      </c>
      <c r="I15" s="46">
        <f>'MERCADO TE'!$U$12</f>
        <v>113.66699999999999</v>
      </c>
      <c r="J15" s="15"/>
      <c r="L15" s="44">
        <f>'TR TE'!$L$15*'TR TE'!$L$49</f>
        <v>2.4412320191830728</v>
      </c>
      <c r="M15" s="44">
        <f>'TR TE'!$M$15*'TR TE'!$M$49</f>
        <v>22.354660185373014</v>
      </c>
      <c r="N15" s="44">
        <f>'TR TE'!$N$15*'TR TE'!$N$49</f>
        <v>0</v>
      </c>
      <c r="O15" s="44">
        <f>'TR TE'!$O$15*'TR TE'!$O$49</f>
        <v>2.2803104648027128</v>
      </c>
      <c r="P15" s="44">
        <f>'TR TE'!$P$15*'TR TE'!$P$49</f>
        <v>-16.116674696650602</v>
      </c>
      <c r="Q15" s="44">
        <f>SUM($L$15:$P$15)</f>
        <v>10.959527972708198</v>
      </c>
      <c r="R15" s="44">
        <f>'TR TE'!$R$15*'TR TE'!$R$49</f>
        <v>205.65028211700448</v>
      </c>
      <c r="S15" s="44">
        <f>SUM($R$15:$R$15)</f>
        <v>205.65028211700448</v>
      </c>
      <c r="T15" s="44">
        <f>'TR TE'!$T$15*'TR TE'!$T$49</f>
        <v>5.6816363142987285</v>
      </c>
      <c r="U15" s="44">
        <f>'TR TE'!$U$15*'TR TE'!$U$49</f>
        <v>3.977302283236603</v>
      </c>
      <c r="V15" s="44">
        <f>'TR TE'!$V$15*'TR TE'!$V$49</f>
        <v>0</v>
      </c>
      <c r="W15" s="44">
        <f>SUM($T$15:$V$15)</f>
        <v>9.6589385975353323</v>
      </c>
      <c r="X15" s="44"/>
      <c r="Y15" s="44">
        <f>SUM($X$15:$X$15)</f>
        <v>0</v>
      </c>
      <c r="Z15" s="44">
        <f>'TR TE'!$Z$15*'TR TE'!$Z$49</f>
        <v>5.9480835114544446</v>
      </c>
      <c r="AA15" s="44">
        <f>SUM($Z$15:$Z$15)</f>
        <v>5.9480835114544446</v>
      </c>
      <c r="AB15" s="44">
        <f>SUMIF($L$4:$AA$4,"SUBTOTAL",$L$15:$AA$15)</f>
        <v>232.21683219870246</v>
      </c>
    </row>
    <row r="16" spans="1:28" ht="11.25" customHeight="1" x14ac:dyDescent="0.25">
      <c r="A16" s="141"/>
      <c r="B16" s="141" t="s">
        <v>84</v>
      </c>
      <c r="C16" s="141" t="s">
        <v>24</v>
      </c>
      <c r="D16" s="47" t="s">
        <v>24</v>
      </c>
      <c r="E16" s="47" t="s">
        <v>25</v>
      </c>
      <c r="F16" s="47" t="s">
        <v>25</v>
      </c>
      <c r="G16" s="46" t="s">
        <v>74</v>
      </c>
      <c r="H16" s="46" t="s">
        <v>70</v>
      </c>
      <c r="I16" s="46">
        <f>'MERCADO TE'!$U$13</f>
        <v>0</v>
      </c>
      <c r="J16" s="15"/>
      <c r="L16" s="44">
        <f>'TR TE'!$L$16*'TR TE'!$L$49</f>
        <v>2.4412320191830728</v>
      </c>
      <c r="M16" s="44">
        <f>'TR TE'!$M$16*'TR TE'!$M$49</f>
        <v>22.354660185373014</v>
      </c>
      <c r="N16" s="44">
        <f>'TR TE'!$N$16*'TR TE'!$N$49</f>
        <v>0</v>
      </c>
      <c r="O16" s="44">
        <f>'TR TE'!$O$16*'TR TE'!$O$49</f>
        <v>2.2803104648027128</v>
      </c>
      <c r="P16" s="44">
        <f>'TR TE'!$P$16*'TR TE'!$P$49</f>
        <v>-16.116674696650602</v>
      </c>
      <c r="Q16" s="44">
        <f>SUM($L$16:$P$16)</f>
        <v>10.959527972708198</v>
      </c>
      <c r="R16" s="44">
        <f>'TR TE'!$R$16*'TR TE'!$R$49</f>
        <v>205.65028211700448</v>
      </c>
      <c r="S16" s="44">
        <f>SUM($R$16:$R$16)</f>
        <v>205.65028211700448</v>
      </c>
      <c r="T16" s="44">
        <f>'TR TE'!$T$16*'TR TE'!$T$49</f>
        <v>5.6816363142987285</v>
      </c>
      <c r="U16" s="44">
        <f>'TR TE'!$U$16*'TR TE'!$U$49</f>
        <v>3.977302283236603</v>
      </c>
      <c r="V16" s="44">
        <f>'TR TE'!$V$16*'TR TE'!$V$49</f>
        <v>0</v>
      </c>
      <c r="W16" s="44">
        <f>SUM($T$16:$V$16)</f>
        <v>9.6589385975353323</v>
      </c>
      <c r="X16" s="44"/>
      <c r="Y16" s="44">
        <f>SUM($X$16:$X$16)</f>
        <v>0</v>
      </c>
      <c r="Z16" s="44">
        <f>'TR TE'!$Z$16*'TR TE'!$Z$49</f>
        <v>5.9480835114544446</v>
      </c>
      <c r="AA16" s="44">
        <f>SUM($Z$16:$Z$16)</f>
        <v>5.9480835114544446</v>
      </c>
      <c r="AB16" s="44">
        <f>SUMIF($L$4:$AA$4,"SUBTOTAL",$L$16:$AA$16)</f>
        <v>232.21683219870246</v>
      </c>
    </row>
    <row r="17" spans="1:28" ht="11.25" customHeight="1" x14ac:dyDescent="0.25">
      <c r="A17" s="141"/>
      <c r="B17" s="141"/>
      <c r="C17" s="141"/>
      <c r="D17" s="47" t="s">
        <v>28</v>
      </c>
      <c r="E17" s="47" t="s">
        <v>25</v>
      </c>
      <c r="F17" s="47" t="s">
        <v>25</v>
      </c>
      <c r="G17" s="46" t="s">
        <v>74</v>
      </c>
      <c r="H17" s="46" t="s">
        <v>70</v>
      </c>
      <c r="I17" s="46">
        <f>'MERCADO TE'!$U$14</f>
        <v>0</v>
      </c>
      <c r="J17" s="15"/>
      <c r="L17" s="44">
        <f>'TR TE'!$L$17*'TR TE'!$L$49</f>
        <v>2.4412320191830728</v>
      </c>
      <c r="M17" s="44">
        <f>'TR TE'!$M$17*'TR TE'!$M$49</f>
        <v>22.354660185373014</v>
      </c>
      <c r="N17" s="44">
        <f>'TR TE'!$N$17*'TR TE'!$N$49</f>
        <v>0</v>
      </c>
      <c r="O17" s="44">
        <f>'TR TE'!$O$17*'TR TE'!$O$49</f>
        <v>2.2803104648027128</v>
      </c>
      <c r="P17" s="44">
        <f>'TR TE'!$P$17*'TR TE'!$P$49</f>
        <v>-16.116674696650602</v>
      </c>
      <c r="Q17" s="44">
        <f>SUM($L$17:$P$17)</f>
        <v>10.959527972708198</v>
      </c>
      <c r="R17" s="44">
        <f>'TR TE'!$R$17*'TR TE'!$R$49</f>
        <v>205.65028211700448</v>
      </c>
      <c r="S17" s="44">
        <f>SUM($R$17:$R$17)</f>
        <v>205.65028211700448</v>
      </c>
      <c r="T17" s="44">
        <f>'TR TE'!$T$17*'TR TE'!$T$49</f>
        <v>5.6816363142987285</v>
      </c>
      <c r="U17" s="44">
        <f>'TR TE'!$U$17*'TR TE'!$U$49</f>
        <v>3.977302283236603</v>
      </c>
      <c r="V17" s="44">
        <f>'TR TE'!$V$17*'TR TE'!$V$49</f>
        <v>0</v>
      </c>
      <c r="W17" s="44">
        <f>SUM($T$17:$V$17)</f>
        <v>9.6589385975353323</v>
      </c>
      <c r="X17" s="44"/>
      <c r="Y17" s="44">
        <f>SUM($X$17:$X$17)</f>
        <v>0</v>
      </c>
      <c r="Z17" s="44">
        <f>'TR TE'!$Z$17*'TR TE'!$Z$49</f>
        <v>5.9480835114544446</v>
      </c>
      <c r="AA17" s="44">
        <f>SUM($Z$17:$Z$17)</f>
        <v>5.9480835114544446</v>
      </c>
      <c r="AB17" s="44">
        <f>SUMIF($L$4:$AA$4,"SUBTOTAL",$L$17:$AA$17)</f>
        <v>232.21683219870246</v>
      </c>
    </row>
    <row r="18" spans="1:28" ht="11.25" customHeight="1" x14ac:dyDescent="0.25">
      <c r="A18" s="141"/>
      <c r="B18" s="141"/>
      <c r="C18" s="141"/>
      <c r="D18" s="47" t="s">
        <v>29</v>
      </c>
      <c r="E18" s="47" t="s">
        <v>25</v>
      </c>
      <c r="F18" s="47" t="s">
        <v>25</v>
      </c>
      <c r="G18" s="46" t="s">
        <v>74</v>
      </c>
      <c r="H18" s="46" t="s">
        <v>70</v>
      </c>
      <c r="I18" s="46">
        <f>'MERCADO TE'!$U$15</f>
        <v>0</v>
      </c>
      <c r="J18" s="15"/>
      <c r="L18" s="44">
        <f>'TR TE'!$L$18*'TR TE'!$L$49</f>
        <v>2.4412320191830728</v>
      </c>
      <c r="M18" s="44">
        <f>'TR TE'!$M$18*'TR TE'!$M$49</f>
        <v>22.354660185373014</v>
      </c>
      <c r="N18" s="44">
        <f>'TR TE'!$N$18*'TR TE'!$N$49</f>
        <v>0</v>
      </c>
      <c r="O18" s="44">
        <f>'TR TE'!$O$18*'TR TE'!$O$49</f>
        <v>2.2803104648027128</v>
      </c>
      <c r="P18" s="44">
        <f>'TR TE'!$P$18*'TR TE'!$P$49</f>
        <v>-16.116674696650602</v>
      </c>
      <c r="Q18" s="44">
        <f>SUM($L$18:$P$18)</f>
        <v>10.959527972708198</v>
      </c>
      <c r="R18" s="44">
        <f>'TR TE'!$R$18*'TR TE'!$R$49</f>
        <v>205.65028211700448</v>
      </c>
      <c r="S18" s="44">
        <f>SUM($R$18:$R$18)</f>
        <v>205.65028211700448</v>
      </c>
      <c r="T18" s="44">
        <f>'TR TE'!$T$18*'TR TE'!$T$49</f>
        <v>5.6816363142987285</v>
      </c>
      <c r="U18" s="44">
        <f>'TR TE'!$U$18*'TR TE'!$U$49</f>
        <v>3.977302283236603</v>
      </c>
      <c r="V18" s="44">
        <f>'TR TE'!$V$18*'TR TE'!$V$49</f>
        <v>0</v>
      </c>
      <c r="W18" s="44">
        <f>SUM($T$18:$V$18)</f>
        <v>9.6589385975353323</v>
      </c>
      <c r="X18" s="44"/>
      <c r="Y18" s="44">
        <f>SUM($X$18:$X$18)</f>
        <v>0</v>
      </c>
      <c r="Z18" s="44">
        <f>'TR TE'!$Z$18*'TR TE'!$Z$49</f>
        <v>5.9480835114544446</v>
      </c>
      <c r="AA18" s="44">
        <f>SUM($Z$18:$Z$18)</f>
        <v>5.9480835114544446</v>
      </c>
      <c r="AB18" s="44">
        <f>SUMIF($L$4:$AA$4,"SUBTOTAL",$L$18:$AA$18)</f>
        <v>232.21683219870246</v>
      </c>
    </row>
    <row r="19" spans="1:28" ht="11.25" customHeight="1" x14ac:dyDescent="0.25">
      <c r="A19" s="141"/>
      <c r="B19" s="141"/>
      <c r="C19" s="141"/>
      <c r="D19" s="47" t="s">
        <v>30</v>
      </c>
      <c r="E19" s="47" t="s">
        <v>25</v>
      </c>
      <c r="F19" s="47" t="s">
        <v>25</v>
      </c>
      <c r="G19" s="46" t="s">
        <v>74</v>
      </c>
      <c r="H19" s="46" t="s">
        <v>70</v>
      </c>
      <c r="I19" s="46">
        <f>'MERCADO TE'!$U$16</f>
        <v>0</v>
      </c>
      <c r="J19" s="15"/>
      <c r="L19" s="44">
        <f>'TR TE'!$L$19*'TR TE'!$L$49</f>
        <v>2.4412320191830728</v>
      </c>
      <c r="M19" s="44">
        <f>'TR TE'!$M$19*'TR TE'!$M$49</f>
        <v>22.354660185373014</v>
      </c>
      <c r="N19" s="44">
        <f>'TR TE'!$N$19*'TR TE'!$N$49</f>
        <v>0</v>
      </c>
      <c r="O19" s="44">
        <f>'TR TE'!$O$19*'TR TE'!$O$49</f>
        <v>2.2803104648027128</v>
      </c>
      <c r="P19" s="44">
        <f>'TR TE'!$P$19*'TR TE'!$P$49</f>
        <v>-16.116674696650602</v>
      </c>
      <c r="Q19" s="44">
        <f>SUM($L$19:$P$19)</f>
        <v>10.959527972708198</v>
      </c>
      <c r="R19" s="44">
        <f>'TR TE'!$R$19*'TR TE'!$R$49</f>
        <v>205.65028211700448</v>
      </c>
      <c r="S19" s="44">
        <f>SUM($R$19:$R$19)</f>
        <v>205.65028211700448</v>
      </c>
      <c r="T19" s="44">
        <f>'TR TE'!$T$19*'TR TE'!$T$49</f>
        <v>5.6816363142987285</v>
      </c>
      <c r="U19" s="44">
        <f>'TR TE'!$U$19*'TR TE'!$U$49</f>
        <v>3.977302283236603</v>
      </c>
      <c r="V19" s="44">
        <f>'TR TE'!$V$19*'TR TE'!$V$49</f>
        <v>0</v>
      </c>
      <c r="W19" s="44">
        <f>SUM($T$19:$V$19)</f>
        <v>9.6589385975353323</v>
      </c>
      <c r="X19" s="44"/>
      <c r="Y19" s="44">
        <f>SUM($X$19:$X$19)</f>
        <v>0</v>
      </c>
      <c r="Z19" s="44">
        <f>'TR TE'!$Z$19*'TR TE'!$Z$49</f>
        <v>5.9480835114544446</v>
      </c>
      <c r="AA19" s="44">
        <f>SUM($Z$19:$Z$19)</f>
        <v>5.9480835114544446</v>
      </c>
      <c r="AB19" s="44">
        <f>SUMIF($L$4:$AA$4,"SUBTOTAL",$L$19:$AA$19)</f>
        <v>232.21683219870246</v>
      </c>
    </row>
    <row r="20" spans="1:28" ht="11.25" customHeight="1" x14ac:dyDescent="0.25">
      <c r="A20" s="141"/>
      <c r="B20" s="141"/>
      <c r="C20" s="141"/>
      <c r="D20" s="47" t="s">
        <v>31</v>
      </c>
      <c r="E20" s="47" t="s">
        <v>25</v>
      </c>
      <c r="F20" s="47" t="s">
        <v>25</v>
      </c>
      <c r="G20" s="46" t="s">
        <v>74</v>
      </c>
      <c r="H20" s="46" t="s">
        <v>70</v>
      </c>
      <c r="I20" s="46">
        <f>'MERCADO TE'!$U$17</f>
        <v>0</v>
      </c>
      <c r="J20" s="15"/>
      <c r="L20" s="44">
        <f>'TR TE'!$L$20*'TR TE'!$L$49</f>
        <v>2.4412320191830728</v>
      </c>
      <c r="M20" s="44">
        <f>'TR TE'!$M$20*'TR TE'!$M$49</f>
        <v>22.354660185373014</v>
      </c>
      <c r="N20" s="44">
        <f>'TR TE'!$N$20*'TR TE'!$N$49</f>
        <v>0</v>
      </c>
      <c r="O20" s="44">
        <f>'TR TE'!$O$20*'TR TE'!$O$49</f>
        <v>2.2803104648027128</v>
      </c>
      <c r="P20" s="44">
        <f>'TR TE'!$P$20*'TR TE'!$P$49</f>
        <v>-16.116674696650602</v>
      </c>
      <c r="Q20" s="44">
        <f>SUM($L$20:$P$20)</f>
        <v>10.959527972708198</v>
      </c>
      <c r="R20" s="44">
        <f>'TR TE'!$R$20*'TR TE'!$R$49</f>
        <v>205.65028211700448</v>
      </c>
      <c r="S20" s="44">
        <f>SUM($R$20:$R$20)</f>
        <v>205.65028211700448</v>
      </c>
      <c r="T20" s="44">
        <f>'TR TE'!$T$20*'TR TE'!$T$49</f>
        <v>5.6816363142987285</v>
      </c>
      <c r="U20" s="44">
        <f>'TR TE'!$U$20*'TR TE'!$U$49</f>
        <v>3.977302283236603</v>
      </c>
      <c r="V20" s="44">
        <f>'TR TE'!$V$20*'TR TE'!$V$49</f>
        <v>0</v>
      </c>
      <c r="W20" s="44">
        <f>SUM($T$20:$V$20)</f>
        <v>9.6589385975353323</v>
      </c>
      <c r="X20" s="44"/>
      <c r="Y20" s="44">
        <f>SUM($X$20:$X$20)</f>
        <v>0</v>
      </c>
      <c r="Z20" s="44">
        <f>'TR TE'!$Z$20*'TR TE'!$Z$49</f>
        <v>5.9480835114544446</v>
      </c>
      <c r="AA20" s="44">
        <f>SUM($Z$20:$Z$20)</f>
        <v>5.9480835114544446</v>
      </c>
      <c r="AB20" s="44">
        <f>SUMIF($L$4:$AA$4,"SUBTOTAL",$L$20:$AA$20)</f>
        <v>232.21683219870246</v>
      </c>
    </row>
    <row r="21" spans="1:28" ht="11.25" customHeight="1" x14ac:dyDescent="0.25">
      <c r="A21" s="141" t="s">
        <v>39</v>
      </c>
      <c r="B21" s="141" t="s">
        <v>69</v>
      </c>
      <c r="C21" s="141" t="s">
        <v>40</v>
      </c>
      <c r="D21" s="141" t="s">
        <v>25</v>
      </c>
      <c r="E21" s="141" t="s">
        <v>25</v>
      </c>
      <c r="F21" s="141" t="s">
        <v>25</v>
      </c>
      <c r="G21" s="46" t="s">
        <v>71</v>
      </c>
      <c r="H21" s="46" t="s">
        <v>70</v>
      </c>
      <c r="I21" s="46">
        <f>'MERCADO TE'!$U$18</f>
        <v>0</v>
      </c>
      <c r="J21" s="15"/>
      <c r="L21" s="44">
        <f>'TR TE'!$L$21*'TR TE'!$L$49</f>
        <v>2.4412320191830728</v>
      </c>
      <c r="M21" s="44">
        <f>'TR TE'!$M$21*'TR TE'!$M$49</f>
        <v>22.354660185373014</v>
      </c>
      <c r="N21" s="44">
        <f>'TR TE'!$N$21*'TR TE'!$N$49</f>
        <v>0</v>
      </c>
      <c r="O21" s="44">
        <f>'TR TE'!$O$21*'TR TE'!$O$49</f>
        <v>2.2803104648027128</v>
      </c>
      <c r="P21" s="44">
        <f>'TR TE'!$P$21*'TR TE'!$P$49</f>
        <v>-16.116674696650602</v>
      </c>
      <c r="Q21" s="44">
        <f>SUM($L$21:$P$21)</f>
        <v>10.959527972708198</v>
      </c>
      <c r="R21" s="44">
        <f>'TR TE'!$R$21*'TR TE'!$R$49</f>
        <v>333.69668418985628</v>
      </c>
      <c r="S21" s="44">
        <f>SUM($R$21:$R$21)</f>
        <v>333.69668418985628</v>
      </c>
      <c r="T21" s="44">
        <f>'TR TE'!$T$21*'TR TE'!$T$49</f>
        <v>5.6816363142987285</v>
      </c>
      <c r="U21" s="44">
        <f>'TR TE'!$U$21*'TR TE'!$U$49</f>
        <v>3.977302283236603</v>
      </c>
      <c r="V21" s="44">
        <f>'TR TE'!$V$21*'TR TE'!$V$49</f>
        <v>0</v>
      </c>
      <c r="W21" s="44">
        <f>SUM($T$21:$V$21)</f>
        <v>9.6589385975353323</v>
      </c>
      <c r="X21" s="44"/>
      <c r="Y21" s="44">
        <f>SUM($X$21:$X$21)</f>
        <v>0</v>
      </c>
      <c r="Z21" s="44">
        <f>'TR TE'!$Z$21*'TR TE'!$Z$49</f>
        <v>5.9480835114544446</v>
      </c>
      <c r="AA21" s="44">
        <f>SUM($Z$21:$Z$21)</f>
        <v>5.9480835114544446</v>
      </c>
      <c r="AB21" s="44">
        <f>SUMIF($L$4:$AA$4,"SUBTOTAL",$L$21:$AA$21)</f>
        <v>360.26323427155427</v>
      </c>
    </row>
    <row r="22" spans="1:28" ht="11.25" customHeight="1" x14ac:dyDescent="0.25">
      <c r="A22" s="141"/>
      <c r="B22" s="141"/>
      <c r="C22" s="141"/>
      <c r="D22" s="141"/>
      <c r="E22" s="141"/>
      <c r="F22" s="141"/>
      <c r="G22" s="46" t="s">
        <v>83</v>
      </c>
      <c r="H22" s="46" t="s">
        <v>70</v>
      </c>
      <c r="I22" s="46">
        <f>'MERCADO TE'!$U$19</f>
        <v>0</v>
      </c>
      <c r="J22" s="15"/>
      <c r="L22" s="44">
        <f>'TR TE'!$L$22*'TR TE'!$L$49</f>
        <v>2.4412320191830728</v>
      </c>
      <c r="M22" s="44">
        <f>'TR TE'!$M$22*'TR TE'!$M$49</f>
        <v>22.354660185373014</v>
      </c>
      <c r="N22" s="44">
        <f>'TR TE'!$N$22*'TR TE'!$N$49</f>
        <v>0</v>
      </c>
      <c r="O22" s="44">
        <f>'TR TE'!$O$22*'TR TE'!$O$49</f>
        <v>2.2803104648027128</v>
      </c>
      <c r="P22" s="44">
        <f>'TR TE'!$P$22*'TR TE'!$P$49</f>
        <v>-16.116674696650602</v>
      </c>
      <c r="Q22" s="44">
        <f>SUM($L$22:$P$22)</f>
        <v>10.959527972708198</v>
      </c>
      <c r="R22" s="44">
        <f>'TR TE'!$R$22*'TR TE'!$R$49</f>
        <v>194.00970011038157</v>
      </c>
      <c r="S22" s="44">
        <f>SUM($R$22:$R$22)</f>
        <v>194.00970011038157</v>
      </c>
      <c r="T22" s="44">
        <f>'TR TE'!$T$22*'TR TE'!$T$49</f>
        <v>5.6816363142987285</v>
      </c>
      <c r="U22" s="44">
        <f>'TR TE'!$U$22*'TR TE'!$U$49</f>
        <v>3.977302283236603</v>
      </c>
      <c r="V22" s="44">
        <f>'TR TE'!$V$22*'TR TE'!$V$49</f>
        <v>0</v>
      </c>
      <c r="W22" s="44">
        <f>SUM($T$22:$V$22)</f>
        <v>9.6589385975353323</v>
      </c>
      <c r="X22" s="44"/>
      <c r="Y22" s="44">
        <f>SUM($X$22:$X$22)</f>
        <v>0</v>
      </c>
      <c r="Z22" s="44">
        <f>'TR TE'!$Z$22*'TR TE'!$Z$49</f>
        <v>5.9480835114544446</v>
      </c>
      <c r="AA22" s="44">
        <f>SUM($Z$22:$Z$22)</f>
        <v>5.9480835114544446</v>
      </c>
      <c r="AB22" s="44">
        <f>SUMIF($L$4:$AA$4,"SUBTOTAL",$L$22:$AA$22)</f>
        <v>220.57625019207956</v>
      </c>
    </row>
    <row r="23" spans="1:28" ht="11.25" customHeight="1" x14ac:dyDescent="0.25">
      <c r="A23" s="141"/>
      <c r="B23" s="141"/>
      <c r="C23" s="141"/>
      <c r="D23" s="141"/>
      <c r="E23" s="141"/>
      <c r="F23" s="141"/>
      <c r="G23" s="46" t="s">
        <v>72</v>
      </c>
      <c r="H23" s="46" t="s">
        <v>70</v>
      </c>
      <c r="I23" s="46">
        <f>'MERCADO TE'!$U$20</f>
        <v>0</v>
      </c>
      <c r="J23" s="15"/>
      <c r="L23" s="44">
        <f>'TR TE'!$L$23*'TR TE'!$L$49</f>
        <v>2.4412320191830728</v>
      </c>
      <c r="M23" s="44">
        <f>'TR TE'!$M$23*'TR TE'!$M$49</f>
        <v>22.354660185373014</v>
      </c>
      <c r="N23" s="44">
        <f>'TR TE'!$N$23*'TR TE'!$N$49</f>
        <v>0</v>
      </c>
      <c r="O23" s="44">
        <f>'TR TE'!$O$23*'TR TE'!$O$49</f>
        <v>2.2803104648027128</v>
      </c>
      <c r="P23" s="44">
        <f>'TR TE'!$P$23*'TR TE'!$P$49</f>
        <v>-16.116674696650602</v>
      </c>
      <c r="Q23" s="44">
        <f>SUM($L$23:$P$23)</f>
        <v>10.959527972708198</v>
      </c>
      <c r="R23" s="44">
        <f>'TR TE'!$R$23*'TR TE'!$R$49</f>
        <v>194.00970011038157</v>
      </c>
      <c r="S23" s="44">
        <f>SUM($R$23:$R$23)</f>
        <v>194.00970011038157</v>
      </c>
      <c r="T23" s="44">
        <f>'TR TE'!$T$23*'TR TE'!$T$49</f>
        <v>5.6816363142987285</v>
      </c>
      <c r="U23" s="44">
        <f>'TR TE'!$U$23*'TR TE'!$U$49</f>
        <v>3.977302283236603</v>
      </c>
      <c r="V23" s="44">
        <f>'TR TE'!$V$23*'TR TE'!$V$49</f>
        <v>0</v>
      </c>
      <c r="W23" s="44">
        <f>SUM($T$23:$V$23)</f>
        <v>9.6589385975353323</v>
      </c>
      <c r="X23" s="44"/>
      <c r="Y23" s="44">
        <f>SUM($X$23:$X$23)</f>
        <v>0</v>
      </c>
      <c r="Z23" s="44">
        <f>'TR TE'!$Z$23*'TR TE'!$Z$49</f>
        <v>5.9480835114544446</v>
      </c>
      <c r="AA23" s="44">
        <f>SUM($Z$23:$Z$23)</f>
        <v>5.9480835114544446</v>
      </c>
      <c r="AB23" s="44">
        <f>SUMIF($L$4:$AA$4,"SUBTOTAL",$L$23:$AA$23)</f>
        <v>220.57625019207956</v>
      </c>
    </row>
    <row r="24" spans="1:28" ht="11.25" customHeight="1" x14ac:dyDescent="0.25">
      <c r="A24" s="141"/>
      <c r="B24" s="47" t="s">
        <v>73</v>
      </c>
      <c r="C24" s="47" t="s">
        <v>40</v>
      </c>
      <c r="D24" s="47" t="s">
        <v>25</v>
      </c>
      <c r="E24" s="47" t="s">
        <v>25</v>
      </c>
      <c r="F24" s="47" t="s">
        <v>25</v>
      </c>
      <c r="G24" s="46" t="s">
        <v>74</v>
      </c>
      <c r="H24" s="46" t="s">
        <v>70</v>
      </c>
      <c r="I24" s="46">
        <f>'MERCADO TE'!$U$21</f>
        <v>45.472000000000001</v>
      </c>
      <c r="J24" s="15"/>
      <c r="L24" s="44">
        <f>'TR TE'!$L$24*'TR TE'!$L$49</f>
        <v>2.4412320191830728</v>
      </c>
      <c r="M24" s="44">
        <f>'TR TE'!$M$24*'TR TE'!$M$49</f>
        <v>22.354660185373014</v>
      </c>
      <c r="N24" s="44">
        <f>'TR TE'!$N$24*'TR TE'!$N$49</f>
        <v>0</v>
      </c>
      <c r="O24" s="44">
        <f>'TR TE'!$O$24*'TR TE'!$O$49</f>
        <v>2.2803104648027128</v>
      </c>
      <c r="P24" s="44">
        <f>'TR TE'!$P$24*'TR TE'!$P$49</f>
        <v>-16.116674696650602</v>
      </c>
      <c r="Q24" s="44">
        <f>SUM($L$24:$P$24)</f>
        <v>10.959527972708198</v>
      </c>
      <c r="R24" s="44">
        <f>'TR TE'!$R$24*'TR TE'!$R$49</f>
        <v>205.65028211700448</v>
      </c>
      <c r="S24" s="44">
        <f>SUM($R$24:$R$24)</f>
        <v>205.65028211700448</v>
      </c>
      <c r="T24" s="44">
        <f>'TR TE'!$T$24*'TR TE'!$T$49</f>
        <v>5.6816363142987285</v>
      </c>
      <c r="U24" s="44">
        <f>'TR TE'!$U$24*'TR TE'!$U$49</f>
        <v>3.977302283236603</v>
      </c>
      <c r="V24" s="44">
        <f>'TR TE'!$V$24*'TR TE'!$V$49</f>
        <v>0</v>
      </c>
      <c r="W24" s="44">
        <f>SUM($T$24:$V$24)</f>
        <v>9.6589385975353323</v>
      </c>
      <c r="X24" s="44"/>
      <c r="Y24" s="44">
        <f>SUM($X$24:$X$24)</f>
        <v>0</v>
      </c>
      <c r="Z24" s="44">
        <f>'TR TE'!$Z$24*'TR TE'!$Z$49</f>
        <v>5.9480835114544446</v>
      </c>
      <c r="AA24" s="44">
        <f>SUM($Z$24:$Z$24)</f>
        <v>5.9480835114544446</v>
      </c>
      <c r="AB24" s="44">
        <f>SUMIF($L$4:$AA$4,"SUBTOTAL",$L$24:$AA$24)</f>
        <v>232.21683219870246</v>
      </c>
    </row>
    <row r="25" spans="1:28" ht="11.25" customHeight="1" x14ac:dyDescent="0.25">
      <c r="A25" s="141"/>
      <c r="B25" s="141" t="s">
        <v>69</v>
      </c>
      <c r="C25" s="141" t="s">
        <v>40</v>
      </c>
      <c r="D25" s="141" t="s">
        <v>86</v>
      </c>
      <c r="E25" s="141" t="s">
        <v>25</v>
      </c>
      <c r="F25" s="141" t="s">
        <v>25</v>
      </c>
      <c r="G25" s="46" t="s">
        <v>71</v>
      </c>
      <c r="H25" s="46" t="s">
        <v>70</v>
      </c>
      <c r="I25" s="46">
        <f>'MERCADO TE'!$U$22</f>
        <v>0</v>
      </c>
      <c r="J25" s="15"/>
      <c r="L25" s="44">
        <f>'TR TE'!$L$25*'TR TE'!$L$49</f>
        <v>2.4412320191830728</v>
      </c>
      <c r="M25" s="44">
        <f>'TR TE'!$M$25*'TR TE'!$M$49</f>
        <v>22.354660185373014</v>
      </c>
      <c r="N25" s="44">
        <f>'TR TE'!$N$25*'TR TE'!$N$49</f>
        <v>0</v>
      </c>
      <c r="O25" s="44">
        <f>'TR TE'!$O$25*'TR TE'!$O$49</f>
        <v>2.2803104648027128</v>
      </c>
      <c r="P25" s="44">
        <f>'TR TE'!$P$25*'TR TE'!$P$49</f>
        <v>-16.116674696650602</v>
      </c>
      <c r="Q25" s="44">
        <f>SUM($L$25:$P$25)</f>
        <v>10.959527972708198</v>
      </c>
      <c r="R25" s="44">
        <f>'TR TE'!$R$25*'TR TE'!$R$49</f>
        <v>333.69668418985628</v>
      </c>
      <c r="S25" s="44">
        <f>SUM($R$25:$R$25)</f>
        <v>333.69668418985628</v>
      </c>
      <c r="T25" s="44">
        <f>'TR TE'!$T$25*'TR TE'!$T$49</f>
        <v>5.6816363142987285</v>
      </c>
      <c r="U25" s="44">
        <f>'TR TE'!$U$25*'TR TE'!$U$49</f>
        <v>3.977302283236603</v>
      </c>
      <c r="V25" s="44">
        <f>'TR TE'!$V$25*'TR TE'!$V$49</f>
        <v>0</v>
      </c>
      <c r="W25" s="44">
        <f>SUM($T$25:$V$25)</f>
        <v>9.6589385975353323</v>
      </c>
      <c r="X25" s="44"/>
      <c r="Y25" s="44">
        <f>SUM($X$25:$X$25)</f>
        <v>0</v>
      </c>
      <c r="Z25" s="44">
        <f>'TR TE'!$Z$25*'TR TE'!$Z$49</f>
        <v>5.9480835114544446</v>
      </c>
      <c r="AA25" s="44">
        <f>SUM($Z$25:$Z$25)</f>
        <v>5.9480835114544446</v>
      </c>
      <c r="AB25" s="44">
        <f>SUMIF($L$4:$AA$4,"SUBTOTAL",$L$25:$AA$25)</f>
        <v>360.26323427155427</v>
      </c>
    </row>
    <row r="26" spans="1:28" ht="11.25" customHeight="1" x14ac:dyDescent="0.25">
      <c r="A26" s="141"/>
      <c r="B26" s="141"/>
      <c r="C26" s="141"/>
      <c r="D26" s="141"/>
      <c r="E26" s="141"/>
      <c r="F26" s="141"/>
      <c r="G26" s="46" t="s">
        <v>83</v>
      </c>
      <c r="H26" s="46" t="s">
        <v>70</v>
      </c>
      <c r="I26" s="46">
        <f>'MERCADO TE'!$U$23</f>
        <v>0</v>
      </c>
      <c r="J26" s="15"/>
      <c r="L26" s="44">
        <f>'TR TE'!$L$26*'TR TE'!$L$49</f>
        <v>2.4412320191830728</v>
      </c>
      <c r="M26" s="44">
        <f>'TR TE'!$M$26*'TR TE'!$M$49</f>
        <v>22.354660185373014</v>
      </c>
      <c r="N26" s="44">
        <f>'TR TE'!$N$26*'TR TE'!$N$49</f>
        <v>0</v>
      </c>
      <c r="O26" s="44">
        <f>'TR TE'!$O$26*'TR TE'!$O$49</f>
        <v>2.2803104648027128</v>
      </c>
      <c r="P26" s="44">
        <f>'TR TE'!$P$26*'TR TE'!$P$49</f>
        <v>-16.116674696650602</v>
      </c>
      <c r="Q26" s="44">
        <f>SUM($L$26:$P$26)</f>
        <v>10.959527972708198</v>
      </c>
      <c r="R26" s="44">
        <f>'TR TE'!$R$26*'TR TE'!$R$49</f>
        <v>194.00970011038157</v>
      </c>
      <c r="S26" s="44">
        <f>SUM($R$26:$R$26)</f>
        <v>194.00970011038157</v>
      </c>
      <c r="T26" s="44">
        <f>'TR TE'!$T$26*'TR TE'!$T$49</f>
        <v>5.6816363142987285</v>
      </c>
      <c r="U26" s="44">
        <f>'TR TE'!$U$26*'TR TE'!$U$49</f>
        <v>3.977302283236603</v>
      </c>
      <c r="V26" s="44">
        <f>'TR TE'!$V$26*'TR TE'!$V$49</f>
        <v>0</v>
      </c>
      <c r="W26" s="44">
        <f>SUM($T$26:$V$26)</f>
        <v>9.6589385975353323</v>
      </c>
      <c r="X26" s="44"/>
      <c r="Y26" s="44">
        <f>SUM($X$26:$X$26)</f>
        <v>0</v>
      </c>
      <c r="Z26" s="44">
        <f>'TR TE'!$Z$26*'TR TE'!$Z$49</f>
        <v>5.9480835114544446</v>
      </c>
      <c r="AA26" s="44">
        <f>SUM($Z$26:$Z$26)</f>
        <v>5.9480835114544446</v>
      </c>
      <c r="AB26" s="44">
        <f>SUMIF($L$4:$AA$4,"SUBTOTAL",$L$26:$AA$26)</f>
        <v>220.57625019207956</v>
      </c>
    </row>
    <row r="27" spans="1:28" ht="11.25" customHeight="1" x14ac:dyDescent="0.25">
      <c r="A27" s="141"/>
      <c r="B27" s="141"/>
      <c r="C27" s="141"/>
      <c r="D27" s="141"/>
      <c r="E27" s="141"/>
      <c r="F27" s="141"/>
      <c r="G27" s="46" t="s">
        <v>72</v>
      </c>
      <c r="H27" s="46" t="s">
        <v>70</v>
      </c>
      <c r="I27" s="46">
        <f>'MERCADO TE'!$U$24</f>
        <v>0</v>
      </c>
      <c r="J27" s="15"/>
      <c r="L27" s="44">
        <f>'TR TE'!$L$27*'TR TE'!$L$49</f>
        <v>2.4412320191830728</v>
      </c>
      <c r="M27" s="44">
        <f>'TR TE'!$M$27*'TR TE'!$M$49</f>
        <v>22.354660185373014</v>
      </c>
      <c r="N27" s="44">
        <f>'TR TE'!$N$27*'TR TE'!$N$49</f>
        <v>0</v>
      </c>
      <c r="O27" s="44">
        <f>'TR TE'!$O$27*'TR TE'!$O$49</f>
        <v>2.2803104648027128</v>
      </c>
      <c r="P27" s="44">
        <f>'TR TE'!$P$27*'TR TE'!$P$49</f>
        <v>-16.116674696650602</v>
      </c>
      <c r="Q27" s="44">
        <f>SUM($L$27:$P$27)</f>
        <v>10.959527972708198</v>
      </c>
      <c r="R27" s="44">
        <f>'TR TE'!$R$27*'TR TE'!$R$49</f>
        <v>194.00970011038157</v>
      </c>
      <c r="S27" s="44">
        <f>SUM($R$27:$R$27)</f>
        <v>194.00970011038157</v>
      </c>
      <c r="T27" s="44">
        <f>'TR TE'!$T$27*'TR TE'!$T$49</f>
        <v>5.6816363142987285</v>
      </c>
      <c r="U27" s="44">
        <f>'TR TE'!$U$27*'TR TE'!$U$49</f>
        <v>3.977302283236603</v>
      </c>
      <c r="V27" s="44">
        <f>'TR TE'!$V$27*'TR TE'!$V$49</f>
        <v>0</v>
      </c>
      <c r="W27" s="44">
        <f>SUM($T$27:$V$27)</f>
        <v>9.6589385975353323</v>
      </c>
      <c r="X27" s="44"/>
      <c r="Y27" s="44">
        <f>SUM($X$27:$X$27)</f>
        <v>0</v>
      </c>
      <c r="Z27" s="44">
        <f>'TR TE'!$Z$27*'TR TE'!$Z$49</f>
        <v>5.9480835114544446</v>
      </c>
      <c r="AA27" s="44">
        <f>SUM($Z$27:$Z$27)</f>
        <v>5.9480835114544446</v>
      </c>
      <c r="AB27" s="44">
        <f>SUMIF($L$4:$AA$4,"SUBTOTAL",$L$27:$AA$27)</f>
        <v>220.57625019207956</v>
      </c>
    </row>
    <row r="28" spans="1:28" ht="11.25" customHeight="1" x14ac:dyDescent="0.25">
      <c r="A28" s="141"/>
      <c r="B28" s="47" t="s">
        <v>73</v>
      </c>
      <c r="C28" s="47" t="s">
        <v>40</v>
      </c>
      <c r="D28" s="47" t="s">
        <v>86</v>
      </c>
      <c r="E28" s="47" t="s">
        <v>25</v>
      </c>
      <c r="F28" s="47" t="s">
        <v>25</v>
      </c>
      <c r="G28" s="46" t="s">
        <v>74</v>
      </c>
      <c r="H28" s="46" t="s">
        <v>70</v>
      </c>
      <c r="I28" s="46">
        <f>'MERCADO TE'!$U$25</f>
        <v>0</v>
      </c>
      <c r="J28" s="15"/>
      <c r="L28" s="44">
        <f>'TR TE'!$L$28*'TR TE'!$L$49</f>
        <v>2.4412320191830728</v>
      </c>
      <c r="M28" s="44">
        <f>'TR TE'!$M$28*'TR TE'!$M$49</f>
        <v>22.354660185373014</v>
      </c>
      <c r="N28" s="44">
        <f>'TR TE'!$N$28*'TR TE'!$N$49</f>
        <v>0</v>
      </c>
      <c r="O28" s="44">
        <f>'TR TE'!$O$28*'TR TE'!$O$49</f>
        <v>2.2803104648027128</v>
      </c>
      <c r="P28" s="44">
        <f>'TR TE'!$P$28*'TR TE'!$P$49</f>
        <v>-16.116674696650602</v>
      </c>
      <c r="Q28" s="44">
        <f>SUM($L$28:$P$28)</f>
        <v>10.959527972708198</v>
      </c>
      <c r="R28" s="44">
        <f>'TR TE'!$R$28*'TR TE'!$R$49</f>
        <v>205.65028211700448</v>
      </c>
      <c r="S28" s="44">
        <f>SUM($R$28:$R$28)</f>
        <v>205.65028211700448</v>
      </c>
      <c r="T28" s="44">
        <f>'TR TE'!$T$28*'TR TE'!$T$49</f>
        <v>5.6816363142987285</v>
      </c>
      <c r="U28" s="44">
        <f>'TR TE'!$U$28*'TR TE'!$U$49</f>
        <v>3.977302283236603</v>
      </c>
      <c r="V28" s="44">
        <f>'TR TE'!$V$28*'TR TE'!$V$49</f>
        <v>0</v>
      </c>
      <c r="W28" s="44">
        <f>SUM($T$28:$V$28)</f>
        <v>9.6589385975353323</v>
      </c>
      <c r="X28" s="44"/>
      <c r="Y28" s="44">
        <f>SUM($X$28:$X$28)</f>
        <v>0</v>
      </c>
      <c r="Z28" s="44">
        <f>'TR TE'!$Z$28*'TR TE'!$Z$49</f>
        <v>5.9480835114544446</v>
      </c>
      <c r="AA28" s="44">
        <f>SUM($Z$28:$Z$28)</f>
        <v>5.9480835114544446</v>
      </c>
      <c r="AB28" s="44">
        <f>SUMIF($L$4:$AA$4,"SUBTOTAL",$L$28:$AA$28)</f>
        <v>232.21683219870246</v>
      </c>
    </row>
    <row r="29" spans="1:28" ht="11.25" customHeight="1" x14ac:dyDescent="0.25">
      <c r="A29" s="141"/>
      <c r="B29" s="141" t="s">
        <v>69</v>
      </c>
      <c r="C29" s="141" t="s">
        <v>40</v>
      </c>
      <c r="D29" s="141" t="s">
        <v>87</v>
      </c>
      <c r="E29" s="141" t="s">
        <v>25</v>
      </c>
      <c r="F29" s="141" t="s">
        <v>25</v>
      </c>
      <c r="G29" s="46" t="s">
        <v>71</v>
      </c>
      <c r="H29" s="46" t="s">
        <v>70</v>
      </c>
      <c r="I29" s="46">
        <f>'MERCADO TE'!$U$26</f>
        <v>0</v>
      </c>
      <c r="J29" s="15"/>
      <c r="L29" s="44">
        <f>'TR TE'!$L$29*'TR TE'!$L$49</f>
        <v>2.4412320191830728</v>
      </c>
      <c r="M29" s="44">
        <f>'TR TE'!$M$29*'TR TE'!$M$49</f>
        <v>22.354660185373014</v>
      </c>
      <c r="N29" s="44">
        <f>'TR TE'!$N$29*'TR TE'!$N$49</f>
        <v>0</v>
      </c>
      <c r="O29" s="44">
        <f>'TR TE'!$O$29*'TR TE'!$O$49</f>
        <v>2.2803104648027128</v>
      </c>
      <c r="P29" s="44">
        <f>'TR TE'!$P$29*'TR TE'!$P$49</f>
        <v>-16.116674696650602</v>
      </c>
      <c r="Q29" s="44">
        <f>SUM($L$29:$P$29)</f>
        <v>10.959527972708198</v>
      </c>
      <c r="R29" s="44">
        <f>'TR TE'!$R$29*'TR TE'!$R$49</f>
        <v>333.69668418985628</v>
      </c>
      <c r="S29" s="44">
        <f>SUM($R$29:$R$29)</f>
        <v>333.69668418985628</v>
      </c>
      <c r="T29" s="44">
        <f>'TR TE'!$T$29*'TR TE'!$T$49</f>
        <v>5.6816363142987285</v>
      </c>
      <c r="U29" s="44">
        <f>'TR TE'!$U$29*'TR TE'!$U$49</f>
        <v>3.977302283236603</v>
      </c>
      <c r="V29" s="44">
        <f>'TR TE'!$V$29*'TR TE'!$V$49</f>
        <v>0</v>
      </c>
      <c r="W29" s="44">
        <f>SUM($T$29:$V$29)</f>
        <v>9.6589385975353323</v>
      </c>
      <c r="X29" s="44"/>
      <c r="Y29" s="44">
        <f>SUM($X$29:$X$29)</f>
        <v>0</v>
      </c>
      <c r="Z29" s="44">
        <f>'TR TE'!$Z$29*'TR TE'!$Z$49</f>
        <v>5.9480835114544446</v>
      </c>
      <c r="AA29" s="44">
        <f>SUM($Z$29:$Z$29)</f>
        <v>5.9480835114544446</v>
      </c>
      <c r="AB29" s="44">
        <f>SUMIF($L$4:$AA$4,"SUBTOTAL",$L$29:$AA$29)</f>
        <v>360.26323427155427</v>
      </c>
    </row>
    <row r="30" spans="1:28" ht="11.25" customHeight="1" x14ac:dyDescent="0.25">
      <c r="A30" s="141"/>
      <c r="B30" s="141"/>
      <c r="C30" s="141"/>
      <c r="D30" s="141"/>
      <c r="E30" s="141"/>
      <c r="F30" s="141"/>
      <c r="G30" s="46" t="s">
        <v>83</v>
      </c>
      <c r="H30" s="46" t="s">
        <v>70</v>
      </c>
      <c r="I30" s="46">
        <f>'MERCADO TE'!$U$27</f>
        <v>0</v>
      </c>
      <c r="J30" s="15"/>
      <c r="L30" s="44">
        <f>'TR TE'!$L$30*'TR TE'!$L$49</f>
        <v>2.4412320191830728</v>
      </c>
      <c r="M30" s="44">
        <f>'TR TE'!$M$30*'TR TE'!$M$49</f>
        <v>22.354660185373014</v>
      </c>
      <c r="N30" s="44">
        <f>'TR TE'!$N$30*'TR TE'!$N$49</f>
        <v>0</v>
      </c>
      <c r="O30" s="44">
        <f>'TR TE'!$O$30*'TR TE'!$O$49</f>
        <v>2.2803104648027128</v>
      </c>
      <c r="P30" s="44">
        <f>'TR TE'!$P$30*'TR TE'!$P$49</f>
        <v>-16.116674696650602</v>
      </c>
      <c r="Q30" s="44">
        <f>SUM($L$30:$P$30)</f>
        <v>10.959527972708198</v>
      </c>
      <c r="R30" s="44">
        <f>'TR TE'!$R$30*'TR TE'!$R$49</f>
        <v>194.00970011038157</v>
      </c>
      <c r="S30" s="44">
        <f>SUM($R$30:$R$30)</f>
        <v>194.00970011038157</v>
      </c>
      <c r="T30" s="44">
        <f>'TR TE'!$T$30*'TR TE'!$T$49</f>
        <v>5.6816363142987285</v>
      </c>
      <c r="U30" s="44">
        <f>'TR TE'!$U$30*'TR TE'!$U$49</f>
        <v>3.977302283236603</v>
      </c>
      <c r="V30" s="44">
        <f>'TR TE'!$V$30*'TR TE'!$V$49</f>
        <v>0</v>
      </c>
      <c r="W30" s="44">
        <f>SUM($T$30:$V$30)</f>
        <v>9.6589385975353323</v>
      </c>
      <c r="X30" s="44"/>
      <c r="Y30" s="44">
        <f>SUM($X$30:$X$30)</f>
        <v>0</v>
      </c>
      <c r="Z30" s="44">
        <f>'TR TE'!$Z$30*'TR TE'!$Z$49</f>
        <v>5.9480835114544446</v>
      </c>
      <c r="AA30" s="44">
        <f>SUM($Z$30:$Z$30)</f>
        <v>5.9480835114544446</v>
      </c>
      <c r="AB30" s="44">
        <f>SUMIF($L$4:$AA$4,"SUBTOTAL",$L$30:$AA$30)</f>
        <v>220.57625019207956</v>
      </c>
    </row>
    <row r="31" spans="1:28" ht="11.25" customHeight="1" x14ac:dyDescent="0.25">
      <c r="A31" s="141"/>
      <c r="B31" s="141"/>
      <c r="C31" s="141"/>
      <c r="D31" s="141"/>
      <c r="E31" s="141"/>
      <c r="F31" s="141"/>
      <c r="G31" s="46" t="s">
        <v>72</v>
      </c>
      <c r="H31" s="46" t="s">
        <v>70</v>
      </c>
      <c r="I31" s="46">
        <f>'MERCADO TE'!$U$28</f>
        <v>0</v>
      </c>
      <c r="J31" s="15"/>
      <c r="L31" s="44">
        <f>'TR TE'!$L$31*'TR TE'!$L$49</f>
        <v>2.4412320191830728</v>
      </c>
      <c r="M31" s="44">
        <f>'TR TE'!$M$31*'TR TE'!$M$49</f>
        <v>22.354660185373014</v>
      </c>
      <c r="N31" s="44">
        <f>'TR TE'!$N$31*'TR TE'!$N$49</f>
        <v>0</v>
      </c>
      <c r="O31" s="44">
        <f>'TR TE'!$O$31*'TR TE'!$O$49</f>
        <v>2.2803104648027128</v>
      </c>
      <c r="P31" s="44">
        <f>'TR TE'!$P$31*'TR TE'!$P$49</f>
        <v>-16.116674696650602</v>
      </c>
      <c r="Q31" s="44">
        <f>SUM($L$31:$P$31)</f>
        <v>10.959527972708198</v>
      </c>
      <c r="R31" s="44">
        <f>'TR TE'!$R$31*'TR TE'!$R$49</f>
        <v>194.00970011038157</v>
      </c>
      <c r="S31" s="44">
        <f>SUM($R$31:$R$31)</f>
        <v>194.00970011038157</v>
      </c>
      <c r="T31" s="44">
        <f>'TR TE'!$T$31*'TR TE'!$T$49</f>
        <v>5.6816363142987285</v>
      </c>
      <c r="U31" s="44">
        <f>'TR TE'!$U$31*'TR TE'!$U$49</f>
        <v>3.977302283236603</v>
      </c>
      <c r="V31" s="44">
        <f>'TR TE'!$V$31*'TR TE'!$V$49</f>
        <v>0</v>
      </c>
      <c r="W31" s="44">
        <f>SUM($T$31:$V$31)</f>
        <v>9.6589385975353323</v>
      </c>
      <c r="X31" s="44"/>
      <c r="Y31" s="44">
        <f>SUM($X$31:$X$31)</f>
        <v>0</v>
      </c>
      <c r="Z31" s="44">
        <f>'TR TE'!$Z$31*'TR TE'!$Z$49</f>
        <v>5.9480835114544446</v>
      </c>
      <c r="AA31" s="44">
        <f>SUM($Z$31:$Z$31)</f>
        <v>5.9480835114544446</v>
      </c>
      <c r="AB31" s="44">
        <f>SUMIF($L$4:$AA$4,"SUBTOTAL",$L$31:$AA$31)</f>
        <v>220.57625019207956</v>
      </c>
    </row>
    <row r="32" spans="1:28" ht="11.25" customHeight="1" x14ac:dyDescent="0.25">
      <c r="A32" s="141"/>
      <c r="B32" s="47" t="s">
        <v>73</v>
      </c>
      <c r="C32" s="47" t="s">
        <v>40</v>
      </c>
      <c r="D32" s="47" t="s">
        <v>87</v>
      </c>
      <c r="E32" s="47" t="s">
        <v>25</v>
      </c>
      <c r="F32" s="47" t="s">
        <v>25</v>
      </c>
      <c r="G32" s="46" t="s">
        <v>74</v>
      </c>
      <c r="H32" s="46" t="s">
        <v>70</v>
      </c>
      <c r="I32" s="46">
        <f>'MERCADO TE'!$U$29</f>
        <v>0</v>
      </c>
      <c r="J32" s="15"/>
      <c r="L32" s="44">
        <f>'TR TE'!$L$32*'TR TE'!$L$49</f>
        <v>2.4412320191830728</v>
      </c>
      <c r="M32" s="44">
        <f>'TR TE'!$M$32*'TR TE'!$M$49</f>
        <v>22.354660185373014</v>
      </c>
      <c r="N32" s="44">
        <f>'TR TE'!$N$32*'TR TE'!$N$49</f>
        <v>0</v>
      </c>
      <c r="O32" s="44">
        <f>'TR TE'!$O$32*'TR TE'!$O$49</f>
        <v>2.2803104648027128</v>
      </c>
      <c r="P32" s="44">
        <f>'TR TE'!$P$32*'TR TE'!$P$49</f>
        <v>-16.116674696650602</v>
      </c>
      <c r="Q32" s="44">
        <f>SUM($L$32:$P$32)</f>
        <v>10.959527972708198</v>
      </c>
      <c r="R32" s="44">
        <f>'TR TE'!$R$32*'TR TE'!$R$49</f>
        <v>205.65028211700448</v>
      </c>
      <c r="S32" s="44">
        <f>SUM($R$32:$R$32)</f>
        <v>205.65028211700448</v>
      </c>
      <c r="T32" s="44">
        <f>'TR TE'!$T$32*'TR TE'!$T$49</f>
        <v>5.6816363142987285</v>
      </c>
      <c r="U32" s="44">
        <f>'TR TE'!$U$32*'TR TE'!$U$49</f>
        <v>3.977302283236603</v>
      </c>
      <c r="V32" s="44">
        <f>'TR TE'!$V$32*'TR TE'!$V$49</f>
        <v>0</v>
      </c>
      <c r="W32" s="44">
        <f>SUM($T$32:$V$32)</f>
        <v>9.6589385975353323</v>
      </c>
      <c r="X32" s="44"/>
      <c r="Y32" s="44">
        <f>SUM($X$32:$X$32)</f>
        <v>0</v>
      </c>
      <c r="Z32" s="44">
        <f>'TR TE'!$Z$32*'TR TE'!$Z$49</f>
        <v>5.9480835114544446</v>
      </c>
      <c r="AA32" s="44">
        <f>SUM($Z$32:$Z$32)</f>
        <v>5.9480835114544446</v>
      </c>
      <c r="AB32" s="44">
        <f>SUMIF($L$4:$AA$4,"SUBTOTAL",$L$32:$AA$32)</f>
        <v>232.21683219870246</v>
      </c>
    </row>
    <row r="33" spans="1:28" ht="11.25" customHeight="1" x14ac:dyDescent="0.25">
      <c r="A33" s="141"/>
      <c r="B33" s="141" t="s">
        <v>84</v>
      </c>
      <c r="C33" s="141" t="s">
        <v>40</v>
      </c>
      <c r="D33" s="47" t="s">
        <v>25</v>
      </c>
      <c r="E33" s="47" t="s">
        <v>25</v>
      </c>
      <c r="F33" s="47" t="s">
        <v>25</v>
      </c>
      <c r="G33" s="46" t="s">
        <v>74</v>
      </c>
      <c r="H33" s="46" t="s">
        <v>70</v>
      </c>
      <c r="I33" s="46">
        <f>'MERCADO TE'!$U$30</f>
        <v>0</v>
      </c>
      <c r="J33" s="15"/>
      <c r="L33" s="44">
        <f>'TR TE'!$L$33*'TR TE'!$L$49</f>
        <v>2.4412320191830728</v>
      </c>
      <c r="M33" s="44">
        <f>'TR TE'!$M$33*'TR TE'!$M$49</f>
        <v>22.354660185373014</v>
      </c>
      <c r="N33" s="44">
        <f>'TR TE'!$N$33*'TR TE'!$N$49</f>
        <v>0</v>
      </c>
      <c r="O33" s="44">
        <f>'TR TE'!$O$33*'TR TE'!$O$49</f>
        <v>2.2803104648027128</v>
      </c>
      <c r="P33" s="44">
        <f>'TR TE'!$P$33*'TR TE'!$P$49</f>
        <v>-16.116674696650602</v>
      </c>
      <c r="Q33" s="44">
        <f>SUM($L$33:$P$33)</f>
        <v>10.959527972708198</v>
      </c>
      <c r="R33" s="44">
        <f>'TR TE'!$R$33*'TR TE'!$R$49</f>
        <v>205.65028211700448</v>
      </c>
      <c r="S33" s="44">
        <f>SUM($R$33:$R$33)</f>
        <v>205.65028211700448</v>
      </c>
      <c r="T33" s="44">
        <f>'TR TE'!$T$33*'TR TE'!$T$49</f>
        <v>5.6816363142987285</v>
      </c>
      <c r="U33" s="44">
        <f>'TR TE'!$U$33*'TR TE'!$U$49</f>
        <v>3.977302283236603</v>
      </c>
      <c r="V33" s="44">
        <f>'TR TE'!$V$33*'TR TE'!$V$49</f>
        <v>0</v>
      </c>
      <c r="W33" s="44">
        <f>SUM($T$33:$V$33)</f>
        <v>9.6589385975353323</v>
      </c>
      <c r="X33" s="44"/>
      <c r="Y33" s="44">
        <f>SUM($X$33:$X$33)</f>
        <v>0</v>
      </c>
      <c r="Z33" s="44">
        <f>'TR TE'!$Z$33*'TR TE'!$Z$49</f>
        <v>5.9480835114544446</v>
      </c>
      <c r="AA33" s="44">
        <f>SUM($Z$33:$Z$33)</f>
        <v>5.9480835114544446</v>
      </c>
      <c r="AB33" s="44">
        <f>SUMIF($L$4:$AA$4,"SUBTOTAL",$L$33:$AA$33)</f>
        <v>232.21683219870246</v>
      </c>
    </row>
    <row r="34" spans="1:28" ht="11.25" customHeight="1" x14ac:dyDescent="0.25">
      <c r="A34" s="141"/>
      <c r="B34" s="141"/>
      <c r="C34" s="141"/>
      <c r="D34" s="47" t="s">
        <v>86</v>
      </c>
      <c r="E34" s="47" t="s">
        <v>25</v>
      </c>
      <c r="F34" s="47" t="s">
        <v>25</v>
      </c>
      <c r="G34" s="46" t="s">
        <v>74</v>
      </c>
      <c r="H34" s="46" t="s">
        <v>70</v>
      </c>
      <c r="I34" s="46">
        <f>'MERCADO TE'!$U$31</f>
        <v>0</v>
      </c>
      <c r="J34" s="15"/>
      <c r="L34" s="44">
        <f>'TR TE'!$L$34*'TR TE'!$L$49</f>
        <v>2.4412320191830728</v>
      </c>
      <c r="M34" s="44">
        <f>'TR TE'!$M$34*'TR TE'!$M$49</f>
        <v>22.354660185373014</v>
      </c>
      <c r="N34" s="44">
        <f>'TR TE'!$N$34*'TR TE'!$N$49</f>
        <v>0</v>
      </c>
      <c r="O34" s="44">
        <f>'TR TE'!$O$34*'TR TE'!$O$49</f>
        <v>2.2803104648027128</v>
      </c>
      <c r="P34" s="44">
        <f>'TR TE'!$P$34*'TR TE'!$P$49</f>
        <v>-16.116674696650602</v>
      </c>
      <c r="Q34" s="44">
        <f>SUM($L$34:$P$34)</f>
        <v>10.959527972708198</v>
      </c>
      <c r="R34" s="44">
        <f>'TR TE'!$R$34*'TR TE'!$R$49</f>
        <v>205.65028211700448</v>
      </c>
      <c r="S34" s="44">
        <f>SUM($R$34:$R$34)</f>
        <v>205.65028211700448</v>
      </c>
      <c r="T34" s="44">
        <f>'TR TE'!$T$34*'TR TE'!$T$49</f>
        <v>5.6816363142987285</v>
      </c>
      <c r="U34" s="44">
        <f>'TR TE'!$U$34*'TR TE'!$U$49</f>
        <v>3.977302283236603</v>
      </c>
      <c r="V34" s="44">
        <f>'TR TE'!$V$34*'TR TE'!$V$49</f>
        <v>0</v>
      </c>
      <c r="W34" s="44">
        <f>SUM($T$34:$V$34)</f>
        <v>9.6589385975353323</v>
      </c>
      <c r="X34" s="44"/>
      <c r="Y34" s="44">
        <f>SUM($X$34:$X$34)</f>
        <v>0</v>
      </c>
      <c r="Z34" s="44">
        <f>'TR TE'!$Z$34*'TR TE'!$Z$49</f>
        <v>5.9480835114544446</v>
      </c>
      <c r="AA34" s="44">
        <f>SUM($Z$34:$Z$34)</f>
        <v>5.9480835114544446</v>
      </c>
      <c r="AB34" s="44">
        <f>SUMIF($L$4:$AA$4,"SUBTOTAL",$L$34:$AA$34)</f>
        <v>232.21683219870246</v>
      </c>
    </row>
    <row r="35" spans="1:28" ht="11.25" customHeight="1" x14ac:dyDescent="0.25">
      <c r="A35" s="141"/>
      <c r="B35" s="141"/>
      <c r="C35" s="141"/>
      <c r="D35" s="47" t="s">
        <v>87</v>
      </c>
      <c r="E35" s="47" t="s">
        <v>25</v>
      </c>
      <c r="F35" s="47" t="s">
        <v>25</v>
      </c>
      <c r="G35" s="46" t="s">
        <v>74</v>
      </c>
      <c r="H35" s="46" t="s">
        <v>70</v>
      </c>
      <c r="I35" s="46">
        <f>'MERCADO TE'!$U$32</f>
        <v>0</v>
      </c>
      <c r="J35" s="15"/>
      <c r="L35" s="44">
        <f>'TR TE'!$L$35*'TR TE'!$L$49</f>
        <v>2.4412320191830728</v>
      </c>
      <c r="M35" s="44">
        <f>'TR TE'!$M$35*'TR TE'!$M$49</f>
        <v>22.354660185373014</v>
      </c>
      <c r="N35" s="44">
        <f>'TR TE'!$N$35*'TR TE'!$N$49</f>
        <v>0</v>
      </c>
      <c r="O35" s="44">
        <f>'TR TE'!$O$35*'TR TE'!$O$49</f>
        <v>2.2803104648027128</v>
      </c>
      <c r="P35" s="44">
        <f>'TR TE'!$P$35*'TR TE'!$P$49</f>
        <v>-16.116674696650602</v>
      </c>
      <c r="Q35" s="44">
        <f>SUM($L$35:$P$35)</f>
        <v>10.959527972708198</v>
      </c>
      <c r="R35" s="44">
        <f>'TR TE'!$R$35*'TR TE'!$R$49</f>
        <v>205.65028211700448</v>
      </c>
      <c r="S35" s="44">
        <f>SUM($R$35:$R$35)</f>
        <v>205.65028211700448</v>
      </c>
      <c r="T35" s="44">
        <f>'TR TE'!$T$35*'TR TE'!$T$49</f>
        <v>5.6816363142987285</v>
      </c>
      <c r="U35" s="44">
        <f>'TR TE'!$U$35*'TR TE'!$U$49</f>
        <v>3.977302283236603</v>
      </c>
      <c r="V35" s="44">
        <f>'TR TE'!$V$35*'TR TE'!$V$49</f>
        <v>0</v>
      </c>
      <c r="W35" s="44">
        <f>SUM($T$35:$V$35)</f>
        <v>9.6589385975353323</v>
      </c>
      <c r="X35" s="44"/>
      <c r="Y35" s="44">
        <f>SUM($X$35:$X$35)</f>
        <v>0</v>
      </c>
      <c r="Z35" s="44">
        <f>'TR TE'!$Z$35*'TR TE'!$Z$49</f>
        <v>5.9480835114544446</v>
      </c>
      <c r="AA35" s="44">
        <f>SUM($Z$35:$Z$35)</f>
        <v>5.9480835114544446</v>
      </c>
      <c r="AB35" s="44">
        <f>SUMIF($L$4:$AA$4,"SUBTOTAL",$L$35:$AA$35)</f>
        <v>232.21683219870246</v>
      </c>
    </row>
    <row r="36" spans="1:28" ht="11.25" customHeight="1" x14ac:dyDescent="0.25">
      <c r="A36" s="141" t="s">
        <v>32</v>
      </c>
      <c r="B36" s="141" t="s">
        <v>69</v>
      </c>
      <c r="C36" s="141" t="s">
        <v>25</v>
      </c>
      <c r="D36" s="141" t="s">
        <v>25</v>
      </c>
      <c r="E36" s="141" t="s">
        <v>25</v>
      </c>
      <c r="F36" s="141" t="s">
        <v>25</v>
      </c>
      <c r="G36" s="46" t="s">
        <v>71</v>
      </c>
      <c r="H36" s="46" t="s">
        <v>70</v>
      </c>
      <c r="I36" s="46">
        <f>'MERCADO TE'!$U$33</f>
        <v>0.216</v>
      </c>
      <c r="J36" s="15"/>
      <c r="L36" s="44">
        <f>'TR TE'!$L$36*'TR TE'!$L$49</f>
        <v>2.4412320191830728</v>
      </c>
      <c r="M36" s="44">
        <f>'TR TE'!$M$36*'TR TE'!$M$49</f>
        <v>22.354660185373014</v>
      </c>
      <c r="N36" s="44">
        <f>'TR TE'!$N$36*'TR TE'!$N$49</f>
        <v>0</v>
      </c>
      <c r="O36" s="44">
        <f>'TR TE'!$O$36*'TR TE'!$O$49</f>
        <v>2.2803104648027128</v>
      </c>
      <c r="P36" s="44">
        <f>'TR TE'!$P$36*'TR TE'!$P$49</f>
        <v>-16.116674696650602</v>
      </c>
      <c r="Q36" s="44">
        <f>SUM($L$36:$P$36)</f>
        <v>10.959527972708198</v>
      </c>
      <c r="R36" s="44">
        <f>'TR TE'!$R$36*'TR TE'!$R$49</f>
        <v>333.69668418985628</v>
      </c>
      <c r="S36" s="44">
        <f>SUM($R$36:$R$36)</f>
        <v>333.69668418985628</v>
      </c>
      <c r="T36" s="44">
        <f>'TR TE'!$T$36*'TR TE'!$T$49</f>
        <v>5.6816363142987285</v>
      </c>
      <c r="U36" s="44">
        <f>'TR TE'!$U$36*'TR TE'!$U$49</f>
        <v>3.977302283236603</v>
      </c>
      <c r="V36" s="44">
        <f>'TR TE'!$V$36*'TR TE'!$V$49</f>
        <v>0</v>
      </c>
      <c r="W36" s="44">
        <f>SUM($T$36:$V$36)</f>
        <v>9.6589385975353323</v>
      </c>
      <c r="X36" s="44"/>
      <c r="Y36" s="44">
        <f>SUM($X$36:$X$36)</f>
        <v>0</v>
      </c>
      <c r="Z36" s="44">
        <f>'TR TE'!$Z$36*'TR TE'!$Z$49</f>
        <v>5.9480835114544446</v>
      </c>
      <c r="AA36" s="44">
        <f>SUM($Z$36:$Z$36)</f>
        <v>5.9480835114544446</v>
      </c>
      <c r="AB36" s="44">
        <f>SUMIF($L$4:$AA$4,"SUBTOTAL",$L$36:$AA$36)</f>
        <v>360.26323427155427</v>
      </c>
    </row>
    <row r="37" spans="1:28" ht="11.25" customHeight="1" x14ac:dyDescent="0.25">
      <c r="A37" s="141"/>
      <c r="B37" s="141"/>
      <c r="C37" s="141"/>
      <c r="D37" s="141"/>
      <c r="E37" s="141"/>
      <c r="F37" s="141"/>
      <c r="G37" s="46" t="s">
        <v>83</v>
      </c>
      <c r="H37" s="46" t="s">
        <v>70</v>
      </c>
      <c r="I37" s="46">
        <f>'MERCADO TE'!$U$34</f>
        <v>0.24</v>
      </c>
      <c r="J37" s="15"/>
      <c r="L37" s="44">
        <f>'TR TE'!$L$37*'TR TE'!$L$49</f>
        <v>2.4412320191830728</v>
      </c>
      <c r="M37" s="44">
        <f>'TR TE'!$M$37*'TR TE'!$M$49</f>
        <v>22.354660185373014</v>
      </c>
      <c r="N37" s="44">
        <f>'TR TE'!$N$37*'TR TE'!$N$49</f>
        <v>0</v>
      </c>
      <c r="O37" s="44">
        <f>'TR TE'!$O$37*'TR TE'!$O$49</f>
        <v>2.2803104648027128</v>
      </c>
      <c r="P37" s="44">
        <f>'TR TE'!$P$37*'TR TE'!$P$49</f>
        <v>-16.116674696650602</v>
      </c>
      <c r="Q37" s="44">
        <f>SUM($L$37:$P$37)</f>
        <v>10.959527972708198</v>
      </c>
      <c r="R37" s="44">
        <f>'TR TE'!$R$37*'TR TE'!$R$49</f>
        <v>194.00970011038157</v>
      </c>
      <c r="S37" s="44">
        <f>SUM($R$37:$R$37)</f>
        <v>194.00970011038157</v>
      </c>
      <c r="T37" s="44">
        <f>'TR TE'!$T$37*'TR TE'!$T$49</f>
        <v>5.6816363142987285</v>
      </c>
      <c r="U37" s="44">
        <f>'TR TE'!$U$37*'TR TE'!$U$49</f>
        <v>3.977302283236603</v>
      </c>
      <c r="V37" s="44">
        <f>'TR TE'!$V$37*'TR TE'!$V$49</f>
        <v>0</v>
      </c>
      <c r="W37" s="44">
        <f>SUM($T$37:$V$37)</f>
        <v>9.6589385975353323</v>
      </c>
      <c r="X37" s="44"/>
      <c r="Y37" s="44">
        <f>SUM($X$37:$X$37)</f>
        <v>0</v>
      </c>
      <c r="Z37" s="44">
        <f>'TR TE'!$Z$37*'TR TE'!$Z$49</f>
        <v>5.9480835114544446</v>
      </c>
      <c r="AA37" s="44">
        <f>SUM($Z$37:$Z$37)</f>
        <v>5.9480835114544446</v>
      </c>
      <c r="AB37" s="44">
        <f>SUMIF($L$4:$AA$4,"SUBTOTAL",$L$37:$AA$37)</f>
        <v>220.57625019207956</v>
      </c>
    </row>
    <row r="38" spans="1:28" ht="11.25" customHeight="1" x14ac:dyDescent="0.25">
      <c r="A38" s="141"/>
      <c r="B38" s="141"/>
      <c r="C38" s="141"/>
      <c r="D38" s="141"/>
      <c r="E38" s="141"/>
      <c r="F38" s="141"/>
      <c r="G38" s="46" t="s">
        <v>72</v>
      </c>
      <c r="H38" s="46" t="s">
        <v>70</v>
      </c>
      <c r="I38" s="46">
        <f>'MERCADO TE'!$U$35</f>
        <v>3.742</v>
      </c>
      <c r="J38" s="15"/>
      <c r="L38" s="44">
        <f>'TR TE'!$L$38*'TR TE'!$L$49</f>
        <v>2.4412320191830728</v>
      </c>
      <c r="M38" s="44">
        <f>'TR TE'!$M$38*'TR TE'!$M$49</f>
        <v>22.354660185373014</v>
      </c>
      <c r="N38" s="44">
        <f>'TR TE'!$N$38*'TR TE'!$N$49</f>
        <v>0</v>
      </c>
      <c r="O38" s="44">
        <f>'TR TE'!$O$38*'TR TE'!$O$49</f>
        <v>2.2803104648027128</v>
      </c>
      <c r="P38" s="44">
        <f>'TR TE'!$P$38*'TR TE'!$P$49</f>
        <v>-16.116674696650602</v>
      </c>
      <c r="Q38" s="44">
        <f>SUM($L$38:$P$38)</f>
        <v>10.959527972708198</v>
      </c>
      <c r="R38" s="44">
        <f>'TR TE'!$R$38*'TR TE'!$R$49</f>
        <v>194.00970011038157</v>
      </c>
      <c r="S38" s="44">
        <f>SUM($R$38:$R$38)</f>
        <v>194.00970011038157</v>
      </c>
      <c r="T38" s="44">
        <f>'TR TE'!$T$38*'TR TE'!$T$49</f>
        <v>5.6816363142987285</v>
      </c>
      <c r="U38" s="44">
        <f>'TR TE'!$U$38*'TR TE'!$U$49</f>
        <v>3.977302283236603</v>
      </c>
      <c r="V38" s="44">
        <f>'TR TE'!$V$38*'TR TE'!$V$49</f>
        <v>0</v>
      </c>
      <c r="W38" s="44">
        <f>SUM($T$38:$V$38)</f>
        <v>9.6589385975353323</v>
      </c>
      <c r="X38" s="44"/>
      <c r="Y38" s="44">
        <f>SUM($X$38:$X$38)</f>
        <v>0</v>
      </c>
      <c r="Z38" s="44">
        <f>'TR TE'!$Z$38*'TR TE'!$Z$49</f>
        <v>5.9480835114544446</v>
      </c>
      <c r="AA38" s="44">
        <f>SUM($Z$38:$Z$38)</f>
        <v>5.9480835114544446</v>
      </c>
      <c r="AB38" s="44">
        <f>SUMIF($L$4:$AA$4,"SUBTOTAL",$L$38:$AA$38)</f>
        <v>220.57625019207956</v>
      </c>
    </row>
    <row r="39" spans="1:28" ht="11.25" customHeight="1" x14ac:dyDescent="0.25">
      <c r="A39" s="141"/>
      <c r="B39" s="47" t="s">
        <v>73</v>
      </c>
      <c r="C39" s="47" t="s">
        <v>25</v>
      </c>
      <c r="D39" s="47" t="s">
        <v>25</v>
      </c>
      <c r="E39" s="47" t="s">
        <v>25</v>
      </c>
      <c r="F39" s="47" t="s">
        <v>25</v>
      </c>
      <c r="G39" s="46" t="s">
        <v>74</v>
      </c>
      <c r="H39" s="46" t="s">
        <v>70</v>
      </c>
      <c r="I39" s="46">
        <f>'MERCADO TE'!$U$36</f>
        <v>12398.925999999999</v>
      </c>
      <c r="J39" s="15"/>
      <c r="L39" s="44">
        <f>'TR TE'!$L$39*'TR TE'!$L$49</f>
        <v>2.4412320191830728</v>
      </c>
      <c r="M39" s="44">
        <f>'TR TE'!$M$39*'TR TE'!$M$49</f>
        <v>22.354660185373014</v>
      </c>
      <c r="N39" s="44">
        <f>'TR TE'!$N$39*'TR TE'!$N$49</f>
        <v>0</v>
      </c>
      <c r="O39" s="44">
        <f>'TR TE'!$O$39*'TR TE'!$O$49</f>
        <v>2.2803104648027128</v>
      </c>
      <c r="P39" s="44">
        <f>'TR TE'!$P$39*'TR TE'!$P$49</f>
        <v>-16.116674696650602</v>
      </c>
      <c r="Q39" s="44">
        <f>SUM($L$39:$P$39)</f>
        <v>10.959527972708198</v>
      </c>
      <c r="R39" s="44">
        <f>'TR TE'!$R$39*'TR TE'!$R$49</f>
        <v>205.65028211700448</v>
      </c>
      <c r="S39" s="44">
        <f>SUM($R$39:$R$39)</f>
        <v>205.65028211700448</v>
      </c>
      <c r="T39" s="44">
        <f>'TR TE'!$T$39*'TR TE'!$T$49</f>
        <v>5.6816363142987285</v>
      </c>
      <c r="U39" s="44">
        <f>'TR TE'!$U$39*'TR TE'!$U$49</f>
        <v>3.977302283236603</v>
      </c>
      <c r="V39" s="44">
        <f>'TR TE'!$V$39*'TR TE'!$V$49</f>
        <v>0</v>
      </c>
      <c r="W39" s="44">
        <f>SUM($T$39:$V$39)</f>
        <v>9.6589385975353323</v>
      </c>
      <c r="X39" s="44"/>
      <c r="Y39" s="44">
        <f>SUM($X$39:$X$39)</f>
        <v>0</v>
      </c>
      <c r="Z39" s="44">
        <f>'TR TE'!$Z$39*'TR TE'!$Z$49</f>
        <v>5.9480835114544446</v>
      </c>
      <c r="AA39" s="44">
        <f>SUM($Z$39:$Z$39)</f>
        <v>5.9480835114544446</v>
      </c>
      <c r="AB39" s="44">
        <f>SUMIF($L$4:$AA$4,"SUBTOTAL",$L$39:$AA$39)</f>
        <v>232.21683219870246</v>
      </c>
    </row>
    <row r="40" spans="1:28" ht="11.25" customHeight="1" x14ac:dyDescent="0.25">
      <c r="A40" s="141"/>
      <c r="B40" s="47" t="s">
        <v>84</v>
      </c>
      <c r="C40" s="47" t="s">
        <v>25</v>
      </c>
      <c r="D40" s="47" t="s">
        <v>25</v>
      </c>
      <c r="E40" s="47" t="s">
        <v>25</v>
      </c>
      <c r="F40" s="47" t="s">
        <v>25</v>
      </c>
      <c r="G40" s="46" t="s">
        <v>74</v>
      </c>
      <c r="H40" s="46" t="s">
        <v>70</v>
      </c>
      <c r="I40" s="46">
        <f>'MERCADO TE'!$U$37</f>
        <v>0</v>
      </c>
      <c r="J40" s="15"/>
      <c r="L40" s="44">
        <f>'TR TE'!$L$40*'TR TE'!$L$49</f>
        <v>2.4412320191830728</v>
      </c>
      <c r="M40" s="44">
        <f>'TR TE'!$M$40*'TR TE'!$M$49</f>
        <v>22.354660185373014</v>
      </c>
      <c r="N40" s="44">
        <f>'TR TE'!$N$40*'TR TE'!$N$49</f>
        <v>0</v>
      </c>
      <c r="O40" s="44">
        <f>'TR TE'!$O$40*'TR TE'!$O$49</f>
        <v>2.2803104648027128</v>
      </c>
      <c r="P40" s="44">
        <f>'TR TE'!$P$40*'TR TE'!$P$49</f>
        <v>-16.116674696650602</v>
      </c>
      <c r="Q40" s="44">
        <f>SUM($L$40:$P$40)</f>
        <v>10.959527972708198</v>
      </c>
      <c r="R40" s="44">
        <f>'TR TE'!$R$40*'TR TE'!$R$49</f>
        <v>205.65028211700448</v>
      </c>
      <c r="S40" s="44">
        <f>SUM($R$40:$R$40)</f>
        <v>205.65028211700448</v>
      </c>
      <c r="T40" s="44">
        <f>'TR TE'!$T$40*'TR TE'!$T$49</f>
        <v>5.6816363142987285</v>
      </c>
      <c r="U40" s="44">
        <f>'TR TE'!$U$40*'TR TE'!$U$49</f>
        <v>3.977302283236603</v>
      </c>
      <c r="V40" s="44">
        <f>'TR TE'!$V$40*'TR TE'!$V$49</f>
        <v>0</v>
      </c>
      <c r="W40" s="44">
        <f>SUM($T$40:$V$40)</f>
        <v>9.6589385975353323</v>
      </c>
      <c r="X40" s="44"/>
      <c r="Y40" s="44">
        <f>SUM($X$40:$X$40)</f>
        <v>0</v>
      </c>
      <c r="Z40" s="44">
        <f>'TR TE'!$Z$40*'TR TE'!$Z$49</f>
        <v>5.9480835114544446</v>
      </c>
      <c r="AA40" s="44">
        <f>SUM($Z$40:$Z$40)</f>
        <v>5.9480835114544446</v>
      </c>
      <c r="AB40" s="44">
        <f>SUMIF($L$4:$AA$4,"SUBTOTAL",$L$40:$AA$40)</f>
        <v>232.21683219870246</v>
      </c>
    </row>
    <row r="41" spans="1:28" ht="11.25" customHeight="1" x14ac:dyDescent="0.25">
      <c r="A41" s="141" t="s">
        <v>42</v>
      </c>
      <c r="B41" s="141" t="s">
        <v>73</v>
      </c>
      <c r="C41" s="141" t="s">
        <v>43</v>
      </c>
      <c r="D41" s="47" t="s">
        <v>44</v>
      </c>
      <c r="E41" s="47" t="s">
        <v>25</v>
      </c>
      <c r="F41" s="47" t="s">
        <v>25</v>
      </c>
      <c r="G41" s="46" t="s">
        <v>74</v>
      </c>
      <c r="H41" s="46" t="s">
        <v>70</v>
      </c>
      <c r="I41" s="46">
        <f>'MERCADO TE'!$U$38</f>
        <v>3575.7699999999995</v>
      </c>
      <c r="J41" s="15"/>
      <c r="L41" s="44">
        <f>'TR TE'!$L$41*'TR TE'!$L$49</f>
        <v>1.3426776105506901</v>
      </c>
      <c r="M41" s="44">
        <f>'TR TE'!$M$41*'TR TE'!$M$49</f>
        <v>12.295063101955158</v>
      </c>
      <c r="N41" s="44">
        <f>'TR TE'!$N$41*'TR TE'!$N$49</f>
        <v>0</v>
      </c>
      <c r="O41" s="44">
        <f>'TR TE'!$O$41*'TR TE'!$O$49</f>
        <v>1.2541707556414921</v>
      </c>
      <c r="P41" s="44">
        <f>'TR TE'!$P$41*'TR TE'!$P$49</f>
        <v>-8.8641710831578315</v>
      </c>
      <c r="Q41" s="44">
        <f>SUM($L$41:$P$41)</f>
        <v>6.0277403849895101</v>
      </c>
      <c r="R41" s="44">
        <f>'TR TE'!$R$41*'TR TE'!$R$49</f>
        <v>113.10765516435247</v>
      </c>
      <c r="S41" s="44">
        <f>SUM($R$41:$R$41)</f>
        <v>113.10765516435247</v>
      </c>
      <c r="T41" s="44">
        <f>'TR TE'!$T$41*'TR TE'!$T$49</f>
        <v>3.1248999728643008</v>
      </c>
      <c r="U41" s="44">
        <f>'TR TE'!$U$41*'TR TE'!$U$49</f>
        <v>2.1875162557801318</v>
      </c>
      <c r="V41" s="44">
        <f>'TR TE'!$V$41*'TR TE'!$V$49</f>
        <v>0</v>
      </c>
      <c r="W41" s="44">
        <f>SUM($T$41:$V$41)</f>
        <v>5.3124162286444321</v>
      </c>
      <c r="X41" s="44"/>
      <c r="Y41" s="44">
        <f>SUM($X$41:$X$41)</f>
        <v>0</v>
      </c>
      <c r="Z41" s="44">
        <f>'TR TE'!$Z$41*'TR TE'!$Z$49</f>
        <v>3.2714459312999447</v>
      </c>
      <c r="AA41" s="44">
        <f>SUM($Z$41:$Z$41)</f>
        <v>3.2714459312999447</v>
      </c>
      <c r="AB41" s="44">
        <f>SUMIF($L$4:$AA$4,"SUBTOTAL",$L$41:$AA$41)</f>
        <v>127.71925770928637</v>
      </c>
    </row>
    <row r="42" spans="1:28" ht="11.25" customHeight="1" x14ac:dyDescent="0.25">
      <c r="A42" s="141"/>
      <c r="B42" s="141"/>
      <c r="C42" s="141"/>
      <c r="D42" s="46" t="s">
        <v>88</v>
      </c>
      <c r="E42" s="46" t="s">
        <v>25</v>
      </c>
      <c r="F42" s="46" t="s">
        <v>25</v>
      </c>
      <c r="G42" s="46" t="s">
        <v>74</v>
      </c>
      <c r="H42" s="46" t="s">
        <v>70</v>
      </c>
      <c r="I42" s="46">
        <f>'MERCADO TE'!$U$39</f>
        <v>0</v>
      </c>
      <c r="J42" s="15"/>
      <c r="L42" s="44">
        <f>'TR TE'!$L$42*'TR TE'!$L$49</f>
        <v>1.4647392115098437</v>
      </c>
      <c r="M42" s="44">
        <f>'TR TE'!$M$42*'TR TE'!$M$49</f>
        <v>13.412796111223807</v>
      </c>
      <c r="N42" s="44">
        <f>'TR TE'!$N$42*'TR TE'!$N$49</f>
        <v>0</v>
      </c>
      <c r="O42" s="44">
        <f>'TR TE'!$O$42*'TR TE'!$O$49</f>
        <v>1.3681862788816277</v>
      </c>
      <c r="P42" s="44">
        <f>'TR TE'!$P$42*'TR TE'!$P$49</f>
        <v>-9.6700048179903604</v>
      </c>
      <c r="Q42" s="44">
        <f>SUM($L$42:$P$42)</f>
        <v>6.5757167836249195</v>
      </c>
      <c r="R42" s="44">
        <f>'TR TE'!$R$42*'TR TE'!$R$49</f>
        <v>123.39016927020268</v>
      </c>
      <c r="S42" s="44">
        <f>SUM($R$42:$R$42)</f>
        <v>123.39016927020268</v>
      </c>
      <c r="T42" s="44">
        <f>'TR TE'!$T$42*'TR TE'!$T$49</f>
        <v>3.4089817885792368</v>
      </c>
      <c r="U42" s="44">
        <f>'TR TE'!$U$42*'TR TE'!$U$49</f>
        <v>2.3863813699419616</v>
      </c>
      <c r="V42" s="44">
        <f>'TR TE'!$V$42*'TR TE'!$V$49</f>
        <v>0</v>
      </c>
      <c r="W42" s="44">
        <f>SUM($T$42:$V$42)</f>
        <v>5.795363158521198</v>
      </c>
      <c r="X42" s="44"/>
      <c r="Y42" s="44">
        <f>SUM($X$42:$X$42)</f>
        <v>0</v>
      </c>
      <c r="Z42" s="44">
        <f>'TR TE'!$Z$42*'TR TE'!$Z$49</f>
        <v>3.5688501068726666</v>
      </c>
      <c r="AA42" s="44">
        <f>SUM($Z$42:$Z$42)</f>
        <v>3.5688501068726666</v>
      </c>
      <c r="AB42" s="44">
        <f>SUMIF($L$4:$AA$4,"SUBTOTAL",$L$42:$AA$42)</f>
        <v>139.33009931922146</v>
      </c>
    </row>
    <row r="44" spans="1:28" ht="11.25" customHeight="1" x14ac:dyDescent="0.25">
      <c r="K44" s="49" t="s">
        <v>525</v>
      </c>
      <c r="L44" s="44">
        <f t="shared" ref="L44:AB44" si="0">SUMPRODUCT($I$5:$I$42,L$5:L$42)</f>
        <v>149957.71426059183</v>
      </c>
      <c r="M44" s="44">
        <f t="shared" si="0"/>
        <v>1373181.1307278299</v>
      </c>
      <c r="N44" s="44">
        <f t="shared" si="0"/>
        <v>0</v>
      </c>
      <c r="O44" s="44">
        <f t="shared" si="0"/>
        <v>140072.77572115077</v>
      </c>
      <c r="P44" s="44">
        <f t="shared" si="0"/>
        <v>-989999.99999999977</v>
      </c>
      <c r="Q44" s="44">
        <f t="shared" si="0"/>
        <v>673211.6207095728</v>
      </c>
      <c r="R44" s="44">
        <f t="shared" si="0"/>
        <v>12636690.427500498</v>
      </c>
      <c r="S44" s="44">
        <f t="shared" si="0"/>
        <v>12636690.427500498</v>
      </c>
      <c r="T44" s="44">
        <f t="shared" si="0"/>
        <v>349006.23466233403</v>
      </c>
      <c r="U44" s="44">
        <f t="shared" si="0"/>
        <v>244313.99991106981</v>
      </c>
      <c r="V44" s="44">
        <f t="shared" si="0"/>
        <v>0</v>
      </c>
      <c r="W44" s="44">
        <f t="shared" si="0"/>
        <v>593320.23457340384</v>
      </c>
      <c r="X44" s="44">
        <f t="shared" si="0"/>
        <v>0</v>
      </c>
      <c r="Y44" s="44">
        <f t="shared" si="0"/>
        <v>0</v>
      </c>
      <c r="Z44" s="44">
        <f t="shared" si="0"/>
        <v>365373.30356141506</v>
      </c>
      <c r="AA44" s="44">
        <f t="shared" si="0"/>
        <v>365373.30356141506</v>
      </c>
      <c r="AB44" s="44">
        <f t="shared" si="0"/>
        <v>14268595.586344892</v>
      </c>
    </row>
    <row r="45" spans="1:28" ht="11.25" customHeight="1" x14ac:dyDescent="0.25">
      <c r="K45" s="49" t="s">
        <v>450</v>
      </c>
      <c r="L45" s="44">
        <f>CUSTOS!$D$30</f>
        <v>149957.71426059183</v>
      </c>
      <c r="M45" s="44">
        <f>CUSTOS!$D$31</f>
        <v>1373181.1307278299</v>
      </c>
      <c r="N45" s="44">
        <f>CUSTOS!$D$32</f>
        <v>0</v>
      </c>
      <c r="O45" s="44">
        <f>CUSTOS!$D$33</f>
        <v>140072.77572115077</v>
      </c>
      <c r="P45" s="44">
        <f>CUSTOS!$D$34</f>
        <v>-989999.99999999988</v>
      </c>
      <c r="Q45" s="44">
        <f>CUSTOS!$D$35</f>
        <v>673211.62070957257</v>
      </c>
      <c r="R45" s="44">
        <f>CUSTOS!$D$36</f>
        <v>12636690.427500499</v>
      </c>
      <c r="S45" s="44">
        <f>CUSTOS!$D$37</f>
        <v>12636690.427500499</v>
      </c>
      <c r="T45" s="44">
        <f>CUSTOS!$D$38</f>
        <v>349006.23466233397</v>
      </c>
      <c r="U45" s="44">
        <f>CUSTOS!$D$39</f>
        <v>244313.99991106981</v>
      </c>
      <c r="V45" s="44">
        <f>CUSTOS!$D$40</f>
        <v>0</v>
      </c>
      <c r="W45" s="44">
        <f>CUSTOS!$D$41</f>
        <v>593320.23457340384</v>
      </c>
      <c r="X45" s="44">
        <f>CUSTOS!$D$42</f>
        <v>0</v>
      </c>
      <c r="Y45" s="44">
        <f>CUSTOS!$D$43</f>
        <v>0</v>
      </c>
      <c r="Z45" s="44">
        <f>CUSTOS!$D$44</f>
        <v>365373.30356141517</v>
      </c>
      <c r="AA45" s="44">
        <f>CUSTOS!$D$45</f>
        <v>365373.30356141517</v>
      </c>
      <c r="AB45" s="44">
        <f>CUSTOS!$D$46</f>
        <v>14268595.58634489</v>
      </c>
    </row>
    <row r="46" spans="1:28" ht="11.25" customHeight="1" x14ac:dyDescent="0.25">
      <c r="K46" s="49" t="s">
        <v>451</v>
      </c>
      <c r="L46" s="44">
        <f>CUSTOS!$E$30</f>
        <v>2.8183465855034721E-2</v>
      </c>
      <c r="M46" s="44">
        <f>CUSTOS!$E$31</f>
        <v>-305393.76818123687</v>
      </c>
      <c r="N46" s="44">
        <f>CUSTOS!$E$32</f>
        <v>0</v>
      </c>
      <c r="O46" s="44">
        <f>CUSTOS!$E$33</f>
        <v>-2078.5898471862465</v>
      </c>
      <c r="P46" s="44">
        <f>CUSTOS!$E$34</f>
        <v>0</v>
      </c>
      <c r="Q46" s="44">
        <f>CUSTOS!$E$35</f>
        <v>-307472.32984495722</v>
      </c>
      <c r="R46" s="44">
        <f>CUSTOS!$E$36</f>
        <v>-781855.38567599771</v>
      </c>
      <c r="S46" s="44">
        <f>CUSTOS!$E$37</f>
        <v>-781855.38567599771</v>
      </c>
      <c r="T46" s="44">
        <f>CUSTOS!$E$38</f>
        <v>12010.748699454911</v>
      </c>
      <c r="U46" s="44">
        <f>CUSTOS!$E$39</f>
        <v>1848.8338852243451</v>
      </c>
      <c r="V46" s="44">
        <f>CUSTOS!$E$40</f>
        <v>0</v>
      </c>
      <c r="W46" s="44">
        <f>CUSTOS!$E$41</f>
        <v>13859.582584679256</v>
      </c>
      <c r="X46" s="44">
        <f>CUSTOS!$E$42</f>
        <v>-1505345.7598727958</v>
      </c>
      <c r="Y46" s="44">
        <f>CUSTOS!$E$43</f>
        <v>-1505345.7598727958</v>
      </c>
      <c r="Z46" s="44">
        <f>CUSTOS!$E$44</f>
        <v>-22606.321394883464</v>
      </c>
      <c r="AA46" s="44">
        <f>CUSTOS!$E$45</f>
        <v>-22606.321394883464</v>
      </c>
      <c r="AB46" s="44">
        <f>CUSTOS!$E$46</f>
        <v>-2603420.2142039551</v>
      </c>
    </row>
    <row r="47" spans="1:28" ht="11.25" customHeight="1" x14ac:dyDescent="0.25">
      <c r="K47" s="49" t="s">
        <v>452</v>
      </c>
      <c r="L47" s="44">
        <f>CUSTOS!$F$30</f>
        <v>0</v>
      </c>
      <c r="M47" s="44">
        <f>CUSTOS!$F$31</f>
        <v>796793.7746</v>
      </c>
      <c r="N47" s="44">
        <f>CUSTOS!$F$32</f>
        <v>0</v>
      </c>
      <c r="O47" s="44">
        <f>CUSTOS!$F$33</f>
        <v>9188.7292802005632</v>
      </c>
      <c r="P47" s="44">
        <f>CUSTOS!$F$34</f>
        <v>0</v>
      </c>
      <c r="Q47" s="44">
        <f>CUSTOS!$F$35</f>
        <v>805982.50388020056</v>
      </c>
      <c r="R47" s="44">
        <f>CUSTOS!$F$36</f>
        <v>1364147.4510150065</v>
      </c>
      <c r="S47" s="44">
        <f>CUSTOS!$F$37</f>
        <v>1364147.4510150065</v>
      </c>
      <c r="T47" s="44">
        <f>CUSTOS!$F$38</f>
        <v>88608.9905</v>
      </c>
      <c r="U47" s="44">
        <f>CUSTOS!$F$39</f>
        <v>18356.556700000001</v>
      </c>
      <c r="V47" s="44">
        <f>CUSTOS!$F$40</f>
        <v>0</v>
      </c>
      <c r="W47" s="44">
        <f>CUSTOS!$F$41</f>
        <v>106965.5472</v>
      </c>
      <c r="X47" s="44">
        <f>CUSTOS!$F$42</f>
        <v>0</v>
      </c>
      <c r="Y47" s="44">
        <f>CUSTOS!$F$43</f>
        <v>0</v>
      </c>
      <c r="Z47" s="44">
        <f>CUSTOS!$F$44</f>
        <v>39442.531537968789</v>
      </c>
      <c r="AA47" s="44">
        <f>CUSTOS!$F$45</f>
        <v>39442.531537968789</v>
      </c>
      <c r="AB47" s="44">
        <f>CUSTOS!$F$46</f>
        <v>2316538.0336331758</v>
      </c>
    </row>
    <row r="48" spans="1:28" ht="11.25" customHeight="1" x14ac:dyDescent="0.25">
      <c r="K48" s="49" t="s">
        <v>526</v>
      </c>
      <c r="L48" s="44">
        <f>'TR TE'!$L$48*L49</f>
        <v>4.5881186970682265E-7</v>
      </c>
      <c r="M48" s="44">
        <f>'TR TE'!$M$48*M49</f>
        <v>-4.9716485011730516</v>
      </c>
      <c r="N48" s="44">
        <f>'TR TE'!$N$48*N49</f>
        <v>0</v>
      </c>
      <c r="O48" s="44">
        <f>'TR TE'!$O$48*O49</f>
        <v>-3.3838339792789322E-2</v>
      </c>
      <c r="P48" s="44">
        <f>'TR TE'!$P$48*P49</f>
        <v>0</v>
      </c>
      <c r="Q48" s="44"/>
      <c r="R48" s="44">
        <f>'TR TE'!$R$48*R49</f>
        <v>-12.676595205596946</v>
      </c>
      <c r="S48" s="44"/>
      <c r="T48" s="44">
        <f>'TR TE'!$T$48*T49</f>
        <v>0.19552861581043851</v>
      </c>
      <c r="U48" s="44">
        <f>'TR TE'!$U$48*U49</f>
        <v>3.0098034642732759E-2</v>
      </c>
      <c r="V48" s="44">
        <f>'TR TE'!$V$48*V49</f>
        <v>0</v>
      </c>
      <c r="W48" s="44"/>
      <c r="X48" s="44"/>
      <c r="Y48" s="44"/>
      <c r="Z48" s="44">
        <f>'TR TE'!$Z$48*Z49</f>
        <v>-0.36801891718108032</v>
      </c>
      <c r="AA48" s="44"/>
      <c r="AB48" s="44"/>
    </row>
    <row r="49" spans="11:28" ht="11.25" customHeight="1" x14ac:dyDescent="0.25">
      <c r="K49" s="49" t="s">
        <v>519</v>
      </c>
      <c r="L49" s="44">
        <f>IF(L45&lt;&gt;0,L46/L45,0)</f>
        <v>1.8794275435579377E-7</v>
      </c>
      <c r="M49" s="44">
        <f>IF(M45&lt;&gt;0,M46/M45,0)</f>
        <v>-0.22239875086207195</v>
      </c>
      <c r="N49" s="44">
        <f>IF(N45&lt;&gt;0,N46/N45,0)</f>
        <v>0</v>
      </c>
      <c r="O49" s="44">
        <f>IF(O45&lt;&gt;0,O46/O45,0)</f>
        <v>-1.4839356445139559E-2</v>
      </c>
      <c r="P49" s="44">
        <f>IF(P45&lt;&gt;0,P46/P45,0)</f>
        <v>0</v>
      </c>
      <c r="Q49" s="44"/>
      <c r="R49" s="44">
        <f>IF(R45&lt;&gt;0,R46/R45,0)</f>
        <v>-6.1871847708992775E-2</v>
      </c>
      <c r="S49" s="44"/>
      <c r="T49" s="44">
        <f>IF(T45&lt;&gt;0,T46/T45,0)</f>
        <v>3.4414137933883607E-2</v>
      </c>
      <c r="U49" s="44">
        <f>IF(U45&lt;&gt;0,U46/U45,0)</f>
        <v>7.5674496176941141E-3</v>
      </c>
      <c r="V49" s="44">
        <f>IF(V45&lt;&gt;0,V46/V45,0)</f>
        <v>0</v>
      </c>
      <c r="W49" s="44"/>
      <c r="X49" s="44">
        <f>IF(($AB45-0)&lt;&gt;0,X46/($AB45-0),0)</f>
        <v>-0.10550062553552352</v>
      </c>
      <c r="Y49" s="44"/>
      <c r="Z49" s="44">
        <f>IF(Z45&lt;&gt;0,Z46/Z45,0)</f>
        <v>-6.1871847708992768E-2</v>
      </c>
      <c r="AA49" s="44"/>
      <c r="AB49" s="44"/>
    </row>
    <row r="50" spans="11:28" ht="11.25" customHeight="1" x14ac:dyDescent="0.25">
      <c r="K50" s="49" t="s">
        <v>528</v>
      </c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</row>
  </sheetData>
  <mergeCells count="61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8:F10"/>
    <mergeCell ref="B11:B15"/>
    <mergeCell ref="C11:C15"/>
    <mergeCell ref="B16:B20"/>
    <mergeCell ref="C16:C20"/>
    <mergeCell ref="A8:A20"/>
    <mergeCell ref="B8:B10"/>
    <mergeCell ref="C8:C10"/>
    <mergeCell ref="D8:D10"/>
    <mergeCell ref="E8:E10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E36:E38"/>
    <mergeCell ref="F36:F38"/>
    <mergeCell ref="A41:A42"/>
    <mergeCell ref="B41:B42"/>
    <mergeCell ref="C41:C42"/>
    <mergeCell ref="D36:D38"/>
  </mergeCells>
  <conditionalFormatting sqref="L44">
    <cfRule type="cellIs" dxfId="849" priority="33" operator="notEqual">
      <formula>$L$45</formula>
    </cfRule>
    <cfRule type="cellIs" dxfId="848" priority="34" operator="equal">
      <formula>$L$45</formula>
    </cfRule>
  </conditionalFormatting>
  <conditionalFormatting sqref="M44">
    <cfRule type="cellIs" dxfId="847" priority="31" operator="notEqual">
      <formula>$M$45</formula>
    </cfRule>
    <cfRule type="cellIs" dxfId="846" priority="32" operator="equal">
      <formula>$M$45</formula>
    </cfRule>
  </conditionalFormatting>
  <conditionalFormatting sqref="N44">
    <cfRule type="cellIs" dxfId="845" priority="29" operator="notEqual">
      <formula>$N$45</formula>
    </cfRule>
    <cfRule type="cellIs" dxfId="844" priority="30" operator="equal">
      <formula>$N$45</formula>
    </cfRule>
  </conditionalFormatting>
  <conditionalFormatting sqref="O44">
    <cfRule type="cellIs" dxfId="843" priority="27" operator="notEqual">
      <formula>$O$45</formula>
    </cfRule>
    <cfRule type="cellIs" dxfId="842" priority="28" operator="equal">
      <formula>$O$45</formula>
    </cfRule>
  </conditionalFormatting>
  <conditionalFormatting sqref="P44">
    <cfRule type="cellIs" dxfId="841" priority="25" operator="notEqual">
      <formula>$P$45</formula>
    </cfRule>
    <cfRule type="cellIs" dxfId="840" priority="26" operator="equal">
      <formula>$P$45</formula>
    </cfRule>
  </conditionalFormatting>
  <conditionalFormatting sqref="Q44">
    <cfRule type="cellIs" dxfId="839" priority="23" operator="notEqual">
      <formula>$Q$45</formula>
    </cfRule>
    <cfRule type="cellIs" dxfId="838" priority="24" operator="equal">
      <formula>$Q$45</formula>
    </cfRule>
  </conditionalFormatting>
  <conditionalFormatting sqref="R44">
    <cfRule type="cellIs" dxfId="837" priority="21" operator="notEqual">
      <formula>$R$45</formula>
    </cfRule>
    <cfRule type="cellIs" dxfId="836" priority="22" operator="equal">
      <formula>$R$45</formula>
    </cfRule>
  </conditionalFormatting>
  <conditionalFormatting sqref="S44">
    <cfRule type="cellIs" dxfId="835" priority="19" operator="notEqual">
      <formula>$S$45</formula>
    </cfRule>
    <cfRule type="cellIs" dxfId="834" priority="20" operator="equal">
      <formula>$S$45</formula>
    </cfRule>
  </conditionalFormatting>
  <conditionalFormatting sqref="T44">
    <cfRule type="cellIs" dxfId="833" priority="17" operator="notEqual">
      <formula>$T$45</formula>
    </cfRule>
    <cfRule type="cellIs" dxfId="832" priority="18" operator="equal">
      <formula>$T$45</formula>
    </cfRule>
  </conditionalFormatting>
  <conditionalFormatting sqref="U44">
    <cfRule type="cellIs" dxfId="831" priority="15" operator="notEqual">
      <formula>$U$45</formula>
    </cfRule>
    <cfRule type="cellIs" dxfId="830" priority="16" operator="equal">
      <formula>$U$45</formula>
    </cfRule>
  </conditionalFormatting>
  <conditionalFormatting sqref="V44">
    <cfRule type="cellIs" dxfId="829" priority="13" operator="notEqual">
      <formula>$V$45</formula>
    </cfRule>
    <cfRule type="cellIs" dxfId="828" priority="14" operator="equal">
      <formula>$V$45</formula>
    </cfRule>
  </conditionalFormatting>
  <conditionalFormatting sqref="W44">
    <cfRule type="cellIs" dxfId="827" priority="11" operator="notEqual">
      <formula>$W$45</formula>
    </cfRule>
    <cfRule type="cellIs" dxfId="826" priority="12" operator="equal">
      <formula>$W$45</formula>
    </cfRule>
  </conditionalFormatting>
  <conditionalFormatting sqref="X44">
    <cfRule type="cellIs" dxfId="825" priority="9" operator="notEqual">
      <formula>$X$45</formula>
    </cfRule>
    <cfRule type="cellIs" dxfId="824" priority="10" operator="equal">
      <formula>$X$45</formula>
    </cfRule>
  </conditionalFormatting>
  <conditionalFormatting sqref="Y44">
    <cfRule type="cellIs" dxfId="823" priority="7" operator="notEqual">
      <formula>$Y$45</formula>
    </cfRule>
    <cfRule type="cellIs" dxfId="822" priority="8" operator="equal">
      <formula>$Y$45</formula>
    </cfRule>
  </conditionalFormatting>
  <conditionalFormatting sqref="Z44">
    <cfRule type="cellIs" dxfId="821" priority="5" operator="notEqual">
      <formula>$Z$45</formula>
    </cfRule>
    <cfRule type="cellIs" dxfId="820" priority="6" operator="equal">
      <formula>$Z$45</formula>
    </cfRule>
  </conditionalFormatting>
  <conditionalFormatting sqref="AA44">
    <cfRule type="cellIs" dxfId="819" priority="3" operator="notEqual">
      <formula>$AA$45</formula>
    </cfRule>
    <cfRule type="cellIs" dxfId="818" priority="4" operator="equal">
      <formula>$AA$45</formula>
    </cfRule>
  </conditionalFormatting>
  <conditionalFormatting sqref="AB44">
    <cfRule type="cellIs" dxfId="817" priority="1" operator="notEqual">
      <formula>$AB$45</formula>
    </cfRule>
    <cfRule type="cellIs" dxfId="816" priority="2" operator="equal">
      <formula>$AB$45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8D9F4-3F64-42E3-AB02-7774ECE5D53C}">
  <dimension ref="A1:AB50"/>
  <sheetViews>
    <sheetView showGridLines="0" topLeftCell="P29" workbookViewId="0">
      <selection activeCell="AB44" sqref="AB44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" style="9" bestFit="1" customWidth="1"/>
    <col min="14" max="14" width="7.85546875" style="9" bestFit="1" customWidth="1"/>
    <col min="15" max="15" width="11.140625" style="9" bestFit="1" customWidth="1"/>
    <col min="16" max="17" width="9.28515625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7.85546875" style="9" bestFit="1" customWidth="1"/>
    <col min="23" max="23" width="9.28515625" style="9" bestFit="1" customWidth="1"/>
    <col min="24" max="25" width="10.57031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42" t="s">
        <v>60</v>
      </c>
      <c r="B1" s="142" t="s">
        <v>61</v>
      </c>
      <c r="C1" s="142" t="s">
        <v>62</v>
      </c>
      <c r="D1" s="142" t="s">
        <v>63</v>
      </c>
      <c r="E1" s="142" t="s">
        <v>64</v>
      </c>
      <c r="F1" s="142" t="s">
        <v>15</v>
      </c>
      <c r="G1" s="142" t="s">
        <v>66</v>
      </c>
      <c r="H1" s="142" t="s">
        <v>67</v>
      </c>
      <c r="I1" s="142" t="s">
        <v>509</v>
      </c>
      <c r="J1" s="129"/>
      <c r="L1" s="143" t="s">
        <v>530</v>
      </c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</row>
    <row r="2" spans="1:28" ht="11.25" customHeight="1" x14ac:dyDescent="0.25">
      <c r="A2" s="142"/>
      <c r="B2" s="142"/>
      <c r="C2" s="142"/>
      <c r="D2" s="142"/>
      <c r="E2" s="142"/>
      <c r="F2" s="142"/>
      <c r="G2" s="142"/>
      <c r="H2" s="142"/>
      <c r="I2" s="142"/>
      <c r="J2" s="129"/>
      <c r="L2" s="143" t="s">
        <v>436</v>
      </c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  <c r="AA2" s="143"/>
      <c r="AB2" s="143"/>
    </row>
    <row r="3" spans="1:28" ht="11.25" customHeight="1" x14ac:dyDescent="0.25">
      <c r="A3" s="142"/>
      <c r="B3" s="142"/>
      <c r="C3" s="142"/>
      <c r="D3" s="142"/>
      <c r="E3" s="142"/>
      <c r="F3" s="142"/>
      <c r="G3" s="142"/>
      <c r="H3" s="142"/>
      <c r="I3" s="142"/>
      <c r="J3" s="129"/>
      <c r="L3" s="143" t="s">
        <v>409</v>
      </c>
      <c r="M3" s="143"/>
      <c r="N3" s="143"/>
      <c r="O3" s="143"/>
      <c r="P3" s="143"/>
      <c r="Q3" s="143"/>
      <c r="R3" s="143" t="s">
        <v>440</v>
      </c>
      <c r="S3" s="143"/>
      <c r="T3" s="143" t="s">
        <v>418</v>
      </c>
      <c r="U3" s="143"/>
      <c r="V3" s="143"/>
      <c r="W3" s="143"/>
      <c r="X3" s="143" t="s">
        <v>428</v>
      </c>
      <c r="Y3" s="143"/>
      <c r="Z3" s="143" t="s">
        <v>431</v>
      </c>
      <c r="AA3" s="143"/>
      <c r="AB3" s="143" t="s">
        <v>417</v>
      </c>
    </row>
    <row r="4" spans="1:28" ht="11.25" customHeight="1" x14ac:dyDescent="0.25">
      <c r="A4" s="142"/>
      <c r="B4" s="142"/>
      <c r="C4" s="142"/>
      <c r="D4" s="142"/>
      <c r="E4" s="142"/>
      <c r="F4" s="142"/>
      <c r="G4" s="142"/>
      <c r="H4" s="142"/>
      <c r="I4" s="142"/>
      <c r="J4" s="129"/>
      <c r="L4" s="48" t="s">
        <v>411</v>
      </c>
      <c r="M4" s="48" t="s">
        <v>437</v>
      </c>
      <c r="N4" s="48" t="s">
        <v>438</v>
      </c>
      <c r="O4" s="48" t="s">
        <v>497</v>
      </c>
      <c r="P4" s="48" t="s">
        <v>439</v>
      </c>
      <c r="Q4" s="48" t="s">
        <v>417</v>
      </c>
      <c r="R4" s="48" t="s">
        <v>441</v>
      </c>
      <c r="S4" s="48" t="s">
        <v>417</v>
      </c>
      <c r="T4" s="48" t="s">
        <v>442</v>
      </c>
      <c r="U4" s="48" t="s">
        <v>443</v>
      </c>
      <c r="V4" s="48" t="s">
        <v>444</v>
      </c>
      <c r="W4" s="48" t="s">
        <v>417</v>
      </c>
      <c r="X4" s="48" t="s">
        <v>429</v>
      </c>
      <c r="Y4" s="48" t="s">
        <v>417</v>
      </c>
      <c r="Z4" s="48" t="s">
        <v>445</v>
      </c>
      <c r="AA4" s="48" t="s">
        <v>417</v>
      </c>
      <c r="AB4" s="144"/>
    </row>
    <row r="5" spans="1:28" ht="11.25" customHeight="1" x14ac:dyDescent="0.25">
      <c r="A5" s="141" t="s">
        <v>34</v>
      </c>
      <c r="B5" s="141" t="s">
        <v>69</v>
      </c>
      <c r="C5" s="141" t="s">
        <v>25</v>
      </c>
      <c r="D5" s="141" t="s">
        <v>25</v>
      </c>
      <c r="E5" s="141" t="s">
        <v>25</v>
      </c>
      <c r="F5" s="141" t="s">
        <v>25</v>
      </c>
      <c r="G5" s="46" t="s">
        <v>71</v>
      </c>
      <c r="H5" s="46" t="s">
        <v>70</v>
      </c>
      <c r="I5" s="46">
        <f>'MERCADO TE'!$U$2</f>
        <v>2156.2699999999995</v>
      </c>
      <c r="J5" s="15"/>
      <c r="L5" s="44">
        <f>'TE BE'!$L$5*'TE BE'!$L$49</f>
        <v>4.5881186970682265E-7</v>
      </c>
      <c r="M5" s="44">
        <f>'TE BE'!$M$5*'TE BE'!$M$49</f>
        <v>-4.9716485011730516</v>
      </c>
      <c r="N5" s="44">
        <f>'TE BE'!$N$5*'TE BE'!$N$49</f>
        <v>0</v>
      </c>
      <c r="O5" s="44">
        <f>'TE BE'!$O$5*'TE BE'!$O$49</f>
        <v>-3.3838339792789322E-2</v>
      </c>
      <c r="P5" s="44">
        <f>'TE BE'!$P$5*'TE BE'!$P$49</f>
        <v>0</v>
      </c>
      <c r="Q5" s="44">
        <f>SUM($L$5:$P$5)</f>
        <v>-5.0054863821539719</v>
      </c>
      <c r="R5" s="44">
        <f>'TE BE'!$R$5*'TE BE'!$R$49</f>
        <v>-20.646430425190644</v>
      </c>
      <c r="S5" s="44">
        <f>SUM($R$5:$R$5)</f>
        <v>-20.646430425190644</v>
      </c>
      <c r="T5" s="44">
        <f>'TE BE'!$T$5*'TE BE'!$T$49</f>
        <v>0.19552861581043851</v>
      </c>
      <c r="U5" s="44">
        <f>'TE BE'!$U$5*'TE BE'!$U$49</f>
        <v>3.0098034642732759E-2</v>
      </c>
      <c r="V5" s="44">
        <f>'TE BE'!$V$5*'TE BE'!$V$49</f>
        <v>0</v>
      </c>
      <c r="W5" s="44">
        <f>SUM($T$5:$V$5)</f>
        <v>0.22562665045317126</v>
      </c>
      <c r="X5" s="44">
        <f>'TE BE'!$AB$5*'TE BE'!$X$49</f>
        <v>-38.007996573099831</v>
      </c>
      <c r="Y5" s="44">
        <f>SUM($X$5:$X$5)</f>
        <v>-38.007996573099831</v>
      </c>
      <c r="Z5" s="44">
        <f>'TE BE'!$Z$5*'TE BE'!$Z$49</f>
        <v>-0.36801891718108032</v>
      </c>
      <c r="AA5" s="44">
        <f>SUM($Z$5:$Z$5)</f>
        <v>-0.36801891718108032</v>
      </c>
      <c r="AB5" s="44">
        <f>SUMIF($L$4:$AA$4,"SUBTOTAL",$L$5:$AA$5)</f>
        <v>-63.802305647172354</v>
      </c>
    </row>
    <row r="6" spans="1:28" ht="11.25" customHeight="1" x14ac:dyDescent="0.25">
      <c r="A6" s="141"/>
      <c r="B6" s="141"/>
      <c r="C6" s="141"/>
      <c r="D6" s="141"/>
      <c r="E6" s="141"/>
      <c r="F6" s="141"/>
      <c r="G6" s="46" t="s">
        <v>72</v>
      </c>
      <c r="H6" s="46" t="s">
        <v>70</v>
      </c>
      <c r="I6" s="46">
        <f>'MERCADO TE'!$U$3</f>
        <v>23356.773000000001</v>
      </c>
      <c r="J6" s="15"/>
      <c r="L6" s="44">
        <f>'TE BE'!$L$6*'TE BE'!$L$49</f>
        <v>4.5881186970682265E-7</v>
      </c>
      <c r="M6" s="44">
        <f>'TE BE'!$M$6*'TE BE'!$M$49</f>
        <v>-4.9716485011730516</v>
      </c>
      <c r="N6" s="44">
        <f>'TE BE'!$N$6*'TE BE'!$N$49</f>
        <v>0</v>
      </c>
      <c r="O6" s="44">
        <f>'TE BE'!$O$6*'TE BE'!$O$49</f>
        <v>-3.3838339792789322E-2</v>
      </c>
      <c r="P6" s="44">
        <f>'TE BE'!$P$6*'TE BE'!$P$49</f>
        <v>0</v>
      </c>
      <c r="Q6" s="44">
        <f>SUM($L$6:$P$6)</f>
        <v>-5.0054863821539719</v>
      </c>
      <c r="R6" s="44">
        <f>'TE BE'!$R$6*'TE BE'!$R$49</f>
        <v>-12.003738619296888</v>
      </c>
      <c r="S6" s="44">
        <f>SUM($R$6:$R$6)</f>
        <v>-12.003738619296888</v>
      </c>
      <c r="T6" s="44">
        <f>'TE BE'!$T$6*'TE BE'!$T$49</f>
        <v>0.19552861581043851</v>
      </c>
      <c r="U6" s="44">
        <f>'TE BE'!$U$6*'TE BE'!$U$49</f>
        <v>3.0098034642732759E-2</v>
      </c>
      <c r="V6" s="44">
        <f>'TE BE'!$V$6*'TE BE'!$V$49</f>
        <v>0</v>
      </c>
      <c r="W6" s="44">
        <f>SUM($T$6:$V$6)</f>
        <v>0.22562665045317126</v>
      </c>
      <c r="X6" s="44">
        <f>'TE BE'!$AB$6*'TE BE'!$X$49</f>
        <v>-23.270932373544532</v>
      </c>
      <c r="Y6" s="44">
        <f>SUM($X$6:$X$6)</f>
        <v>-23.270932373544532</v>
      </c>
      <c r="Z6" s="44">
        <f>'TE BE'!$Z$6*'TE BE'!$Z$49</f>
        <v>-0.36801891718108032</v>
      </c>
      <c r="AA6" s="44">
        <f>SUM($Z$6:$Z$6)</f>
        <v>-0.36801891718108032</v>
      </c>
      <c r="AB6" s="44">
        <f>SUMIF($L$4:$AA$4,"SUBTOTAL",$L$6:$AA$6)</f>
        <v>-40.4225496417233</v>
      </c>
    </row>
    <row r="7" spans="1:28" ht="11.25" customHeight="1" x14ac:dyDescent="0.25">
      <c r="A7" s="141"/>
      <c r="B7" s="47" t="s">
        <v>73</v>
      </c>
      <c r="C7" s="47" t="s">
        <v>25</v>
      </c>
      <c r="D7" s="47" t="s">
        <v>25</v>
      </c>
      <c r="E7" s="47" t="s">
        <v>25</v>
      </c>
      <c r="F7" s="47" t="s">
        <v>25</v>
      </c>
      <c r="G7" s="46" t="s">
        <v>74</v>
      </c>
      <c r="H7" s="46" t="s">
        <v>70</v>
      </c>
      <c r="I7" s="46">
        <f>'MERCADO TE'!$U$4</f>
        <v>0</v>
      </c>
      <c r="J7" s="15"/>
      <c r="L7" s="44">
        <f>'TE BE'!$L$7*'TE BE'!$L$49</f>
        <v>4.5881186970682265E-7</v>
      </c>
      <c r="M7" s="44">
        <f>'TE BE'!$M$7*'TE BE'!$M$49</f>
        <v>-4.9716485011730516</v>
      </c>
      <c r="N7" s="44">
        <f>'TE BE'!$N$7*'TE BE'!$N$49</f>
        <v>0</v>
      </c>
      <c r="O7" s="44">
        <f>'TE BE'!$O$7*'TE BE'!$O$49</f>
        <v>-3.3838339792789322E-2</v>
      </c>
      <c r="P7" s="44">
        <f>'TE BE'!$P$7*'TE BE'!$P$49</f>
        <v>0</v>
      </c>
      <c r="Q7" s="44">
        <f>SUM($L$7:$P$7)</f>
        <v>-5.0054863821539719</v>
      </c>
      <c r="R7" s="44">
        <f>'TE BE'!$R$7*'TE BE'!$R$49</f>
        <v>-12.723962936454701</v>
      </c>
      <c r="S7" s="44">
        <f>SUM($R$7:$R$7)</f>
        <v>-12.723962936454701</v>
      </c>
      <c r="T7" s="44">
        <f>'TE BE'!$T$7*'TE BE'!$T$49</f>
        <v>0.19552861581043851</v>
      </c>
      <c r="U7" s="44">
        <f>'TE BE'!$U$7*'TE BE'!$U$49</f>
        <v>3.0098034642732759E-2</v>
      </c>
      <c r="V7" s="44">
        <f>'TE BE'!$V$7*'TE BE'!$V$49</f>
        <v>0</v>
      </c>
      <c r="W7" s="44">
        <f>SUM($T$7:$V$7)</f>
        <v>0.22562665045317126</v>
      </c>
      <c r="X7" s="44">
        <f>'TE BE'!$AB$7*'TE BE'!$X$49</f>
        <v>-24.499021056840807</v>
      </c>
      <c r="Y7" s="44">
        <f>SUM($X$7:$X$7)</f>
        <v>-24.499021056840807</v>
      </c>
      <c r="Z7" s="44">
        <f>'TE BE'!$Z$7*'TE BE'!$Z$49</f>
        <v>-0.36801891718108032</v>
      </c>
      <c r="AA7" s="44">
        <f>SUM($Z$7:$Z$7)</f>
        <v>-0.36801891718108032</v>
      </c>
      <c r="AB7" s="44">
        <f>SUMIF($L$4:$AA$4,"SUBTOTAL",$L$7:$AA$7)</f>
        <v>-42.370862642177393</v>
      </c>
    </row>
    <row r="8" spans="1:28" ht="11.25" customHeight="1" x14ac:dyDescent="0.25">
      <c r="A8" s="141" t="s">
        <v>22</v>
      </c>
      <c r="B8" s="141" t="s">
        <v>69</v>
      </c>
      <c r="C8" s="141" t="s">
        <v>24</v>
      </c>
      <c r="D8" s="141" t="s">
        <v>24</v>
      </c>
      <c r="E8" s="141" t="s">
        <v>25</v>
      </c>
      <c r="F8" s="141" t="s">
        <v>25</v>
      </c>
      <c r="G8" s="46" t="s">
        <v>71</v>
      </c>
      <c r="H8" s="46" t="s">
        <v>70</v>
      </c>
      <c r="I8" s="46">
        <f>'MERCADO TE'!$U$5</f>
        <v>0</v>
      </c>
      <c r="J8" s="15"/>
      <c r="L8" s="44">
        <f>'TE BE'!$L$8*'TE BE'!$L$49</f>
        <v>4.5881186970682265E-7</v>
      </c>
      <c r="M8" s="44">
        <f>'TE BE'!$M$8*'TE BE'!$M$49</f>
        <v>-4.9716485011730516</v>
      </c>
      <c r="N8" s="44">
        <f>'TE BE'!$N$8*'TE BE'!$N$49</f>
        <v>0</v>
      </c>
      <c r="O8" s="44">
        <f>'TE BE'!$O$8*'TE BE'!$O$49</f>
        <v>-3.3838339792789322E-2</v>
      </c>
      <c r="P8" s="44">
        <f>'TE BE'!$P$8*'TE BE'!$P$49</f>
        <v>0</v>
      </c>
      <c r="Q8" s="44">
        <f>SUM($L$8:$P$8)</f>
        <v>-5.0054863821539719</v>
      </c>
      <c r="R8" s="44">
        <f>'TE BE'!$R$8*'TE BE'!$R$49</f>
        <v>-20.646430425190644</v>
      </c>
      <c r="S8" s="44">
        <f>SUM($R$8:$R$8)</f>
        <v>-20.646430425190644</v>
      </c>
      <c r="T8" s="44">
        <f>'TE BE'!$T$8*'TE BE'!$T$49</f>
        <v>0.19552861581043851</v>
      </c>
      <c r="U8" s="44">
        <f>'TE BE'!$U$8*'TE BE'!$U$49</f>
        <v>3.0098034642732759E-2</v>
      </c>
      <c r="V8" s="44">
        <f>'TE BE'!$V$8*'TE BE'!$V$49</f>
        <v>0</v>
      </c>
      <c r="W8" s="44">
        <f>SUM($T$8:$V$8)</f>
        <v>0.22562665045317126</v>
      </c>
      <c r="X8" s="44">
        <f>'TE BE'!$AB$8*'TE BE'!$X$49</f>
        <v>-38.007996573099831</v>
      </c>
      <c r="Y8" s="44">
        <f>SUM($X$8:$X$8)</f>
        <v>-38.007996573099831</v>
      </c>
      <c r="Z8" s="44">
        <f>'TE BE'!$Z$8*'TE BE'!$Z$49</f>
        <v>-0.36801891718108032</v>
      </c>
      <c r="AA8" s="44">
        <f>SUM($Z$8:$Z$8)</f>
        <v>-0.36801891718108032</v>
      </c>
      <c r="AB8" s="44">
        <f>SUMIF($L$4:$AA$4,"SUBTOTAL",$L$8:$AA$8)</f>
        <v>-63.802305647172354</v>
      </c>
    </row>
    <row r="9" spans="1:28" ht="11.25" customHeight="1" x14ac:dyDescent="0.25">
      <c r="A9" s="141"/>
      <c r="B9" s="141"/>
      <c r="C9" s="141"/>
      <c r="D9" s="141"/>
      <c r="E9" s="141"/>
      <c r="F9" s="141"/>
      <c r="G9" s="46" t="s">
        <v>83</v>
      </c>
      <c r="H9" s="46" t="s">
        <v>70</v>
      </c>
      <c r="I9" s="46">
        <f>'MERCADO TE'!$U$6</f>
        <v>0</v>
      </c>
      <c r="J9" s="15"/>
      <c r="L9" s="44">
        <f>'TE BE'!$L$9*'TE BE'!$L$49</f>
        <v>4.5881186970682265E-7</v>
      </c>
      <c r="M9" s="44">
        <f>'TE BE'!$M$9*'TE BE'!$M$49</f>
        <v>-4.9716485011730516</v>
      </c>
      <c r="N9" s="44">
        <f>'TE BE'!$N$9*'TE BE'!$N$49</f>
        <v>0</v>
      </c>
      <c r="O9" s="44">
        <f>'TE BE'!$O$9*'TE BE'!$O$49</f>
        <v>-3.3838339792789322E-2</v>
      </c>
      <c r="P9" s="44">
        <f>'TE BE'!$P$9*'TE BE'!$P$49</f>
        <v>0</v>
      </c>
      <c r="Q9" s="44">
        <f>SUM($L$9:$P$9)</f>
        <v>-5.0054863821539719</v>
      </c>
      <c r="R9" s="44">
        <f>'TE BE'!$R$9*'TE BE'!$R$49</f>
        <v>-12.003738619296888</v>
      </c>
      <c r="S9" s="44">
        <f>SUM($R$9:$R$9)</f>
        <v>-12.003738619296888</v>
      </c>
      <c r="T9" s="44">
        <f>'TE BE'!$T$9*'TE BE'!$T$49</f>
        <v>0.19552861581043851</v>
      </c>
      <c r="U9" s="44">
        <f>'TE BE'!$U$9*'TE BE'!$U$49</f>
        <v>3.0098034642732759E-2</v>
      </c>
      <c r="V9" s="44">
        <f>'TE BE'!$V$9*'TE BE'!$V$49</f>
        <v>0</v>
      </c>
      <c r="W9" s="44">
        <f>SUM($T$9:$V$9)</f>
        <v>0.22562665045317126</v>
      </c>
      <c r="X9" s="44">
        <f>'TE BE'!$AB$9*'TE BE'!$X$49</f>
        <v>-23.270932373544532</v>
      </c>
      <c r="Y9" s="44">
        <f>SUM($X$9:$X$9)</f>
        <v>-23.270932373544532</v>
      </c>
      <c r="Z9" s="44">
        <f>'TE BE'!$Z$9*'TE BE'!$Z$49</f>
        <v>-0.36801891718108032</v>
      </c>
      <c r="AA9" s="44">
        <f>SUM($Z$9:$Z$9)</f>
        <v>-0.36801891718108032</v>
      </c>
      <c r="AB9" s="44">
        <f>SUMIF($L$4:$AA$4,"SUBTOTAL",$L$9:$AA$9)</f>
        <v>-40.4225496417233</v>
      </c>
    </row>
    <row r="10" spans="1:28" ht="11.25" customHeight="1" x14ac:dyDescent="0.25">
      <c r="A10" s="141"/>
      <c r="B10" s="141"/>
      <c r="C10" s="141"/>
      <c r="D10" s="141"/>
      <c r="E10" s="141"/>
      <c r="F10" s="141"/>
      <c r="G10" s="46" t="s">
        <v>72</v>
      </c>
      <c r="H10" s="46" t="s">
        <v>70</v>
      </c>
      <c r="I10" s="46">
        <f>'MERCADO TE'!$U$7</f>
        <v>0</v>
      </c>
      <c r="J10" s="15"/>
      <c r="L10" s="44">
        <f>'TE BE'!$L$10*'TE BE'!$L$49</f>
        <v>4.5881186970682265E-7</v>
      </c>
      <c r="M10" s="44">
        <f>'TE BE'!$M$10*'TE BE'!$M$49</f>
        <v>-4.9716485011730516</v>
      </c>
      <c r="N10" s="44">
        <f>'TE BE'!$N$10*'TE BE'!$N$49</f>
        <v>0</v>
      </c>
      <c r="O10" s="44">
        <f>'TE BE'!$O$10*'TE BE'!$O$49</f>
        <v>-3.3838339792789322E-2</v>
      </c>
      <c r="P10" s="44">
        <f>'TE BE'!$P$10*'TE BE'!$P$49</f>
        <v>0</v>
      </c>
      <c r="Q10" s="44">
        <f>SUM($L$10:$P$10)</f>
        <v>-5.0054863821539719</v>
      </c>
      <c r="R10" s="44">
        <f>'TE BE'!$R$10*'TE BE'!$R$49</f>
        <v>-12.003738619296888</v>
      </c>
      <c r="S10" s="44">
        <f>SUM($R$10:$R$10)</f>
        <v>-12.003738619296888</v>
      </c>
      <c r="T10" s="44">
        <f>'TE BE'!$T$10*'TE BE'!$T$49</f>
        <v>0.19552861581043851</v>
      </c>
      <c r="U10" s="44">
        <f>'TE BE'!$U$10*'TE BE'!$U$49</f>
        <v>3.0098034642732759E-2</v>
      </c>
      <c r="V10" s="44">
        <f>'TE BE'!$V$10*'TE BE'!$V$49</f>
        <v>0</v>
      </c>
      <c r="W10" s="44">
        <f>SUM($T$10:$V$10)</f>
        <v>0.22562665045317126</v>
      </c>
      <c r="X10" s="44">
        <f>'TE BE'!$AB$10*'TE BE'!$X$49</f>
        <v>-23.270932373544532</v>
      </c>
      <c r="Y10" s="44">
        <f>SUM($X$10:$X$10)</f>
        <v>-23.270932373544532</v>
      </c>
      <c r="Z10" s="44">
        <f>'TE BE'!$Z$10*'TE BE'!$Z$49</f>
        <v>-0.36801891718108032</v>
      </c>
      <c r="AA10" s="44">
        <f>SUM($Z$10:$Z$10)</f>
        <v>-0.36801891718108032</v>
      </c>
      <c r="AB10" s="44">
        <f>SUMIF($L$4:$AA$4,"SUBTOTAL",$L$10:$AA$10)</f>
        <v>-40.4225496417233</v>
      </c>
    </row>
    <row r="11" spans="1:28" ht="11.25" customHeight="1" x14ac:dyDescent="0.25">
      <c r="A11" s="141"/>
      <c r="B11" s="141" t="s">
        <v>73</v>
      </c>
      <c r="C11" s="141" t="s">
        <v>24</v>
      </c>
      <c r="D11" s="47" t="s">
        <v>24</v>
      </c>
      <c r="E11" s="47" t="s">
        <v>25</v>
      </c>
      <c r="F11" s="47" t="s">
        <v>25</v>
      </c>
      <c r="G11" s="46" t="s">
        <v>74</v>
      </c>
      <c r="H11" s="46" t="s">
        <v>70</v>
      </c>
      <c r="I11" s="46">
        <f>'MERCADO TE'!$U$8</f>
        <v>20530.876000000004</v>
      </c>
      <c r="J11" s="15"/>
      <c r="L11" s="44">
        <f>'TE BE'!$L$11*'TE BE'!$L$49</f>
        <v>4.5881186970682265E-7</v>
      </c>
      <c r="M11" s="44">
        <f>'TE BE'!$M$11*'TE BE'!$M$49</f>
        <v>-4.9716485011730516</v>
      </c>
      <c r="N11" s="44">
        <f>'TE BE'!$N$11*'TE BE'!$N$49</f>
        <v>0</v>
      </c>
      <c r="O11" s="44">
        <f>'TE BE'!$O$11*'TE BE'!$O$49</f>
        <v>-3.3838339792789322E-2</v>
      </c>
      <c r="P11" s="44">
        <f>'TE BE'!$P$11*'TE BE'!$P$49</f>
        <v>0</v>
      </c>
      <c r="Q11" s="44">
        <f>SUM($L$11:$P$11)</f>
        <v>-5.0054863821539719</v>
      </c>
      <c r="R11" s="44">
        <f>'TE BE'!$R$11*'TE BE'!$R$49</f>
        <v>-12.723962936454701</v>
      </c>
      <c r="S11" s="44">
        <f>SUM($R$11:$R$11)</f>
        <v>-12.723962936454701</v>
      </c>
      <c r="T11" s="44">
        <f>'TE BE'!$T$11*'TE BE'!$T$49</f>
        <v>0.19552861581043851</v>
      </c>
      <c r="U11" s="44">
        <f>'TE BE'!$U$11*'TE BE'!$U$49</f>
        <v>3.0098034642732759E-2</v>
      </c>
      <c r="V11" s="44">
        <f>'TE BE'!$V$11*'TE BE'!$V$49</f>
        <v>0</v>
      </c>
      <c r="W11" s="44">
        <f>SUM($T$11:$V$11)</f>
        <v>0.22562665045317126</v>
      </c>
      <c r="X11" s="44">
        <f>'TE BE'!$AB$11*'TE BE'!$X$49</f>
        <v>-24.499021056840807</v>
      </c>
      <c r="Y11" s="44">
        <f>SUM($X$11:$X$11)</f>
        <v>-24.499021056840807</v>
      </c>
      <c r="Z11" s="44">
        <f>'TE BE'!$Z$11*'TE BE'!$Z$49</f>
        <v>-0.36801891718108032</v>
      </c>
      <c r="AA11" s="44">
        <f>SUM($Z$11:$Z$11)</f>
        <v>-0.36801891718108032</v>
      </c>
      <c r="AB11" s="44">
        <f>SUMIF($L$4:$AA$4,"SUBTOTAL",$L$11:$AA$11)</f>
        <v>-42.370862642177393</v>
      </c>
    </row>
    <row r="12" spans="1:28" ht="11.25" customHeight="1" x14ac:dyDescent="0.25">
      <c r="A12" s="141"/>
      <c r="B12" s="141"/>
      <c r="C12" s="141"/>
      <c r="D12" s="47" t="s">
        <v>28</v>
      </c>
      <c r="E12" s="47" t="s">
        <v>25</v>
      </c>
      <c r="F12" s="47" t="s">
        <v>25</v>
      </c>
      <c r="G12" s="46" t="s">
        <v>74</v>
      </c>
      <c r="H12" s="46" t="s">
        <v>70</v>
      </c>
      <c r="I12" s="46">
        <f>'MERCADO TE'!$U$9</f>
        <v>165.006</v>
      </c>
      <c r="J12" s="15"/>
      <c r="L12" s="44">
        <f>'TE BE'!$L$12*'TE BE'!$L$49</f>
        <v>4.5881186970682265E-7</v>
      </c>
      <c r="M12" s="44">
        <f>'TE BE'!$M$12*'TE BE'!$M$49</f>
        <v>-4.9716485011730516</v>
      </c>
      <c r="N12" s="44">
        <f>'TE BE'!$N$12*'TE BE'!$N$49</f>
        <v>0</v>
      </c>
      <c r="O12" s="44">
        <f>'TE BE'!$O$12*'TE BE'!$O$49</f>
        <v>-3.3838339792789322E-2</v>
      </c>
      <c r="P12" s="44">
        <f>'TE BE'!$P$12*'TE BE'!$P$49</f>
        <v>0</v>
      </c>
      <c r="Q12" s="44">
        <f>SUM($L$12:$P$12)</f>
        <v>-5.0054863821539719</v>
      </c>
      <c r="R12" s="44">
        <f>'TE BE'!$R$12*'TE BE'!$R$49</f>
        <v>-12.723962936454701</v>
      </c>
      <c r="S12" s="44">
        <f>SUM($R$12:$R$12)</f>
        <v>-12.723962936454701</v>
      </c>
      <c r="T12" s="44">
        <f>'TE BE'!$T$12*'TE BE'!$T$49</f>
        <v>0.19552861581043851</v>
      </c>
      <c r="U12" s="44">
        <f>'TE BE'!$U$12*'TE BE'!$U$49</f>
        <v>3.0098034642732759E-2</v>
      </c>
      <c r="V12" s="44">
        <f>'TE BE'!$V$12*'TE BE'!$V$49</f>
        <v>0</v>
      </c>
      <c r="W12" s="44">
        <f>SUM($T$12:$V$12)</f>
        <v>0.22562665045317126</v>
      </c>
      <c r="X12" s="44">
        <f>'TE BE'!$AB$12*'TE BE'!$X$49</f>
        <v>-24.499021056840807</v>
      </c>
      <c r="Y12" s="44">
        <f>SUM($X$12:$X$12)</f>
        <v>-24.499021056840807</v>
      </c>
      <c r="Z12" s="44">
        <f>'TE BE'!$Z$12*'TE BE'!$Z$49</f>
        <v>-0.36801891718108032</v>
      </c>
      <c r="AA12" s="44">
        <f>SUM($Z$12:$Z$12)</f>
        <v>-0.36801891718108032</v>
      </c>
      <c r="AB12" s="44">
        <f>SUMIF($L$4:$AA$4,"SUBTOTAL",$L$12:$AA$12)</f>
        <v>-42.370862642177393</v>
      </c>
    </row>
    <row r="13" spans="1:28" ht="11.25" customHeight="1" x14ac:dyDescent="0.25">
      <c r="A13" s="141"/>
      <c r="B13" s="141"/>
      <c r="C13" s="141"/>
      <c r="D13" s="47" t="s">
        <v>29</v>
      </c>
      <c r="E13" s="47" t="s">
        <v>25</v>
      </c>
      <c r="F13" s="47" t="s">
        <v>25</v>
      </c>
      <c r="G13" s="46" t="s">
        <v>74</v>
      </c>
      <c r="H13" s="46" t="s">
        <v>70</v>
      </c>
      <c r="I13" s="46">
        <f>'MERCADO TE'!$U$10</f>
        <v>350.56600000000003</v>
      </c>
      <c r="J13" s="15"/>
      <c r="L13" s="44">
        <f>'TE BE'!$L$13*'TE BE'!$L$49</f>
        <v>4.5881186970682265E-7</v>
      </c>
      <c r="M13" s="44">
        <f>'TE BE'!$M$13*'TE BE'!$M$49</f>
        <v>-4.9716485011730516</v>
      </c>
      <c r="N13" s="44">
        <f>'TE BE'!$N$13*'TE BE'!$N$49</f>
        <v>0</v>
      </c>
      <c r="O13" s="44">
        <f>'TE BE'!$O$13*'TE BE'!$O$49</f>
        <v>-3.3838339792789322E-2</v>
      </c>
      <c r="P13" s="44">
        <f>'TE BE'!$P$13*'TE BE'!$P$49</f>
        <v>0</v>
      </c>
      <c r="Q13" s="44">
        <f>SUM($L$13:$P$13)</f>
        <v>-5.0054863821539719</v>
      </c>
      <c r="R13" s="44">
        <f>'TE BE'!$R$13*'TE BE'!$R$49</f>
        <v>-12.723962936454701</v>
      </c>
      <c r="S13" s="44">
        <f>SUM($R$13:$R$13)</f>
        <v>-12.723962936454701</v>
      </c>
      <c r="T13" s="44">
        <f>'TE BE'!$T$13*'TE BE'!$T$49</f>
        <v>0.19552861581043851</v>
      </c>
      <c r="U13" s="44">
        <f>'TE BE'!$U$13*'TE BE'!$U$49</f>
        <v>3.0098034642732759E-2</v>
      </c>
      <c r="V13" s="44">
        <f>'TE BE'!$V$13*'TE BE'!$V$49</f>
        <v>0</v>
      </c>
      <c r="W13" s="44">
        <f>SUM($T$13:$V$13)</f>
        <v>0.22562665045317126</v>
      </c>
      <c r="X13" s="44">
        <f>'TE BE'!$AB$13*'TE BE'!$X$49</f>
        <v>-24.499021056840807</v>
      </c>
      <c r="Y13" s="44">
        <f>SUM($X$13:$X$13)</f>
        <v>-24.499021056840807</v>
      </c>
      <c r="Z13" s="44">
        <f>'TE BE'!$Z$13*'TE BE'!$Z$49</f>
        <v>-0.36801891718108032</v>
      </c>
      <c r="AA13" s="44">
        <f>SUM($Z$13:$Z$13)</f>
        <v>-0.36801891718108032</v>
      </c>
      <c r="AB13" s="44">
        <f>SUMIF($L$4:$AA$4,"SUBTOTAL",$L$13:$AA$13)</f>
        <v>-42.370862642177393</v>
      </c>
    </row>
    <row r="14" spans="1:28" ht="11.25" customHeight="1" x14ac:dyDescent="0.25">
      <c r="A14" s="141"/>
      <c r="B14" s="141"/>
      <c r="C14" s="141"/>
      <c r="D14" s="47" t="s">
        <v>30</v>
      </c>
      <c r="E14" s="47" t="s">
        <v>25</v>
      </c>
      <c r="F14" s="47" t="s">
        <v>25</v>
      </c>
      <c r="G14" s="46" t="s">
        <v>74</v>
      </c>
      <c r="H14" s="46" t="s">
        <v>70</v>
      </c>
      <c r="I14" s="46">
        <f>'MERCADO TE'!$U$11</f>
        <v>338.63600000000002</v>
      </c>
      <c r="J14" s="15"/>
      <c r="L14" s="44">
        <f>'TE BE'!$L$14*'TE BE'!$L$49</f>
        <v>4.5881186970682265E-7</v>
      </c>
      <c r="M14" s="44">
        <f>'TE BE'!$M$14*'TE BE'!$M$49</f>
        <v>-4.9716485011730516</v>
      </c>
      <c r="N14" s="44">
        <f>'TE BE'!$N$14*'TE BE'!$N$49</f>
        <v>0</v>
      </c>
      <c r="O14" s="44">
        <f>'TE BE'!$O$14*'TE BE'!$O$49</f>
        <v>-3.3838339792789322E-2</v>
      </c>
      <c r="P14" s="44">
        <f>'TE BE'!$P$14*'TE BE'!$P$49</f>
        <v>0</v>
      </c>
      <c r="Q14" s="44">
        <f>SUM($L$14:$P$14)</f>
        <v>-5.0054863821539719</v>
      </c>
      <c r="R14" s="44">
        <f>'TE BE'!$R$14*'TE BE'!$R$49</f>
        <v>-12.723962936454701</v>
      </c>
      <c r="S14" s="44">
        <f>SUM($R$14:$R$14)</f>
        <v>-12.723962936454701</v>
      </c>
      <c r="T14" s="44">
        <f>'TE BE'!$T$14*'TE BE'!$T$49</f>
        <v>0.19552861581043851</v>
      </c>
      <c r="U14" s="44">
        <f>'TE BE'!$U$14*'TE BE'!$U$49</f>
        <v>3.0098034642732759E-2</v>
      </c>
      <c r="V14" s="44">
        <f>'TE BE'!$V$14*'TE BE'!$V$49</f>
        <v>0</v>
      </c>
      <c r="W14" s="44">
        <f>SUM($T$14:$V$14)</f>
        <v>0.22562665045317126</v>
      </c>
      <c r="X14" s="44">
        <f>'TE BE'!$AB$14*'TE BE'!$X$49</f>
        <v>-24.499021056840807</v>
      </c>
      <c r="Y14" s="44">
        <f>SUM($X$14:$X$14)</f>
        <v>-24.499021056840807</v>
      </c>
      <c r="Z14" s="44">
        <f>'TE BE'!$Z$14*'TE BE'!$Z$49</f>
        <v>-0.36801891718108032</v>
      </c>
      <c r="AA14" s="44">
        <f>SUM($Z$14:$Z$14)</f>
        <v>-0.36801891718108032</v>
      </c>
      <c r="AB14" s="44">
        <f>SUMIF($L$4:$AA$4,"SUBTOTAL",$L$14:$AA$14)</f>
        <v>-42.370862642177393</v>
      </c>
    </row>
    <row r="15" spans="1:28" ht="11.25" customHeight="1" x14ac:dyDescent="0.25">
      <c r="A15" s="141"/>
      <c r="B15" s="141"/>
      <c r="C15" s="141"/>
      <c r="D15" s="47" t="s">
        <v>31</v>
      </c>
      <c r="E15" s="47" t="s">
        <v>25</v>
      </c>
      <c r="F15" s="47" t="s">
        <v>25</v>
      </c>
      <c r="G15" s="46" t="s">
        <v>74</v>
      </c>
      <c r="H15" s="46" t="s">
        <v>70</v>
      </c>
      <c r="I15" s="46">
        <f>'MERCADO TE'!$U$12</f>
        <v>113.66699999999999</v>
      </c>
      <c r="J15" s="15"/>
      <c r="L15" s="44">
        <f>'TE BE'!$L$15*'TE BE'!$L$49</f>
        <v>4.5881186970682265E-7</v>
      </c>
      <c r="M15" s="44">
        <f>'TE BE'!$M$15*'TE BE'!$M$49</f>
        <v>-4.9716485011730516</v>
      </c>
      <c r="N15" s="44">
        <f>'TE BE'!$N$15*'TE BE'!$N$49</f>
        <v>0</v>
      </c>
      <c r="O15" s="44">
        <f>'TE BE'!$O$15*'TE BE'!$O$49</f>
        <v>-3.3838339792789322E-2</v>
      </c>
      <c r="P15" s="44">
        <f>'TE BE'!$P$15*'TE BE'!$P$49</f>
        <v>0</v>
      </c>
      <c r="Q15" s="44">
        <f>SUM($L$15:$P$15)</f>
        <v>-5.0054863821539719</v>
      </c>
      <c r="R15" s="44">
        <f>'TE BE'!$R$15*'TE BE'!$R$49</f>
        <v>-12.723962936454701</v>
      </c>
      <c r="S15" s="44">
        <f>SUM($R$15:$R$15)</f>
        <v>-12.723962936454701</v>
      </c>
      <c r="T15" s="44">
        <f>'TE BE'!$T$15*'TE BE'!$T$49</f>
        <v>0.19552861581043851</v>
      </c>
      <c r="U15" s="44">
        <f>'TE BE'!$U$15*'TE BE'!$U$49</f>
        <v>3.0098034642732759E-2</v>
      </c>
      <c r="V15" s="44">
        <f>'TE BE'!$V$15*'TE BE'!$V$49</f>
        <v>0</v>
      </c>
      <c r="W15" s="44">
        <f>SUM($T$15:$V$15)</f>
        <v>0.22562665045317126</v>
      </c>
      <c r="X15" s="44">
        <f>'TE BE'!$AB$15*'TE BE'!$X$49</f>
        <v>-24.499021056840807</v>
      </c>
      <c r="Y15" s="44">
        <f>SUM($X$15:$X$15)</f>
        <v>-24.499021056840807</v>
      </c>
      <c r="Z15" s="44">
        <f>'TE BE'!$Z$15*'TE BE'!$Z$49</f>
        <v>-0.36801891718108032</v>
      </c>
      <c r="AA15" s="44">
        <f>SUM($Z$15:$Z$15)</f>
        <v>-0.36801891718108032</v>
      </c>
      <c r="AB15" s="44">
        <f>SUMIF($L$4:$AA$4,"SUBTOTAL",$L$15:$AA$15)</f>
        <v>-42.370862642177393</v>
      </c>
    </row>
    <row r="16" spans="1:28" ht="11.25" customHeight="1" x14ac:dyDescent="0.25">
      <c r="A16" s="141"/>
      <c r="B16" s="141" t="s">
        <v>84</v>
      </c>
      <c r="C16" s="141" t="s">
        <v>24</v>
      </c>
      <c r="D16" s="47" t="s">
        <v>24</v>
      </c>
      <c r="E16" s="47" t="s">
        <v>25</v>
      </c>
      <c r="F16" s="47" t="s">
        <v>25</v>
      </c>
      <c r="G16" s="46" t="s">
        <v>74</v>
      </c>
      <c r="H16" s="46" t="s">
        <v>70</v>
      </c>
      <c r="I16" s="46">
        <f>'MERCADO TE'!$U$13</f>
        <v>0</v>
      </c>
      <c r="J16" s="15"/>
      <c r="L16" s="44">
        <f>'TE BE'!$L$16*'TE BE'!$L$49</f>
        <v>4.5881186970682265E-7</v>
      </c>
      <c r="M16" s="44">
        <f>'TE BE'!$M$16*'TE BE'!$M$49</f>
        <v>-4.9716485011730516</v>
      </c>
      <c r="N16" s="44">
        <f>'TE BE'!$N$16*'TE BE'!$N$49</f>
        <v>0</v>
      </c>
      <c r="O16" s="44">
        <f>'TE BE'!$O$16*'TE BE'!$O$49</f>
        <v>-3.3838339792789322E-2</v>
      </c>
      <c r="P16" s="44">
        <f>'TE BE'!$P$16*'TE BE'!$P$49</f>
        <v>0</v>
      </c>
      <c r="Q16" s="44">
        <f>SUM($L$16:$P$16)</f>
        <v>-5.0054863821539719</v>
      </c>
      <c r="R16" s="44">
        <f>'TE BE'!$R$16*'TE BE'!$R$49</f>
        <v>-12.723962936454701</v>
      </c>
      <c r="S16" s="44">
        <f>SUM($R$16:$R$16)</f>
        <v>-12.723962936454701</v>
      </c>
      <c r="T16" s="44">
        <f>'TE BE'!$T$16*'TE BE'!$T$49</f>
        <v>0.19552861581043851</v>
      </c>
      <c r="U16" s="44">
        <f>'TE BE'!$U$16*'TE BE'!$U$49</f>
        <v>3.0098034642732759E-2</v>
      </c>
      <c r="V16" s="44">
        <f>'TE BE'!$V$16*'TE BE'!$V$49</f>
        <v>0</v>
      </c>
      <c r="W16" s="44">
        <f>SUM($T$16:$V$16)</f>
        <v>0.22562665045317126</v>
      </c>
      <c r="X16" s="44">
        <f>'TE BE'!$AB$16*'TE BE'!$X$49</f>
        <v>-24.499021056840807</v>
      </c>
      <c r="Y16" s="44">
        <f>SUM($X$16:$X$16)</f>
        <v>-24.499021056840807</v>
      </c>
      <c r="Z16" s="44">
        <f>'TE BE'!$Z$16*'TE BE'!$Z$49</f>
        <v>-0.36801891718108032</v>
      </c>
      <c r="AA16" s="44">
        <f>SUM($Z$16:$Z$16)</f>
        <v>-0.36801891718108032</v>
      </c>
      <c r="AB16" s="44">
        <f>SUMIF($L$4:$AA$4,"SUBTOTAL",$L$16:$AA$16)</f>
        <v>-42.370862642177393</v>
      </c>
    </row>
    <row r="17" spans="1:28" ht="11.25" customHeight="1" x14ac:dyDescent="0.25">
      <c r="A17" s="141"/>
      <c r="B17" s="141"/>
      <c r="C17" s="141"/>
      <c r="D17" s="47" t="s">
        <v>28</v>
      </c>
      <c r="E17" s="47" t="s">
        <v>25</v>
      </c>
      <c r="F17" s="47" t="s">
        <v>25</v>
      </c>
      <c r="G17" s="46" t="s">
        <v>74</v>
      </c>
      <c r="H17" s="46" t="s">
        <v>70</v>
      </c>
      <c r="I17" s="46">
        <f>'MERCADO TE'!$U$14</f>
        <v>0</v>
      </c>
      <c r="J17" s="15"/>
      <c r="L17" s="44">
        <f>'TE BE'!$L$17*'TE BE'!$L$49</f>
        <v>4.5881186970682265E-7</v>
      </c>
      <c r="M17" s="44">
        <f>'TE BE'!$M$17*'TE BE'!$M$49</f>
        <v>-4.9716485011730516</v>
      </c>
      <c r="N17" s="44">
        <f>'TE BE'!$N$17*'TE BE'!$N$49</f>
        <v>0</v>
      </c>
      <c r="O17" s="44">
        <f>'TE BE'!$O$17*'TE BE'!$O$49</f>
        <v>-3.3838339792789322E-2</v>
      </c>
      <c r="P17" s="44">
        <f>'TE BE'!$P$17*'TE BE'!$P$49</f>
        <v>0</v>
      </c>
      <c r="Q17" s="44">
        <f>SUM($L$17:$P$17)</f>
        <v>-5.0054863821539719</v>
      </c>
      <c r="R17" s="44">
        <f>'TE BE'!$R$17*'TE BE'!$R$49</f>
        <v>-12.723962936454701</v>
      </c>
      <c r="S17" s="44">
        <f>SUM($R$17:$R$17)</f>
        <v>-12.723962936454701</v>
      </c>
      <c r="T17" s="44">
        <f>'TE BE'!$T$17*'TE BE'!$T$49</f>
        <v>0.19552861581043851</v>
      </c>
      <c r="U17" s="44">
        <f>'TE BE'!$U$17*'TE BE'!$U$49</f>
        <v>3.0098034642732759E-2</v>
      </c>
      <c r="V17" s="44">
        <f>'TE BE'!$V$17*'TE BE'!$V$49</f>
        <v>0</v>
      </c>
      <c r="W17" s="44">
        <f>SUM($T$17:$V$17)</f>
        <v>0.22562665045317126</v>
      </c>
      <c r="X17" s="44">
        <f>'TE BE'!$AB$17*'TE BE'!$X$49</f>
        <v>-24.499021056840807</v>
      </c>
      <c r="Y17" s="44">
        <f>SUM($X$17:$X$17)</f>
        <v>-24.499021056840807</v>
      </c>
      <c r="Z17" s="44">
        <f>'TE BE'!$Z$17*'TE BE'!$Z$49</f>
        <v>-0.36801891718108032</v>
      </c>
      <c r="AA17" s="44">
        <f>SUM($Z$17:$Z$17)</f>
        <v>-0.36801891718108032</v>
      </c>
      <c r="AB17" s="44">
        <f>SUMIF($L$4:$AA$4,"SUBTOTAL",$L$17:$AA$17)</f>
        <v>-42.370862642177393</v>
      </c>
    </row>
    <row r="18" spans="1:28" ht="11.25" customHeight="1" x14ac:dyDescent="0.25">
      <c r="A18" s="141"/>
      <c r="B18" s="141"/>
      <c r="C18" s="141"/>
      <c r="D18" s="47" t="s">
        <v>29</v>
      </c>
      <c r="E18" s="47" t="s">
        <v>25</v>
      </c>
      <c r="F18" s="47" t="s">
        <v>25</v>
      </c>
      <c r="G18" s="46" t="s">
        <v>74</v>
      </c>
      <c r="H18" s="46" t="s">
        <v>70</v>
      </c>
      <c r="I18" s="46">
        <f>'MERCADO TE'!$U$15</f>
        <v>0</v>
      </c>
      <c r="J18" s="15"/>
      <c r="L18" s="44">
        <f>'TE BE'!$L$18*'TE BE'!$L$49</f>
        <v>4.5881186970682265E-7</v>
      </c>
      <c r="M18" s="44">
        <f>'TE BE'!$M$18*'TE BE'!$M$49</f>
        <v>-4.9716485011730516</v>
      </c>
      <c r="N18" s="44">
        <f>'TE BE'!$N$18*'TE BE'!$N$49</f>
        <v>0</v>
      </c>
      <c r="O18" s="44">
        <f>'TE BE'!$O$18*'TE BE'!$O$49</f>
        <v>-3.3838339792789322E-2</v>
      </c>
      <c r="P18" s="44">
        <f>'TE BE'!$P$18*'TE BE'!$P$49</f>
        <v>0</v>
      </c>
      <c r="Q18" s="44">
        <f>SUM($L$18:$P$18)</f>
        <v>-5.0054863821539719</v>
      </c>
      <c r="R18" s="44">
        <f>'TE BE'!$R$18*'TE BE'!$R$49</f>
        <v>-12.723962936454701</v>
      </c>
      <c r="S18" s="44">
        <f>SUM($R$18:$R$18)</f>
        <v>-12.723962936454701</v>
      </c>
      <c r="T18" s="44">
        <f>'TE BE'!$T$18*'TE BE'!$T$49</f>
        <v>0.19552861581043851</v>
      </c>
      <c r="U18" s="44">
        <f>'TE BE'!$U$18*'TE BE'!$U$49</f>
        <v>3.0098034642732759E-2</v>
      </c>
      <c r="V18" s="44">
        <f>'TE BE'!$V$18*'TE BE'!$V$49</f>
        <v>0</v>
      </c>
      <c r="W18" s="44">
        <f>SUM($T$18:$V$18)</f>
        <v>0.22562665045317126</v>
      </c>
      <c r="X18" s="44">
        <f>'TE BE'!$AB$18*'TE BE'!$X$49</f>
        <v>-24.499021056840807</v>
      </c>
      <c r="Y18" s="44">
        <f>SUM($X$18:$X$18)</f>
        <v>-24.499021056840807</v>
      </c>
      <c r="Z18" s="44">
        <f>'TE BE'!$Z$18*'TE BE'!$Z$49</f>
        <v>-0.36801891718108032</v>
      </c>
      <c r="AA18" s="44">
        <f>SUM($Z$18:$Z$18)</f>
        <v>-0.36801891718108032</v>
      </c>
      <c r="AB18" s="44">
        <f>SUMIF($L$4:$AA$4,"SUBTOTAL",$L$18:$AA$18)</f>
        <v>-42.370862642177393</v>
      </c>
    </row>
    <row r="19" spans="1:28" ht="11.25" customHeight="1" x14ac:dyDescent="0.25">
      <c r="A19" s="141"/>
      <c r="B19" s="141"/>
      <c r="C19" s="141"/>
      <c r="D19" s="47" t="s">
        <v>30</v>
      </c>
      <c r="E19" s="47" t="s">
        <v>25</v>
      </c>
      <c r="F19" s="47" t="s">
        <v>25</v>
      </c>
      <c r="G19" s="46" t="s">
        <v>74</v>
      </c>
      <c r="H19" s="46" t="s">
        <v>70</v>
      </c>
      <c r="I19" s="46">
        <f>'MERCADO TE'!$U$16</f>
        <v>0</v>
      </c>
      <c r="J19" s="15"/>
      <c r="L19" s="44">
        <f>'TE BE'!$L$19*'TE BE'!$L$49</f>
        <v>4.5881186970682265E-7</v>
      </c>
      <c r="M19" s="44">
        <f>'TE BE'!$M$19*'TE BE'!$M$49</f>
        <v>-4.9716485011730516</v>
      </c>
      <c r="N19" s="44">
        <f>'TE BE'!$N$19*'TE BE'!$N$49</f>
        <v>0</v>
      </c>
      <c r="O19" s="44">
        <f>'TE BE'!$O$19*'TE BE'!$O$49</f>
        <v>-3.3838339792789322E-2</v>
      </c>
      <c r="P19" s="44">
        <f>'TE BE'!$P$19*'TE BE'!$P$49</f>
        <v>0</v>
      </c>
      <c r="Q19" s="44">
        <f>SUM($L$19:$P$19)</f>
        <v>-5.0054863821539719</v>
      </c>
      <c r="R19" s="44">
        <f>'TE BE'!$R$19*'TE BE'!$R$49</f>
        <v>-12.723962936454701</v>
      </c>
      <c r="S19" s="44">
        <f>SUM($R$19:$R$19)</f>
        <v>-12.723962936454701</v>
      </c>
      <c r="T19" s="44">
        <f>'TE BE'!$T$19*'TE BE'!$T$49</f>
        <v>0.19552861581043851</v>
      </c>
      <c r="U19" s="44">
        <f>'TE BE'!$U$19*'TE BE'!$U$49</f>
        <v>3.0098034642732759E-2</v>
      </c>
      <c r="V19" s="44">
        <f>'TE BE'!$V$19*'TE BE'!$V$49</f>
        <v>0</v>
      </c>
      <c r="W19" s="44">
        <f>SUM($T$19:$V$19)</f>
        <v>0.22562665045317126</v>
      </c>
      <c r="X19" s="44">
        <f>'TE BE'!$AB$19*'TE BE'!$X$49</f>
        <v>-24.499021056840807</v>
      </c>
      <c r="Y19" s="44">
        <f>SUM($X$19:$X$19)</f>
        <v>-24.499021056840807</v>
      </c>
      <c r="Z19" s="44">
        <f>'TE BE'!$Z$19*'TE BE'!$Z$49</f>
        <v>-0.36801891718108032</v>
      </c>
      <c r="AA19" s="44">
        <f>SUM($Z$19:$Z$19)</f>
        <v>-0.36801891718108032</v>
      </c>
      <c r="AB19" s="44">
        <f>SUMIF($L$4:$AA$4,"SUBTOTAL",$L$19:$AA$19)</f>
        <v>-42.370862642177393</v>
      </c>
    </row>
    <row r="20" spans="1:28" ht="11.25" customHeight="1" x14ac:dyDescent="0.25">
      <c r="A20" s="141"/>
      <c r="B20" s="141"/>
      <c r="C20" s="141"/>
      <c r="D20" s="47" t="s">
        <v>31</v>
      </c>
      <c r="E20" s="47" t="s">
        <v>25</v>
      </c>
      <c r="F20" s="47" t="s">
        <v>25</v>
      </c>
      <c r="G20" s="46" t="s">
        <v>74</v>
      </c>
      <c r="H20" s="46" t="s">
        <v>70</v>
      </c>
      <c r="I20" s="46">
        <f>'MERCADO TE'!$U$17</f>
        <v>0</v>
      </c>
      <c r="J20" s="15"/>
      <c r="L20" s="44">
        <f>'TE BE'!$L$20*'TE BE'!$L$49</f>
        <v>4.5881186970682265E-7</v>
      </c>
      <c r="M20" s="44">
        <f>'TE BE'!$M$20*'TE BE'!$M$49</f>
        <v>-4.9716485011730516</v>
      </c>
      <c r="N20" s="44">
        <f>'TE BE'!$N$20*'TE BE'!$N$49</f>
        <v>0</v>
      </c>
      <c r="O20" s="44">
        <f>'TE BE'!$O$20*'TE BE'!$O$49</f>
        <v>-3.3838339792789322E-2</v>
      </c>
      <c r="P20" s="44">
        <f>'TE BE'!$P$20*'TE BE'!$P$49</f>
        <v>0</v>
      </c>
      <c r="Q20" s="44">
        <f>SUM($L$20:$P$20)</f>
        <v>-5.0054863821539719</v>
      </c>
      <c r="R20" s="44">
        <f>'TE BE'!$R$20*'TE BE'!$R$49</f>
        <v>-12.723962936454701</v>
      </c>
      <c r="S20" s="44">
        <f>SUM($R$20:$R$20)</f>
        <v>-12.723962936454701</v>
      </c>
      <c r="T20" s="44">
        <f>'TE BE'!$T$20*'TE BE'!$T$49</f>
        <v>0.19552861581043851</v>
      </c>
      <c r="U20" s="44">
        <f>'TE BE'!$U$20*'TE BE'!$U$49</f>
        <v>3.0098034642732759E-2</v>
      </c>
      <c r="V20" s="44">
        <f>'TE BE'!$V$20*'TE BE'!$V$49</f>
        <v>0</v>
      </c>
      <c r="W20" s="44">
        <f>SUM($T$20:$V$20)</f>
        <v>0.22562665045317126</v>
      </c>
      <c r="X20" s="44">
        <f>'TE BE'!$AB$20*'TE BE'!$X$49</f>
        <v>-24.499021056840807</v>
      </c>
      <c r="Y20" s="44">
        <f>SUM($X$20:$X$20)</f>
        <v>-24.499021056840807</v>
      </c>
      <c r="Z20" s="44">
        <f>'TE BE'!$Z$20*'TE BE'!$Z$49</f>
        <v>-0.36801891718108032</v>
      </c>
      <c r="AA20" s="44">
        <f>SUM($Z$20:$Z$20)</f>
        <v>-0.36801891718108032</v>
      </c>
      <c r="AB20" s="44">
        <f>SUMIF($L$4:$AA$4,"SUBTOTAL",$L$20:$AA$20)</f>
        <v>-42.370862642177393</v>
      </c>
    </row>
    <row r="21" spans="1:28" ht="11.25" customHeight="1" x14ac:dyDescent="0.25">
      <c r="A21" s="141" t="s">
        <v>39</v>
      </c>
      <c r="B21" s="141" t="s">
        <v>69</v>
      </c>
      <c r="C21" s="141" t="s">
        <v>40</v>
      </c>
      <c r="D21" s="141" t="s">
        <v>25</v>
      </c>
      <c r="E21" s="141" t="s">
        <v>25</v>
      </c>
      <c r="F21" s="141" t="s">
        <v>25</v>
      </c>
      <c r="G21" s="46" t="s">
        <v>71</v>
      </c>
      <c r="H21" s="46" t="s">
        <v>70</v>
      </c>
      <c r="I21" s="46">
        <f>'MERCADO TE'!$U$18</f>
        <v>0</v>
      </c>
      <c r="J21" s="15"/>
      <c r="L21" s="44">
        <f>'TE BE'!$L$21*'TE BE'!$L$49</f>
        <v>4.5881186970682265E-7</v>
      </c>
      <c r="M21" s="44">
        <f>'TE BE'!$M$21*'TE BE'!$M$49</f>
        <v>-4.9716485011730516</v>
      </c>
      <c r="N21" s="44">
        <f>'TE BE'!$N$21*'TE BE'!$N$49</f>
        <v>0</v>
      </c>
      <c r="O21" s="44">
        <f>'TE BE'!$O$21*'TE BE'!$O$49</f>
        <v>-3.3838339792789322E-2</v>
      </c>
      <c r="P21" s="44">
        <f>'TE BE'!$P$21*'TE BE'!$P$49</f>
        <v>0</v>
      </c>
      <c r="Q21" s="44">
        <f>SUM($L$21:$P$21)</f>
        <v>-5.0054863821539719</v>
      </c>
      <c r="R21" s="44">
        <f>'TE BE'!$R$21*'TE BE'!$R$49</f>
        <v>-20.646430425190644</v>
      </c>
      <c r="S21" s="44">
        <f>SUM($R$21:$R$21)</f>
        <v>-20.646430425190644</v>
      </c>
      <c r="T21" s="44">
        <f>'TE BE'!$T$21*'TE BE'!$T$49</f>
        <v>0.19552861581043851</v>
      </c>
      <c r="U21" s="44">
        <f>'TE BE'!$U$21*'TE BE'!$U$49</f>
        <v>3.0098034642732759E-2</v>
      </c>
      <c r="V21" s="44">
        <f>'TE BE'!$V$21*'TE BE'!$V$49</f>
        <v>0</v>
      </c>
      <c r="W21" s="44">
        <f>SUM($T$21:$V$21)</f>
        <v>0.22562665045317126</v>
      </c>
      <c r="X21" s="44">
        <f>'TE BE'!$AB$21*'TE BE'!$X$49</f>
        <v>-38.007996573099831</v>
      </c>
      <c r="Y21" s="44">
        <f>SUM($X$21:$X$21)</f>
        <v>-38.007996573099831</v>
      </c>
      <c r="Z21" s="44">
        <f>'TE BE'!$Z$21*'TE BE'!$Z$49</f>
        <v>-0.36801891718108032</v>
      </c>
      <c r="AA21" s="44">
        <f>SUM($Z$21:$Z$21)</f>
        <v>-0.36801891718108032</v>
      </c>
      <c r="AB21" s="44">
        <f>SUMIF($L$4:$AA$4,"SUBTOTAL",$L$21:$AA$21)</f>
        <v>-63.802305647172354</v>
      </c>
    </row>
    <row r="22" spans="1:28" ht="11.25" customHeight="1" x14ac:dyDescent="0.25">
      <c r="A22" s="141"/>
      <c r="B22" s="141"/>
      <c r="C22" s="141"/>
      <c r="D22" s="141"/>
      <c r="E22" s="141"/>
      <c r="F22" s="141"/>
      <c r="G22" s="46" t="s">
        <v>83</v>
      </c>
      <c r="H22" s="46" t="s">
        <v>70</v>
      </c>
      <c r="I22" s="46">
        <f>'MERCADO TE'!$U$19</f>
        <v>0</v>
      </c>
      <c r="J22" s="15"/>
      <c r="L22" s="44">
        <f>'TE BE'!$L$22*'TE BE'!$L$49</f>
        <v>4.5881186970682265E-7</v>
      </c>
      <c r="M22" s="44">
        <f>'TE BE'!$M$22*'TE BE'!$M$49</f>
        <v>-4.9716485011730516</v>
      </c>
      <c r="N22" s="44">
        <f>'TE BE'!$N$22*'TE BE'!$N$49</f>
        <v>0</v>
      </c>
      <c r="O22" s="44">
        <f>'TE BE'!$O$22*'TE BE'!$O$49</f>
        <v>-3.3838339792789322E-2</v>
      </c>
      <c r="P22" s="44">
        <f>'TE BE'!$P$22*'TE BE'!$P$49</f>
        <v>0</v>
      </c>
      <c r="Q22" s="44">
        <f>SUM($L$22:$P$22)</f>
        <v>-5.0054863821539719</v>
      </c>
      <c r="R22" s="44">
        <f>'TE BE'!$R$22*'TE BE'!$R$49</f>
        <v>-12.003738619296888</v>
      </c>
      <c r="S22" s="44">
        <f>SUM($R$22:$R$22)</f>
        <v>-12.003738619296888</v>
      </c>
      <c r="T22" s="44">
        <f>'TE BE'!$T$22*'TE BE'!$T$49</f>
        <v>0.19552861581043851</v>
      </c>
      <c r="U22" s="44">
        <f>'TE BE'!$U$22*'TE BE'!$U$49</f>
        <v>3.0098034642732759E-2</v>
      </c>
      <c r="V22" s="44">
        <f>'TE BE'!$V$22*'TE BE'!$V$49</f>
        <v>0</v>
      </c>
      <c r="W22" s="44">
        <f>SUM($T$22:$V$22)</f>
        <v>0.22562665045317126</v>
      </c>
      <c r="X22" s="44">
        <f>'TE BE'!$AB$22*'TE BE'!$X$49</f>
        <v>-23.270932373544532</v>
      </c>
      <c r="Y22" s="44">
        <f>SUM($X$22:$X$22)</f>
        <v>-23.270932373544532</v>
      </c>
      <c r="Z22" s="44">
        <f>'TE BE'!$Z$22*'TE BE'!$Z$49</f>
        <v>-0.36801891718108032</v>
      </c>
      <c r="AA22" s="44">
        <f>SUM($Z$22:$Z$22)</f>
        <v>-0.36801891718108032</v>
      </c>
      <c r="AB22" s="44">
        <f>SUMIF($L$4:$AA$4,"SUBTOTAL",$L$22:$AA$22)</f>
        <v>-40.4225496417233</v>
      </c>
    </row>
    <row r="23" spans="1:28" ht="11.25" customHeight="1" x14ac:dyDescent="0.25">
      <c r="A23" s="141"/>
      <c r="B23" s="141"/>
      <c r="C23" s="141"/>
      <c r="D23" s="141"/>
      <c r="E23" s="141"/>
      <c r="F23" s="141"/>
      <c r="G23" s="46" t="s">
        <v>72</v>
      </c>
      <c r="H23" s="46" t="s">
        <v>70</v>
      </c>
      <c r="I23" s="46">
        <f>'MERCADO TE'!$U$20</f>
        <v>0</v>
      </c>
      <c r="J23" s="15"/>
      <c r="L23" s="44">
        <f>'TE BE'!$L$23*'TE BE'!$L$49</f>
        <v>4.5881186970682265E-7</v>
      </c>
      <c r="M23" s="44">
        <f>'TE BE'!$M$23*'TE BE'!$M$49</f>
        <v>-4.9716485011730516</v>
      </c>
      <c r="N23" s="44">
        <f>'TE BE'!$N$23*'TE BE'!$N$49</f>
        <v>0</v>
      </c>
      <c r="O23" s="44">
        <f>'TE BE'!$O$23*'TE BE'!$O$49</f>
        <v>-3.3838339792789322E-2</v>
      </c>
      <c r="P23" s="44">
        <f>'TE BE'!$P$23*'TE BE'!$P$49</f>
        <v>0</v>
      </c>
      <c r="Q23" s="44">
        <f>SUM($L$23:$P$23)</f>
        <v>-5.0054863821539719</v>
      </c>
      <c r="R23" s="44">
        <f>'TE BE'!$R$23*'TE BE'!$R$49</f>
        <v>-12.003738619296888</v>
      </c>
      <c r="S23" s="44">
        <f>SUM($R$23:$R$23)</f>
        <v>-12.003738619296888</v>
      </c>
      <c r="T23" s="44">
        <f>'TE BE'!$T$23*'TE BE'!$T$49</f>
        <v>0.19552861581043851</v>
      </c>
      <c r="U23" s="44">
        <f>'TE BE'!$U$23*'TE BE'!$U$49</f>
        <v>3.0098034642732759E-2</v>
      </c>
      <c r="V23" s="44">
        <f>'TE BE'!$V$23*'TE BE'!$V$49</f>
        <v>0</v>
      </c>
      <c r="W23" s="44">
        <f>SUM($T$23:$V$23)</f>
        <v>0.22562665045317126</v>
      </c>
      <c r="X23" s="44">
        <f>'TE BE'!$AB$23*'TE BE'!$X$49</f>
        <v>-23.270932373544532</v>
      </c>
      <c r="Y23" s="44">
        <f>SUM($X$23:$X$23)</f>
        <v>-23.270932373544532</v>
      </c>
      <c r="Z23" s="44">
        <f>'TE BE'!$Z$23*'TE BE'!$Z$49</f>
        <v>-0.36801891718108032</v>
      </c>
      <c r="AA23" s="44">
        <f>SUM($Z$23:$Z$23)</f>
        <v>-0.36801891718108032</v>
      </c>
      <c r="AB23" s="44">
        <f>SUMIF($L$4:$AA$4,"SUBTOTAL",$L$23:$AA$23)</f>
        <v>-40.4225496417233</v>
      </c>
    </row>
    <row r="24" spans="1:28" ht="11.25" customHeight="1" x14ac:dyDescent="0.25">
      <c r="A24" s="141"/>
      <c r="B24" s="47" t="s">
        <v>73</v>
      </c>
      <c r="C24" s="47" t="s">
        <v>40</v>
      </c>
      <c r="D24" s="47" t="s">
        <v>25</v>
      </c>
      <c r="E24" s="47" t="s">
        <v>25</v>
      </c>
      <c r="F24" s="47" t="s">
        <v>25</v>
      </c>
      <c r="G24" s="46" t="s">
        <v>74</v>
      </c>
      <c r="H24" s="46" t="s">
        <v>70</v>
      </c>
      <c r="I24" s="46">
        <f>'MERCADO TE'!$U$21</f>
        <v>45.472000000000001</v>
      </c>
      <c r="J24" s="15"/>
      <c r="L24" s="44">
        <f>'TE BE'!$L$24*'TE BE'!$L$49</f>
        <v>4.5881186970682265E-7</v>
      </c>
      <c r="M24" s="44">
        <f>'TE BE'!$M$24*'TE BE'!$M$49</f>
        <v>-4.9716485011730516</v>
      </c>
      <c r="N24" s="44">
        <f>'TE BE'!$N$24*'TE BE'!$N$49</f>
        <v>0</v>
      </c>
      <c r="O24" s="44">
        <f>'TE BE'!$O$24*'TE BE'!$O$49</f>
        <v>-3.3838339792789322E-2</v>
      </c>
      <c r="P24" s="44">
        <f>'TE BE'!$P$24*'TE BE'!$P$49</f>
        <v>0</v>
      </c>
      <c r="Q24" s="44">
        <f>SUM($L$24:$P$24)</f>
        <v>-5.0054863821539719</v>
      </c>
      <c r="R24" s="44">
        <f>'TE BE'!$R$24*'TE BE'!$R$49</f>
        <v>-12.723962936454701</v>
      </c>
      <c r="S24" s="44">
        <f>SUM($R$24:$R$24)</f>
        <v>-12.723962936454701</v>
      </c>
      <c r="T24" s="44">
        <f>'TE BE'!$T$24*'TE BE'!$T$49</f>
        <v>0.19552861581043851</v>
      </c>
      <c r="U24" s="44">
        <f>'TE BE'!$U$24*'TE BE'!$U$49</f>
        <v>3.0098034642732759E-2</v>
      </c>
      <c r="V24" s="44">
        <f>'TE BE'!$V$24*'TE BE'!$V$49</f>
        <v>0</v>
      </c>
      <c r="W24" s="44">
        <f>SUM($T$24:$V$24)</f>
        <v>0.22562665045317126</v>
      </c>
      <c r="X24" s="44">
        <f>'TE BE'!$AB$24*'TE BE'!$X$49</f>
        <v>-24.499021056840807</v>
      </c>
      <c r="Y24" s="44">
        <f>SUM($X$24:$X$24)</f>
        <v>-24.499021056840807</v>
      </c>
      <c r="Z24" s="44">
        <f>'TE BE'!$Z$24*'TE BE'!$Z$49</f>
        <v>-0.36801891718108032</v>
      </c>
      <c r="AA24" s="44">
        <f>SUM($Z$24:$Z$24)</f>
        <v>-0.36801891718108032</v>
      </c>
      <c r="AB24" s="44">
        <f>SUMIF($L$4:$AA$4,"SUBTOTAL",$L$24:$AA$24)</f>
        <v>-42.370862642177393</v>
      </c>
    </row>
    <row r="25" spans="1:28" ht="11.25" customHeight="1" x14ac:dyDescent="0.25">
      <c r="A25" s="141"/>
      <c r="B25" s="141" t="s">
        <v>69</v>
      </c>
      <c r="C25" s="141" t="s">
        <v>40</v>
      </c>
      <c r="D25" s="141" t="s">
        <v>86</v>
      </c>
      <c r="E25" s="141" t="s">
        <v>25</v>
      </c>
      <c r="F25" s="141" t="s">
        <v>25</v>
      </c>
      <c r="G25" s="46" t="s">
        <v>71</v>
      </c>
      <c r="H25" s="46" t="s">
        <v>70</v>
      </c>
      <c r="I25" s="46">
        <f>'MERCADO TE'!$U$22</f>
        <v>0</v>
      </c>
      <c r="J25" s="15"/>
      <c r="L25" s="44">
        <f>'TE BE'!$L$25*'TE BE'!$L$49</f>
        <v>4.5881186970682265E-7</v>
      </c>
      <c r="M25" s="44">
        <f>'TE BE'!$M$25*'TE BE'!$M$49</f>
        <v>-4.9716485011730516</v>
      </c>
      <c r="N25" s="44">
        <f>'TE BE'!$N$25*'TE BE'!$N$49</f>
        <v>0</v>
      </c>
      <c r="O25" s="44">
        <f>'TE BE'!$O$25*'TE BE'!$O$49</f>
        <v>-3.3838339792789322E-2</v>
      </c>
      <c r="P25" s="44">
        <f>'TE BE'!$P$25*'TE BE'!$P$49</f>
        <v>0</v>
      </c>
      <c r="Q25" s="44">
        <f>SUM($L$25:$P$25)</f>
        <v>-5.0054863821539719</v>
      </c>
      <c r="R25" s="44">
        <f>'TE BE'!$R$25*'TE BE'!$R$49</f>
        <v>-20.646430425190644</v>
      </c>
      <c r="S25" s="44">
        <f>SUM($R$25:$R$25)</f>
        <v>-20.646430425190644</v>
      </c>
      <c r="T25" s="44">
        <f>'TE BE'!$T$25*'TE BE'!$T$49</f>
        <v>0.19552861581043851</v>
      </c>
      <c r="U25" s="44">
        <f>'TE BE'!$U$25*'TE BE'!$U$49</f>
        <v>3.0098034642732759E-2</v>
      </c>
      <c r="V25" s="44">
        <f>'TE BE'!$V$25*'TE BE'!$V$49</f>
        <v>0</v>
      </c>
      <c r="W25" s="44">
        <f>SUM($T$25:$V$25)</f>
        <v>0.22562665045317126</v>
      </c>
      <c r="X25" s="44">
        <f>'TE BE'!$AB$25*'TE BE'!$X$49</f>
        <v>-38.007996573099831</v>
      </c>
      <c r="Y25" s="44">
        <f>SUM($X$25:$X$25)</f>
        <v>-38.007996573099831</v>
      </c>
      <c r="Z25" s="44">
        <f>'TE BE'!$Z$25*'TE BE'!$Z$49</f>
        <v>-0.36801891718108032</v>
      </c>
      <c r="AA25" s="44">
        <f>SUM($Z$25:$Z$25)</f>
        <v>-0.36801891718108032</v>
      </c>
      <c r="AB25" s="44">
        <f>SUMIF($L$4:$AA$4,"SUBTOTAL",$L$25:$AA$25)</f>
        <v>-63.802305647172354</v>
      </c>
    </row>
    <row r="26" spans="1:28" ht="11.25" customHeight="1" x14ac:dyDescent="0.25">
      <c r="A26" s="141"/>
      <c r="B26" s="141"/>
      <c r="C26" s="141"/>
      <c r="D26" s="141"/>
      <c r="E26" s="141"/>
      <c r="F26" s="141"/>
      <c r="G26" s="46" t="s">
        <v>83</v>
      </c>
      <c r="H26" s="46" t="s">
        <v>70</v>
      </c>
      <c r="I26" s="46">
        <f>'MERCADO TE'!$U$23</f>
        <v>0</v>
      </c>
      <c r="J26" s="15"/>
      <c r="L26" s="44">
        <f>'TE BE'!$L$26*'TE BE'!$L$49</f>
        <v>4.5881186970682265E-7</v>
      </c>
      <c r="M26" s="44">
        <f>'TE BE'!$M$26*'TE BE'!$M$49</f>
        <v>-4.9716485011730516</v>
      </c>
      <c r="N26" s="44">
        <f>'TE BE'!$N$26*'TE BE'!$N$49</f>
        <v>0</v>
      </c>
      <c r="O26" s="44">
        <f>'TE BE'!$O$26*'TE BE'!$O$49</f>
        <v>-3.3838339792789322E-2</v>
      </c>
      <c r="P26" s="44">
        <f>'TE BE'!$P$26*'TE BE'!$P$49</f>
        <v>0</v>
      </c>
      <c r="Q26" s="44">
        <f>SUM($L$26:$P$26)</f>
        <v>-5.0054863821539719</v>
      </c>
      <c r="R26" s="44">
        <f>'TE BE'!$R$26*'TE BE'!$R$49</f>
        <v>-12.003738619296888</v>
      </c>
      <c r="S26" s="44">
        <f>SUM($R$26:$R$26)</f>
        <v>-12.003738619296888</v>
      </c>
      <c r="T26" s="44">
        <f>'TE BE'!$T$26*'TE BE'!$T$49</f>
        <v>0.19552861581043851</v>
      </c>
      <c r="U26" s="44">
        <f>'TE BE'!$U$26*'TE BE'!$U$49</f>
        <v>3.0098034642732759E-2</v>
      </c>
      <c r="V26" s="44">
        <f>'TE BE'!$V$26*'TE BE'!$V$49</f>
        <v>0</v>
      </c>
      <c r="W26" s="44">
        <f>SUM($T$26:$V$26)</f>
        <v>0.22562665045317126</v>
      </c>
      <c r="X26" s="44">
        <f>'TE BE'!$AB$26*'TE BE'!$X$49</f>
        <v>-23.270932373544532</v>
      </c>
      <c r="Y26" s="44">
        <f>SUM($X$26:$X$26)</f>
        <v>-23.270932373544532</v>
      </c>
      <c r="Z26" s="44">
        <f>'TE BE'!$Z$26*'TE BE'!$Z$49</f>
        <v>-0.36801891718108032</v>
      </c>
      <c r="AA26" s="44">
        <f>SUM($Z$26:$Z$26)</f>
        <v>-0.36801891718108032</v>
      </c>
      <c r="AB26" s="44">
        <f>SUMIF($L$4:$AA$4,"SUBTOTAL",$L$26:$AA$26)</f>
        <v>-40.4225496417233</v>
      </c>
    </row>
    <row r="27" spans="1:28" ht="11.25" customHeight="1" x14ac:dyDescent="0.25">
      <c r="A27" s="141"/>
      <c r="B27" s="141"/>
      <c r="C27" s="141"/>
      <c r="D27" s="141"/>
      <c r="E27" s="141"/>
      <c r="F27" s="141"/>
      <c r="G27" s="46" t="s">
        <v>72</v>
      </c>
      <c r="H27" s="46" t="s">
        <v>70</v>
      </c>
      <c r="I27" s="46">
        <f>'MERCADO TE'!$U$24</f>
        <v>0</v>
      </c>
      <c r="J27" s="15"/>
      <c r="L27" s="44">
        <f>'TE BE'!$L$27*'TE BE'!$L$49</f>
        <v>4.5881186970682265E-7</v>
      </c>
      <c r="M27" s="44">
        <f>'TE BE'!$M$27*'TE BE'!$M$49</f>
        <v>-4.9716485011730516</v>
      </c>
      <c r="N27" s="44">
        <f>'TE BE'!$N$27*'TE BE'!$N$49</f>
        <v>0</v>
      </c>
      <c r="O27" s="44">
        <f>'TE BE'!$O$27*'TE BE'!$O$49</f>
        <v>-3.3838339792789322E-2</v>
      </c>
      <c r="P27" s="44">
        <f>'TE BE'!$P$27*'TE BE'!$P$49</f>
        <v>0</v>
      </c>
      <c r="Q27" s="44">
        <f>SUM($L$27:$P$27)</f>
        <v>-5.0054863821539719</v>
      </c>
      <c r="R27" s="44">
        <f>'TE BE'!$R$27*'TE BE'!$R$49</f>
        <v>-12.003738619296888</v>
      </c>
      <c r="S27" s="44">
        <f>SUM($R$27:$R$27)</f>
        <v>-12.003738619296888</v>
      </c>
      <c r="T27" s="44">
        <f>'TE BE'!$T$27*'TE BE'!$T$49</f>
        <v>0.19552861581043851</v>
      </c>
      <c r="U27" s="44">
        <f>'TE BE'!$U$27*'TE BE'!$U$49</f>
        <v>3.0098034642732759E-2</v>
      </c>
      <c r="V27" s="44">
        <f>'TE BE'!$V$27*'TE BE'!$V$49</f>
        <v>0</v>
      </c>
      <c r="W27" s="44">
        <f>SUM($T$27:$V$27)</f>
        <v>0.22562665045317126</v>
      </c>
      <c r="X27" s="44">
        <f>'TE BE'!$AB$27*'TE BE'!$X$49</f>
        <v>-23.270932373544532</v>
      </c>
      <c r="Y27" s="44">
        <f>SUM($X$27:$X$27)</f>
        <v>-23.270932373544532</v>
      </c>
      <c r="Z27" s="44">
        <f>'TE BE'!$Z$27*'TE BE'!$Z$49</f>
        <v>-0.36801891718108032</v>
      </c>
      <c r="AA27" s="44">
        <f>SUM($Z$27:$Z$27)</f>
        <v>-0.36801891718108032</v>
      </c>
      <c r="AB27" s="44">
        <f>SUMIF($L$4:$AA$4,"SUBTOTAL",$L$27:$AA$27)</f>
        <v>-40.4225496417233</v>
      </c>
    </row>
    <row r="28" spans="1:28" ht="11.25" customHeight="1" x14ac:dyDescent="0.25">
      <c r="A28" s="141"/>
      <c r="B28" s="47" t="s">
        <v>73</v>
      </c>
      <c r="C28" s="47" t="s">
        <v>40</v>
      </c>
      <c r="D28" s="47" t="s">
        <v>86</v>
      </c>
      <c r="E28" s="47" t="s">
        <v>25</v>
      </c>
      <c r="F28" s="47" t="s">
        <v>25</v>
      </c>
      <c r="G28" s="46" t="s">
        <v>74</v>
      </c>
      <c r="H28" s="46" t="s">
        <v>70</v>
      </c>
      <c r="I28" s="46">
        <f>'MERCADO TE'!$U$25</f>
        <v>0</v>
      </c>
      <c r="J28" s="15"/>
      <c r="L28" s="44">
        <f>'TE BE'!$L$28*'TE BE'!$L$49</f>
        <v>4.5881186970682265E-7</v>
      </c>
      <c r="M28" s="44">
        <f>'TE BE'!$M$28*'TE BE'!$M$49</f>
        <v>-4.9716485011730516</v>
      </c>
      <c r="N28" s="44">
        <f>'TE BE'!$N$28*'TE BE'!$N$49</f>
        <v>0</v>
      </c>
      <c r="O28" s="44">
        <f>'TE BE'!$O$28*'TE BE'!$O$49</f>
        <v>-3.3838339792789322E-2</v>
      </c>
      <c r="P28" s="44">
        <f>'TE BE'!$P$28*'TE BE'!$P$49</f>
        <v>0</v>
      </c>
      <c r="Q28" s="44">
        <f>SUM($L$28:$P$28)</f>
        <v>-5.0054863821539719</v>
      </c>
      <c r="R28" s="44">
        <f>'TE BE'!$R$28*'TE BE'!$R$49</f>
        <v>-12.723962936454701</v>
      </c>
      <c r="S28" s="44">
        <f>SUM($R$28:$R$28)</f>
        <v>-12.723962936454701</v>
      </c>
      <c r="T28" s="44">
        <f>'TE BE'!$T$28*'TE BE'!$T$49</f>
        <v>0.19552861581043851</v>
      </c>
      <c r="U28" s="44">
        <f>'TE BE'!$U$28*'TE BE'!$U$49</f>
        <v>3.0098034642732759E-2</v>
      </c>
      <c r="V28" s="44">
        <f>'TE BE'!$V$28*'TE BE'!$V$49</f>
        <v>0</v>
      </c>
      <c r="W28" s="44">
        <f>SUM($T$28:$V$28)</f>
        <v>0.22562665045317126</v>
      </c>
      <c r="X28" s="44">
        <f>'TE BE'!$AB$28*'TE BE'!$X$49</f>
        <v>-24.499021056840807</v>
      </c>
      <c r="Y28" s="44">
        <f>SUM($X$28:$X$28)</f>
        <v>-24.499021056840807</v>
      </c>
      <c r="Z28" s="44">
        <f>'TE BE'!$Z$28*'TE BE'!$Z$49</f>
        <v>-0.36801891718108032</v>
      </c>
      <c r="AA28" s="44">
        <f>SUM($Z$28:$Z$28)</f>
        <v>-0.36801891718108032</v>
      </c>
      <c r="AB28" s="44">
        <f>SUMIF($L$4:$AA$4,"SUBTOTAL",$L$28:$AA$28)</f>
        <v>-42.370862642177393</v>
      </c>
    </row>
    <row r="29" spans="1:28" ht="11.25" customHeight="1" x14ac:dyDescent="0.25">
      <c r="A29" s="141"/>
      <c r="B29" s="141" t="s">
        <v>69</v>
      </c>
      <c r="C29" s="141" t="s">
        <v>40</v>
      </c>
      <c r="D29" s="141" t="s">
        <v>87</v>
      </c>
      <c r="E29" s="141" t="s">
        <v>25</v>
      </c>
      <c r="F29" s="141" t="s">
        <v>25</v>
      </c>
      <c r="G29" s="46" t="s">
        <v>71</v>
      </c>
      <c r="H29" s="46" t="s">
        <v>70</v>
      </c>
      <c r="I29" s="46">
        <f>'MERCADO TE'!$U$26</f>
        <v>0</v>
      </c>
      <c r="J29" s="15"/>
      <c r="L29" s="44">
        <f>'TE BE'!$L$29*'TE BE'!$L$49</f>
        <v>4.5881186970682265E-7</v>
      </c>
      <c r="M29" s="44">
        <f>'TE BE'!$M$29*'TE BE'!$M$49</f>
        <v>-4.9716485011730516</v>
      </c>
      <c r="N29" s="44">
        <f>'TE BE'!$N$29*'TE BE'!$N$49</f>
        <v>0</v>
      </c>
      <c r="O29" s="44">
        <f>'TE BE'!$O$29*'TE BE'!$O$49</f>
        <v>-3.3838339792789322E-2</v>
      </c>
      <c r="P29" s="44">
        <f>'TE BE'!$P$29*'TE BE'!$P$49</f>
        <v>0</v>
      </c>
      <c r="Q29" s="44">
        <f>SUM($L$29:$P$29)</f>
        <v>-5.0054863821539719</v>
      </c>
      <c r="R29" s="44">
        <f>'TE BE'!$R$29*'TE BE'!$R$49</f>
        <v>-20.646430425190644</v>
      </c>
      <c r="S29" s="44">
        <f>SUM($R$29:$R$29)</f>
        <v>-20.646430425190644</v>
      </c>
      <c r="T29" s="44">
        <f>'TE BE'!$T$29*'TE BE'!$T$49</f>
        <v>0.19552861581043851</v>
      </c>
      <c r="U29" s="44">
        <f>'TE BE'!$U$29*'TE BE'!$U$49</f>
        <v>3.0098034642732759E-2</v>
      </c>
      <c r="V29" s="44">
        <f>'TE BE'!$V$29*'TE BE'!$V$49</f>
        <v>0</v>
      </c>
      <c r="W29" s="44">
        <f>SUM($T$29:$V$29)</f>
        <v>0.22562665045317126</v>
      </c>
      <c r="X29" s="44">
        <f>'TE BE'!$AB$29*'TE BE'!$X$49</f>
        <v>-38.007996573099831</v>
      </c>
      <c r="Y29" s="44">
        <f>SUM($X$29:$X$29)</f>
        <v>-38.007996573099831</v>
      </c>
      <c r="Z29" s="44">
        <f>'TE BE'!$Z$29*'TE BE'!$Z$49</f>
        <v>-0.36801891718108032</v>
      </c>
      <c r="AA29" s="44">
        <f>SUM($Z$29:$Z$29)</f>
        <v>-0.36801891718108032</v>
      </c>
      <c r="AB29" s="44">
        <f>SUMIF($L$4:$AA$4,"SUBTOTAL",$L$29:$AA$29)</f>
        <v>-63.802305647172354</v>
      </c>
    </row>
    <row r="30" spans="1:28" ht="11.25" customHeight="1" x14ac:dyDescent="0.25">
      <c r="A30" s="141"/>
      <c r="B30" s="141"/>
      <c r="C30" s="141"/>
      <c r="D30" s="141"/>
      <c r="E30" s="141"/>
      <c r="F30" s="141"/>
      <c r="G30" s="46" t="s">
        <v>83</v>
      </c>
      <c r="H30" s="46" t="s">
        <v>70</v>
      </c>
      <c r="I30" s="46">
        <f>'MERCADO TE'!$U$27</f>
        <v>0</v>
      </c>
      <c r="J30" s="15"/>
      <c r="L30" s="44">
        <f>'TE BE'!$L$30*'TE BE'!$L$49</f>
        <v>4.5881186970682265E-7</v>
      </c>
      <c r="M30" s="44">
        <f>'TE BE'!$M$30*'TE BE'!$M$49</f>
        <v>-4.9716485011730516</v>
      </c>
      <c r="N30" s="44">
        <f>'TE BE'!$N$30*'TE BE'!$N$49</f>
        <v>0</v>
      </c>
      <c r="O30" s="44">
        <f>'TE BE'!$O$30*'TE BE'!$O$49</f>
        <v>-3.3838339792789322E-2</v>
      </c>
      <c r="P30" s="44">
        <f>'TE BE'!$P$30*'TE BE'!$P$49</f>
        <v>0</v>
      </c>
      <c r="Q30" s="44">
        <f>SUM($L$30:$P$30)</f>
        <v>-5.0054863821539719</v>
      </c>
      <c r="R30" s="44">
        <f>'TE BE'!$R$30*'TE BE'!$R$49</f>
        <v>-12.003738619296888</v>
      </c>
      <c r="S30" s="44">
        <f>SUM($R$30:$R$30)</f>
        <v>-12.003738619296888</v>
      </c>
      <c r="T30" s="44">
        <f>'TE BE'!$T$30*'TE BE'!$T$49</f>
        <v>0.19552861581043851</v>
      </c>
      <c r="U30" s="44">
        <f>'TE BE'!$U$30*'TE BE'!$U$49</f>
        <v>3.0098034642732759E-2</v>
      </c>
      <c r="V30" s="44">
        <f>'TE BE'!$V$30*'TE BE'!$V$49</f>
        <v>0</v>
      </c>
      <c r="W30" s="44">
        <f>SUM($T$30:$V$30)</f>
        <v>0.22562665045317126</v>
      </c>
      <c r="X30" s="44">
        <f>'TE BE'!$AB$30*'TE BE'!$X$49</f>
        <v>-23.270932373544532</v>
      </c>
      <c r="Y30" s="44">
        <f>SUM($X$30:$X$30)</f>
        <v>-23.270932373544532</v>
      </c>
      <c r="Z30" s="44">
        <f>'TE BE'!$Z$30*'TE BE'!$Z$49</f>
        <v>-0.36801891718108032</v>
      </c>
      <c r="AA30" s="44">
        <f>SUM($Z$30:$Z$30)</f>
        <v>-0.36801891718108032</v>
      </c>
      <c r="AB30" s="44">
        <f>SUMIF($L$4:$AA$4,"SUBTOTAL",$L$30:$AA$30)</f>
        <v>-40.4225496417233</v>
      </c>
    </row>
    <row r="31" spans="1:28" ht="11.25" customHeight="1" x14ac:dyDescent="0.25">
      <c r="A31" s="141"/>
      <c r="B31" s="141"/>
      <c r="C31" s="141"/>
      <c r="D31" s="141"/>
      <c r="E31" s="141"/>
      <c r="F31" s="141"/>
      <c r="G31" s="46" t="s">
        <v>72</v>
      </c>
      <c r="H31" s="46" t="s">
        <v>70</v>
      </c>
      <c r="I31" s="46">
        <f>'MERCADO TE'!$U$28</f>
        <v>0</v>
      </c>
      <c r="J31" s="15"/>
      <c r="L31" s="44">
        <f>'TE BE'!$L$31*'TE BE'!$L$49</f>
        <v>4.5881186970682265E-7</v>
      </c>
      <c r="M31" s="44">
        <f>'TE BE'!$M$31*'TE BE'!$M$49</f>
        <v>-4.9716485011730516</v>
      </c>
      <c r="N31" s="44">
        <f>'TE BE'!$N$31*'TE BE'!$N$49</f>
        <v>0</v>
      </c>
      <c r="O31" s="44">
        <f>'TE BE'!$O$31*'TE BE'!$O$49</f>
        <v>-3.3838339792789322E-2</v>
      </c>
      <c r="P31" s="44">
        <f>'TE BE'!$P$31*'TE BE'!$P$49</f>
        <v>0</v>
      </c>
      <c r="Q31" s="44">
        <f>SUM($L$31:$P$31)</f>
        <v>-5.0054863821539719</v>
      </c>
      <c r="R31" s="44">
        <f>'TE BE'!$R$31*'TE BE'!$R$49</f>
        <v>-12.003738619296888</v>
      </c>
      <c r="S31" s="44">
        <f>SUM($R$31:$R$31)</f>
        <v>-12.003738619296888</v>
      </c>
      <c r="T31" s="44">
        <f>'TE BE'!$T$31*'TE BE'!$T$49</f>
        <v>0.19552861581043851</v>
      </c>
      <c r="U31" s="44">
        <f>'TE BE'!$U$31*'TE BE'!$U$49</f>
        <v>3.0098034642732759E-2</v>
      </c>
      <c r="V31" s="44">
        <f>'TE BE'!$V$31*'TE BE'!$V$49</f>
        <v>0</v>
      </c>
      <c r="W31" s="44">
        <f>SUM($T$31:$V$31)</f>
        <v>0.22562665045317126</v>
      </c>
      <c r="X31" s="44">
        <f>'TE BE'!$AB$31*'TE BE'!$X$49</f>
        <v>-23.270932373544532</v>
      </c>
      <c r="Y31" s="44">
        <f>SUM($X$31:$X$31)</f>
        <v>-23.270932373544532</v>
      </c>
      <c r="Z31" s="44">
        <f>'TE BE'!$Z$31*'TE BE'!$Z$49</f>
        <v>-0.36801891718108032</v>
      </c>
      <c r="AA31" s="44">
        <f>SUM($Z$31:$Z$31)</f>
        <v>-0.36801891718108032</v>
      </c>
      <c r="AB31" s="44">
        <f>SUMIF($L$4:$AA$4,"SUBTOTAL",$L$31:$AA$31)</f>
        <v>-40.4225496417233</v>
      </c>
    </row>
    <row r="32" spans="1:28" ht="11.25" customHeight="1" x14ac:dyDescent="0.25">
      <c r="A32" s="141"/>
      <c r="B32" s="47" t="s">
        <v>73</v>
      </c>
      <c r="C32" s="47" t="s">
        <v>40</v>
      </c>
      <c r="D32" s="47" t="s">
        <v>87</v>
      </c>
      <c r="E32" s="47" t="s">
        <v>25</v>
      </c>
      <c r="F32" s="47" t="s">
        <v>25</v>
      </c>
      <c r="G32" s="46" t="s">
        <v>74</v>
      </c>
      <c r="H32" s="46" t="s">
        <v>70</v>
      </c>
      <c r="I32" s="46">
        <f>'MERCADO TE'!$U$29</f>
        <v>0</v>
      </c>
      <c r="J32" s="15"/>
      <c r="L32" s="44">
        <f>'TE BE'!$L$32*'TE BE'!$L$49</f>
        <v>4.5881186970682265E-7</v>
      </c>
      <c r="M32" s="44">
        <f>'TE BE'!$M$32*'TE BE'!$M$49</f>
        <v>-4.9716485011730516</v>
      </c>
      <c r="N32" s="44">
        <f>'TE BE'!$N$32*'TE BE'!$N$49</f>
        <v>0</v>
      </c>
      <c r="O32" s="44">
        <f>'TE BE'!$O$32*'TE BE'!$O$49</f>
        <v>-3.3838339792789322E-2</v>
      </c>
      <c r="P32" s="44">
        <f>'TE BE'!$P$32*'TE BE'!$P$49</f>
        <v>0</v>
      </c>
      <c r="Q32" s="44">
        <f>SUM($L$32:$P$32)</f>
        <v>-5.0054863821539719</v>
      </c>
      <c r="R32" s="44">
        <f>'TE BE'!$R$32*'TE BE'!$R$49</f>
        <v>-12.723962936454701</v>
      </c>
      <c r="S32" s="44">
        <f>SUM($R$32:$R$32)</f>
        <v>-12.723962936454701</v>
      </c>
      <c r="T32" s="44">
        <f>'TE BE'!$T$32*'TE BE'!$T$49</f>
        <v>0.19552861581043851</v>
      </c>
      <c r="U32" s="44">
        <f>'TE BE'!$U$32*'TE BE'!$U$49</f>
        <v>3.0098034642732759E-2</v>
      </c>
      <c r="V32" s="44">
        <f>'TE BE'!$V$32*'TE BE'!$V$49</f>
        <v>0</v>
      </c>
      <c r="W32" s="44">
        <f>SUM($T$32:$V$32)</f>
        <v>0.22562665045317126</v>
      </c>
      <c r="X32" s="44">
        <f>'TE BE'!$AB$32*'TE BE'!$X$49</f>
        <v>-24.499021056840807</v>
      </c>
      <c r="Y32" s="44">
        <f>SUM($X$32:$X$32)</f>
        <v>-24.499021056840807</v>
      </c>
      <c r="Z32" s="44">
        <f>'TE BE'!$Z$32*'TE BE'!$Z$49</f>
        <v>-0.36801891718108032</v>
      </c>
      <c r="AA32" s="44">
        <f>SUM($Z$32:$Z$32)</f>
        <v>-0.36801891718108032</v>
      </c>
      <c r="AB32" s="44">
        <f>SUMIF($L$4:$AA$4,"SUBTOTAL",$L$32:$AA$32)</f>
        <v>-42.370862642177393</v>
      </c>
    </row>
    <row r="33" spans="1:28" ht="11.25" customHeight="1" x14ac:dyDescent="0.25">
      <c r="A33" s="141"/>
      <c r="B33" s="141" t="s">
        <v>84</v>
      </c>
      <c r="C33" s="141" t="s">
        <v>40</v>
      </c>
      <c r="D33" s="47" t="s">
        <v>25</v>
      </c>
      <c r="E33" s="47" t="s">
        <v>25</v>
      </c>
      <c r="F33" s="47" t="s">
        <v>25</v>
      </c>
      <c r="G33" s="46" t="s">
        <v>74</v>
      </c>
      <c r="H33" s="46" t="s">
        <v>70</v>
      </c>
      <c r="I33" s="46">
        <f>'MERCADO TE'!$U$30</f>
        <v>0</v>
      </c>
      <c r="J33" s="15"/>
      <c r="L33" s="44">
        <f>'TE BE'!$L$33*'TE BE'!$L$49</f>
        <v>4.5881186970682265E-7</v>
      </c>
      <c r="M33" s="44">
        <f>'TE BE'!$M$33*'TE BE'!$M$49</f>
        <v>-4.9716485011730516</v>
      </c>
      <c r="N33" s="44">
        <f>'TE BE'!$N$33*'TE BE'!$N$49</f>
        <v>0</v>
      </c>
      <c r="O33" s="44">
        <f>'TE BE'!$O$33*'TE BE'!$O$49</f>
        <v>-3.3838339792789322E-2</v>
      </c>
      <c r="P33" s="44">
        <f>'TE BE'!$P$33*'TE BE'!$P$49</f>
        <v>0</v>
      </c>
      <c r="Q33" s="44">
        <f>SUM($L$33:$P$33)</f>
        <v>-5.0054863821539719</v>
      </c>
      <c r="R33" s="44">
        <f>'TE BE'!$R$33*'TE BE'!$R$49</f>
        <v>-12.723962936454701</v>
      </c>
      <c r="S33" s="44">
        <f>SUM($R$33:$R$33)</f>
        <v>-12.723962936454701</v>
      </c>
      <c r="T33" s="44">
        <f>'TE BE'!$T$33*'TE BE'!$T$49</f>
        <v>0.19552861581043851</v>
      </c>
      <c r="U33" s="44">
        <f>'TE BE'!$U$33*'TE BE'!$U$49</f>
        <v>3.0098034642732759E-2</v>
      </c>
      <c r="V33" s="44">
        <f>'TE BE'!$V$33*'TE BE'!$V$49</f>
        <v>0</v>
      </c>
      <c r="W33" s="44">
        <f>SUM($T$33:$V$33)</f>
        <v>0.22562665045317126</v>
      </c>
      <c r="X33" s="44">
        <f>'TE BE'!$AB$33*'TE BE'!$X$49</f>
        <v>-24.499021056840807</v>
      </c>
      <c r="Y33" s="44">
        <f>SUM($X$33:$X$33)</f>
        <v>-24.499021056840807</v>
      </c>
      <c r="Z33" s="44">
        <f>'TE BE'!$Z$33*'TE BE'!$Z$49</f>
        <v>-0.36801891718108032</v>
      </c>
      <c r="AA33" s="44">
        <f>SUM($Z$33:$Z$33)</f>
        <v>-0.36801891718108032</v>
      </c>
      <c r="AB33" s="44">
        <f>SUMIF($L$4:$AA$4,"SUBTOTAL",$L$33:$AA$33)</f>
        <v>-42.370862642177393</v>
      </c>
    </row>
    <row r="34" spans="1:28" ht="11.25" customHeight="1" x14ac:dyDescent="0.25">
      <c r="A34" s="141"/>
      <c r="B34" s="141"/>
      <c r="C34" s="141"/>
      <c r="D34" s="47" t="s">
        <v>86</v>
      </c>
      <c r="E34" s="47" t="s">
        <v>25</v>
      </c>
      <c r="F34" s="47" t="s">
        <v>25</v>
      </c>
      <c r="G34" s="46" t="s">
        <v>74</v>
      </c>
      <c r="H34" s="46" t="s">
        <v>70</v>
      </c>
      <c r="I34" s="46">
        <f>'MERCADO TE'!$U$31</f>
        <v>0</v>
      </c>
      <c r="J34" s="15"/>
      <c r="L34" s="44">
        <f>'TE BE'!$L$34*'TE BE'!$L$49</f>
        <v>4.5881186970682265E-7</v>
      </c>
      <c r="M34" s="44">
        <f>'TE BE'!$M$34*'TE BE'!$M$49</f>
        <v>-4.9716485011730516</v>
      </c>
      <c r="N34" s="44">
        <f>'TE BE'!$N$34*'TE BE'!$N$49</f>
        <v>0</v>
      </c>
      <c r="O34" s="44">
        <f>'TE BE'!$O$34*'TE BE'!$O$49</f>
        <v>-3.3838339792789322E-2</v>
      </c>
      <c r="P34" s="44">
        <f>'TE BE'!$P$34*'TE BE'!$P$49</f>
        <v>0</v>
      </c>
      <c r="Q34" s="44">
        <f>SUM($L$34:$P$34)</f>
        <v>-5.0054863821539719</v>
      </c>
      <c r="R34" s="44">
        <f>'TE BE'!$R$34*'TE BE'!$R$49</f>
        <v>-12.723962936454701</v>
      </c>
      <c r="S34" s="44">
        <f>SUM($R$34:$R$34)</f>
        <v>-12.723962936454701</v>
      </c>
      <c r="T34" s="44">
        <f>'TE BE'!$T$34*'TE BE'!$T$49</f>
        <v>0.19552861581043851</v>
      </c>
      <c r="U34" s="44">
        <f>'TE BE'!$U$34*'TE BE'!$U$49</f>
        <v>3.0098034642732759E-2</v>
      </c>
      <c r="V34" s="44">
        <f>'TE BE'!$V$34*'TE BE'!$V$49</f>
        <v>0</v>
      </c>
      <c r="W34" s="44">
        <f>SUM($T$34:$V$34)</f>
        <v>0.22562665045317126</v>
      </c>
      <c r="X34" s="44">
        <f>'TE BE'!$AB$34*'TE BE'!$X$49</f>
        <v>-24.499021056840807</v>
      </c>
      <c r="Y34" s="44">
        <f>SUM($X$34:$X$34)</f>
        <v>-24.499021056840807</v>
      </c>
      <c r="Z34" s="44">
        <f>'TE BE'!$Z$34*'TE BE'!$Z$49</f>
        <v>-0.36801891718108032</v>
      </c>
      <c r="AA34" s="44">
        <f>SUM($Z$34:$Z$34)</f>
        <v>-0.36801891718108032</v>
      </c>
      <c r="AB34" s="44">
        <f>SUMIF($L$4:$AA$4,"SUBTOTAL",$L$34:$AA$34)</f>
        <v>-42.370862642177393</v>
      </c>
    </row>
    <row r="35" spans="1:28" ht="11.25" customHeight="1" x14ac:dyDescent="0.25">
      <c r="A35" s="141"/>
      <c r="B35" s="141"/>
      <c r="C35" s="141"/>
      <c r="D35" s="47" t="s">
        <v>87</v>
      </c>
      <c r="E35" s="47" t="s">
        <v>25</v>
      </c>
      <c r="F35" s="47" t="s">
        <v>25</v>
      </c>
      <c r="G35" s="46" t="s">
        <v>74</v>
      </c>
      <c r="H35" s="46" t="s">
        <v>70</v>
      </c>
      <c r="I35" s="46">
        <f>'MERCADO TE'!$U$32</f>
        <v>0</v>
      </c>
      <c r="J35" s="15"/>
      <c r="L35" s="44">
        <f>'TE BE'!$L$35*'TE BE'!$L$49</f>
        <v>4.5881186970682265E-7</v>
      </c>
      <c r="M35" s="44">
        <f>'TE BE'!$M$35*'TE BE'!$M$49</f>
        <v>-4.9716485011730516</v>
      </c>
      <c r="N35" s="44">
        <f>'TE BE'!$N$35*'TE BE'!$N$49</f>
        <v>0</v>
      </c>
      <c r="O35" s="44">
        <f>'TE BE'!$O$35*'TE BE'!$O$49</f>
        <v>-3.3838339792789322E-2</v>
      </c>
      <c r="P35" s="44">
        <f>'TE BE'!$P$35*'TE BE'!$P$49</f>
        <v>0</v>
      </c>
      <c r="Q35" s="44">
        <f>SUM($L$35:$P$35)</f>
        <v>-5.0054863821539719</v>
      </c>
      <c r="R35" s="44">
        <f>'TE BE'!$R$35*'TE BE'!$R$49</f>
        <v>-12.723962936454701</v>
      </c>
      <c r="S35" s="44">
        <f>SUM($R$35:$R$35)</f>
        <v>-12.723962936454701</v>
      </c>
      <c r="T35" s="44">
        <f>'TE BE'!$T$35*'TE BE'!$T$49</f>
        <v>0.19552861581043851</v>
      </c>
      <c r="U35" s="44">
        <f>'TE BE'!$U$35*'TE BE'!$U$49</f>
        <v>3.0098034642732759E-2</v>
      </c>
      <c r="V35" s="44">
        <f>'TE BE'!$V$35*'TE BE'!$V$49</f>
        <v>0</v>
      </c>
      <c r="W35" s="44">
        <f>SUM($T$35:$V$35)</f>
        <v>0.22562665045317126</v>
      </c>
      <c r="X35" s="44">
        <f>'TE BE'!$AB$35*'TE BE'!$X$49</f>
        <v>-24.499021056840807</v>
      </c>
      <c r="Y35" s="44">
        <f>SUM($X$35:$X$35)</f>
        <v>-24.499021056840807</v>
      </c>
      <c r="Z35" s="44">
        <f>'TE BE'!$Z$35*'TE BE'!$Z$49</f>
        <v>-0.36801891718108032</v>
      </c>
      <c r="AA35" s="44">
        <f>SUM($Z$35:$Z$35)</f>
        <v>-0.36801891718108032</v>
      </c>
      <c r="AB35" s="44">
        <f>SUMIF($L$4:$AA$4,"SUBTOTAL",$L$35:$AA$35)</f>
        <v>-42.370862642177393</v>
      </c>
    </row>
    <row r="36" spans="1:28" ht="11.25" customHeight="1" x14ac:dyDescent="0.25">
      <c r="A36" s="141" t="s">
        <v>32</v>
      </c>
      <c r="B36" s="141" t="s">
        <v>69</v>
      </c>
      <c r="C36" s="141" t="s">
        <v>25</v>
      </c>
      <c r="D36" s="141" t="s">
        <v>25</v>
      </c>
      <c r="E36" s="141" t="s">
        <v>25</v>
      </c>
      <c r="F36" s="141" t="s">
        <v>25</v>
      </c>
      <c r="G36" s="46" t="s">
        <v>71</v>
      </c>
      <c r="H36" s="46" t="s">
        <v>70</v>
      </c>
      <c r="I36" s="46">
        <f>'MERCADO TE'!$U$33</f>
        <v>0.216</v>
      </c>
      <c r="J36" s="15"/>
      <c r="L36" s="44">
        <f>'TE BE'!$L$36*'TE BE'!$L$49</f>
        <v>4.5881186970682265E-7</v>
      </c>
      <c r="M36" s="44">
        <f>'TE BE'!$M$36*'TE BE'!$M$49</f>
        <v>-4.9716485011730516</v>
      </c>
      <c r="N36" s="44">
        <f>'TE BE'!$N$36*'TE BE'!$N$49</f>
        <v>0</v>
      </c>
      <c r="O36" s="44">
        <f>'TE BE'!$O$36*'TE BE'!$O$49</f>
        <v>-3.3838339792789322E-2</v>
      </c>
      <c r="P36" s="44">
        <f>'TE BE'!$P$36*'TE BE'!$P$49</f>
        <v>0</v>
      </c>
      <c r="Q36" s="44">
        <f>SUM($L$36:$P$36)</f>
        <v>-5.0054863821539719</v>
      </c>
      <c r="R36" s="44">
        <f>'TE BE'!$R$36*'TE BE'!$R$49</f>
        <v>-20.646430425190644</v>
      </c>
      <c r="S36" s="44">
        <f>SUM($R$36:$R$36)</f>
        <v>-20.646430425190644</v>
      </c>
      <c r="T36" s="44">
        <f>'TE BE'!$T$36*'TE BE'!$T$49</f>
        <v>0.19552861581043851</v>
      </c>
      <c r="U36" s="44">
        <f>'TE BE'!$U$36*'TE BE'!$U$49</f>
        <v>3.0098034642732759E-2</v>
      </c>
      <c r="V36" s="44">
        <f>'TE BE'!$V$36*'TE BE'!$V$49</f>
        <v>0</v>
      </c>
      <c r="W36" s="44">
        <f>SUM($T$36:$V$36)</f>
        <v>0.22562665045317126</v>
      </c>
      <c r="X36" s="44">
        <f>'TE BE'!$AB$36*'TE BE'!$X$49</f>
        <v>-38.007996573099831</v>
      </c>
      <c r="Y36" s="44">
        <f>SUM($X$36:$X$36)</f>
        <v>-38.007996573099831</v>
      </c>
      <c r="Z36" s="44">
        <f>'TE BE'!$Z$36*'TE BE'!$Z$49</f>
        <v>-0.36801891718108032</v>
      </c>
      <c r="AA36" s="44">
        <f>SUM($Z$36:$Z$36)</f>
        <v>-0.36801891718108032</v>
      </c>
      <c r="AB36" s="44">
        <f>SUMIF($L$4:$AA$4,"SUBTOTAL",$L$36:$AA$36)</f>
        <v>-63.802305647172354</v>
      </c>
    </row>
    <row r="37" spans="1:28" ht="11.25" customHeight="1" x14ac:dyDescent="0.25">
      <c r="A37" s="141"/>
      <c r="B37" s="141"/>
      <c r="C37" s="141"/>
      <c r="D37" s="141"/>
      <c r="E37" s="141"/>
      <c r="F37" s="141"/>
      <c r="G37" s="46" t="s">
        <v>83</v>
      </c>
      <c r="H37" s="46" t="s">
        <v>70</v>
      </c>
      <c r="I37" s="46">
        <f>'MERCADO TE'!$U$34</f>
        <v>0.24</v>
      </c>
      <c r="J37" s="15"/>
      <c r="L37" s="44">
        <f>'TE BE'!$L$37*'TE BE'!$L$49</f>
        <v>4.5881186970682265E-7</v>
      </c>
      <c r="M37" s="44">
        <f>'TE BE'!$M$37*'TE BE'!$M$49</f>
        <v>-4.9716485011730516</v>
      </c>
      <c r="N37" s="44">
        <f>'TE BE'!$N$37*'TE BE'!$N$49</f>
        <v>0</v>
      </c>
      <c r="O37" s="44">
        <f>'TE BE'!$O$37*'TE BE'!$O$49</f>
        <v>-3.3838339792789322E-2</v>
      </c>
      <c r="P37" s="44">
        <f>'TE BE'!$P$37*'TE BE'!$P$49</f>
        <v>0</v>
      </c>
      <c r="Q37" s="44">
        <f>SUM($L$37:$P$37)</f>
        <v>-5.0054863821539719</v>
      </c>
      <c r="R37" s="44">
        <f>'TE BE'!$R$37*'TE BE'!$R$49</f>
        <v>-12.003738619296888</v>
      </c>
      <c r="S37" s="44">
        <f>SUM($R$37:$R$37)</f>
        <v>-12.003738619296888</v>
      </c>
      <c r="T37" s="44">
        <f>'TE BE'!$T$37*'TE BE'!$T$49</f>
        <v>0.19552861581043851</v>
      </c>
      <c r="U37" s="44">
        <f>'TE BE'!$U$37*'TE BE'!$U$49</f>
        <v>3.0098034642732759E-2</v>
      </c>
      <c r="V37" s="44">
        <f>'TE BE'!$V$37*'TE BE'!$V$49</f>
        <v>0</v>
      </c>
      <c r="W37" s="44">
        <f>SUM($T$37:$V$37)</f>
        <v>0.22562665045317126</v>
      </c>
      <c r="X37" s="44">
        <f>'TE BE'!$AB$37*'TE BE'!$X$49</f>
        <v>-23.270932373544532</v>
      </c>
      <c r="Y37" s="44">
        <f>SUM($X$37:$X$37)</f>
        <v>-23.270932373544532</v>
      </c>
      <c r="Z37" s="44">
        <f>'TE BE'!$Z$37*'TE BE'!$Z$49</f>
        <v>-0.36801891718108032</v>
      </c>
      <c r="AA37" s="44">
        <f>SUM($Z$37:$Z$37)</f>
        <v>-0.36801891718108032</v>
      </c>
      <c r="AB37" s="44">
        <f>SUMIF($L$4:$AA$4,"SUBTOTAL",$L$37:$AA$37)</f>
        <v>-40.4225496417233</v>
      </c>
    </row>
    <row r="38" spans="1:28" ht="11.25" customHeight="1" x14ac:dyDescent="0.25">
      <c r="A38" s="141"/>
      <c r="B38" s="141"/>
      <c r="C38" s="141"/>
      <c r="D38" s="141"/>
      <c r="E38" s="141"/>
      <c r="F38" s="141"/>
      <c r="G38" s="46" t="s">
        <v>72</v>
      </c>
      <c r="H38" s="46" t="s">
        <v>70</v>
      </c>
      <c r="I38" s="46">
        <f>'MERCADO TE'!$U$35</f>
        <v>3.742</v>
      </c>
      <c r="J38" s="15"/>
      <c r="L38" s="44">
        <f>'TE BE'!$L$38*'TE BE'!$L$49</f>
        <v>4.5881186970682265E-7</v>
      </c>
      <c r="M38" s="44">
        <f>'TE BE'!$M$38*'TE BE'!$M$49</f>
        <v>-4.9716485011730516</v>
      </c>
      <c r="N38" s="44">
        <f>'TE BE'!$N$38*'TE BE'!$N$49</f>
        <v>0</v>
      </c>
      <c r="O38" s="44">
        <f>'TE BE'!$O$38*'TE BE'!$O$49</f>
        <v>-3.3838339792789322E-2</v>
      </c>
      <c r="P38" s="44">
        <f>'TE BE'!$P$38*'TE BE'!$P$49</f>
        <v>0</v>
      </c>
      <c r="Q38" s="44">
        <f>SUM($L$38:$P$38)</f>
        <v>-5.0054863821539719</v>
      </c>
      <c r="R38" s="44">
        <f>'TE BE'!$R$38*'TE BE'!$R$49</f>
        <v>-12.003738619296888</v>
      </c>
      <c r="S38" s="44">
        <f>SUM($R$38:$R$38)</f>
        <v>-12.003738619296888</v>
      </c>
      <c r="T38" s="44">
        <f>'TE BE'!$T$38*'TE BE'!$T$49</f>
        <v>0.19552861581043851</v>
      </c>
      <c r="U38" s="44">
        <f>'TE BE'!$U$38*'TE BE'!$U$49</f>
        <v>3.0098034642732759E-2</v>
      </c>
      <c r="V38" s="44">
        <f>'TE BE'!$V$38*'TE BE'!$V$49</f>
        <v>0</v>
      </c>
      <c r="W38" s="44">
        <f>SUM($T$38:$V$38)</f>
        <v>0.22562665045317126</v>
      </c>
      <c r="X38" s="44">
        <f>'TE BE'!$AB$38*'TE BE'!$X$49</f>
        <v>-23.270932373544532</v>
      </c>
      <c r="Y38" s="44">
        <f>SUM($X$38:$X$38)</f>
        <v>-23.270932373544532</v>
      </c>
      <c r="Z38" s="44">
        <f>'TE BE'!$Z$38*'TE BE'!$Z$49</f>
        <v>-0.36801891718108032</v>
      </c>
      <c r="AA38" s="44">
        <f>SUM($Z$38:$Z$38)</f>
        <v>-0.36801891718108032</v>
      </c>
      <c r="AB38" s="44">
        <f>SUMIF($L$4:$AA$4,"SUBTOTAL",$L$38:$AA$38)</f>
        <v>-40.4225496417233</v>
      </c>
    </row>
    <row r="39" spans="1:28" ht="11.25" customHeight="1" x14ac:dyDescent="0.25">
      <c r="A39" s="141"/>
      <c r="B39" s="47" t="s">
        <v>73</v>
      </c>
      <c r="C39" s="47" t="s">
        <v>25</v>
      </c>
      <c r="D39" s="47" t="s">
        <v>25</v>
      </c>
      <c r="E39" s="47" t="s">
        <v>25</v>
      </c>
      <c r="F39" s="47" t="s">
        <v>25</v>
      </c>
      <c r="G39" s="46" t="s">
        <v>74</v>
      </c>
      <c r="H39" s="46" t="s">
        <v>70</v>
      </c>
      <c r="I39" s="46">
        <f>'MERCADO TE'!$U$36</f>
        <v>12398.925999999999</v>
      </c>
      <c r="J39" s="15"/>
      <c r="L39" s="44">
        <f>'TE BE'!$L$39*'TE BE'!$L$49</f>
        <v>4.5881186970682265E-7</v>
      </c>
      <c r="M39" s="44">
        <f>'TE BE'!$M$39*'TE BE'!$M$49</f>
        <v>-4.9716485011730516</v>
      </c>
      <c r="N39" s="44">
        <f>'TE BE'!$N$39*'TE BE'!$N$49</f>
        <v>0</v>
      </c>
      <c r="O39" s="44">
        <f>'TE BE'!$O$39*'TE BE'!$O$49</f>
        <v>-3.3838339792789322E-2</v>
      </c>
      <c r="P39" s="44">
        <f>'TE BE'!$P$39*'TE BE'!$P$49</f>
        <v>0</v>
      </c>
      <c r="Q39" s="44">
        <f>SUM($L$39:$P$39)</f>
        <v>-5.0054863821539719</v>
      </c>
      <c r="R39" s="44">
        <f>'TE BE'!$R$39*'TE BE'!$R$49</f>
        <v>-12.723962936454701</v>
      </c>
      <c r="S39" s="44">
        <f>SUM($R$39:$R$39)</f>
        <v>-12.723962936454701</v>
      </c>
      <c r="T39" s="44">
        <f>'TE BE'!$T$39*'TE BE'!$T$49</f>
        <v>0.19552861581043851</v>
      </c>
      <c r="U39" s="44">
        <f>'TE BE'!$U$39*'TE BE'!$U$49</f>
        <v>3.0098034642732759E-2</v>
      </c>
      <c r="V39" s="44">
        <f>'TE BE'!$V$39*'TE BE'!$V$49</f>
        <v>0</v>
      </c>
      <c r="W39" s="44">
        <f>SUM($T$39:$V$39)</f>
        <v>0.22562665045317126</v>
      </c>
      <c r="X39" s="44">
        <f>'TE BE'!$AB$39*'TE BE'!$X$49</f>
        <v>-24.499021056840807</v>
      </c>
      <c r="Y39" s="44">
        <f>SUM($X$39:$X$39)</f>
        <v>-24.499021056840807</v>
      </c>
      <c r="Z39" s="44">
        <f>'TE BE'!$Z$39*'TE BE'!$Z$49</f>
        <v>-0.36801891718108032</v>
      </c>
      <c r="AA39" s="44">
        <f>SUM($Z$39:$Z$39)</f>
        <v>-0.36801891718108032</v>
      </c>
      <c r="AB39" s="44">
        <f>SUMIF($L$4:$AA$4,"SUBTOTAL",$L$39:$AA$39)</f>
        <v>-42.370862642177393</v>
      </c>
    </row>
    <row r="40" spans="1:28" ht="11.25" customHeight="1" x14ac:dyDescent="0.25">
      <c r="A40" s="141"/>
      <c r="B40" s="47" t="s">
        <v>84</v>
      </c>
      <c r="C40" s="47" t="s">
        <v>25</v>
      </c>
      <c r="D40" s="47" t="s">
        <v>25</v>
      </c>
      <c r="E40" s="47" t="s">
        <v>25</v>
      </c>
      <c r="F40" s="47" t="s">
        <v>25</v>
      </c>
      <c r="G40" s="46" t="s">
        <v>74</v>
      </c>
      <c r="H40" s="46" t="s">
        <v>70</v>
      </c>
      <c r="I40" s="46">
        <f>'MERCADO TE'!$U$37</f>
        <v>0</v>
      </c>
      <c r="J40" s="15"/>
      <c r="L40" s="44">
        <f>'TE BE'!$L$40*'TE BE'!$L$49</f>
        <v>4.5881186970682265E-7</v>
      </c>
      <c r="M40" s="44">
        <f>'TE BE'!$M$40*'TE BE'!$M$49</f>
        <v>-4.9716485011730516</v>
      </c>
      <c r="N40" s="44">
        <f>'TE BE'!$N$40*'TE BE'!$N$49</f>
        <v>0</v>
      </c>
      <c r="O40" s="44">
        <f>'TE BE'!$O$40*'TE BE'!$O$49</f>
        <v>-3.3838339792789322E-2</v>
      </c>
      <c r="P40" s="44">
        <f>'TE BE'!$P$40*'TE BE'!$P$49</f>
        <v>0</v>
      </c>
      <c r="Q40" s="44">
        <f>SUM($L$40:$P$40)</f>
        <v>-5.0054863821539719</v>
      </c>
      <c r="R40" s="44">
        <f>'TE BE'!$R$40*'TE BE'!$R$49</f>
        <v>-12.723962936454701</v>
      </c>
      <c r="S40" s="44">
        <f>SUM($R$40:$R$40)</f>
        <v>-12.723962936454701</v>
      </c>
      <c r="T40" s="44">
        <f>'TE BE'!$T$40*'TE BE'!$T$49</f>
        <v>0.19552861581043851</v>
      </c>
      <c r="U40" s="44">
        <f>'TE BE'!$U$40*'TE BE'!$U$49</f>
        <v>3.0098034642732759E-2</v>
      </c>
      <c r="V40" s="44">
        <f>'TE BE'!$V$40*'TE BE'!$V$49</f>
        <v>0</v>
      </c>
      <c r="W40" s="44">
        <f>SUM($T$40:$V$40)</f>
        <v>0.22562665045317126</v>
      </c>
      <c r="X40" s="44">
        <f>'TE BE'!$AB$40*'TE BE'!$X$49</f>
        <v>-24.499021056840807</v>
      </c>
      <c r="Y40" s="44">
        <f>SUM($X$40:$X$40)</f>
        <v>-24.499021056840807</v>
      </c>
      <c r="Z40" s="44">
        <f>'TE BE'!$Z$40*'TE BE'!$Z$49</f>
        <v>-0.36801891718108032</v>
      </c>
      <c r="AA40" s="44">
        <f>SUM($Z$40:$Z$40)</f>
        <v>-0.36801891718108032</v>
      </c>
      <c r="AB40" s="44">
        <f>SUMIF($L$4:$AA$4,"SUBTOTAL",$L$40:$AA$40)</f>
        <v>-42.370862642177393</v>
      </c>
    </row>
    <row r="41" spans="1:28" ht="11.25" customHeight="1" x14ac:dyDescent="0.25">
      <c r="A41" s="141" t="s">
        <v>42</v>
      </c>
      <c r="B41" s="141" t="s">
        <v>73</v>
      </c>
      <c r="C41" s="141" t="s">
        <v>43</v>
      </c>
      <c r="D41" s="47" t="s">
        <v>44</v>
      </c>
      <c r="E41" s="47" t="s">
        <v>25</v>
      </c>
      <c r="F41" s="47" t="s">
        <v>25</v>
      </c>
      <c r="G41" s="46" t="s">
        <v>74</v>
      </c>
      <c r="H41" s="46" t="s">
        <v>70</v>
      </c>
      <c r="I41" s="46">
        <f>'MERCADO TE'!$U$38</f>
        <v>3575.7699999999995</v>
      </c>
      <c r="J41" s="15"/>
      <c r="L41" s="44">
        <f>'TE BE'!$L$41*'TE BE'!$L$49</f>
        <v>2.5234652833875247E-7</v>
      </c>
      <c r="M41" s="44">
        <f>'TE BE'!$M$41*'TE BE'!$M$49</f>
        <v>-2.7344066756451788</v>
      </c>
      <c r="N41" s="44">
        <f>'TE BE'!$N$41*'TE BE'!$N$49</f>
        <v>0</v>
      </c>
      <c r="O41" s="44">
        <f>'TE BE'!$O$41*'TE BE'!$O$49</f>
        <v>-1.8611086886034127E-2</v>
      </c>
      <c r="P41" s="44">
        <f>'TE BE'!$P$41*'TE BE'!$P$49</f>
        <v>0</v>
      </c>
      <c r="Q41" s="44">
        <f>SUM($L$41:$P$41)</f>
        <v>-2.753017510184685</v>
      </c>
      <c r="R41" s="44">
        <f>'TE BE'!$R$41*'TE BE'!$R$49</f>
        <v>-6.9981796150500859</v>
      </c>
      <c r="S41" s="44">
        <f>SUM($R$41:$R$41)</f>
        <v>-6.9981796150500859</v>
      </c>
      <c r="T41" s="44">
        <f>'TE BE'!$T$41*'TE BE'!$T$49</f>
        <v>0.10754073869574118</v>
      </c>
      <c r="U41" s="44">
        <f>'TE BE'!$U$41*'TE BE'!$U$49</f>
        <v>1.6553919053503018E-2</v>
      </c>
      <c r="V41" s="44">
        <f>'TE BE'!$V$41*'TE BE'!$V$49</f>
        <v>0</v>
      </c>
      <c r="W41" s="44">
        <f>SUM($T$41:$V$41)</f>
        <v>0.12409465774924421</v>
      </c>
      <c r="X41" s="44">
        <f>'TE BE'!$AB$41*'TE BE'!$X$49</f>
        <v>-13.474461581262446</v>
      </c>
      <c r="Y41" s="44">
        <f>SUM($X$41:$X$41)</f>
        <v>-13.474461581262446</v>
      </c>
      <c r="Z41" s="44">
        <f>'TE BE'!$Z$41*'TE BE'!$Z$49</f>
        <v>-0.20241040444959418</v>
      </c>
      <c r="AA41" s="44">
        <f>SUM($Z$41:$Z$41)</f>
        <v>-0.20241040444959418</v>
      </c>
      <c r="AB41" s="44">
        <f>SUMIF($L$4:$AA$4,"SUBTOTAL",$L$41:$AA$41)</f>
        <v>-23.303974453197569</v>
      </c>
    </row>
    <row r="42" spans="1:28" ht="11.25" customHeight="1" x14ac:dyDescent="0.25">
      <c r="A42" s="141"/>
      <c r="B42" s="141"/>
      <c r="C42" s="141"/>
      <c r="D42" s="46" t="s">
        <v>88</v>
      </c>
      <c r="E42" s="46" t="s">
        <v>25</v>
      </c>
      <c r="F42" s="46" t="s">
        <v>25</v>
      </c>
      <c r="G42" s="46" t="s">
        <v>74</v>
      </c>
      <c r="H42" s="46" t="s">
        <v>70</v>
      </c>
      <c r="I42" s="46">
        <f>'MERCADO TE'!$U$39</f>
        <v>0</v>
      </c>
      <c r="J42" s="15"/>
      <c r="L42" s="44">
        <f>'TE BE'!$L$42*'TE BE'!$L$49</f>
        <v>2.7528712182409361E-7</v>
      </c>
      <c r="M42" s="44">
        <f>'TE BE'!$M$42*'TE BE'!$M$49</f>
        <v>-2.9829891007038309</v>
      </c>
      <c r="N42" s="44">
        <f>'TE BE'!$N$42*'TE BE'!$N$49</f>
        <v>0</v>
      </c>
      <c r="O42" s="44">
        <f>'TE BE'!$O$42*'TE BE'!$O$49</f>
        <v>-2.0303003875673593E-2</v>
      </c>
      <c r="P42" s="44">
        <f>'TE BE'!$P$42*'TE BE'!$P$49</f>
        <v>0</v>
      </c>
      <c r="Q42" s="44">
        <f>SUM($L$42:$P$42)</f>
        <v>-3.0032918292923827</v>
      </c>
      <c r="R42" s="44">
        <f>'TE BE'!$R$42*'TE BE'!$R$49</f>
        <v>-7.6343777618728206</v>
      </c>
      <c r="S42" s="44">
        <f>SUM($R$42:$R$42)</f>
        <v>-7.6343777618728206</v>
      </c>
      <c r="T42" s="44">
        <f>'TE BE'!$T$42*'TE BE'!$T$49</f>
        <v>0.1173171694862631</v>
      </c>
      <c r="U42" s="44">
        <f>'TE BE'!$U$42*'TE BE'!$U$49</f>
        <v>1.8058820785639654E-2</v>
      </c>
      <c r="V42" s="44">
        <f>'TE BE'!$V$42*'TE BE'!$V$49</f>
        <v>0</v>
      </c>
      <c r="W42" s="44">
        <f>SUM($T$42:$V$42)</f>
        <v>0.13537599027190275</v>
      </c>
      <c r="X42" s="44">
        <f>'TE BE'!$AB$42*'TE BE'!$X$49</f>
        <v>-14.699412634104483</v>
      </c>
      <c r="Y42" s="44">
        <f>SUM($X$42:$X$42)</f>
        <v>-14.699412634104483</v>
      </c>
      <c r="Z42" s="44">
        <f>'TE BE'!$Z$42*'TE BE'!$Z$49</f>
        <v>-0.22081135030864818</v>
      </c>
      <c r="AA42" s="44">
        <f>SUM($Z$42:$Z$42)</f>
        <v>-0.22081135030864818</v>
      </c>
      <c r="AB42" s="44">
        <f>SUMIF($L$4:$AA$4,"SUBTOTAL",$L$42:$AA$42)</f>
        <v>-25.42251758530643</v>
      </c>
    </row>
    <row r="44" spans="1:28" ht="11.25" customHeight="1" x14ac:dyDescent="0.25">
      <c r="K44" s="49" t="s">
        <v>525</v>
      </c>
      <c r="L44" s="44">
        <f t="shared" ref="L44:AB44" si="0">SUMPRODUCT($I$5:$I$42,L$5:L$42)</f>
        <v>2.8183465855034721E-2</v>
      </c>
      <c r="M44" s="44">
        <f t="shared" si="0"/>
        <v>-305393.76818123687</v>
      </c>
      <c r="N44" s="44">
        <f t="shared" si="0"/>
        <v>0</v>
      </c>
      <c r="O44" s="44">
        <f t="shared" si="0"/>
        <v>-2078.5898471862461</v>
      </c>
      <c r="P44" s="44">
        <f t="shared" si="0"/>
        <v>0</v>
      </c>
      <c r="Q44" s="44">
        <f t="shared" si="0"/>
        <v>-307472.32984495733</v>
      </c>
      <c r="R44" s="44">
        <f t="shared" si="0"/>
        <v>-781855.38567599771</v>
      </c>
      <c r="S44" s="44">
        <f t="shared" si="0"/>
        <v>-781855.38567599771</v>
      </c>
      <c r="T44" s="44">
        <f t="shared" si="0"/>
        <v>12010.748699454913</v>
      </c>
      <c r="U44" s="44">
        <f t="shared" si="0"/>
        <v>1848.8338852243453</v>
      </c>
      <c r="V44" s="44">
        <f t="shared" si="0"/>
        <v>0</v>
      </c>
      <c r="W44" s="44">
        <f t="shared" si="0"/>
        <v>13859.582584679256</v>
      </c>
      <c r="X44" s="44">
        <f t="shared" si="0"/>
        <v>-1505345.759872796</v>
      </c>
      <c r="Y44" s="44">
        <f t="shared" si="0"/>
        <v>-1505345.759872796</v>
      </c>
      <c r="Z44" s="44">
        <f t="shared" si="0"/>
        <v>-22606.32139488346</v>
      </c>
      <c r="AA44" s="44">
        <f t="shared" si="0"/>
        <v>-22606.32139488346</v>
      </c>
      <c r="AB44" s="44">
        <f t="shared" si="0"/>
        <v>-2603420.2142039551</v>
      </c>
    </row>
    <row r="45" spans="1:28" ht="11.25" customHeight="1" x14ac:dyDescent="0.25">
      <c r="K45" s="49" t="s">
        <v>450</v>
      </c>
      <c r="L45" s="44">
        <f>CUSTOS!$D$30</f>
        <v>149957.71426059183</v>
      </c>
      <c r="M45" s="44">
        <f>CUSTOS!$D$31</f>
        <v>1373181.1307278299</v>
      </c>
      <c r="N45" s="44">
        <f>CUSTOS!$D$32</f>
        <v>0</v>
      </c>
      <c r="O45" s="44">
        <f>CUSTOS!$D$33</f>
        <v>140072.77572115077</v>
      </c>
      <c r="P45" s="44">
        <f>CUSTOS!$D$34</f>
        <v>-989999.99999999988</v>
      </c>
      <c r="Q45" s="44">
        <f>CUSTOS!$D$35</f>
        <v>673211.62070957257</v>
      </c>
      <c r="R45" s="44">
        <f>CUSTOS!$D$36</f>
        <v>12636690.427500499</v>
      </c>
      <c r="S45" s="44">
        <f>CUSTOS!$D$37</f>
        <v>12636690.427500499</v>
      </c>
      <c r="T45" s="44">
        <f>CUSTOS!$D$38</f>
        <v>349006.23466233397</v>
      </c>
      <c r="U45" s="44">
        <f>CUSTOS!$D$39</f>
        <v>244313.99991106981</v>
      </c>
      <c r="V45" s="44">
        <f>CUSTOS!$D$40</f>
        <v>0</v>
      </c>
      <c r="W45" s="44">
        <f>CUSTOS!$D$41</f>
        <v>593320.23457340384</v>
      </c>
      <c r="X45" s="44">
        <f>CUSTOS!$D$42</f>
        <v>0</v>
      </c>
      <c r="Y45" s="44">
        <f>CUSTOS!$D$43</f>
        <v>0</v>
      </c>
      <c r="Z45" s="44">
        <f>CUSTOS!$D$44</f>
        <v>365373.30356141517</v>
      </c>
      <c r="AA45" s="44">
        <f>CUSTOS!$D$45</f>
        <v>365373.30356141517</v>
      </c>
      <c r="AB45" s="44">
        <f>CUSTOS!$D$46</f>
        <v>14268595.58634489</v>
      </c>
    </row>
    <row r="46" spans="1:28" ht="11.25" customHeight="1" x14ac:dyDescent="0.25">
      <c r="K46" s="49" t="s">
        <v>451</v>
      </c>
      <c r="L46" s="44">
        <f>CUSTOS!$E$30</f>
        <v>2.8183465855034721E-2</v>
      </c>
      <c r="M46" s="44">
        <f>CUSTOS!$E$31</f>
        <v>-305393.76818123687</v>
      </c>
      <c r="N46" s="44">
        <f>CUSTOS!$E$32</f>
        <v>0</v>
      </c>
      <c r="O46" s="44">
        <f>CUSTOS!$E$33</f>
        <v>-2078.5898471862465</v>
      </c>
      <c r="P46" s="44">
        <f>CUSTOS!$E$34</f>
        <v>0</v>
      </c>
      <c r="Q46" s="44">
        <f>CUSTOS!$E$35</f>
        <v>-307472.32984495722</v>
      </c>
      <c r="R46" s="44">
        <f>CUSTOS!$E$36</f>
        <v>-781855.38567599771</v>
      </c>
      <c r="S46" s="44">
        <f>CUSTOS!$E$37</f>
        <v>-781855.38567599771</v>
      </c>
      <c r="T46" s="44">
        <f>CUSTOS!$E$38</f>
        <v>12010.748699454911</v>
      </c>
      <c r="U46" s="44">
        <f>CUSTOS!$E$39</f>
        <v>1848.8338852243451</v>
      </c>
      <c r="V46" s="44">
        <f>CUSTOS!$E$40</f>
        <v>0</v>
      </c>
      <c r="W46" s="44">
        <f>CUSTOS!$E$41</f>
        <v>13859.582584679256</v>
      </c>
      <c r="X46" s="44">
        <f>CUSTOS!$E$42</f>
        <v>-1505345.7598727958</v>
      </c>
      <c r="Y46" s="44">
        <f>CUSTOS!$E$43</f>
        <v>-1505345.7598727958</v>
      </c>
      <c r="Z46" s="44">
        <f>CUSTOS!$E$44</f>
        <v>-22606.321394883464</v>
      </c>
      <c r="AA46" s="44">
        <f>CUSTOS!$E$45</f>
        <v>-22606.321394883464</v>
      </c>
      <c r="AB46" s="44">
        <f>CUSTOS!$E$46</f>
        <v>-2603420.2142039551</v>
      </c>
    </row>
    <row r="47" spans="1:28" ht="11.25" customHeight="1" x14ac:dyDescent="0.25">
      <c r="K47" s="49" t="s">
        <v>452</v>
      </c>
      <c r="L47" s="44">
        <f>CUSTOS!$F$30</f>
        <v>0</v>
      </c>
      <c r="M47" s="44">
        <f>CUSTOS!$F$31</f>
        <v>796793.7746</v>
      </c>
      <c r="N47" s="44">
        <f>CUSTOS!$F$32</f>
        <v>0</v>
      </c>
      <c r="O47" s="44">
        <f>CUSTOS!$F$33</f>
        <v>9188.7292802005632</v>
      </c>
      <c r="P47" s="44">
        <f>CUSTOS!$F$34</f>
        <v>0</v>
      </c>
      <c r="Q47" s="44">
        <f>CUSTOS!$F$35</f>
        <v>805982.50388020056</v>
      </c>
      <c r="R47" s="44">
        <f>CUSTOS!$F$36</f>
        <v>1364147.4510150065</v>
      </c>
      <c r="S47" s="44">
        <f>CUSTOS!$F$37</f>
        <v>1364147.4510150065</v>
      </c>
      <c r="T47" s="44">
        <f>CUSTOS!$F$38</f>
        <v>88608.9905</v>
      </c>
      <c r="U47" s="44">
        <f>CUSTOS!$F$39</f>
        <v>18356.556700000001</v>
      </c>
      <c r="V47" s="44">
        <f>CUSTOS!$F$40</f>
        <v>0</v>
      </c>
      <c r="W47" s="44">
        <f>CUSTOS!$F$41</f>
        <v>106965.5472</v>
      </c>
      <c r="X47" s="44">
        <f>CUSTOS!$F$42</f>
        <v>0</v>
      </c>
      <c r="Y47" s="44">
        <f>CUSTOS!$F$43</f>
        <v>0</v>
      </c>
      <c r="Z47" s="44">
        <f>CUSTOS!$F$44</f>
        <v>39442.531537968789</v>
      </c>
      <c r="AA47" s="44">
        <f>CUSTOS!$F$45</f>
        <v>39442.531537968789</v>
      </c>
      <c r="AB47" s="44">
        <f>CUSTOS!$F$46</f>
        <v>2316538.0336331758</v>
      </c>
    </row>
    <row r="48" spans="1:28" ht="11.25" customHeight="1" x14ac:dyDescent="0.25">
      <c r="K48" s="49" t="s">
        <v>526</v>
      </c>
      <c r="L48" s="44">
        <f>'TR TE'!$L$48*L49</f>
        <v>0</v>
      </c>
      <c r="M48" s="44">
        <f>'TR TE'!$M$48*M49</f>
        <v>12.971379864186412</v>
      </c>
      <c r="N48" s="44">
        <f>'TR TE'!$N$48*N49</f>
        <v>0</v>
      </c>
      <c r="O48" s="44">
        <f>'TR TE'!$O$48*O49</f>
        <v>0.14958763705513226</v>
      </c>
      <c r="P48" s="44">
        <f>'TR TE'!$P$48*P49</f>
        <v>0</v>
      </c>
      <c r="Q48" s="44"/>
      <c r="R48" s="44">
        <f>'TR TE'!$R$48*R49</f>
        <v>22.117574879033029</v>
      </c>
      <c r="S48" s="44"/>
      <c r="T48" s="44">
        <f>'TR TE'!$T$48*T49</f>
        <v>1.4425073485728321</v>
      </c>
      <c r="U48" s="44">
        <f>'TR TE'!$U$48*U49</f>
        <v>0.29883500291365872</v>
      </c>
      <c r="V48" s="44">
        <f>'TR TE'!$V$48*V49</f>
        <v>0</v>
      </c>
      <c r="W48" s="44"/>
      <c r="X48" s="44"/>
      <c r="Y48" s="44"/>
      <c r="Z48" s="44">
        <f>'TR TE'!$Z$48*Z49</f>
        <v>0.64210348485840907</v>
      </c>
      <c r="AA48" s="44"/>
      <c r="AB48" s="44"/>
    </row>
    <row r="49" spans="11:28" ht="11.25" customHeight="1" x14ac:dyDescent="0.25">
      <c r="K49" s="49" t="s">
        <v>521</v>
      </c>
      <c r="L49" s="44">
        <f>IF(L45&lt;&gt;0,L47/L45,0)</f>
        <v>0</v>
      </c>
      <c r="M49" s="44">
        <f>IF(M45&lt;&gt;0,M47/M45,0)</f>
        <v>0.58025394958469456</v>
      </c>
      <c r="N49" s="44">
        <f>IF(N45&lt;&gt;0,N47/N45,0)</f>
        <v>0</v>
      </c>
      <c r="O49" s="44">
        <f>IF(O45&lt;&gt;0,O47/O45,0)</f>
        <v>6.5599680115520684E-2</v>
      </c>
      <c r="P49" s="44">
        <f>IF(P45&lt;&gt;0,P47/P45,0)</f>
        <v>0</v>
      </c>
      <c r="Q49" s="44"/>
      <c r="R49" s="44">
        <f>IF(R45&lt;&gt;0,R47/R45,0)</f>
        <v>0.10795132308110447</v>
      </c>
      <c r="S49" s="44"/>
      <c r="T49" s="44">
        <f>IF(T45&lt;&gt;0,T47/T45,0)</f>
        <v>0.25388942001488835</v>
      </c>
      <c r="U49" s="44">
        <f>IF(U45&lt;&gt;0,U47/U45,0)</f>
        <v>7.5135099530447613E-2</v>
      </c>
      <c r="V49" s="44">
        <f>IF(V45&lt;&gt;0,V47/V45,0)</f>
        <v>0</v>
      </c>
      <c r="W49" s="44"/>
      <c r="X49" s="44">
        <f>IF($AB45&lt;&gt;0,X47/($AB45-SUM('TR TE'!$L48:'TR TE'!$AA48)*0),0)</f>
        <v>0</v>
      </c>
      <c r="Y49" s="44"/>
      <c r="Z49" s="44">
        <f>IF(Z45&lt;&gt;0,Z47/Z45,0)</f>
        <v>0.10795132308110447</v>
      </c>
      <c r="AA49" s="44"/>
      <c r="AB49" s="44"/>
    </row>
    <row r="50" spans="11:28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</sheetData>
  <mergeCells count="61">
    <mergeCell ref="E36:E38"/>
    <mergeCell ref="F36:F38"/>
    <mergeCell ref="A41:A42"/>
    <mergeCell ref="B41:B42"/>
    <mergeCell ref="C41:C42"/>
    <mergeCell ref="D36:D38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A8:A20"/>
    <mergeCell ref="B8:B10"/>
    <mergeCell ref="C8:C10"/>
    <mergeCell ref="D8:D10"/>
    <mergeCell ref="E8:E10"/>
    <mergeCell ref="F8:F10"/>
    <mergeCell ref="B11:B15"/>
    <mergeCell ref="C11:C15"/>
    <mergeCell ref="B16:B20"/>
    <mergeCell ref="C16:C20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4">
    <cfRule type="cellIs" dxfId="815" priority="33" operator="notEqual">
      <formula>$L$46</formula>
    </cfRule>
    <cfRule type="cellIs" dxfId="814" priority="34" operator="equal">
      <formula>$L$46</formula>
    </cfRule>
  </conditionalFormatting>
  <conditionalFormatting sqref="M44">
    <cfRule type="cellIs" dxfId="813" priority="31" operator="notEqual">
      <formula>$M$46</formula>
    </cfRule>
    <cfRule type="cellIs" dxfId="812" priority="32" operator="equal">
      <formula>$M$46</formula>
    </cfRule>
  </conditionalFormatting>
  <conditionalFormatting sqref="N44">
    <cfRule type="cellIs" dxfId="811" priority="29" operator="notEqual">
      <formula>$N$46</formula>
    </cfRule>
    <cfRule type="cellIs" dxfId="810" priority="30" operator="equal">
      <formula>$N$46</formula>
    </cfRule>
  </conditionalFormatting>
  <conditionalFormatting sqref="O44">
    <cfRule type="cellIs" dxfId="809" priority="27" operator="notEqual">
      <formula>$O$46</formula>
    </cfRule>
    <cfRule type="cellIs" dxfId="808" priority="28" operator="equal">
      <formula>$O$46</formula>
    </cfRule>
  </conditionalFormatting>
  <conditionalFormatting sqref="P44">
    <cfRule type="cellIs" dxfId="807" priority="25" operator="notEqual">
      <formula>$P$46</formula>
    </cfRule>
    <cfRule type="cellIs" dxfId="806" priority="26" operator="equal">
      <formula>$P$46</formula>
    </cfRule>
  </conditionalFormatting>
  <conditionalFormatting sqref="Q44">
    <cfRule type="cellIs" dxfId="805" priority="23" operator="notEqual">
      <formula>$Q$46</formula>
    </cfRule>
    <cfRule type="cellIs" dxfId="804" priority="24" operator="equal">
      <formula>$Q$46</formula>
    </cfRule>
  </conditionalFormatting>
  <conditionalFormatting sqref="R44">
    <cfRule type="cellIs" dxfId="803" priority="21" operator="notEqual">
      <formula>$R$46</formula>
    </cfRule>
    <cfRule type="cellIs" dxfId="802" priority="22" operator="equal">
      <formula>$R$46</formula>
    </cfRule>
  </conditionalFormatting>
  <conditionalFormatting sqref="S44">
    <cfRule type="cellIs" dxfId="801" priority="19" operator="notEqual">
      <formula>$S$46</formula>
    </cfRule>
    <cfRule type="cellIs" dxfId="800" priority="20" operator="equal">
      <formula>$S$46</formula>
    </cfRule>
  </conditionalFormatting>
  <conditionalFormatting sqref="T44">
    <cfRule type="cellIs" dxfId="799" priority="17" operator="notEqual">
      <formula>$T$46</formula>
    </cfRule>
    <cfRule type="cellIs" dxfId="798" priority="18" operator="equal">
      <formula>$T$46</formula>
    </cfRule>
  </conditionalFormatting>
  <conditionalFormatting sqref="U44">
    <cfRule type="cellIs" dxfId="797" priority="15" operator="notEqual">
      <formula>$U$46</formula>
    </cfRule>
    <cfRule type="cellIs" dxfId="796" priority="16" operator="equal">
      <formula>$U$46</formula>
    </cfRule>
  </conditionalFormatting>
  <conditionalFormatting sqref="V44">
    <cfRule type="cellIs" dxfId="795" priority="13" operator="notEqual">
      <formula>$V$46</formula>
    </cfRule>
    <cfRule type="cellIs" dxfId="794" priority="14" operator="equal">
      <formula>$V$46</formula>
    </cfRule>
  </conditionalFormatting>
  <conditionalFormatting sqref="W44">
    <cfRule type="cellIs" dxfId="793" priority="11" operator="notEqual">
      <formula>$W$46</formula>
    </cfRule>
    <cfRule type="cellIs" dxfId="792" priority="12" operator="equal">
      <formula>$W$46</formula>
    </cfRule>
  </conditionalFormatting>
  <conditionalFormatting sqref="X44">
    <cfRule type="cellIs" dxfId="791" priority="9" operator="notEqual">
      <formula>$X$46</formula>
    </cfRule>
    <cfRule type="cellIs" dxfId="790" priority="10" operator="equal">
      <formula>$X$46</formula>
    </cfRule>
  </conditionalFormatting>
  <conditionalFormatting sqref="Y44">
    <cfRule type="cellIs" dxfId="789" priority="7" operator="notEqual">
      <formula>$Y$46</formula>
    </cfRule>
    <cfRule type="cellIs" dxfId="788" priority="8" operator="equal">
      <formula>$Y$46</formula>
    </cfRule>
  </conditionalFormatting>
  <conditionalFormatting sqref="Z44">
    <cfRule type="cellIs" dxfId="787" priority="5" operator="notEqual">
      <formula>$Z$46</formula>
    </cfRule>
    <cfRule type="cellIs" dxfId="786" priority="6" operator="equal">
      <formula>$Z$46</formula>
    </cfRule>
  </conditionalFormatting>
  <conditionalFormatting sqref="AA44">
    <cfRule type="cellIs" dxfId="785" priority="3" operator="notEqual">
      <formula>$AA$46</formula>
    </cfRule>
    <cfRule type="cellIs" dxfId="784" priority="4" operator="equal">
      <formula>$AA$46</formula>
    </cfRule>
  </conditionalFormatting>
  <conditionalFormatting sqref="AB44">
    <cfRule type="cellIs" dxfId="783" priority="1" operator="notEqual">
      <formula>$AB$46</formula>
    </cfRule>
    <cfRule type="cellIs" dxfId="782" priority="2" operator="equal">
      <formula>$AB$46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8BB5B-6FEF-4F55-97D1-4A3D76633974}">
  <dimension ref="A1:AB50"/>
  <sheetViews>
    <sheetView showGridLines="0" topLeftCell="P29" workbookViewId="0">
      <selection activeCell="AB44" sqref="AB44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8.7109375" style="9" bestFit="1" customWidth="1"/>
    <col min="13" max="13" width="10" style="9" bestFit="1" customWidth="1"/>
    <col min="14" max="14" width="7.85546875" style="9" bestFit="1" customWidth="1"/>
    <col min="15" max="15" width="11.140625" style="9" bestFit="1" customWidth="1"/>
    <col min="16" max="17" width="9.28515625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7.85546875" style="9" bestFit="1" customWidth="1"/>
    <col min="23" max="23" width="9.28515625" style="9" bestFit="1" customWidth="1"/>
    <col min="24" max="25" width="10.57031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42" t="s">
        <v>60</v>
      </c>
      <c r="B1" s="142" t="s">
        <v>61</v>
      </c>
      <c r="C1" s="142" t="s">
        <v>62</v>
      </c>
      <c r="D1" s="142" t="s">
        <v>63</v>
      </c>
      <c r="E1" s="142" t="s">
        <v>64</v>
      </c>
      <c r="F1" s="142" t="s">
        <v>15</v>
      </c>
      <c r="G1" s="142" t="s">
        <v>66</v>
      </c>
      <c r="H1" s="142" t="s">
        <v>67</v>
      </c>
      <c r="I1" s="142" t="s">
        <v>509</v>
      </c>
      <c r="J1" s="129"/>
      <c r="L1" s="143" t="s">
        <v>531</v>
      </c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</row>
    <row r="2" spans="1:28" ht="11.25" customHeight="1" x14ac:dyDescent="0.25">
      <c r="A2" s="142"/>
      <c r="B2" s="142"/>
      <c r="C2" s="142"/>
      <c r="D2" s="142"/>
      <c r="E2" s="142"/>
      <c r="F2" s="142"/>
      <c r="G2" s="142"/>
      <c r="H2" s="142"/>
      <c r="I2" s="142"/>
      <c r="J2" s="129"/>
      <c r="L2" s="143" t="s">
        <v>436</v>
      </c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  <c r="AA2" s="143"/>
      <c r="AB2" s="143"/>
    </row>
    <row r="3" spans="1:28" ht="11.25" customHeight="1" x14ac:dyDescent="0.25">
      <c r="A3" s="142"/>
      <c r="B3" s="142"/>
      <c r="C3" s="142"/>
      <c r="D3" s="142"/>
      <c r="E3" s="142"/>
      <c r="F3" s="142"/>
      <c r="G3" s="142"/>
      <c r="H3" s="142"/>
      <c r="I3" s="142"/>
      <c r="J3" s="129"/>
      <c r="L3" s="143" t="s">
        <v>409</v>
      </c>
      <c r="M3" s="143"/>
      <c r="N3" s="143"/>
      <c r="O3" s="143"/>
      <c r="P3" s="143"/>
      <c r="Q3" s="143"/>
      <c r="R3" s="143" t="s">
        <v>440</v>
      </c>
      <c r="S3" s="143"/>
      <c r="T3" s="143" t="s">
        <v>418</v>
      </c>
      <c r="U3" s="143"/>
      <c r="V3" s="143"/>
      <c r="W3" s="143"/>
      <c r="X3" s="143" t="s">
        <v>428</v>
      </c>
      <c r="Y3" s="143"/>
      <c r="Z3" s="143" t="s">
        <v>431</v>
      </c>
      <c r="AA3" s="143"/>
      <c r="AB3" s="143" t="s">
        <v>417</v>
      </c>
    </row>
    <row r="4" spans="1:28" ht="11.25" customHeight="1" x14ac:dyDescent="0.25">
      <c r="A4" s="142"/>
      <c r="B4" s="142"/>
      <c r="C4" s="142"/>
      <c r="D4" s="142"/>
      <c r="E4" s="142"/>
      <c r="F4" s="142"/>
      <c r="G4" s="142"/>
      <c r="H4" s="142"/>
      <c r="I4" s="142"/>
      <c r="J4" s="129"/>
      <c r="L4" s="48" t="s">
        <v>411</v>
      </c>
      <c r="M4" s="48" t="s">
        <v>437</v>
      </c>
      <c r="N4" s="48" t="s">
        <v>438</v>
      </c>
      <c r="O4" s="48" t="s">
        <v>497</v>
      </c>
      <c r="P4" s="48" t="s">
        <v>439</v>
      </c>
      <c r="Q4" s="48" t="s">
        <v>417</v>
      </c>
      <c r="R4" s="48" t="s">
        <v>441</v>
      </c>
      <c r="S4" s="48" t="s">
        <v>417</v>
      </c>
      <c r="T4" s="48" t="s">
        <v>442</v>
      </c>
      <c r="U4" s="48" t="s">
        <v>443</v>
      </c>
      <c r="V4" s="48" t="s">
        <v>444</v>
      </c>
      <c r="W4" s="48" t="s">
        <v>417</v>
      </c>
      <c r="X4" s="48" t="s">
        <v>429</v>
      </c>
      <c r="Y4" s="48" t="s">
        <v>417</v>
      </c>
      <c r="Z4" s="48" t="s">
        <v>445</v>
      </c>
      <c r="AA4" s="48" t="s">
        <v>417</v>
      </c>
      <c r="AB4" s="144"/>
    </row>
    <row r="5" spans="1:28" ht="11.25" customHeight="1" x14ac:dyDescent="0.25">
      <c r="A5" s="141" t="s">
        <v>34</v>
      </c>
      <c r="B5" s="141" t="s">
        <v>69</v>
      </c>
      <c r="C5" s="141" t="s">
        <v>25</v>
      </c>
      <c r="D5" s="141" t="s">
        <v>25</v>
      </c>
      <c r="E5" s="141" t="s">
        <v>25</v>
      </c>
      <c r="F5" s="141" t="s">
        <v>25</v>
      </c>
      <c r="G5" s="46" t="s">
        <v>71</v>
      </c>
      <c r="H5" s="46" t="s">
        <v>70</v>
      </c>
      <c r="I5" s="46">
        <f>'MERCADO TE'!$U$2</f>
        <v>2156.2699999999995</v>
      </c>
      <c r="J5" s="15"/>
      <c r="L5" s="44">
        <f>'TE BE'!$L$5*'TE BF'!$L$49</f>
        <v>0</v>
      </c>
      <c r="M5" s="44">
        <f>'TE BE'!$M$5*'TE BF'!$M$49</f>
        <v>12.971379864186412</v>
      </c>
      <c r="N5" s="44">
        <f>'TE BE'!$N$5*'TE BF'!$N$49</f>
        <v>0</v>
      </c>
      <c r="O5" s="44">
        <f>'TE BE'!$O$5*'TE BF'!$O$49</f>
        <v>0.14958763705513226</v>
      </c>
      <c r="P5" s="44">
        <f>'TE BE'!$P$5*'TE BF'!$P$49</f>
        <v>0</v>
      </c>
      <c r="Q5" s="44">
        <f>SUM($L$5:$P$5)</f>
        <v>13.120967501241545</v>
      </c>
      <c r="R5" s="44">
        <f>'TE BE'!$R$5*'TE BF'!$R$49</f>
        <v>36.022998566072459</v>
      </c>
      <c r="S5" s="44">
        <f>SUM($R$5:$R$5)</f>
        <v>36.022998566072459</v>
      </c>
      <c r="T5" s="44">
        <f>'TE BE'!$T$5*'TE BF'!$T$49</f>
        <v>1.4425073485728321</v>
      </c>
      <c r="U5" s="44">
        <f>'TE BE'!$U$5*'TE BF'!$U$49</f>
        <v>0.29883500291365872</v>
      </c>
      <c r="V5" s="44">
        <f>'TE BE'!$V$5*'TE BF'!$V$49</f>
        <v>0</v>
      </c>
      <c r="W5" s="44">
        <f>SUM($T$5:$V$5)</f>
        <v>1.741342351486491</v>
      </c>
      <c r="X5" s="44">
        <f>'TE BE'!$AB$5*'TE BF'!$X$49</f>
        <v>0</v>
      </c>
      <c r="Y5" s="44">
        <f>SUM($X$5:$X$5)</f>
        <v>0</v>
      </c>
      <c r="Z5" s="44">
        <f>'TE BE'!$Z$5*'TE BF'!$Z$49</f>
        <v>0.64210348485840907</v>
      </c>
      <c r="AA5" s="44">
        <f>SUM($Z$5:$Z$5)</f>
        <v>0.64210348485840907</v>
      </c>
      <c r="AB5" s="44">
        <f>SUMIF($L$4:$AA$4,"SUBTOTAL",$L$5:$AA$5)</f>
        <v>51.527411903658901</v>
      </c>
    </row>
    <row r="6" spans="1:28" ht="11.25" customHeight="1" x14ac:dyDescent="0.25">
      <c r="A6" s="141"/>
      <c r="B6" s="141"/>
      <c r="C6" s="141"/>
      <c r="D6" s="141"/>
      <c r="E6" s="141"/>
      <c r="F6" s="141"/>
      <c r="G6" s="46" t="s">
        <v>72</v>
      </c>
      <c r="H6" s="46" t="s">
        <v>70</v>
      </c>
      <c r="I6" s="46">
        <f>'MERCADO TE'!$U$3</f>
        <v>23356.773000000001</v>
      </c>
      <c r="J6" s="15"/>
      <c r="L6" s="44">
        <f>'TE BE'!$L$6*'TE BF'!$L$49</f>
        <v>0</v>
      </c>
      <c r="M6" s="44">
        <f>'TE BE'!$M$6*'TE BF'!$M$49</f>
        <v>12.971379864186412</v>
      </c>
      <c r="N6" s="44">
        <f>'TE BE'!$N$6*'TE BF'!$N$49</f>
        <v>0</v>
      </c>
      <c r="O6" s="44">
        <f>'TE BE'!$O$6*'TE BF'!$O$49</f>
        <v>0.14958763705513226</v>
      </c>
      <c r="P6" s="44">
        <f>'TE BE'!$P$6*'TE BF'!$P$49</f>
        <v>0</v>
      </c>
      <c r="Q6" s="44">
        <f>SUM($L$6:$P$6)</f>
        <v>13.120967501241545</v>
      </c>
      <c r="R6" s="44">
        <f>'TE BE'!$R$6*'TE BF'!$R$49</f>
        <v>20.943603817483993</v>
      </c>
      <c r="S6" s="44">
        <f>SUM($R$6:$R$6)</f>
        <v>20.943603817483993</v>
      </c>
      <c r="T6" s="44">
        <f>'TE BE'!$T$6*'TE BF'!$T$49</f>
        <v>1.4425073485728321</v>
      </c>
      <c r="U6" s="44">
        <f>'TE BE'!$U$6*'TE BF'!$U$49</f>
        <v>0.29883500291365872</v>
      </c>
      <c r="V6" s="44">
        <f>'TE BE'!$V$6*'TE BF'!$V$49</f>
        <v>0</v>
      </c>
      <c r="W6" s="44">
        <f>SUM($T$6:$V$6)</f>
        <v>1.741342351486491</v>
      </c>
      <c r="X6" s="44">
        <f>'TE BE'!$AB$6*'TE BF'!$X$49</f>
        <v>0</v>
      </c>
      <c r="Y6" s="44">
        <f>SUM($X$6:$X$6)</f>
        <v>0</v>
      </c>
      <c r="Z6" s="44">
        <f>'TE BE'!$Z$6*'TE BF'!$Z$49</f>
        <v>0.64210348485840907</v>
      </c>
      <c r="AA6" s="44">
        <f>SUM($Z$6:$Z$6)</f>
        <v>0.64210348485840907</v>
      </c>
      <c r="AB6" s="44">
        <f>SUMIF($L$4:$AA$4,"SUBTOTAL",$L$6:$AA$6)</f>
        <v>36.448017155070445</v>
      </c>
    </row>
    <row r="7" spans="1:28" ht="11.25" customHeight="1" x14ac:dyDescent="0.25">
      <c r="A7" s="141"/>
      <c r="B7" s="47" t="s">
        <v>73</v>
      </c>
      <c r="C7" s="47" t="s">
        <v>25</v>
      </c>
      <c r="D7" s="47" t="s">
        <v>25</v>
      </c>
      <c r="E7" s="47" t="s">
        <v>25</v>
      </c>
      <c r="F7" s="47" t="s">
        <v>25</v>
      </c>
      <c r="G7" s="46" t="s">
        <v>74</v>
      </c>
      <c r="H7" s="46" t="s">
        <v>70</v>
      </c>
      <c r="I7" s="46">
        <f>'MERCADO TE'!$U$4</f>
        <v>0</v>
      </c>
      <c r="J7" s="15"/>
      <c r="L7" s="44">
        <f>'TE BE'!$L$7*'TE BF'!$L$49</f>
        <v>0</v>
      </c>
      <c r="M7" s="44">
        <f>'TE BE'!$M$7*'TE BF'!$M$49</f>
        <v>12.971379864186412</v>
      </c>
      <c r="N7" s="44">
        <f>'TE BE'!$N$7*'TE BF'!$N$49</f>
        <v>0</v>
      </c>
      <c r="O7" s="44">
        <f>'TE BE'!$O$7*'TE BF'!$O$49</f>
        <v>0.14958763705513226</v>
      </c>
      <c r="P7" s="44">
        <f>'TE BE'!$P$7*'TE BF'!$P$49</f>
        <v>0</v>
      </c>
      <c r="Q7" s="44">
        <f>SUM($L$7:$P$7)</f>
        <v>13.120967501241545</v>
      </c>
      <c r="R7" s="44">
        <f>'TE BE'!$R$7*'TE BF'!$R$49</f>
        <v>22.200220046533033</v>
      </c>
      <c r="S7" s="44">
        <f>SUM($R$7:$R$7)</f>
        <v>22.200220046533033</v>
      </c>
      <c r="T7" s="44">
        <f>'TE BE'!$T$7*'TE BF'!$T$49</f>
        <v>1.4425073485728321</v>
      </c>
      <c r="U7" s="44">
        <f>'TE BE'!$U$7*'TE BF'!$U$49</f>
        <v>0.29883500291365872</v>
      </c>
      <c r="V7" s="44">
        <f>'TE BE'!$V$7*'TE BF'!$V$49</f>
        <v>0</v>
      </c>
      <c r="W7" s="44">
        <f>SUM($T$7:$V$7)</f>
        <v>1.741342351486491</v>
      </c>
      <c r="X7" s="44">
        <f>'TE BE'!$AB$7*'TE BF'!$X$49</f>
        <v>0</v>
      </c>
      <c r="Y7" s="44">
        <f>SUM($X$7:$X$7)</f>
        <v>0</v>
      </c>
      <c r="Z7" s="44">
        <f>'TE BE'!$Z$7*'TE BF'!$Z$49</f>
        <v>0.64210348485840907</v>
      </c>
      <c r="AA7" s="44">
        <f>SUM($Z$7:$Z$7)</f>
        <v>0.64210348485840907</v>
      </c>
      <c r="AB7" s="44">
        <f>SUMIF($L$4:$AA$4,"SUBTOTAL",$L$7:$AA$7)</f>
        <v>37.704633384119475</v>
      </c>
    </row>
    <row r="8" spans="1:28" ht="11.25" customHeight="1" x14ac:dyDescent="0.25">
      <c r="A8" s="141" t="s">
        <v>22</v>
      </c>
      <c r="B8" s="141" t="s">
        <v>69</v>
      </c>
      <c r="C8" s="141" t="s">
        <v>24</v>
      </c>
      <c r="D8" s="141" t="s">
        <v>24</v>
      </c>
      <c r="E8" s="141" t="s">
        <v>25</v>
      </c>
      <c r="F8" s="141" t="s">
        <v>25</v>
      </c>
      <c r="G8" s="46" t="s">
        <v>71</v>
      </c>
      <c r="H8" s="46" t="s">
        <v>70</v>
      </c>
      <c r="I8" s="46">
        <f>'MERCADO TE'!$U$5</f>
        <v>0</v>
      </c>
      <c r="J8" s="15"/>
      <c r="L8" s="44">
        <f>'TE BE'!$L$8*'TE BF'!$L$49</f>
        <v>0</v>
      </c>
      <c r="M8" s="44">
        <f>'TE BE'!$M$8*'TE BF'!$M$49</f>
        <v>12.971379864186412</v>
      </c>
      <c r="N8" s="44">
        <f>'TE BE'!$N$8*'TE BF'!$N$49</f>
        <v>0</v>
      </c>
      <c r="O8" s="44">
        <f>'TE BE'!$O$8*'TE BF'!$O$49</f>
        <v>0.14958763705513226</v>
      </c>
      <c r="P8" s="44">
        <f>'TE BE'!$P$8*'TE BF'!$P$49</f>
        <v>0</v>
      </c>
      <c r="Q8" s="44">
        <f>SUM($L$8:$P$8)</f>
        <v>13.120967501241545</v>
      </c>
      <c r="R8" s="44">
        <f>'TE BE'!$R$8*'TE BF'!$R$49</f>
        <v>36.022998566072459</v>
      </c>
      <c r="S8" s="44">
        <f>SUM($R$8:$R$8)</f>
        <v>36.022998566072459</v>
      </c>
      <c r="T8" s="44">
        <f>'TE BE'!$T$8*'TE BF'!$T$49</f>
        <v>1.4425073485728321</v>
      </c>
      <c r="U8" s="44">
        <f>'TE BE'!$U$8*'TE BF'!$U$49</f>
        <v>0.29883500291365872</v>
      </c>
      <c r="V8" s="44">
        <f>'TE BE'!$V$8*'TE BF'!$V$49</f>
        <v>0</v>
      </c>
      <c r="W8" s="44">
        <f>SUM($T$8:$V$8)</f>
        <v>1.741342351486491</v>
      </c>
      <c r="X8" s="44">
        <f>'TE BE'!$AB$8*'TE BF'!$X$49</f>
        <v>0</v>
      </c>
      <c r="Y8" s="44">
        <f>SUM($X$8:$X$8)</f>
        <v>0</v>
      </c>
      <c r="Z8" s="44">
        <f>'TE BE'!$Z$8*'TE BF'!$Z$49</f>
        <v>0.64210348485840907</v>
      </c>
      <c r="AA8" s="44">
        <f>SUM($Z$8:$Z$8)</f>
        <v>0.64210348485840907</v>
      </c>
      <c r="AB8" s="44">
        <f>SUMIF($L$4:$AA$4,"SUBTOTAL",$L$8:$AA$8)</f>
        <v>51.527411903658901</v>
      </c>
    </row>
    <row r="9" spans="1:28" ht="11.25" customHeight="1" x14ac:dyDescent="0.25">
      <c r="A9" s="141"/>
      <c r="B9" s="141"/>
      <c r="C9" s="141"/>
      <c r="D9" s="141"/>
      <c r="E9" s="141"/>
      <c r="F9" s="141"/>
      <c r="G9" s="46" t="s">
        <v>83</v>
      </c>
      <c r="H9" s="46" t="s">
        <v>70</v>
      </c>
      <c r="I9" s="46">
        <f>'MERCADO TE'!$U$6</f>
        <v>0</v>
      </c>
      <c r="J9" s="15"/>
      <c r="L9" s="44">
        <f>'TE BE'!$L$9*'TE BF'!$L$49</f>
        <v>0</v>
      </c>
      <c r="M9" s="44">
        <f>'TE BE'!$M$9*'TE BF'!$M$49</f>
        <v>12.971379864186412</v>
      </c>
      <c r="N9" s="44">
        <f>'TE BE'!$N$9*'TE BF'!$N$49</f>
        <v>0</v>
      </c>
      <c r="O9" s="44">
        <f>'TE BE'!$O$9*'TE BF'!$O$49</f>
        <v>0.14958763705513226</v>
      </c>
      <c r="P9" s="44">
        <f>'TE BE'!$P$9*'TE BF'!$P$49</f>
        <v>0</v>
      </c>
      <c r="Q9" s="44">
        <f>SUM($L$9:$P$9)</f>
        <v>13.120967501241545</v>
      </c>
      <c r="R9" s="44">
        <f>'TE BE'!$R$9*'TE BF'!$R$49</f>
        <v>20.943603817483993</v>
      </c>
      <c r="S9" s="44">
        <f>SUM($R$9:$R$9)</f>
        <v>20.943603817483993</v>
      </c>
      <c r="T9" s="44">
        <f>'TE BE'!$T$9*'TE BF'!$T$49</f>
        <v>1.4425073485728321</v>
      </c>
      <c r="U9" s="44">
        <f>'TE BE'!$U$9*'TE BF'!$U$49</f>
        <v>0.29883500291365872</v>
      </c>
      <c r="V9" s="44">
        <f>'TE BE'!$V$9*'TE BF'!$V$49</f>
        <v>0</v>
      </c>
      <c r="W9" s="44">
        <f>SUM($T$9:$V$9)</f>
        <v>1.741342351486491</v>
      </c>
      <c r="X9" s="44">
        <f>'TE BE'!$AB$9*'TE BF'!$X$49</f>
        <v>0</v>
      </c>
      <c r="Y9" s="44">
        <f>SUM($X$9:$X$9)</f>
        <v>0</v>
      </c>
      <c r="Z9" s="44">
        <f>'TE BE'!$Z$9*'TE BF'!$Z$49</f>
        <v>0.64210348485840907</v>
      </c>
      <c r="AA9" s="44">
        <f>SUM($Z$9:$Z$9)</f>
        <v>0.64210348485840907</v>
      </c>
      <c r="AB9" s="44">
        <f>SUMIF($L$4:$AA$4,"SUBTOTAL",$L$9:$AA$9)</f>
        <v>36.448017155070445</v>
      </c>
    </row>
    <row r="10" spans="1:28" ht="11.25" customHeight="1" x14ac:dyDescent="0.25">
      <c r="A10" s="141"/>
      <c r="B10" s="141"/>
      <c r="C10" s="141"/>
      <c r="D10" s="141"/>
      <c r="E10" s="141"/>
      <c r="F10" s="141"/>
      <c r="G10" s="46" t="s">
        <v>72</v>
      </c>
      <c r="H10" s="46" t="s">
        <v>70</v>
      </c>
      <c r="I10" s="46">
        <f>'MERCADO TE'!$U$7</f>
        <v>0</v>
      </c>
      <c r="J10" s="15"/>
      <c r="L10" s="44">
        <f>'TE BE'!$L$10*'TE BF'!$L$49</f>
        <v>0</v>
      </c>
      <c r="M10" s="44">
        <f>'TE BE'!$M$10*'TE BF'!$M$49</f>
        <v>12.971379864186412</v>
      </c>
      <c r="N10" s="44">
        <f>'TE BE'!$N$10*'TE BF'!$N$49</f>
        <v>0</v>
      </c>
      <c r="O10" s="44">
        <f>'TE BE'!$O$10*'TE BF'!$O$49</f>
        <v>0.14958763705513226</v>
      </c>
      <c r="P10" s="44">
        <f>'TE BE'!$P$10*'TE BF'!$P$49</f>
        <v>0</v>
      </c>
      <c r="Q10" s="44">
        <f>SUM($L$10:$P$10)</f>
        <v>13.120967501241545</v>
      </c>
      <c r="R10" s="44">
        <f>'TE BE'!$R$10*'TE BF'!$R$49</f>
        <v>20.943603817483993</v>
      </c>
      <c r="S10" s="44">
        <f>SUM($R$10:$R$10)</f>
        <v>20.943603817483993</v>
      </c>
      <c r="T10" s="44">
        <f>'TE BE'!$T$10*'TE BF'!$T$49</f>
        <v>1.4425073485728321</v>
      </c>
      <c r="U10" s="44">
        <f>'TE BE'!$U$10*'TE BF'!$U$49</f>
        <v>0.29883500291365872</v>
      </c>
      <c r="V10" s="44">
        <f>'TE BE'!$V$10*'TE BF'!$V$49</f>
        <v>0</v>
      </c>
      <c r="W10" s="44">
        <f>SUM($T$10:$V$10)</f>
        <v>1.741342351486491</v>
      </c>
      <c r="X10" s="44">
        <f>'TE BE'!$AB$10*'TE BF'!$X$49</f>
        <v>0</v>
      </c>
      <c r="Y10" s="44">
        <f>SUM($X$10:$X$10)</f>
        <v>0</v>
      </c>
      <c r="Z10" s="44">
        <f>'TE BE'!$Z$10*'TE BF'!$Z$49</f>
        <v>0.64210348485840907</v>
      </c>
      <c r="AA10" s="44">
        <f>SUM($Z$10:$Z$10)</f>
        <v>0.64210348485840907</v>
      </c>
      <c r="AB10" s="44">
        <f>SUMIF($L$4:$AA$4,"SUBTOTAL",$L$10:$AA$10)</f>
        <v>36.448017155070445</v>
      </c>
    </row>
    <row r="11" spans="1:28" ht="11.25" customHeight="1" x14ac:dyDescent="0.25">
      <c r="A11" s="141"/>
      <c r="B11" s="141" t="s">
        <v>73</v>
      </c>
      <c r="C11" s="141" t="s">
        <v>24</v>
      </c>
      <c r="D11" s="47" t="s">
        <v>24</v>
      </c>
      <c r="E11" s="47" t="s">
        <v>25</v>
      </c>
      <c r="F11" s="47" t="s">
        <v>25</v>
      </c>
      <c r="G11" s="46" t="s">
        <v>74</v>
      </c>
      <c r="H11" s="46" t="s">
        <v>70</v>
      </c>
      <c r="I11" s="46">
        <f>'MERCADO TE'!$U$8</f>
        <v>20530.876000000004</v>
      </c>
      <c r="J11" s="15"/>
      <c r="L11" s="44">
        <f>'TE BE'!$L$11*'TE BF'!$L$49</f>
        <v>0</v>
      </c>
      <c r="M11" s="44">
        <f>'TE BE'!$M$11*'TE BF'!$M$49</f>
        <v>12.971379864186412</v>
      </c>
      <c r="N11" s="44">
        <f>'TE BE'!$N$11*'TE BF'!$N$49</f>
        <v>0</v>
      </c>
      <c r="O11" s="44">
        <f>'TE BE'!$O$11*'TE BF'!$O$49</f>
        <v>0.14958763705513226</v>
      </c>
      <c r="P11" s="44">
        <f>'TE BE'!$P$11*'TE BF'!$P$49</f>
        <v>0</v>
      </c>
      <c r="Q11" s="44">
        <f>SUM($L$11:$P$11)</f>
        <v>13.120967501241545</v>
      </c>
      <c r="R11" s="44">
        <f>'TE BE'!$R$11*'TE BF'!$R$49</f>
        <v>22.200220046533033</v>
      </c>
      <c r="S11" s="44">
        <f>SUM($R$11:$R$11)</f>
        <v>22.200220046533033</v>
      </c>
      <c r="T11" s="44">
        <f>'TE BE'!$T$11*'TE BF'!$T$49</f>
        <v>1.4425073485728321</v>
      </c>
      <c r="U11" s="44">
        <f>'TE BE'!$U$11*'TE BF'!$U$49</f>
        <v>0.29883500291365872</v>
      </c>
      <c r="V11" s="44">
        <f>'TE BE'!$V$11*'TE BF'!$V$49</f>
        <v>0</v>
      </c>
      <c r="W11" s="44">
        <f>SUM($T$11:$V$11)</f>
        <v>1.741342351486491</v>
      </c>
      <c r="X11" s="44">
        <f>'TE BE'!$AB$11*'TE BF'!$X$49</f>
        <v>0</v>
      </c>
      <c r="Y11" s="44">
        <f>SUM($X$11:$X$11)</f>
        <v>0</v>
      </c>
      <c r="Z11" s="44">
        <f>'TE BE'!$Z$11*'TE BF'!$Z$49</f>
        <v>0.64210348485840907</v>
      </c>
      <c r="AA11" s="44">
        <f>SUM($Z$11:$Z$11)</f>
        <v>0.64210348485840907</v>
      </c>
      <c r="AB11" s="44">
        <f>SUMIF($L$4:$AA$4,"SUBTOTAL",$L$11:$AA$11)</f>
        <v>37.704633384119475</v>
      </c>
    </row>
    <row r="12" spans="1:28" ht="11.25" customHeight="1" x14ac:dyDescent="0.25">
      <c r="A12" s="141"/>
      <c r="B12" s="141"/>
      <c r="C12" s="141"/>
      <c r="D12" s="47" t="s">
        <v>28</v>
      </c>
      <c r="E12" s="47" t="s">
        <v>25</v>
      </c>
      <c r="F12" s="47" t="s">
        <v>25</v>
      </c>
      <c r="G12" s="46" t="s">
        <v>74</v>
      </c>
      <c r="H12" s="46" t="s">
        <v>70</v>
      </c>
      <c r="I12" s="46">
        <f>'MERCADO TE'!$U$9</f>
        <v>165.006</v>
      </c>
      <c r="J12" s="15"/>
      <c r="L12" s="44">
        <f>'TE BE'!$L$12*'TE BF'!$L$49</f>
        <v>0</v>
      </c>
      <c r="M12" s="44">
        <f>'TE BE'!$M$12*'TE BF'!$M$49</f>
        <v>12.971379864186412</v>
      </c>
      <c r="N12" s="44">
        <f>'TE BE'!$N$12*'TE BF'!$N$49</f>
        <v>0</v>
      </c>
      <c r="O12" s="44">
        <f>'TE BE'!$O$12*'TE BF'!$O$49</f>
        <v>0.14958763705513226</v>
      </c>
      <c r="P12" s="44">
        <f>'TE BE'!$P$12*'TE BF'!$P$49</f>
        <v>0</v>
      </c>
      <c r="Q12" s="44">
        <f>SUM($L$12:$P$12)</f>
        <v>13.120967501241545</v>
      </c>
      <c r="R12" s="44">
        <f>'TE BE'!$R$12*'TE BF'!$R$49</f>
        <v>22.200220046533033</v>
      </c>
      <c r="S12" s="44">
        <f>SUM($R$12:$R$12)</f>
        <v>22.200220046533033</v>
      </c>
      <c r="T12" s="44">
        <f>'TE BE'!$T$12*'TE BF'!$T$49</f>
        <v>1.4425073485728321</v>
      </c>
      <c r="U12" s="44">
        <f>'TE BE'!$U$12*'TE BF'!$U$49</f>
        <v>0.29883500291365872</v>
      </c>
      <c r="V12" s="44">
        <f>'TE BE'!$V$12*'TE BF'!$V$49</f>
        <v>0</v>
      </c>
      <c r="W12" s="44">
        <f>SUM($T$12:$V$12)</f>
        <v>1.741342351486491</v>
      </c>
      <c r="X12" s="44">
        <f>'TE BE'!$AB$12*'TE BF'!$X$49</f>
        <v>0</v>
      </c>
      <c r="Y12" s="44">
        <f>SUM($X$12:$X$12)</f>
        <v>0</v>
      </c>
      <c r="Z12" s="44">
        <f>'TE BE'!$Z$12*'TE BF'!$Z$49</f>
        <v>0.64210348485840907</v>
      </c>
      <c r="AA12" s="44">
        <f>SUM($Z$12:$Z$12)</f>
        <v>0.64210348485840907</v>
      </c>
      <c r="AB12" s="44">
        <f>SUMIF($L$4:$AA$4,"SUBTOTAL",$L$12:$AA$12)</f>
        <v>37.704633384119475</v>
      </c>
    </row>
    <row r="13" spans="1:28" ht="11.25" customHeight="1" x14ac:dyDescent="0.25">
      <c r="A13" s="141"/>
      <c r="B13" s="141"/>
      <c r="C13" s="141"/>
      <c r="D13" s="47" t="s">
        <v>29</v>
      </c>
      <c r="E13" s="47" t="s">
        <v>25</v>
      </c>
      <c r="F13" s="47" t="s">
        <v>25</v>
      </c>
      <c r="G13" s="46" t="s">
        <v>74</v>
      </c>
      <c r="H13" s="46" t="s">
        <v>70</v>
      </c>
      <c r="I13" s="46">
        <f>'MERCADO TE'!$U$10</f>
        <v>350.56600000000003</v>
      </c>
      <c r="J13" s="15"/>
      <c r="L13" s="44">
        <f>'TE BE'!$L$13*'TE BF'!$L$49</f>
        <v>0</v>
      </c>
      <c r="M13" s="44">
        <f>'TE BE'!$M$13*'TE BF'!$M$49</f>
        <v>12.971379864186412</v>
      </c>
      <c r="N13" s="44">
        <f>'TE BE'!$N$13*'TE BF'!$N$49</f>
        <v>0</v>
      </c>
      <c r="O13" s="44">
        <f>'TE BE'!$O$13*'TE BF'!$O$49</f>
        <v>0.14958763705513226</v>
      </c>
      <c r="P13" s="44">
        <f>'TE BE'!$P$13*'TE BF'!$P$49</f>
        <v>0</v>
      </c>
      <c r="Q13" s="44">
        <f>SUM($L$13:$P$13)</f>
        <v>13.120967501241545</v>
      </c>
      <c r="R13" s="44">
        <f>'TE BE'!$R$13*'TE BF'!$R$49</f>
        <v>22.200220046533033</v>
      </c>
      <c r="S13" s="44">
        <f>SUM($R$13:$R$13)</f>
        <v>22.200220046533033</v>
      </c>
      <c r="T13" s="44">
        <f>'TE BE'!$T$13*'TE BF'!$T$49</f>
        <v>1.4425073485728321</v>
      </c>
      <c r="U13" s="44">
        <f>'TE BE'!$U$13*'TE BF'!$U$49</f>
        <v>0.29883500291365872</v>
      </c>
      <c r="V13" s="44">
        <f>'TE BE'!$V$13*'TE BF'!$V$49</f>
        <v>0</v>
      </c>
      <c r="W13" s="44">
        <f>SUM($T$13:$V$13)</f>
        <v>1.741342351486491</v>
      </c>
      <c r="X13" s="44">
        <f>'TE BE'!$AB$13*'TE BF'!$X$49</f>
        <v>0</v>
      </c>
      <c r="Y13" s="44">
        <f>SUM($X$13:$X$13)</f>
        <v>0</v>
      </c>
      <c r="Z13" s="44">
        <f>'TE BE'!$Z$13*'TE BF'!$Z$49</f>
        <v>0.64210348485840907</v>
      </c>
      <c r="AA13" s="44">
        <f>SUM($Z$13:$Z$13)</f>
        <v>0.64210348485840907</v>
      </c>
      <c r="AB13" s="44">
        <f>SUMIF($L$4:$AA$4,"SUBTOTAL",$L$13:$AA$13)</f>
        <v>37.704633384119475</v>
      </c>
    </row>
    <row r="14" spans="1:28" ht="11.25" customHeight="1" x14ac:dyDescent="0.25">
      <c r="A14" s="141"/>
      <c r="B14" s="141"/>
      <c r="C14" s="141"/>
      <c r="D14" s="47" t="s">
        <v>30</v>
      </c>
      <c r="E14" s="47" t="s">
        <v>25</v>
      </c>
      <c r="F14" s="47" t="s">
        <v>25</v>
      </c>
      <c r="G14" s="46" t="s">
        <v>74</v>
      </c>
      <c r="H14" s="46" t="s">
        <v>70</v>
      </c>
      <c r="I14" s="46">
        <f>'MERCADO TE'!$U$11</f>
        <v>338.63600000000002</v>
      </c>
      <c r="J14" s="15"/>
      <c r="L14" s="44">
        <f>'TE BE'!$L$14*'TE BF'!$L$49</f>
        <v>0</v>
      </c>
      <c r="M14" s="44">
        <f>'TE BE'!$M$14*'TE BF'!$M$49</f>
        <v>12.971379864186412</v>
      </c>
      <c r="N14" s="44">
        <f>'TE BE'!$N$14*'TE BF'!$N$49</f>
        <v>0</v>
      </c>
      <c r="O14" s="44">
        <f>'TE BE'!$O$14*'TE BF'!$O$49</f>
        <v>0.14958763705513226</v>
      </c>
      <c r="P14" s="44">
        <f>'TE BE'!$P$14*'TE BF'!$P$49</f>
        <v>0</v>
      </c>
      <c r="Q14" s="44">
        <f>SUM($L$14:$P$14)</f>
        <v>13.120967501241545</v>
      </c>
      <c r="R14" s="44">
        <f>'TE BE'!$R$14*'TE BF'!$R$49</f>
        <v>22.200220046533033</v>
      </c>
      <c r="S14" s="44">
        <f>SUM($R$14:$R$14)</f>
        <v>22.200220046533033</v>
      </c>
      <c r="T14" s="44">
        <f>'TE BE'!$T$14*'TE BF'!$T$49</f>
        <v>1.4425073485728321</v>
      </c>
      <c r="U14" s="44">
        <f>'TE BE'!$U$14*'TE BF'!$U$49</f>
        <v>0.29883500291365872</v>
      </c>
      <c r="V14" s="44">
        <f>'TE BE'!$V$14*'TE BF'!$V$49</f>
        <v>0</v>
      </c>
      <c r="W14" s="44">
        <f>SUM($T$14:$V$14)</f>
        <v>1.741342351486491</v>
      </c>
      <c r="X14" s="44">
        <f>'TE BE'!$AB$14*'TE BF'!$X$49</f>
        <v>0</v>
      </c>
      <c r="Y14" s="44">
        <f>SUM($X$14:$X$14)</f>
        <v>0</v>
      </c>
      <c r="Z14" s="44">
        <f>'TE BE'!$Z$14*'TE BF'!$Z$49</f>
        <v>0.64210348485840907</v>
      </c>
      <c r="AA14" s="44">
        <f>SUM($Z$14:$Z$14)</f>
        <v>0.64210348485840907</v>
      </c>
      <c r="AB14" s="44">
        <f>SUMIF($L$4:$AA$4,"SUBTOTAL",$L$14:$AA$14)</f>
        <v>37.704633384119475</v>
      </c>
    </row>
    <row r="15" spans="1:28" ht="11.25" customHeight="1" x14ac:dyDescent="0.25">
      <c r="A15" s="141"/>
      <c r="B15" s="141"/>
      <c r="C15" s="141"/>
      <c r="D15" s="47" t="s">
        <v>31</v>
      </c>
      <c r="E15" s="47" t="s">
        <v>25</v>
      </c>
      <c r="F15" s="47" t="s">
        <v>25</v>
      </c>
      <c r="G15" s="46" t="s">
        <v>74</v>
      </c>
      <c r="H15" s="46" t="s">
        <v>70</v>
      </c>
      <c r="I15" s="46">
        <f>'MERCADO TE'!$U$12</f>
        <v>113.66699999999999</v>
      </c>
      <c r="J15" s="15"/>
      <c r="L15" s="44">
        <f>'TE BE'!$L$15*'TE BF'!$L$49</f>
        <v>0</v>
      </c>
      <c r="M15" s="44">
        <f>'TE BE'!$M$15*'TE BF'!$M$49</f>
        <v>12.971379864186412</v>
      </c>
      <c r="N15" s="44">
        <f>'TE BE'!$N$15*'TE BF'!$N$49</f>
        <v>0</v>
      </c>
      <c r="O15" s="44">
        <f>'TE BE'!$O$15*'TE BF'!$O$49</f>
        <v>0.14958763705513226</v>
      </c>
      <c r="P15" s="44">
        <f>'TE BE'!$P$15*'TE BF'!$P$49</f>
        <v>0</v>
      </c>
      <c r="Q15" s="44">
        <f>SUM($L$15:$P$15)</f>
        <v>13.120967501241545</v>
      </c>
      <c r="R15" s="44">
        <f>'TE BE'!$R$15*'TE BF'!$R$49</f>
        <v>22.200220046533033</v>
      </c>
      <c r="S15" s="44">
        <f>SUM($R$15:$R$15)</f>
        <v>22.200220046533033</v>
      </c>
      <c r="T15" s="44">
        <f>'TE BE'!$T$15*'TE BF'!$T$49</f>
        <v>1.4425073485728321</v>
      </c>
      <c r="U15" s="44">
        <f>'TE BE'!$U$15*'TE BF'!$U$49</f>
        <v>0.29883500291365872</v>
      </c>
      <c r="V15" s="44">
        <f>'TE BE'!$V$15*'TE BF'!$V$49</f>
        <v>0</v>
      </c>
      <c r="W15" s="44">
        <f>SUM($T$15:$V$15)</f>
        <v>1.741342351486491</v>
      </c>
      <c r="X15" s="44">
        <f>'TE BE'!$AB$15*'TE BF'!$X$49</f>
        <v>0</v>
      </c>
      <c r="Y15" s="44">
        <f>SUM($X$15:$X$15)</f>
        <v>0</v>
      </c>
      <c r="Z15" s="44">
        <f>'TE BE'!$Z$15*'TE BF'!$Z$49</f>
        <v>0.64210348485840907</v>
      </c>
      <c r="AA15" s="44">
        <f>SUM($Z$15:$Z$15)</f>
        <v>0.64210348485840907</v>
      </c>
      <c r="AB15" s="44">
        <f>SUMIF($L$4:$AA$4,"SUBTOTAL",$L$15:$AA$15)</f>
        <v>37.704633384119475</v>
      </c>
    </row>
    <row r="16" spans="1:28" ht="11.25" customHeight="1" x14ac:dyDescent="0.25">
      <c r="A16" s="141"/>
      <c r="B16" s="141" t="s">
        <v>84</v>
      </c>
      <c r="C16" s="141" t="s">
        <v>24</v>
      </c>
      <c r="D16" s="47" t="s">
        <v>24</v>
      </c>
      <c r="E16" s="47" t="s">
        <v>25</v>
      </c>
      <c r="F16" s="47" t="s">
        <v>25</v>
      </c>
      <c r="G16" s="46" t="s">
        <v>74</v>
      </c>
      <c r="H16" s="46" t="s">
        <v>70</v>
      </c>
      <c r="I16" s="46">
        <f>'MERCADO TE'!$U$13</f>
        <v>0</v>
      </c>
      <c r="J16" s="15"/>
      <c r="L16" s="44">
        <f>'TE BE'!$L$16*'TE BF'!$L$49</f>
        <v>0</v>
      </c>
      <c r="M16" s="44">
        <f>'TE BE'!$M$16*'TE BF'!$M$49</f>
        <v>12.971379864186412</v>
      </c>
      <c r="N16" s="44">
        <f>'TE BE'!$N$16*'TE BF'!$N$49</f>
        <v>0</v>
      </c>
      <c r="O16" s="44">
        <f>'TE BE'!$O$16*'TE BF'!$O$49</f>
        <v>0.14958763705513226</v>
      </c>
      <c r="P16" s="44">
        <f>'TE BE'!$P$16*'TE BF'!$P$49</f>
        <v>0</v>
      </c>
      <c r="Q16" s="44">
        <f>SUM($L$16:$P$16)</f>
        <v>13.120967501241545</v>
      </c>
      <c r="R16" s="44">
        <f>'TE BE'!$R$16*'TE BF'!$R$49</f>
        <v>22.200220046533033</v>
      </c>
      <c r="S16" s="44">
        <f>SUM($R$16:$R$16)</f>
        <v>22.200220046533033</v>
      </c>
      <c r="T16" s="44">
        <f>'TE BE'!$T$16*'TE BF'!$T$49</f>
        <v>1.4425073485728321</v>
      </c>
      <c r="U16" s="44">
        <f>'TE BE'!$U$16*'TE BF'!$U$49</f>
        <v>0.29883500291365872</v>
      </c>
      <c r="V16" s="44">
        <f>'TE BE'!$V$16*'TE BF'!$V$49</f>
        <v>0</v>
      </c>
      <c r="W16" s="44">
        <f>SUM($T$16:$V$16)</f>
        <v>1.741342351486491</v>
      </c>
      <c r="X16" s="44">
        <f>'TE BE'!$AB$16*'TE BF'!$X$49</f>
        <v>0</v>
      </c>
      <c r="Y16" s="44">
        <f>SUM($X$16:$X$16)</f>
        <v>0</v>
      </c>
      <c r="Z16" s="44">
        <f>'TE BE'!$Z$16*'TE BF'!$Z$49</f>
        <v>0.64210348485840907</v>
      </c>
      <c r="AA16" s="44">
        <f>SUM($Z$16:$Z$16)</f>
        <v>0.64210348485840907</v>
      </c>
      <c r="AB16" s="44">
        <f>SUMIF($L$4:$AA$4,"SUBTOTAL",$L$16:$AA$16)</f>
        <v>37.704633384119475</v>
      </c>
    </row>
    <row r="17" spans="1:28" ht="11.25" customHeight="1" x14ac:dyDescent="0.25">
      <c r="A17" s="141"/>
      <c r="B17" s="141"/>
      <c r="C17" s="141"/>
      <c r="D17" s="47" t="s">
        <v>28</v>
      </c>
      <c r="E17" s="47" t="s">
        <v>25</v>
      </c>
      <c r="F17" s="47" t="s">
        <v>25</v>
      </c>
      <c r="G17" s="46" t="s">
        <v>74</v>
      </c>
      <c r="H17" s="46" t="s">
        <v>70</v>
      </c>
      <c r="I17" s="46">
        <f>'MERCADO TE'!$U$14</f>
        <v>0</v>
      </c>
      <c r="J17" s="15"/>
      <c r="L17" s="44">
        <f>'TE BE'!$L$17*'TE BF'!$L$49</f>
        <v>0</v>
      </c>
      <c r="M17" s="44">
        <f>'TE BE'!$M$17*'TE BF'!$M$49</f>
        <v>12.971379864186412</v>
      </c>
      <c r="N17" s="44">
        <f>'TE BE'!$N$17*'TE BF'!$N$49</f>
        <v>0</v>
      </c>
      <c r="O17" s="44">
        <f>'TE BE'!$O$17*'TE BF'!$O$49</f>
        <v>0.14958763705513226</v>
      </c>
      <c r="P17" s="44">
        <f>'TE BE'!$P$17*'TE BF'!$P$49</f>
        <v>0</v>
      </c>
      <c r="Q17" s="44">
        <f>SUM($L$17:$P$17)</f>
        <v>13.120967501241545</v>
      </c>
      <c r="R17" s="44">
        <f>'TE BE'!$R$17*'TE BF'!$R$49</f>
        <v>22.200220046533033</v>
      </c>
      <c r="S17" s="44">
        <f>SUM($R$17:$R$17)</f>
        <v>22.200220046533033</v>
      </c>
      <c r="T17" s="44">
        <f>'TE BE'!$T$17*'TE BF'!$T$49</f>
        <v>1.4425073485728321</v>
      </c>
      <c r="U17" s="44">
        <f>'TE BE'!$U$17*'TE BF'!$U$49</f>
        <v>0.29883500291365872</v>
      </c>
      <c r="V17" s="44">
        <f>'TE BE'!$V$17*'TE BF'!$V$49</f>
        <v>0</v>
      </c>
      <c r="W17" s="44">
        <f>SUM($T$17:$V$17)</f>
        <v>1.741342351486491</v>
      </c>
      <c r="X17" s="44">
        <f>'TE BE'!$AB$17*'TE BF'!$X$49</f>
        <v>0</v>
      </c>
      <c r="Y17" s="44">
        <f>SUM($X$17:$X$17)</f>
        <v>0</v>
      </c>
      <c r="Z17" s="44">
        <f>'TE BE'!$Z$17*'TE BF'!$Z$49</f>
        <v>0.64210348485840907</v>
      </c>
      <c r="AA17" s="44">
        <f>SUM($Z$17:$Z$17)</f>
        <v>0.64210348485840907</v>
      </c>
      <c r="AB17" s="44">
        <f>SUMIF($L$4:$AA$4,"SUBTOTAL",$L$17:$AA$17)</f>
        <v>37.704633384119475</v>
      </c>
    </row>
    <row r="18" spans="1:28" ht="11.25" customHeight="1" x14ac:dyDescent="0.25">
      <c r="A18" s="141"/>
      <c r="B18" s="141"/>
      <c r="C18" s="141"/>
      <c r="D18" s="47" t="s">
        <v>29</v>
      </c>
      <c r="E18" s="47" t="s">
        <v>25</v>
      </c>
      <c r="F18" s="47" t="s">
        <v>25</v>
      </c>
      <c r="G18" s="46" t="s">
        <v>74</v>
      </c>
      <c r="H18" s="46" t="s">
        <v>70</v>
      </c>
      <c r="I18" s="46">
        <f>'MERCADO TE'!$U$15</f>
        <v>0</v>
      </c>
      <c r="J18" s="15"/>
      <c r="L18" s="44">
        <f>'TE BE'!$L$18*'TE BF'!$L$49</f>
        <v>0</v>
      </c>
      <c r="M18" s="44">
        <f>'TE BE'!$M$18*'TE BF'!$M$49</f>
        <v>12.971379864186412</v>
      </c>
      <c r="N18" s="44">
        <f>'TE BE'!$N$18*'TE BF'!$N$49</f>
        <v>0</v>
      </c>
      <c r="O18" s="44">
        <f>'TE BE'!$O$18*'TE BF'!$O$49</f>
        <v>0.14958763705513226</v>
      </c>
      <c r="P18" s="44">
        <f>'TE BE'!$P$18*'TE BF'!$P$49</f>
        <v>0</v>
      </c>
      <c r="Q18" s="44">
        <f>SUM($L$18:$P$18)</f>
        <v>13.120967501241545</v>
      </c>
      <c r="R18" s="44">
        <f>'TE BE'!$R$18*'TE BF'!$R$49</f>
        <v>22.200220046533033</v>
      </c>
      <c r="S18" s="44">
        <f>SUM($R$18:$R$18)</f>
        <v>22.200220046533033</v>
      </c>
      <c r="T18" s="44">
        <f>'TE BE'!$T$18*'TE BF'!$T$49</f>
        <v>1.4425073485728321</v>
      </c>
      <c r="U18" s="44">
        <f>'TE BE'!$U$18*'TE BF'!$U$49</f>
        <v>0.29883500291365872</v>
      </c>
      <c r="V18" s="44">
        <f>'TE BE'!$V$18*'TE BF'!$V$49</f>
        <v>0</v>
      </c>
      <c r="W18" s="44">
        <f>SUM($T$18:$V$18)</f>
        <v>1.741342351486491</v>
      </c>
      <c r="X18" s="44">
        <f>'TE BE'!$AB$18*'TE BF'!$X$49</f>
        <v>0</v>
      </c>
      <c r="Y18" s="44">
        <f>SUM($X$18:$X$18)</f>
        <v>0</v>
      </c>
      <c r="Z18" s="44">
        <f>'TE BE'!$Z$18*'TE BF'!$Z$49</f>
        <v>0.64210348485840907</v>
      </c>
      <c r="AA18" s="44">
        <f>SUM($Z$18:$Z$18)</f>
        <v>0.64210348485840907</v>
      </c>
      <c r="AB18" s="44">
        <f>SUMIF($L$4:$AA$4,"SUBTOTAL",$L$18:$AA$18)</f>
        <v>37.704633384119475</v>
      </c>
    </row>
    <row r="19" spans="1:28" ht="11.25" customHeight="1" x14ac:dyDescent="0.25">
      <c r="A19" s="141"/>
      <c r="B19" s="141"/>
      <c r="C19" s="141"/>
      <c r="D19" s="47" t="s">
        <v>30</v>
      </c>
      <c r="E19" s="47" t="s">
        <v>25</v>
      </c>
      <c r="F19" s="47" t="s">
        <v>25</v>
      </c>
      <c r="G19" s="46" t="s">
        <v>74</v>
      </c>
      <c r="H19" s="46" t="s">
        <v>70</v>
      </c>
      <c r="I19" s="46">
        <f>'MERCADO TE'!$U$16</f>
        <v>0</v>
      </c>
      <c r="J19" s="15"/>
      <c r="L19" s="44">
        <f>'TE BE'!$L$19*'TE BF'!$L$49</f>
        <v>0</v>
      </c>
      <c r="M19" s="44">
        <f>'TE BE'!$M$19*'TE BF'!$M$49</f>
        <v>12.971379864186412</v>
      </c>
      <c r="N19" s="44">
        <f>'TE BE'!$N$19*'TE BF'!$N$49</f>
        <v>0</v>
      </c>
      <c r="O19" s="44">
        <f>'TE BE'!$O$19*'TE BF'!$O$49</f>
        <v>0.14958763705513226</v>
      </c>
      <c r="P19" s="44">
        <f>'TE BE'!$P$19*'TE BF'!$P$49</f>
        <v>0</v>
      </c>
      <c r="Q19" s="44">
        <f>SUM($L$19:$P$19)</f>
        <v>13.120967501241545</v>
      </c>
      <c r="R19" s="44">
        <f>'TE BE'!$R$19*'TE BF'!$R$49</f>
        <v>22.200220046533033</v>
      </c>
      <c r="S19" s="44">
        <f>SUM($R$19:$R$19)</f>
        <v>22.200220046533033</v>
      </c>
      <c r="T19" s="44">
        <f>'TE BE'!$T$19*'TE BF'!$T$49</f>
        <v>1.4425073485728321</v>
      </c>
      <c r="U19" s="44">
        <f>'TE BE'!$U$19*'TE BF'!$U$49</f>
        <v>0.29883500291365872</v>
      </c>
      <c r="V19" s="44">
        <f>'TE BE'!$V$19*'TE BF'!$V$49</f>
        <v>0</v>
      </c>
      <c r="W19" s="44">
        <f>SUM($T$19:$V$19)</f>
        <v>1.741342351486491</v>
      </c>
      <c r="X19" s="44">
        <f>'TE BE'!$AB$19*'TE BF'!$X$49</f>
        <v>0</v>
      </c>
      <c r="Y19" s="44">
        <f>SUM($X$19:$X$19)</f>
        <v>0</v>
      </c>
      <c r="Z19" s="44">
        <f>'TE BE'!$Z$19*'TE BF'!$Z$49</f>
        <v>0.64210348485840907</v>
      </c>
      <c r="AA19" s="44">
        <f>SUM($Z$19:$Z$19)</f>
        <v>0.64210348485840907</v>
      </c>
      <c r="AB19" s="44">
        <f>SUMIF($L$4:$AA$4,"SUBTOTAL",$L$19:$AA$19)</f>
        <v>37.704633384119475</v>
      </c>
    </row>
    <row r="20" spans="1:28" ht="11.25" customHeight="1" x14ac:dyDescent="0.25">
      <c r="A20" s="141"/>
      <c r="B20" s="141"/>
      <c r="C20" s="141"/>
      <c r="D20" s="47" t="s">
        <v>31</v>
      </c>
      <c r="E20" s="47" t="s">
        <v>25</v>
      </c>
      <c r="F20" s="47" t="s">
        <v>25</v>
      </c>
      <c r="G20" s="46" t="s">
        <v>74</v>
      </c>
      <c r="H20" s="46" t="s">
        <v>70</v>
      </c>
      <c r="I20" s="46">
        <f>'MERCADO TE'!$U$17</f>
        <v>0</v>
      </c>
      <c r="J20" s="15"/>
      <c r="L20" s="44">
        <f>'TE BE'!$L$20*'TE BF'!$L$49</f>
        <v>0</v>
      </c>
      <c r="M20" s="44">
        <f>'TE BE'!$M$20*'TE BF'!$M$49</f>
        <v>12.971379864186412</v>
      </c>
      <c r="N20" s="44">
        <f>'TE BE'!$N$20*'TE BF'!$N$49</f>
        <v>0</v>
      </c>
      <c r="O20" s="44">
        <f>'TE BE'!$O$20*'TE BF'!$O$49</f>
        <v>0.14958763705513226</v>
      </c>
      <c r="P20" s="44">
        <f>'TE BE'!$P$20*'TE BF'!$P$49</f>
        <v>0</v>
      </c>
      <c r="Q20" s="44">
        <f>SUM($L$20:$P$20)</f>
        <v>13.120967501241545</v>
      </c>
      <c r="R20" s="44">
        <f>'TE BE'!$R$20*'TE BF'!$R$49</f>
        <v>22.200220046533033</v>
      </c>
      <c r="S20" s="44">
        <f>SUM($R$20:$R$20)</f>
        <v>22.200220046533033</v>
      </c>
      <c r="T20" s="44">
        <f>'TE BE'!$T$20*'TE BF'!$T$49</f>
        <v>1.4425073485728321</v>
      </c>
      <c r="U20" s="44">
        <f>'TE BE'!$U$20*'TE BF'!$U$49</f>
        <v>0.29883500291365872</v>
      </c>
      <c r="V20" s="44">
        <f>'TE BE'!$V$20*'TE BF'!$V$49</f>
        <v>0</v>
      </c>
      <c r="W20" s="44">
        <f>SUM($T$20:$V$20)</f>
        <v>1.741342351486491</v>
      </c>
      <c r="X20" s="44">
        <f>'TE BE'!$AB$20*'TE BF'!$X$49</f>
        <v>0</v>
      </c>
      <c r="Y20" s="44">
        <f>SUM($X$20:$X$20)</f>
        <v>0</v>
      </c>
      <c r="Z20" s="44">
        <f>'TE BE'!$Z$20*'TE BF'!$Z$49</f>
        <v>0.64210348485840907</v>
      </c>
      <c r="AA20" s="44">
        <f>SUM($Z$20:$Z$20)</f>
        <v>0.64210348485840907</v>
      </c>
      <c r="AB20" s="44">
        <f>SUMIF($L$4:$AA$4,"SUBTOTAL",$L$20:$AA$20)</f>
        <v>37.704633384119475</v>
      </c>
    </row>
    <row r="21" spans="1:28" ht="11.25" customHeight="1" x14ac:dyDescent="0.25">
      <c r="A21" s="141" t="s">
        <v>39</v>
      </c>
      <c r="B21" s="141" t="s">
        <v>69</v>
      </c>
      <c r="C21" s="141" t="s">
        <v>40</v>
      </c>
      <c r="D21" s="141" t="s">
        <v>25</v>
      </c>
      <c r="E21" s="141" t="s">
        <v>25</v>
      </c>
      <c r="F21" s="141" t="s">
        <v>25</v>
      </c>
      <c r="G21" s="46" t="s">
        <v>71</v>
      </c>
      <c r="H21" s="46" t="s">
        <v>70</v>
      </c>
      <c r="I21" s="46">
        <f>'MERCADO TE'!$U$18</f>
        <v>0</v>
      </c>
      <c r="J21" s="15"/>
      <c r="L21" s="44">
        <f>'TE BE'!$L$21*'TE BF'!$L$49</f>
        <v>0</v>
      </c>
      <c r="M21" s="44">
        <f>'TE BE'!$M$21*'TE BF'!$M$49</f>
        <v>12.971379864186412</v>
      </c>
      <c r="N21" s="44">
        <f>'TE BE'!$N$21*'TE BF'!$N$49</f>
        <v>0</v>
      </c>
      <c r="O21" s="44">
        <f>'TE BE'!$O$21*'TE BF'!$O$49</f>
        <v>0.14958763705513226</v>
      </c>
      <c r="P21" s="44">
        <f>'TE BE'!$P$21*'TE BF'!$P$49</f>
        <v>0</v>
      </c>
      <c r="Q21" s="44">
        <f>SUM($L$21:$P$21)</f>
        <v>13.120967501241545</v>
      </c>
      <c r="R21" s="44">
        <f>'TE BE'!$R$21*'TE BF'!$R$49</f>
        <v>36.022998566072459</v>
      </c>
      <c r="S21" s="44">
        <f>SUM($R$21:$R$21)</f>
        <v>36.022998566072459</v>
      </c>
      <c r="T21" s="44">
        <f>'TE BE'!$T$21*'TE BF'!$T$49</f>
        <v>1.4425073485728321</v>
      </c>
      <c r="U21" s="44">
        <f>'TE BE'!$U$21*'TE BF'!$U$49</f>
        <v>0.29883500291365872</v>
      </c>
      <c r="V21" s="44">
        <f>'TE BE'!$V$21*'TE BF'!$V$49</f>
        <v>0</v>
      </c>
      <c r="W21" s="44">
        <f>SUM($T$21:$V$21)</f>
        <v>1.741342351486491</v>
      </c>
      <c r="X21" s="44">
        <f>'TE BE'!$AB$21*'TE BF'!$X$49</f>
        <v>0</v>
      </c>
      <c r="Y21" s="44">
        <f>SUM($X$21:$X$21)</f>
        <v>0</v>
      </c>
      <c r="Z21" s="44">
        <f>'TE BE'!$Z$21*'TE BF'!$Z$49</f>
        <v>0.64210348485840907</v>
      </c>
      <c r="AA21" s="44">
        <f>SUM($Z$21:$Z$21)</f>
        <v>0.64210348485840907</v>
      </c>
      <c r="AB21" s="44">
        <f>SUMIF($L$4:$AA$4,"SUBTOTAL",$L$21:$AA$21)</f>
        <v>51.527411903658901</v>
      </c>
    </row>
    <row r="22" spans="1:28" ht="11.25" customHeight="1" x14ac:dyDescent="0.25">
      <c r="A22" s="141"/>
      <c r="B22" s="141"/>
      <c r="C22" s="141"/>
      <c r="D22" s="141"/>
      <c r="E22" s="141"/>
      <c r="F22" s="141"/>
      <c r="G22" s="46" t="s">
        <v>83</v>
      </c>
      <c r="H22" s="46" t="s">
        <v>70</v>
      </c>
      <c r="I22" s="46">
        <f>'MERCADO TE'!$U$19</f>
        <v>0</v>
      </c>
      <c r="J22" s="15"/>
      <c r="L22" s="44">
        <f>'TE BE'!$L$22*'TE BF'!$L$49</f>
        <v>0</v>
      </c>
      <c r="M22" s="44">
        <f>'TE BE'!$M$22*'TE BF'!$M$49</f>
        <v>12.971379864186412</v>
      </c>
      <c r="N22" s="44">
        <f>'TE BE'!$N$22*'TE BF'!$N$49</f>
        <v>0</v>
      </c>
      <c r="O22" s="44">
        <f>'TE BE'!$O$22*'TE BF'!$O$49</f>
        <v>0.14958763705513226</v>
      </c>
      <c r="P22" s="44">
        <f>'TE BE'!$P$22*'TE BF'!$P$49</f>
        <v>0</v>
      </c>
      <c r="Q22" s="44">
        <f>SUM($L$22:$P$22)</f>
        <v>13.120967501241545</v>
      </c>
      <c r="R22" s="44">
        <f>'TE BE'!$R$22*'TE BF'!$R$49</f>
        <v>20.943603817483993</v>
      </c>
      <c r="S22" s="44">
        <f>SUM($R$22:$R$22)</f>
        <v>20.943603817483993</v>
      </c>
      <c r="T22" s="44">
        <f>'TE BE'!$T$22*'TE BF'!$T$49</f>
        <v>1.4425073485728321</v>
      </c>
      <c r="U22" s="44">
        <f>'TE BE'!$U$22*'TE BF'!$U$49</f>
        <v>0.29883500291365872</v>
      </c>
      <c r="V22" s="44">
        <f>'TE BE'!$V$22*'TE BF'!$V$49</f>
        <v>0</v>
      </c>
      <c r="W22" s="44">
        <f>SUM($T$22:$V$22)</f>
        <v>1.741342351486491</v>
      </c>
      <c r="X22" s="44">
        <f>'TE BE'!$AB$22*'TE BF'!$X$49</f>
        <v>0</v>
      </c>
      <c r="Y22" s="44">
        <f>SUM($X$22:$X$22)</f>
        <v>0</v>
      </c>
      <c r="Z22" s="44">
        <f>'TE BE'!$Z$22*'TE BF'!$Z$49</f>
        <v>0.64210348485840907</v>
      </c>
      <c r="AA22" s="44">
        <f>SUM($Z$22:$Z$22)</f>
        <v>0.64210348485840907</v>
      </c>
      <c r="AB22" s="44">
        <f>SUMIF($L$4:$AA$4,"SUBTOTAL",$L$22:$AA$22)</f>
        <v>36.448017155070445</v>
      </c>
    </row>
    <row r="23" spans="1:28" ht="11.25" customHeight="1" x14ac:dyDescent="0.25">
      <c r="A23" s="141"/>
      <c r="B23" s="141"/>
      <c r="C23" s="141"/>
      <c r="D23" s="141"/>
      <c r="E23" s="141"/>
      <c r="F23" s="141"/>
      <c r="G23" s="46" t="s">
        <v>72</v>
      </c>
      <c r="H23" s="46" t="s">
        <v>70</v>
      </c>
      <c r="I23" s="46">
        <f>'MERCADO TE'!$U$20</f>
        <v>0</v>
      </c>
      <c r="J23" s="15"/>
      <c r="L23" s="44">
        <f>'TE BE'!$L$23*'TE BF'!$L$49</f>
        <v>0</v>
      </c>
      <c r="M23" s="44">
        <f>'TE BE'!$M$23*'TE BF'!$M$49</f>
        <v>12.971379864186412</v>
      </c>
      <c r="N23" s="44">
        <f>'TE BE'!$N$23*'TE BF'!$N$49</f>
        <v>0</v>
      </c>
      <c r="O23" s="44">
        <f>'TE BE'!$O$23*'TE BF'!$O$49</f>
        <v>0.14958763705513226</v>
      </c>
      <c r="P23" s="44">
        <f>'TE BE'!$P$23*'TE BF'!$P$49</f>
        <v>0</v>
      </c>
      <c r="Q23" s="44">
        <f>SUM($L$23:$P$23)</f>
        <v>13.120967501241545</v>
      </c>
      <c r="R23" s="44">
        <f>'TE BE'!$R$23*'TE BF'!$R$49</f>
        <v>20.943603817483993</v>
      </c>
      <c r="S23" s="44">
        <f>SUM($R$23:$R$23)</f>
        <v>20.943603817483993</v>
      </c>
      <c r="T23" s="44">
        <f>'TE BE'!$T$23*'TE BF'!$T$49</f>
        <v>1.4425073485728321</v>
      </c>
      <c r="U23" s="44">
        <f>'TE BE'!$U$23*'TE BF'!$U$49</f>
        <v>0.29883500291365872</v>
      </c>
      <c r="V23" s="44">
        <f>'TE BE'!$V$23*'TE BF'!$V$49</f>
        <v>0</v>
      </c>
      <c r="W23" s="44">
        <f>SUM($T$23:$V$23)</f>
        <v>1.741342351486491</v>
      </c>
      <c r="X23" s="44">
        <f>'TE BE'!$AB$23*'TE BF'!$X$49</f>
        <v>0</v>
      </c>
      <c r="Y23" s="44">
        <f>SUM($X$23:$X$23)</f>
        <v>0</v>
      </c>
      <c r="Z23" s="44">
        <f>'TE BE'!$Z$23*'TE BF'!$Z$49</f>
        <v>0.64210348485840907</v>
      </c>
      <c r="AA23" s="44">
        <f>SUM($Z$23:$Z$23)</f>
        <v>0.64210348485840907</v>
      </c>
      <c r="AB23" s="44">
        <f>SUMIF($L$4:$AA$4,"SUBTOTAL",$L$23:$AA$23)</f>
        <v>36.448017155070445</v>
      </c>
    </row>
    <row r="24" spans="1:28" ht="11.25" customHeight="1" x14ac:dyDescent="0.25">
      <c r="A24" s="141"/>
      <c r="B24" s="47" t="s">
        <v>73</v>
      </c>
      <c r="C24" s="47" t="s">
        <v>40</v>
      </c>
      <c r="D24" s="47" t="s">
        <v>25</v>
      </c>
      <c r="E24" s="47" t="s">
        <v>25</v>
      </c>
      <c r="F24" s="47" t="s">
        <v>25</v>
      </c>
      <c r="G24" s="46" t="s">
        <v>74</v>
      </c>
      <c r="H24" s="46" t="s">
        <v>70</v>
      </c>
      <c r="I24" s="46">
        <f>'MERCADO TE'!$U$21</f>
        <v>45.472000000000001</v>
      </c>
      <c r="J24" s="15"/>
      <c r="L24" s="44">
        <f>'TE BE'!$L$24*'TE BF'!$L$49</f>
        <v>0</v>
      </c>
      <c r="M24" s="44">
        <f>'TE BE'!$M$24*'TE BF'!$M$49</f>
        <v>12.971379864186412</v>
      </c>
      <c r="N24" s="44">
        <f>'TE BE'!$N$24*'TE BF'!$N$49</f>
        <v>0</v>
      </c>
      <c r="O24" s="44">
        <f>'TE BE'!$O$24*'TE BF'!$O$49</f>
        <v>0.14958763705513226</v>
      </c>
      <c r="P24" s="44">
        <f>'TE BE'!$P$24*'TE BF'!$P$49</f>
        <v>0</v>
      </c>
      <c r="Q24" s="44">
        <f>SUM($L$24:$P$24)</f>
        <v>13.120967501241545</v>
      </c>
      <c r="R24" s="44">
        <f>'TE BE'!$R$24*'TE BF'!$R$49</f>
        <v>22.200220046533033</v>
      </c>
      <c r="S24" s="44">
        <f>SUM($R$24:$R$24)</f>
        <v>22.200220046533033</v>
      </c>
      <c r="T24" s="44">
        <f>'TE BE'!$T$24*'TE BF'!$T$49</f>
        <v>1.4425073485728321</v>
      </c>
      <c r="U24" s="44">
        <f>'TE BE'!$U$24*'TE BF'!$U$49</f>
        <v>0.29883500291365872</v>
      </c>
      <c r="V24" s="44">
        <f>'TE BE'!$V$24*'TE BF'!$V$49</f>
        <v>0</v>
      </c>
      <c r="W24" s="44">
        <f>SUM($T$24:$V$24)</f>
        <v>1.741342351486491</v>
      </c>
      <c r="X24" s="44">
        <f>'TE BE'!$AB$24*'TE BF'!$X$49</f>
        <v>0</v>
      </c>
      <c r="Y24" s="44">
        <f>SUM($X$24:$X$24)</f>
        <v>0</v>
      </c>
      <c r="Z24" s="44">
        <f>'TE BE'!$Z$24*'TE BF'!$Z$49</f>
        <v>0.64210348485840907</v>
      </c>
      <c r="AA24" s="44">
        <f>SUM($Z$24:$Z$24)</f>
        <v>0.64210348485840907</v>
      </c>
      <c r="AB24" s="44">
        <f>SUMIF($L$4:$AA$4,"SUBTOTAL",$L$24:$AA$24)</f>
        <v>37.704633384119475</v>
      </c>
    </row>
    <row r="25" spans="1:28" ht="11.25" customHeight="1" x14ac:dyDescent="0.25">
      <c r="A25" s="141"/>
      <c r="B25" s="141" t="s">
        <v>69</v>
      </c>
      <c r="C25" s="141" t="s">
        <v>40</v>
      </c>
      <c r="D25" s="141" t="s">
        <v>86</v>
      </c>
      <c r="E25" s="141" t="s">
        <v>25</v>
      </c>
      <c r="F25" s="141" t="s">
        <v>25</v>
      </c>
      <c r="G25" s="46" t="s">
        <v>71</v>
      </c>
      <c r="H25" s="46" t="s">
        <v>70</v>
      </c>
      <c r="I25" s="46">
        <f>'MERCADO TE'!$U$22</f>
        <v>0</v>
      </c>
      <c r="J25" s="15"/>
      <c r="L25" s="44">
        <f>'TE BE'!$L$25*'TE BF'!$L$49</f>
        <v>0</v>
      </c>
      <c r="M25" s="44">
        <f>'TE BE'!$M$25*'TE BF'!$M$49</f>
        <v>12.971379864186412</v>
      </c>
      <c r="N25" s="44">
        <f>'TE BE'!$N$25*'TE BF'!$N$49</f>
        <v>0</v>
      </c>
      <c r="O25" s="44">
        <f>'TE BE'!$O$25*'TE BF'!$O$49</f>
        <v>0.14958763705513226</v>
      </c>
      <c r="P25" s="44">
        <f>'TE BE'!$P$25*'TE BF'!$P$49</f>
        <v>0</v>
      </c>
      <c r="Q25" s="44">
        <f>SUM($L$25:$P$25)</f>
        <v>13.120967501241545</v>
      </c>
      <c r="R25" s="44">
        <f>'TE BE'!$R$25*'TE BF'!$R$49</f>
        <v>36.022998566072459</v>
      </c>
      <c r="S25" s="44">
        <f>SUM($R$25:$R$25)</f>
        <v>36.022998566072459</v>
      </c>
      <c r="T25" s="44">
        <f>'TE BE'!$T$25*'TE BF'!$T$49</f>
        <v>1.4425073485728321</v>
      </c>
      <c r="U25" s="44">
        <f>'TE BE'!$U$25*'TE BF'!$U$49</f>
        <v>0.29883500291365872</v>
      </c>
      <c r="V25" s="44">
        <f>'TE BE'!$V$25*'TE BF'!$V$49</f>
        <v>0</v>
      </c>
      <c r="W25" s="44">
        <f>SUM($T$25:$V$25)</f>
        <v>1.741342351486491</v>
      </c>
      <c r="X25" s="44">
        <f>'TE BE'!$AB$25*'TE BF'!$X$49</f>
        <v>0</v>
      </c>
      <c r="Y25" s="44">
        <f>SUM($X$25:$X$25)</f>
        <v>0</v>
      </c>
      <c r="Z25" s="44">
        <f>'TE BE'!$Z$25*'TE BF'!$Z$49</f>
        <v>0.64210348485840907</v>
      </c>
      <c r="AA25" s="44">
        <f>SUM($Z$25:$Z$25)</f>
        <v>0.64210348485840907</v>
      </c>
      <c r="AB25" s="44">
        <f>SUMIF($L$4:$AA$4,"SUBTOTAL",$L$25:$AA$25)</f>
        <v>51.527411903658901</v>
      </c>
    </row>
    <row r="26" spans="1:28" ht="11.25" customHeight="1" x14ac:dyDescent="0.25">
      <c r="A26" s="141"/>
      <c r="B26" s="141"/>
      <c r="C26" s="141"/>
      <c r="D26" s="141"/>
      <c r="E26" s="141"/>
      <c r="F26" s="141"/>
      <c r="G26" s="46" t="s">
        <v>83</v>
      </c>
      <c r="H26" s="46" t="s">
        <v>70</v>
      </c>
      <c r="I26" s="46">
        <f>'MERCADO TE'!$U$23</f>
        <v>0</v>
      </c>
      <c r="J26" s="15"/>
      <c r="L26" s="44">
        <f>'TE BE'!$L$26*'TE BF'!$L$49</f>
        <v>0</v>
      </c>
      <c r="M26" s="44">
        <f>'TE BE'!$M$26*'TE BF'!$M$49</f>
        <v>12.971379864186412</v>
      </c>
      <c r="N26" s="44">
        <f>'TE BE'!$N$26*'TE BF'!$N$49</f>
        <v>0</v>
      </c>
      <c r="O26" s="44">
        <f>'TE BE'!$O$26*'TE BF'!$O$49</f>
        <v>0.14958763705513226</v>
      </c>
      <c r="P26" s="44">
        <f>'TE BE'!$P$26*'TE BF'!$P$49</f>
        <v>0</v>
      </c>
      <c r="Q26" s="44">
        <f>SUM($L$26:$P$26)</f>
        <v>13.120967501241545</v>
      </c>
      <c r="R26" s="44">
        <f>'TE BE'!$R$26*'TE BF'!$R$49</f>
        <v>20.943603817483993</v>
      </c>
      <c r="S26" s="44">
        <f>SUM($R$26:$R$26)</f>
        <v>20.943603817483993</v>
      </c>
      <c r="T26" s="44">
        <f>'TE BE'!$T$26*'TE BF'!$T$49</f>
        <v>1.4425073485728321</v>
      </c>
      <c r="U26" s="44">
        <f>'TE BE'!$U$26*'TE BF'!$U$49</f>
        <v>0.29883500291365872</v>
      </c>
      <c r="V26" s="44">
        <f>'TE BE'!$V$26*'TE BF'!$V$49</f>
        <v>0</v>
      </c>
      <c r="W26" s="44">
        <f>SUM($T$26:$V$26)</f>
        <v>1.741342351486491</v>
      </c>
      <c r="X26" s="44">
        <f>'TE BE'!$AB$26*'TE BF'!$X$49</f>
        <v>0</v>
      </c>
      <c r="Y26" s="44">
        <f>SUM($X$26:$X$26)</f>
        <v>0</v>
      </c>
      <c r="Z26" s="44">
        <f>'TE BE'!$Z$26*'TE BF'!$Z$49</f>
        <v>0.64210348485840907</v>
      </c>
      <c r="AA26" s="44">
        <f>SUM($Z$26:$Z$26)</f>
        <v>0.64210348485840907</v>
      </c>
      <c r="AB26" s="44">
        <f>SUMIF($L$4:$AA$4,"SUBTOTAL",$L$26:$AA$26)</f>
        <v>36.448017155070445</v>
      </c>
    </row>
    <row r="27" spans="1:28" ht="11.25" customHeight="1" x14ac:dyDescent="0.25">
      <c r="A27" s="141"/>
      <c r="B27" s="141"/>
      <c r="C27" s="141"/>
      <c r="D27" s="141"/>
      <c r="E27" s="141"/>
      <c r="F27" s="141"/>
      <c r="G27" s="46" t="s">
        <v>72</v>
      </c>
      <c r="H27" s="46" t="s">
        <v>70</v>
      </c>
      <c r="I27" s="46">
        <f>'MERCADO TE'!$U$24</f>
        <v>0</v>
      </c>
      <c r="J27" s="15"/>
      <c r="L27" s="44">
        <f>'TE BE'!$L$27*'TE BF'!$L$49</f>
        <v>0</v>
      </c>
      <c r="M27" s="44">
        <f>'TE BE'!$M$27*'TE BF'!$M$49</f>
        <v>12.971379864186412</v>
      </c>
      <c r="N27" s="44">
        <f>'TE BE'!$N$27*'TE BF'!$N$49</f>
        <v>0</v>
      </c>
      <c r="O27" s="44">
        <f>'TE BE'!$O$27*'TE BF'!$O$49</f>
        <v>0.14958763705513226</v>
      </c>
      <c r="P27" s="44">
        <f>'TE BE'!$P$27*'TE BF'!$P$49</f>
        <v>0</v>
      </c>
      <c r="Q27" s="44">
        <f>SUM($L$27:$P$27)</f>
        <v>13.120967501241545</v>
      </c>
      <c r="R27" s="44">
        <f>'TE BE'!$R$27*'TE BF'!$R$49</f>
        <v>20.943603817483993</v>
      </c>
      <c r="S27" s="44">
        <f>SUM($R$27:$R$27)</f>
        <v>20.943603817483993</v>
      </c>
      <c r="T27" s="44">
        <f>'TE BE'!$T$27*'TE BF'!$T$49</f>
        <v>1.4425073485728321</v>
      </c>
      <c r="U27" s="44">
        <f>'TE BE'!$U$27*'TE BF'!$U$49</f>
        <v>0.29883500291365872</v>
      </c>
      <c r="V27" s="44">
        <f>'TE BE'!$V$27*'TE BF'!$V$49</f>
        <v>0</v>
      </c>
      <c r="W27" s="44">
        <f>SUM($T$27:$V$27)</f>
        <v>1.741342351486491</v>
      </c>
      <c r="X27" s="44">
        <f>'TE BE'!$AB$27*'TE BF'!$X$49</f>
        <v>0</v>
      </c>
      <c r="Y27" s="44">
        <f>SUM($X$27:$X$27)</f>
        <v>0</v>
      </c>
      <c r="Z27" s="44">
        <f>'TE BE'!$Z$27*'TE BF'!$Z$49</f>
        <v>0.64210348485840907</v>
      </c>
      <c r="AA27" s="44">
        <f>SUM($Z$27:$Z$27)</f>
        <v>0.64210348485840907</v>
      </c>
      <c r="AB27" s="44">
        <f>SUMIF($L$4:$AA$4,"SUBTOTAL",$L$27:$AA$27)</f>
        <v>36.448017155070445</v>
      </c>
    </row>
    <row r="28" spans="1:28" ht="11.25" customHeight="1" x14ac:dyDescent="0.25">
      <c r="A28" s="141"/>
      <c r="B28" s="47" t="s">
        <v>73</v>
      </c>
      <c r="C28" s="47" t="s">
        <v>40</v>
      </c>
      <c r="D28" s="47" t="s">
        <v>86</v>
      </c>
      <c r="E28" s="47" t="s">
        <v>25</v>
      </c>
      <c r="F28" s="47" t="s">
        <v>25</v>
      </c>
      <c r="G28" s="46" t="s">
        <v>74</v>
      </c>
      <c r="H28" s="46" t="s">
        <v>70</v>
      </c>
      <c r="I28" s="46">
        <f>'MERCADO TE'!$U$25</f>
        <v>0</v>
      </c>
      <c r="J28" s="15"/>
      <c r="L28" s="44">
        <f>'TE BE'!$L$28*'TE BF'!$L$49</f>
        <v>0</v>
      </c>
      <c r="M28" s="44">
        <f>'TE BE'!$M$28*'TE BF'!$M$49</f>
        <v>12.971379864186412</v>
      </c>
      <c r="N28" s="44">
        <f>'TE BE'!$N$28*'TE BF'!$N$49</f>
        <v>0</v>
      </c>
      <c r="O28" s="44">
        <f>'TE BE'!$O$28*'TE BF'!$O$49</f>
        <v>0.14958763705513226</v>
      </c>
      <c r="P28" s="44">
        <f>'TE BE'!$P$28*'TE BF'!$P$49</f>
        <v>0</v>
      </c>
      <c r="Q28" s="44">
        <f>SUM($L$28:$P$28)</f>
        <v>13.120967501241545</v>
      </c>
      <c r="R28" s="44">
        <f>'TE BE'!$R$28*'TE BF'!$R$49</f>
        <v>22.200220046533033</v>
      </c>
      <c r="S28" s="44">
        <f>SUM($R$28:$R$28)</f>
        <v>22.200220046533033</v>
      </c>
      <c r="T28" s="44">
        <f>'TE BE'!$T$28*'TE BF'!$T$49</f>
        <v>1.4425073485728321</v>
      </c>
      <c r="U28" s="44">
        <f>'TE BE'!$U$28*'TE BF'!$U$49</f>
        <v>0.29883500291365872</v>
      </c>
      <c r="V28" s="44">
        <f>'TE BE'!$V$28*'TE BF'!$V$49</f>
        <v>0</v>
      </c>
      <c r="W28" s="44">
        <f>SUM($T$28:$V$28)</f>
        <v>1.741342351486491</v>
      </c>
      <c r="X28" s="44">
        <f>'TE BE'!$AB$28*'TE BF'!$X$49</f>
        <v>0</v>
      </c>
      <c r="Y28" s="44">
        <f>SUM($X$28:$X$28)</f>
        <v>0</v>
      </c>
      <c r="Z28" s="44">
        <f>'TE BE'!$Z$28*'TE BF'!$Z$49</f>
        <v>0.64210348485840907</v>
      </c>
      <c r="AA28" s="44">
        <f>SUM($Z$28:$Z$28)</f>
        <v>0.64210348485840907</v>
      </c>
      <c r="AB28" s="44">
        <f>SUMIF($L$4:$AA$4,"SUBTOTAL",$L$28:$AA$28)</f>
        <v>37.704633384119475</v>
      </c>
    </row>
    <row r="29" spans="1:28" ht="11.25" customHeight="1" x14ac:dyDescent="0.25">
      <c r="A29" s="141"/>
      <c r="B29" s="141" t="s">
        <v>69</v>
      </c>
      <c r="C29" s="141" t="s">
        <v>40</v>
      </c>
      <c r="D29" s="141" t="s">
        <v>87</v>
      </c>
      <c r="E29" s="141" t="s">
        <v>25</v>
      </c>
      <c r="F29" s="141" t="s">
        <v>25</v>
      </c>
      <c r="G29" s="46" t="s">
        <v>71</v>
      </c>
      <c r="H29" s="46" t="s">
        <v>70</v>
      </c>
      <c r="I29" s="46">
        <f>'MERCADO TE'!$U$26</f>
        <v>0</v>
      </c>
      <c r="J29" s="15"/>
      <c r="L29" s="44">
        <f>'TE BE'!$L$29*'TE BF'!$L$49</f>
        <v>0</v>
      </c>
      <c r="M29" s="44">
        <f>'TE BE'!$M$29*'TE BF'!$M$49</f>
        <v>12.971379864186412</v>
      </c>
      <c r="N29" s="44">
        <f>'TE BE'!$N$29*'TE BF'!$N$49</f>
        <v>0</v>
      </c>
      <c r="O29" s="44">
        <f>'TE BE'!$O$29*'TE BF'!$O$49</f>
        <v>0.14958763705513226</v>
      </c>
      <c r="P29" s="44">
        <f>'TE BE'!$P$29*'TE BF'!$P$49</f>
        <v>0</v>
      </c>
      <c r="Q29" s="44">
        <f>SUM($L$29:$P$29)</f>
        <v>13.120967501241545</v>
      </c>
      <c r="R29" s="44">
        <f>'TE BE'!$R$29*'TE BF'!$R$49</f>
        <v>36.022998566072459</v>
      </c>
      <c r="S29" s="44">
        <f>SUM($R$29:$R$29)</f>
        <v>36.022998566072459</v>
      </c>
      <c r="T29" s="44">
        <f>'TE BE'!$T$29*'TE BF'!$T$49</f>
        <v>1.4425073485728321</v>
      </c>
      <c r="U29" s="44">
        <f>'TE BE'!$U$29*'TE BF'!$U$49</f>
        <v>0.29883500291365872</v>
      </c>
      <c r="V29" s="44">
        <f>'TE BE'!$V$29*'TE BF'!$V$49</f>
        <v>0</v>
      </c>
      <c r="W29" s="44">
        <f>SUM($T$29:$V$29)</f>
        <v>1.741342351486491</v>
      </c>
      <c r="X29" s="44">
        <f>'TE BE'!$AB$29*'TE BF'!$X$49</f>
        <v>0</v>
      </c>
      <c r="Y29" s="44">
        <f>SUM($X$29:$X$29)</f>
        <v>0</v>
      </c>
      <c r="Z29" s="44">
        <f>'TE BE'!$Z$29*'TE BF'!$Z$49</f>
        <v>0.64210348485840907</v>
      </c>
      <c r="AA29" s="44">
        <f>SUM($Z$29:$Z$29)</f>
        <v>0.64210348485840907</v>
      </c>
      <c r="AB29" s="44">
        <f>SUMIF($L$4:$AA$4,"SUBTOTAL",$L$29:$AA$29)</f>
        <v>51.527411903658901</v>
      </c>
    </row>
    <row r="30" spans="1:28" ht="11.25" customHeight="1" x14ac:dyDescent="0.25">
      <c r="A30" s="141"/>
      <c r="B30" s="141"/>
      <c r="C30" s="141"/>
      <c r="D30" s="141"/>
      <c r="E30" s="141"/>
      <c r="F30" s="141"/>
      <c r="G30" s="46" t="s">
        <v>83</v>
      </c>
      <c r="H30" s="46" t="s">
        <v>70</v>
      </c>
      <c r="I30" s="46">
        <f>'MERCADO TE'!$U$27</f>
        <v>0</v>
      </c>
      <c r="J30" s="15"/>
      <c r="L30" s="44">
        <f>'TE BE'!$L$30*'TE BF'!$L$49</f>
        <v>0</v>
      </c>
      <c r="M30" s="44">
        <f>'TE BE'!$M$30*'TE BF'!$M$49</f>
        <v>12.971379864186412</v>
      </c>
      <c r="N30" s="44">
        <f>'TE BE'!$N$30*'TE BF'!$N$49</f>
        <v>0</v>
      </c>
      <c r="O30" s="44">
        <f>'TE BE'!$O$30*'TE BF'!$O$49</f>
        <v>0.14958763705513226</v>
      </c>
      <c r="P30" s="44">
        <f>'TE BE'!$P$30*'TE BF'!$P$49</f>
        <v>0</v>
      </c>
      <c r="Q30" s="44">
        <f>SUM($L$30:$P$30)</f>
        <v>13.120967501241545</v>
      </c>
      <c r="R30" s="44">
        <f>'TE BE'!$R$30*'TE BF'!$R$49</f>
        <v>20.943603817483993</v>
      </c>
      <c r="S30" s="44">
        <f>SUM($R$30:$R$30)</f>
        <v>20.943603817483993</v>
      </c>
      <c r="T30" s="44">
        <f>'TE BE'!$T$30*'TE BF'!$T$49</f>
        <v>1.4425073485728321</v>
      </c>
      <c r="U30" s="44">
        <f>'TE BE'!$U$30*'TE BF'!$U$49</f>
        <v>0.29883500291365872</v>
      </c>
      <c r="V30" s="44">
        <f>'TE BE'!$V$30*'TE BF'!$V$49</f>
        <v>0</v>
      </c>
      <c r="W30" s="44">
        <f>SUM($T$30:$V$30)</f>
        <v>1.741342351486491</v>
      </c>
      <c r="X30" s="44">
        <f>'TE BE'!$AB$30*'TE BF'!$X$49</f>
        <v>0</v>
      </c>
      <c r="Y30" s="44">
        <f>SUM($X$30:$X$30)</f>
        <v>0</v>
      </c>
      <c r="Z30" s="44">
        <f>'TE BE'!$Z$30*'TE BF'!$Z$49</f>
        <v>0.64210348485840907</v>
      </c>
      <c r="AA30" s="44">
        <f>SUM($Z$30:$Z$30)</f>
        <v>0.64210348485840907</v>
      </c>
      <c r="AB30" s="44">
        <f>SUMIF($L$4:$AA$4,"SUBTOTAL",$L$30:$AA$30)</f>
        <v>36.448017155070445</v>
      </c>
    </row>
    <row r="31" spans="1:28" ht="11.25" customHeight="1" x14ac:dyDescent="0.25">
      <c r="A31" s="141"/>
      <c r="B31" s="141"/>
      <c r="C31" s="141"/>
      <c r="D31" s="141"/>
      <c r="E31" s="141"/>
      <c r="F31" s="141"/>
      <c r="G31" s="46" t="s">
        <v>72</v>
      </c>
      <c r="H31" s="46" t="s">
        <v>70</v>
      </c>
      <c r="I31" s="46">
        <f>'MERCADO TE'!$U$28</f>
        <v>0</v>
      </c>
      <c r="J31" s="15"/>
      <c r="L31" s="44">
        <f>'TE BE'!$L$31*'TE BF'!$L$49</f>
        <v>0</v>
      </c>
      <c r="M31" s="44">
        <f>'TE BE'!$M$31*'TE BF'!$M$49</f>
        <v>12.971379864186412</v>
      </c>
      <c r="N31" s="44">
        <f>'TE BE'!$N$31*'TE BF'!$N$49</f>
        <v>0</v>
      </c>
      <c r="O31" s="44">
        <f>'TE BE'!$O$31*'TE BF'!$O$49</f>
        <v>0.14958763705513226</v>
      </c>
      <c r="P31" s="44">
        <f>'TE BE'!$P$31*'TE BF'!$P$49</f>
        <v>0</v>
      </c>
      <c r="Q31" s="44">
        <f>SUM($L$31:$P$31)</f>
        <v>13.120967501241545</v>
      </c>
      <c r="R31" s="44">
        <f>'TE BE'!$R$31*'TE BF'!$R$49</f>
        <v>20.943603817483993</v>
      </c>
      <c r="S31" s="44">
        <f>SUM($R$31:$R$31)</f>
        <v>20.943603817483993</v>
      </c>
      <c r="T31" s="44">
        <f>'TE BE'!$T$31*'TE BF'!$T$49</f>
        <v>1.4425073485728321</v>
      </c>
      <c r="U31" s="44">
        <f>'TE BE'!$U$31*'TE BF'!$U$49</f>
        <v>0.29883500291365872</v>
      </c>
      <c r="V31" s="44">
        <f>'TE BE'!$V$31*'TE BF'!$V$49</f>
        <v>0</v>
      </c>
      <c r="W31" s="44">
        <f>SUM($T$31:$V$31)</f>
        <v>1.741342351486491</v>
      </c>
      <c r="X31" s="44">
        <f>'TE BE'!$AB$31*'TE BF'!$X$49</f>
        <v>0</v>
      </c>
      <c r="Y31" s="44">
        <f>SUM($X$31:$X$31)</f>
        <v>0</v>
      </c>
      <c r="Z31" s="44">
        <f>'TE BE'!$Z$31*'TE BF'!$Z$49</f>
        <v>0.64210348485840907</v>
      </c>
      <c r="AA31" s="44">
        <f>SUM($Z$31:$Z$31)</f>
        <v>0.64210348485840907</v>
      </c>
      <c r="AB31" s="44">
        <f>SUMIF($L$4:$AA$4,"SUBTOTAL",$L$31:$AA$31)</f>
        <v>36.448017155070445</v>
      </c>
    </row>
    <row r="32" spans="1:28" ht="11.25" customHeight="1" x14ac:dyDescent="0.25">
      <c r="A32" s="141"/>
      <c r="B32" s="47" t="s">
        <v>73</v>
      </c>
      <c r="C32" s="47" t="s">
        <v>40</v>
      </c>
      <c r="D32" s="47" t="s">
        <v>87</v>
      </c>
      <c r="E32" s="47" t="s">
        <v>25</v>
      </c>
      <c r="F32" s="47" t="s">
        <v>25</v>
      </c>
      <c r="G32" s="46" t="s">
        <v>74</v>
      </c>
      <c r="H32" s="46" t="s">
        <v>70</v>
      </c>
      <c r="I32" s="46">
        <f>'MERCADO TE'!$U$29</f>
        <v>0</v>
      </c>
      <c r="J32" s="15"/>
      <c r="L32" s="44">
        <f>'TE BE'!$L$32*'TE BF'!$L$49</f>
        <v>0</v>
      </c>
      <c r="M32" s="44">
        <f>'TE BE'!$M$32*'TE BF'!$M$49</f>
        <v>12.971379864186412</v>
      </c>
      <c r="N32" s="44">
        <f>'TE BE'!$N$32*'TE BF'!$N$49</f>
        <v>0</v>
      </c>
      <c r="O32" s="44">
        <f>'TE BE'!$O$32*'TE BF'!$O$49</f>
        <v>0.14958763705513226</v>
      </c>
      <c r="P32" s="44">
        <f>'TE BE'!$P$32*'TE BF'!$P$49</f>
        <v>0</v>
      </c>
      <c r="Q32" s="44">
        <f>SUM($L$32:$P$32)</f>
        <v>13.120967501241545</v>
      </c>
      <c r="R32" s="44">
        <f>'TE BE'!$R$32*'TE BF'!$R$49</f>
        <v>22.200220046533033</v>
      </c>
      <c r="S32" s="44">
        <f>SUM($R$32:$R$32)</f>
        <v>22.200220046533033</v>
      </c>
      <c r="T32" s="44">
        <f>'TE BE'!$T$32*'TE BF'!$T$49</f>
        <v>1.4425073485728321</v>
      </c>
      <c r="U32" s="44">
        <f>'TE BE'!$U$32*'TE BF'!$U$49</f>
        <v>0.29883500291365872</v>
      </c>
      <c r="V32" s="44">
        <f>'TE BE'!$V$32*'TE BF'!$V$49</f>
        <v>0</v>
      </c>
      <c r="W32" s="44">
        <f>SUM($T$32:$V$32)</f>
        <v>1.741342351486491</v>
      </c>
      <c r="X32" s="44">
        <f>'TE BE'!$AB$32*'TE BF'!$X$49</f>
        <v>0</v>
      </c>
      <c r="Y32" s="44">
        <f>SUM($X$32:$X$32)</f>
        <v>0</v>
      </c>
      <c r="Z32" s="44">
        <f>'TE BE'!$Z$32*'TE BF'!$Z$49</f>
        <v>0.64210348485840907</v>
      </c>
      <c r="AA32" s="44">
        <f>SUM($Z$32:$Z$32)</f>
        <v>0.64210348485840907</v>
      </c>
      <c r="AB32" s="44">
        <f>SUMIF($L$4:$AA$4,"SUBTOTAL",$L$32:$AA$32)</f>
        <v>37.704633384119475</v>
      </c>
    </row>
    <row r="33" spans="1:28" ht="11.25" customHeight="1" x14ac:dyDescent="0.25">
      <c r="A33" s="141"/>
      <c r="B33" s="141" t="s">
        <v>84</v>
      </c>
      <c r="C33" s="141" t="s">
        <v>40</v>
      </c>
      <c r="D33" s="47" t="s">
        <v>25</v>
      </c>
      <c r="E33" s="47" t="s">
        <v>25</v>
      </c>
      <c r="F33" s="47" t="s">
        <v>25</v>
      </c>
      <c r="G33" s="46" t="s">
        <v>74</v>
      </c>
      <c r="H33" s="46" t="s">
        <v>70</v>
      </c>
      <c r="I33" s="46">
        <f>'MERCADO TE'!$U$30</f>
        <v>0</v>
      </c>
      <c r="J33" s="15"/>
      <c r="L33" s="44">
        <f>'TE BE'!$L$33*'TE BF'!$L$49</f>
        <v>0</v>
      </c>
      <c r="M33" s="44">
        <f>'TE BE'!$M$33*'TE BF'!$M$49</f>
        <v>12.971379864186412</v>
      </c>
      <c r="N33" s="44">
        <f>'TE BE'!$N$33*'TE BF'!$N$49</f>
        <v>0</v>
      </c>
      <c r="O33" s="44">
        <f>'TE BE'!$O$33*'TE BF'!$O$49</f>
        <v>0.14958763705513226</v>
      </c>
      <c r="P33" s="44">
        <f>'TE BE'!$P$33*'TE BF'!$P$49</f>
        <v>0</v>
      </c>
      <c r="Q33" s="44">
        <f>SUM($L$33:$P$33)</f>
        <v>13.120967501241545</v>
      </c>
      <c r="R33" s="44">
        <f>'TE BE'!$R$33*'TE BF'!$R$49</f>
        <v>22.200220046533033</v>
      </c>
      <c r="S33" s="44">
        <f>SUM($R$33:$R$33)</f>
        <v>22.200220046533033</v>
      </c>
      <c r="T33" s="44">
        <f>'TE BE'!$T$33*'TE BF'!$T$49</f>
        <v>1.4425073485728321</v>
      </c>
      <c r="U33" s="44">
        <f>'TE BE'!$U$33*'TE BF'!$U$49</f>
        <v>0.29883500291365872</v>
      </c>
      <c r="V33" s="44">
        <f>'TE BE'!$V$33*'TE BF'!$V$49</f>
        <v>0</v>
      </c>
      <c r="W33" s="44">
        <f>SUM($T$33:$V$33)</f>
        <v>1.741342351486491</v>
      </c>
      <c r="X33" s="44">
        <f>'TE BE'!$AB$33*'TE BF'!$X$49</f>
        <v>0</v>
      </c>
      <c r="Y33" s="44">
        <f>SUM($X$33:$X$33)</f>
        <v>0</v>
      </c>
      <c r="Z33" s="44">
        <f>'TE BE'!$Z$33*'TE BF'!$Z$49</f>
        <v>0.64210348485840907</v>
      </c>
      <c r="AA33" s="44">
        <f>SUM($Z$33:$Z$33)</f>
        <v>0.64210348485840907</v>
      </c>
      <c r="AB33" s="44">
        <f>SUMIF($L$4:$AA$4,"SUBTOTAL",$L$33:$AA$33)</f>
        <v>37.704633384119475</v>
      </c>
    </row>
    <row r="34" spans="1:28" ht="11.25" customHeight="1" x14ac:dyDescent="0.25">
      <c r="A34" s="141"/>
      <c r="B34" s="141"/>
      <c r="C34" s="141"/>
      <c r="D34" s="47" t="s">
        <v>86</v>
      </c>
      <c r="E34" s="47" t="s">
        <v>25</v>
      </c>
      <c r="F34" s="47" t="s">
        <v>25</v>
      </c>
      <c r="G34" s="46" t="s">
        <v>74</v>
      </c>
      <c r="H34" s="46" t="s">
        <v>70</v>
      </c>
      <c r="I34" s="46">
        <f>'MERCADO TE'!$U$31</f>
        <v>0</v>
      </c>
      <c r="J34" s="15"/>
      <c r="L34" s="44">
        <f>'TE BE'!$L$34*'TE BF'!$L$49</f>
        <v>0</v>
      </c>
      <c r="M34" s="44">
        <f>'TE BE'!$M$34*'TE BF'!$M$49</f>
        <v>12.971379864186412</v>
      </c>
      <c r="N34" s="44">
        <f>'TE BE'!$N$34*'TE BF'!$N$49</f>
        <v>0</v>
      </c>
      <c r="O34" s="44">
        <f>'TE BE'!$O$34*'TE BF'!$O$49</f>
        <v>0.14958763705513226</v>
      </c>
      <c r="P34" s="44">
        <f>'TE BE'!$P$34*'TE BF'!$P$49</f>
        <v>0</v>
      </c>
      <c r="Q34" s="44">
        <f>SUM($L$34:$P$34)</f>
        <v>13.120967501241545</v>
      </c>
      <c r="R34" s="44">
        <f>'TE BE'!$R$34*'TE BF'!$R$49</f>
        <v>22.200220046533033</v>
      </c>
      <c r="S34" s="44">
        <f>SUM($R$34:$R$34)</f>
        <v>22.200220046533033</v>
      </c>
      <c r="T34" s="44">
        <f>'TE BE'!$T$34*'TE BF'!$T$49</f>
        <v>1.4425073485728321</v>
      </c>
      <c r="U34" s="44">
        <f>'TE BE'!$U$34*'TE BF'!$U$49</f>
        <v>0.29883500291365872</v>
      </c>
      <c r="V34" s="44">
        <f>'TE BE'!$V$34*'TE BF'!$V$49</f>
        <v>0</v>
      </c>
      <c r="W34" s="44">
        <f>SUM($T$34:$V$34)</f>
        <v>1.741342351486491</v>
      </c>
      <c r="X34" s="44">
        <f>'TE BE'!$AB$34*'TE BF'!$X$49</f>
        <v>0</v>
      </c>
      <c r="Y34" s="44">
        <f>SUM($X$34:$X$34)</f>
        <v>0</v>
      </c>
      <c r="Z34" s="44">
        <f>'TE BE'!$Z$34*'TE BF'!$Z$49</f>
        <v>0.64210348485840907</v>
      </c>
      <c r="AA34" s="44">
        <f>SUM($Z$34:$Z$34)</f>
        <v>0.64210348485840907</v>
      </c>
      <c r="AB34" s="44">
        <f>SUMIF($L$4:$AA$4,"SUBTOTAL",$L$34:$AA$34)</f>
        <v>37.704633384119475</v>
      </c>
    </row>
    <row r="35" spans="1:28" ht="11.25" customHeight="1" x14ac:dyDescent="0.25">
      <c r="A35" s="141"/>
      <c r="B35" s="141"/>
      <c r="C35" s="141"/>
      <c r="D35" s="47" t="s">
        <v>87</v>
      </c>
      <c r="E35" s="47" t="s">
        <v>25</v>
      </c>
      <c r="F35" s="47" t="s">
        <v>25</v>
      </c>
      <c r="G35" s="46" t="s">
        <v>74</v>
      </c>
      <c r="H35" s="46" t="s">
        <v>70</v>
      </c>
      <c r="I35" s="46">
        <f>'MERCADO TE'!$U$32</f>
        <v>0</v>
      </c>
      <c r="J35" s="15"/>
      <c r="L35" s="44">
        <f>'TE BE'!$L$35*'TE BF'!$L$49</f>
        <v>0</v>
      </c>
      <c r="M35" s="44">
        <f>'TE BE'!$M$35*'TE BF'!$M$49</f>
        <v>12.971379864186412</v>
      </c>
      <c r="N35" s="44">
        <f>'TE BE'!$N$35*'TE BF'!$N$49</f>
        <v>0</v>
      </c>
      <c r="O35" s="44">
        <f>'TE BE'!$O$35*'TE BF'!$O$49</f>
        <v>0.14958763705513226</v>
      </c>
      <c r="P35" s="44">
        <f>'TE BE'!$P$35*'TE BF'!$P$49</f>
        <v>0</v>
      </c>
      <c r="Q35" s="44">
        <f>SUM($L$35:$P$35)</f>
        <v>13.120967501241545</v>
      </c>
      <c r="R35" s="44">
        <f>'TE BE'!$R$35*'TE BF'!$R$49</f>
        <v>22.200220046533033</v>
      </c>
      <c r="S35" s="44">
        <f>SUM($R$35:$R$35)</f>
        <v>22.200220046533033</v>
      </c>
      <c r="T35" s="44">
        <f>'TE BE'!$T$35*'TE BF'!$T$49</f>
        <v>1.4425073485728321</v>
      </c>
      <c r="U35" s="44">
        <f>'TE BE'!$U$35*'TE BF'!$U$49</f>
        <v>0.29883500291365872</v>
      </c>
      <c r="V35" s="44">
        <f>'TE BE'!$V$35*'TE BF'!$V$49</f>
        <v>0</v>
      </c>
      <c r="W35" s="44">
        <f>SUM($T$35:$V$35)</f>
        <v>1.741342351486491</v>
      </c>
      <c r="X35" s="44">
        <f>'TE BE'!$AB$35*'TE BF'!$X$49</f>
        <v>0</v>
      </c>
      <c r="Y35" s="44">
        <f>SUM($X$35:$X$35)</f>
        <v>0</v>
      </c>
      <c r="Z35" s="44">
        <f>'TE BE'!$Z$35*'TE BF'!$Z$49</f>
        <v>0.64210348485840907</v>
      </c>
      <c r="AA35" s="44">
        <f>SUM($Z$35:$Z$35)</f>
        <v>0.64210348485840907</v>
      </c>
      <c r="AB35" s="44">
        <f>SUMIF($L$4:$AA$4,"SUBTOTAL",$L$35:$AA$35)</f>
        <v>37.704633384119475</v>
      </c>
    </row>
    <row r="36" spans="1:28" ht="11.25" customHeight="1" x14ac:dyDescent="0.25">
      <c r="A36" s="141" t="s">
        <v>32</v>
      </c>
      <c r="B36" s="141" t="s">
        <v>69</v>
      </c>
      <c r="C36" s="141" t="s">
        <v>25</v>
      </c>
      <c r="D36" s="141" t="s">
        <v>25</v>
      </c>
      <c r="E36" s="141" t="s">
        <v>25</v>
      </c>
      <c r="F36" s="141" t="s">
        <v>25</v>
      </c>
      <c r="G36" s="46" t="s">
        <v>71</v>
      </c>
      <c r="H36" s="46" t="s">
        <v>70</v>
      </c>
      <c r="I36" s="46">
        <f>'MERCADO TE'!$U$33</f>
        <v>0.216</v>
      </c>
      <c r="J36" s="15"/>
      <c r="L36" s="44">
        <f>'TE BE'!$L$36*'TE BF'!$L$49</f>
        <v>0</v>
      </c>
      <c r="M36" s="44">
        <f>'TE BE'!$M$36*'TE BF'!$M$49</f>
        <v>12.971379864186412</v>
      </c>
      <c r="N36" s="44">
        <f>'TE BE'!$N$36*'TE BF'!$N$49</f>
        <v>0</v>
      </c>
      <c r="O36" s="44">
        <f>'TE BE'!$O$36*'TE BF'!$O$49</f>
        <v>0.14958763705513226</v>
      </c>
      <c r="P36" s="44">
        <f>'TE BE'!$P$36*'TE BF'!$P$49</f>
        <v>0</v>
      </c>
      <c r="Q36" s="44">
        <f>SUM($L$36:$P$36)</f>
        <v>13.120967501241545</v>
      </c>
      <c r="R36" s="44">
        <f>'TE BE'!$R$36*'TE BF'!$R$49</f>
        <v>36.022998566072459</v>
      </c>
      <c r="S36" s="44">
        <f>SUM($R$36:$R$36)</f>
        <v>36.022998566072459</v>
      </c>
      <c r="T36" s="44">
        <f>'TE BE'!$T$36*'TE BF'!$T$49</f>
        <v>1.4425073485728321</v>
      </c>
      <c r="U36" s="44">
        <f>'TE BE'!$U$36*'TE BF'!$U$49</f>
        <v>0.29883500291365872</v>
      </c>
      <c r="V36" s="44">
        <f>'TE BE'!$V$36*'TE BF'!$V$49</f>
        <v>0</v>
      </c>
      <c r="W36" s="44">
        <f>SUM($T$36:$V$36)</f>
        <v>1.741342351486491</v>
      </c>
      <c r="X36" s="44">
        <f>'TE BE'!$AB$36*'TE BF'!$X$49</f>
        <v>0</v>
      </c>
      <c r="Y36" s="44">
        <f>SUM($X$36:$X$36)</f>
        <v>0</v>
      </c>
      <c r="Z36" s="44">
        <f>'TE BE'!$Z$36*'TE BF'!$Z$49</f>
        <v>0.64210348485840907</v>
      </c>
      <c r="AA36" s="44">
        <f>SUM($Z$36:$Z$36)</f>
        <v>0.64210348485840907</v>
      </c>
      <c r="AB36" s="44">
        <f>SUMIF($L$4:$AA$4,"SUBTOTAL",$L$36:$AA$36)</f>
        <v>51.527411903658901</v>
      </c>
    </row>
    <row r="37" spans="1:28" ht="11.25" customHeight="1" x14ac:dyDescent="0.25">
      <c r="A37" s="141"/>
      <c r="B37" s="141"/>
      <c r="C37" s="141"/>
      <c r="D37" s="141"/>
      <c r="E37" s="141"/>
      <c r="F37" s="141"/>
      <c r="G37" s="46" t="s">
        <v>83</v>
      </c>
      <c r="H37" s="46" t="s">
        <v>70</v>
      </c>
      <c r="I37" s="46">
        <f>'MERCADO TE'!$U$34</f>
        <v>0.24</v>
      </c>
      <c r="J37" s="15"/>
      <c r="L37" s="44">
        <f>'TE BE'!$L$37*'TE BF'!$L$49</f>
        <v>0</v>
      </c>
      <c r="M37" s="44">
        <f>'TE BE'!$M$37*'TE BF'!$M$49</f>
        <v>12.971379864186412</v>
      </c>
      <c r="N37" s="44">
        <f>'TE BE'!$N$37*'TE BF'!$N$49</f>
        <v>0</v>
      </c>
      <c r="O37" s="44">
        <f>'TE BE'!$O$37*'TE BF'!$O$49</f>
        <v>0.14958763705513226</v>
      </c>
      <c r="P37" s="44">
        <f>'TE BE'!$P$37*'TE BF'!$P$49</f>
        <v>0</v>
      </c>
      <c r="Q37" s="44">
        <f>SUM($L$37:$P$37)</f>
        <v>13.120967501241545</v>
      </c>
      <c r="R37" s="44">
        <f>'TE BE'!$R$37*'TE BF'!$R$49</f>
        <v>20.943603817483993</v>
      </c>
      <c r="S37" s="44">
        <f>SUM($R$37:$R$37)</f>
        <v>20.943603817483993</v>
      </c>
      <c r="T37" s="44">
        <f>'TE BE'!$T$37*'TE BF'!$T$49</f>
        <v>1.4425073485728321</v>
      </c>
      <c r="U37" s="44">
        <f>'TE BE'!$U$37*'TE BF'!$U$49</f>
        <v>0.29883500291365872</v>
      </c>
      <c r="V37" s="44">
        <f>'TE BE'!$V$37*'TE BF'!$V$49</f>
        <v>0</v>
      </c>
      <c r="W37" s="44">
        <f>SUM($T$37:$V$37)</f>
        <v>1.741342351486491</v>
      </c>
      <c r="X37" s="44">
        <f>'TE BE'!$AB$37*'TE BF'!$X$49</f>
        <v>0</v>
      </c>
      <c r="Y37" s="44">
        <f>SUM($X$37:$X$37)</f>
        <v>0</v>
      </c>
      <c r="Z37" s="44">
        <f>'TE BE'!$Z$37*'TE BF'!$Z$49</f>
        <v>0.64210348485840907</v>
      </c>
      <c r="AA37" s="44">
        <f>SUM($Z$37:$Z$37)</f>
        <v>0.64210348485840907</v>
      </c>
      <c r="AB37" s="44">
        <f>SUMIF($L$4:$AA$4,"SUBTOTAL",$L$37:$AA$37)</f>
        <v>36.448017155070445</v>
      </c>
    </row>
    <row r="38" spans="1:28" ht="11.25" customHeight="1" x14ac:dyDescent="0.25">
      <c r="A38" s="141"/>
      <c r="B38" s="141"/>
      <c r="C38" s="141"/>
      <c r="D38" s="141"/>
      <c r="E38" s="141"/>
      <c r="F38" s="141"/>
      <c r="G38" s="46" t="s">
        <v>72</v>
      </c>
      <c r="H38" s="46" t="s">
        <v>70</v>
      </c>
      <c r="I38" s="46">
        <f>'MERCADO TE'!$U$35</f>
        <v>3.742</v>
      </c>
      <c r="J38" s="15"/>
      <c r="L38" s="44">
        <f>'TE BE'!$L$38*'TE BF'!$L$49</f>
        <v>0</v>
      </c>
      <c r="M38" s="44">
        <f>'TE BE'!$M$38*'TE BF'!$M$49</f>
        <v>12.971379864186412</v>
      </c>
      <c r="N38" s="44">
        <f>'TE BE'!$N$38*'TE BF'!$N$49</f>
        <v>0</v>
      </c>
      <c r="O38" s="44">
        <f>'TE BE'!$O$38*'TE BF'!$O$49</f>
        <v>0.14958763705513226</v>
      </c>
      <c r="P38" s="44">
        <f>'TE BE'!$P$38*'TE BF'!$P$49</f>
        <v>0</v>
      </c>
      <c r="Q38" s="44">
        <f>SUM($L$38:$P$38)</f>
        <v>13.120967501241545</v>
      </c>
      <c r="R38" s="44">
        <f>'TE BE'!$R$38*'TE BF'!$R$49</f>
        <v>20.943603817483993</v>
      </c>
      <c r="S38" s="44">
        <f>SUM($R$38:$R$38)</f>
        <v>20.943603817483993</v>
      </c>
      <c r="T38" s="44">
        <f>'TE BE'!$T$38*'TE BF'!$T$49</f>
        <v>1.4425073485728321</v>
      </c>
      <c r="U38" s="44">
        <f>'TE BE'!$U$38*'TE BF'!$U$49</f>
        <v>0.29883500291365872</v>
      </c>
      <c r="V38" s="44">
        <f>'TE BE'!$V$38*'TE BF'!$V$49</f>
        <v>0</v>
      </c>
      <c r="W38" s="44">
        <f>SUM($T$38:$V$38)</f>
        <v>1.741342351486491</v>
      </c>
      <c r="X38" s="44">
        <f>'TE BE'!$AB$38*'TE BF'!$X$49</f>
        <v>0</v>
      </c>
      <c r="Y38" s="44">
        <f>SUM($X$38:$X$38)</f>
        <v>0</v>
      </c>
      <c r="Z38" s="44">
        <f>'TE BE'!$Z$38*'TE BF'!$Z$49</f>
        <v>0.64210348485840907</v>
      </c>
      <c r="AA38" s="44">
        <f>SUM($Z$38:$Z$38)</f>
        <v>0.64210348485840907</v>
      </c>
      <c r="AB38" s="44">
        <f>SUMIF($L$4:$AA$4,"SUBTOTAL",$L$38:$AA$38)</f>
        <v>36.448017155070445</v>
      </c>
    </row>
    <row r="39" spans="1:28" ht="11.25" customHeight="1" x14ac:dyDescent="0.25">
      <c r="A39" s="141"/>
      <c r="B39" s="47" t="s">
        <v>73</v>
      </c>
      <c r="C39" s="47" t="s">
        <v>25</v>
      </c>
      <c r="D39" s="47" t="s">
        <v>25</v>
      </c>
      <c r="E39" s="47" t="s">
        <v>25</v>
      </c>
      <c r="F39" s="47" t="s">
        <v>25</v>
      </c>
      <c r="G39" s="46" t="s">
        <v>74</v>
      </c>
      <c r="H39" s="46" t="s">
        <v>70</v>
      </c>
      <c r="I39" s="46">
        <f>'MERCADO TE'!$U$36</f>
        <v>12398.925999999999</v>
      </c>
      <c r="J39" s="15"/>
      <c r="L39" s="44">
        <f>'TE BE'!$L$39*'TE BF'!$L$49</f>
        <v>0</v>
      </c>
      <c r="M39" s="44">
        <f>'TE BE'!$M$39*'TE BF'!$M$49</f>
        <v>12.971379864186412</v>
      </c>
      <c r="N39" s="44">
        <f>'TE BE'!$N$39*'TE BF'!$N$49</f>
        <v>0</v>
      </c>
      <c r="O39" s="44">
        <f>'TE BE'!$O$39*'TE BF'!$O$49</f>
        <v>0.14958763705513226</v>
      </c>
      <c r="P39" s="44">
        <f>'TE BE'!$P$39*'TE BF'!$P$49</f>
        <v>0</v>
      </c>
      <c r="Q39" s="44">
        <f>SUM($L$39:$P$39)</f>
        <v>13.120967501241545</v>
      </c>
      <c r="R39" s="44">
        <f>'TE BE'!$R$39*'TE BF'!$R$49</f>
        <v>22.200220046533033</v>
      </c>
      <c r="S39" s="44">
        <f>SUM($R$39:$R$39)</f>
        <v>22.200220046533033</v>
      </c>
      <c r="T39" s="44">
        <f>'TE BE'!$T$39*'TE BF'!$T$49</f>
        <v>1.4425073485728321</v>
      </c>
      <c r="U39" s="44">
        <f>'TE BE'!$U$39*'TE BF'!$U$49</f>
        <v>0.29883500291365872</v>
      </c>
      <c r="V39" s="44">
        <f>'TE BE'!$V$39*'TE BF'!$V$49</f>
        <v>0</v>
      </c>
      <c r="W39" s="44">
        <f>SUM($T$39:$V$39)</f>
        <v>1.741342351486491</v>
      </c>
      <c r="X39" s="44">
        <f>'TE BE'!$AB$39*'TE BF'!$X$49</f>
        <v>0</v>
      </c>
      <c r="Y39" s="44">
        <f>SUM($X$39:$X$39)</f>
        <v>0</v>
      </c>
      <c r="Z39" s="44">
        <f>'TE BE'!$Z$39*'TE BF'!$Z$49</f>
        <v>0.64210348485840907</v>
      </c>
      <c r="AA39" s="44">
        <f>SUM($Z$39:$Z$39)</f>
        <v>0.64210348485840907</v>
      </c>
      <c r="AB39" s="44">
        <f>SUMIF($L$4:$AA$4,"SUBTOTAL",$L$39:$AA$39)</f>
        <v>37.704633384119475</v>
      </c>
    </row>
    <row r="40" spans="1:28" ht="11.25" customHeight="1" x14ac:dyDescent="0.25">
      <c r="A40" s="141"/>
      <c r="B40" s="47" t="s">
        <v>84</v>
      </c>
      <c r="C40" s="47" t="s">
        <v>25</v>
      </c>
      <c r="D40" s="47" t="s">
        <v>25</v>
      </c>
      <c r="E40" s="47" t="s">
        <v>25</v>
      </c>
      <c r="F40" s="47" t="s">
        <v>25</v>
      </c>
      <c r="G40" s="46" t="s">
        <v>74</v>
      </c>
      <c r="H40" s="46" t="s">
        <v>70</v>
      </c>
      <c r="I40" s="46">
        <f>'MERCADO TE'!$U$37</f>
        <v>0</v>
      </c>
      <c r="J40" s="15"/>
      <c r="L40" s="44">
        <f>'TE BE'!$L$40*'TE BF'!$L$49</f>
        <v>0</v>
      </c>
      <c r="M40" s="44">
        <f>'TE BE'!$M$40*'TE BF'!$M$49</f>
        <v>12.971379864186412</v>
      </c>
      <c r="N40" s="44">
        <f>'TE BE'!$N$40*'TE BF'!$N$49</f>
        <v>0</v>
      </c>
      <c r="O40" s="44">
        <f>'TE BE'!$O$40*'TE BF'!$O$49</f>
        <v>0.14958763705513226</v>
      </c>
      <c r="P40" s="44">
        <f>'TE BE'!$P$40*'TE BF'!$P$49</f>
        <v>0</v>
      </c>
      <c r="Q40" s="44">
        <f>SUM($L$40:$P$40)</f>
        <v>13.120967501241545</v>
      </c>
      <c r="R40" s="44">
        <f>'TE BE'!$R$40*'TE BF'!$R$49</f>
        <v>22.200220046533033</v>
      </c>
      <c r="S40" s="44">
        <f>SUM($R$40:$R$40)</f>
        <v>22.200220046533033</v>
      </c>
      <c r="T40" s="44">
        <f>'TE BE'!$T$40*'TE BF'!$T$49</f>
        <v>1.4425073485728321</v>
      </c>
      <c r="U40" s="44">
        <f>'TE BE'!$U$40*'TE BF'!$U$49</f>
        <v>0.29883500291365872</v>
      </c>
      <c r="V40" s="44">
        <f>'TE BE'!$V$40*'TE BF'!$V$49</f>
        <v>0</v>
      </c>
      <c r="W40" s="44">
        <f>SUM($T$40:$V$40)</f>
        <v>1.741342351486491</v>
      </c>
      <c r="X40" s="44">
        <f>'TE BE'!$AB$40*'TE BF'!$X$49</f>
        <v>0</v>
      </c>
      <c r="Y40" s="44">
        <f>SUM($X$40:$X$40)</f>
        <v>0</v>
      </c>
      <c r="Z40" s="44">
        <f>'TE BE'!$Z$40*'TE BF'!$Z$49</f>
        <v>0.64210348485840907</v>
      </c>
      <c r="AA40" s="44">
        <f>SUM($Z$40:$Z$40)</f>
        <v>0.64210348485840907</v>
      </c>
      <c r="AB40" s="44">
        <f>SUMIF($L$4:$AA$4,"SUBTOTAL",$L$40:$AA$40)</f>
        <v>37.704633384119475</v>
      </c>
    </row>
    <row r="41" spans="1:28" ht="11.25" customHeight="1" x14ac:dyDescent="0.25">
      <c r="A41" s="141" t="s">
        <v>42</v>
      </c>
      <c r="B41" s="141" t="s">
        <v>73</v>
      </c>
      <c r="C41" s="141" t="s">
        <v>43</v>
      </c>
      <c r="D41" s="47" t="s">
        <v>44</v>
      </c>
      <c r="E41" s="47" t="s">
        <v>25</v>
      </c>
      <c r="F41" s="47" t="s">
        <v>25</v>
      </c>
      <c r="G41" s="46" t="s">
        <v>74</v>
      </c>
      <c r="H41" s="46" t="s">
        <v>70</v>
      </c>
      <c r="I41" s="46">
        <f>'MERCADO TE'!$U$38</f>
        <v>3575.7699999999995</v>
      </c>
      <c r="J41" s="15"/>
      <c r="L41" s="44">
        <f>'TE BE'!$L$41*'TE BF'!$L$49</f>
        <v>0</v>
      </c>
      <c r="M41" s="44">
        <f>'TE BE'!$M$41*'TE BF'!$M$49</f>
        <v>7.1342589253025261</v>
      </c>
      <c r="N41" s="44">
        <f>'TE BE'!$N$41*'TE BF'!$N$49</f>
        <v>0</v>
      </c>
      <c r="O41" s="44">
        <f>'TE BE'!$O$41*'TE BF'!$O$49</f>
        <v>8.2273200380322736E-2</v>
      </c>
      <c r="P41" s="44">
        <f>'TE BE'!$P$41*'TE BF'!$P$49</f>
        <v>0</v>
      </c>
      <c r="Q41" s="44">
        <f>SUM($L$41:$P$41)</f>
        <v>7.216532125682849</v>
      </c>
      <c r="R41" s="44">
        <f>'TE BE'!$R$41*'TE BF'!$R$49</f>
        <v>12.210121025593168</v>
      </c>
      <c r="S41" s="44">
        <f>SUM($R$41:$R$41)</f>
        <v>12.210121025593168</v>
      </c>
      <c r="T41" s="44">
        <f>'TE BE'!$T$41*'TE BF'!$T$49</f>
        <v>0.79337904171505769</v>
      </c>
      <c r="U41" s="44">
        <f>'TE BE'!$U$41*'TE BF'!$U$49</f>
        <v>0.1643592516025123</v>
      </c>
      <c r="V41" s="44">
        <f>'TE BE'!$V$41*'TE BF'!$V$49</f>
        <v>0</v>
      </c>
      <c r="W41" s="44">
        <f>SUM($T$41:$V$41)</f>
        <v>0.95773829331756999</v>
      </c>
      <c r="X41" s="44">
        <f>'TE BE'!$AB$41*'TE BF'!$X$49</f>
        <v>0</v>
      </c>
      <c r="Y41" s="44">
        <f>SUM($X$41:$X$41)</f>
        <v>0</v>
      </c>
      <c r="Z41" s="44">
        <f>'TE BE'!$Z$41*'TE BF'!$Z$49</f>
        <v>0.35315691667212501</v>
      </c>
      <c r="AA41" s="44">
        <f>SUM($Z$41:$Z$41)</f>
        <v>0.35315691667212501</v>
      </c>
      <c r="AB41" s="44">
        <f>SUMIF($L$4:$AA$4,"SUBTOTAL",$L$41:$AA$41)</f>
        <v>20.737548361265709</v>
      </c>
    </row>
    <row r="42" spans="1:28" ht="11.25" customHeight="1" x14ac:dyDescent="0.25">
      <c r="A42" s="141"/>
      <c r="B42" s="141"/>
      <c r="C42" s="141"/>
      <c r="D42" s="46" t="s">
        <v>88</v>
      </c>
      <c r="E42" s="46" t="s">
        <v>25</v>
      </c>
      <c r="F42" s="46" t="s">
        <v>25</v>
      </c>
      <c r="G42" s="46" t="s">
        <v>74</v>
      </c>
      <c r="H42" s="46" t="s">
        <v>70</v>
      </c>
      <c r="I42" s="46">
        <f>'MERCADO TE'!$U$39</f>
        <v>0</v>
      </c>
      <c r="J42" s="15"/>
      <c r="L42" s="44">
        <f>'TE BE'!$L$42*'TE BF'!$L$49</f>
        <v>0</v>
      </c>
      <c r="M42" s="44">
        <f>'TE BE'!$M$42*'TE BF'!$M$49</f>
        <v>7.7828279185118463</v>
      </c>
      <c r="N42" s="44">
        <f>'TE BE'!$N$42*'TE BF'!$N$49</f>
        <v>0</v>
      </c>
      <c r="O42" s="44">
        <f>'TE BE'!$O$42*'TE BF'!$O$49</f>
        <v>8.9752582233079345E-2</v>
      </c>
      <c r="P42" s="44">
        <f>'TE BE'!$P$42*'TE BF'!$P$49</f>
        <v>0</v>
      </c>
      <c r="Q42" s="44">
        <f>SUM($L$42:$P$42)</f>
        <v>7.8725805007449257</v>
      </c>
      <c r="R42" s="44">
        <f>'TE BE'!$R$42*'TE BF'!$R$49</f>
        <v>13.320132027919819</v>
      </c>
      <c r="S42" s="44">
        <f>SUM($R$42:$R$42)</f>
        <v>13.320132027919819</v>
      </c>
      <c r="T42" s="44">
        <f>'TE BE'!$T$42*'TE BF'!$T$49</f>
        <v>0.86550440914369919</v>
      </c>
      <c r="U42" s="44">
        <f>'TE BE'!$U$42*'TE BF'!$U$49</f>
        <v>0.17930100174819522</v>
      </c>
      <c r="V42" s="44">
        <f>'TE BE'!$V$42*'TE BF'!$V$49</f>
        <v>0</v>
      </c>
      <c r="W42" s="44">
        <f>SUM($T$42:$V$42)</f>
        <v>1.0448054108918945</v>
      </c>
      <c r="X42" s="44">
        <f>'TE BE'!$AB$42*'TE BF'!$X$49</f>
        <v>0</v>
      </c>
      <c r="Y42" s="44">
        <f>SUM($X$42:$X$42)</f>
        <v>0</v>
      </c>
      <c r="Z42" s="44">
        <f>'TE BE'!$Z$42*'TE BF'!$Z$49</f>
        <v>0.38526209091504543</v>
      </c>
      <c r="AA42" s="44">
        <f>SUM($Z$42:$Z$42)</f>
        <v>0.38526209091504543</v>
      </c>
      <c r="AB42" s="44">
        <f>SUMIF($L$4:$AA$4,"SUBTOTAL",$L$42:$AA$42)</f>
        <v>22.622780030471681</v>
      </c>
    </row>
    <row r="44" spans="1:28" ht="11.25" customHeight="1" x14ac:dyDescent="0.25">
      <c r="K44" s="49" t="s">
        <v>525</v>
      </c>
      <c r="L44" s="44">
        <f t="shared" ref="L44:AB44" si="0">SUMPRODUCT($I$5:$I$42,L$5:L$42)</f>
        <v>0</v>
      </c>
      <c r="M44" s="44">
        <f t="shared" si="0"/>
        <v>796793.7746</v>
      </c>
      <c r="N44" s="44">
        <f t="shared" si="0"/>
        <v>0</v>
      </c>
      <c r="O44" s="44">
        <f t="shared" si="0"/>
        <v>9188.7292802005632</v>
      </c>
      <c r="P44" s="44">
        <f t="shared" si="0"/>
        <v>0</v>
      </c>
      <c r="Q44" s="44">
        <f t="shared" si="0"/>
        <v>805982.50388020067</v>
      </c>
      <c r="R44" s="44">
        <f t="shared" si="0"/>
        <v>1364147.4510150065</v>
      </c>
      <c r="S44" s="44">
        <f t="shared" si="0"/>
        <v>1364147.4510150065</v>
      </c>
      <c r="T44" s="44">
        <f t="shared" si="0"/>
        <v>88608.990499999985</v>
      </c>
      <c r="U44" s="44">
        <f t="shared" si="0"/>
        <v>18356.556700000001</v>
      </c>
      <c r="V44" s="44">
        <f t="shared" si="0"/>
        <v>0</v>
      </c>
      <c r="W44" s="44">
        <f t="shared" si="0"/>
        <v>106965.5472</v>
      </c>
      <c r="X44" s="44">
        <f t="shared" si="0"/>
        <v>0</v>
      </c>
      <c r="Y44" s="44">
        <f t="shared" si="0"/>
        <v>0</v>
      </c>
      <c r="Z44" s="44">
        <f t="shared" si="0"/>
        <v>39442.531537968789</v>
      </c>
      <c r="AA44" s="44">
        <f t="shared" si="0"/>
        <v>39442.531537968789</v>
      </c>
      <c r="AB44" s="44">
        <f t="shared" si="0"/>
        <v>2316538.0336331762</v>
      </c>
    </row>
    <row r="45" spans="1:28" ht="11.25" customHeight="1" x14ac:dyDescent="0.25">
      <c r="K45" s="49" t="s">
        <v>450</v>
      </c>
      <c r="L45" s="44">
        <f>CUSTOS!$D$30</f>
        <v>149957.71426059183</v>
      </c>
      <c r="M45" s="44">
        <f>CUSTOS!$D$31</f>
        <v>1373181.1307278299</v>
      </c>
      <c r="N45" s="44">
        <f>CUSTOS!$D$32</f>
        <v>0</v>
      </c>
      <c r="O45" s="44">
        <f>CUSTOS!$D$33</f>
        <v>140072.77572115077</v>
      </c>
      <c r="P45" s="44">
        <f>CUSTOS!$D$34</f>
        <v>-989999.99999999988</v>
      </c>
      <c r="Q45" s="44">
        <f>CUSTOS!$D$35</f>
        <v>673211.62070957257</v>
      </c>
      <c r="R45" s="44">
        <f>CUSTOS!$D$36</f>
        <v>12636690.427500499</v>
      </c>
      <c r="S45" s="44">
        <f>CUSTOS!$D$37</f>
        <v>12636690.427500499</v>
      </c>
      <c r="T45" s="44">
        <f>CUSTOS!$D$38</f>
        <v>349006.23466233397</v>
      </c>
      <c r="U45" s="44">
        <f>CUSTOS!$D$39</f>
        <v>244313.99991106981</v>
      </c>
      <c r="V45" s="44">
        <f>CUSTOS!$D$40</f>
        <v>0</v>
      </c>
      <c r="W45" s="44">
        <f>CUSTOS!$D$41</f>
        <v>593320.23457340384</v>
      </c>
      <c r="X45" s="44">
        <f>CUSTOS!$D$42</f>
        <v>0</v>
      </c>
      <c r="Y45" s="44">
        <f>CUSTOS!$D$43</f>
        <v>0</v>
      </c>
      <c r="Z45" s="44">
        <f>CUSTOS!$D$44</f>
        <v>365373.30356141517</v>
      </c>
      <c r="AA45" s="44">
        <f>CUSTOS!$D$45</f>
        <v>365373.30356141517</v>
      </c>
      <c r="AB45" s="44">
        <f>CUSTOS!$D$46</f>
        <v>14268595.58634489</v>
      </c>
    </row>
    <row r="46" spans="1:28" ht="11.25" customHeight="1" x14ac:dyDescent="0.25">
      <c r="K46" s="49" t="s">
        <v>451</v>
      </c>
      <c r="L46" s="44">
        <f>CUSTOS!$E$30</f>
        <v>2.8183465855034721E-2</v>
      </c>
      <c r="M46" s="44">
        <f>CUSTOS!$E$31</f>
        <v>-305393.76818123687</v>
      </c>
      <c r="N46" s="44">
        <f>CUSTOS!$E$32</f>
        <v>0</v>
      </c>
      <c r="O46" s="44">
        <f>CUSTOS!$E$33</f>
        <v>-2078.5898471862465</v>
      </c>
      <c r="P46" s="44">
        <f>CUSTOS!$E$34</f>
        <v>0</v>
      </c>
      <c r="Q46" s="44">
        <f>CUSTOS!$E$35</f>
        <v>-307472.32984495722</v>
      </c>
      <c r="R46" s="44">
        <f>CUSTOS!$E$36</f>
        <v>-781855.38567599771</v>
      </c>
      <c r="S46" s="44">
        <f>CUSTOS!$E$37</f>
        <v>-781855.38567599771</v>
      </c>
      <c r="T46" s="44">
        <f>CUSTOS!$E$38</f>
        <v>12010.748699454911</v>
      </c>
      <c r="U46" s="44">
        <f>CUSTOS!$E$39</f>
        <v>1848.8338852243451</v>
      </c>
      <c r="V46" s="44">
        <f>CUSTOS!$E$40</f>
        <v>0</v>
      </c>
      <c r="W46" s="44">
        <f>CUSTOS!$E$41</f>
        <v>13859.582584679256</v>
      </c>
      <c r="X46" s="44">
        <f>CUSTOS!$E$42</f>
        <v>-1505345.7598727958</v>
      </c>
      <c r="Y46" s="44">
        <f>CUSTOS!$E$43</f>
        <v>-1505345.7598727958</v>
      </c>
      <c r="Z46" s="44">
        <f>CUSTOS!$E$44</f>
        <v>-22606.321394883464</v>
      </c>
      <c r="AA46" s="44">
        <f>CUSTOS!$E$45</f>
        <v>-22606.321394883464</v>
      </c>
      <c r="AB46" s="44">
        <f>CUSTOS!$E$46</f>
        <v>-2603420.2142039551</v>
      </c>
    </row>
    <row r="47" spans="1:28" ht="11.25" customHeight="1" x14ac:dyDescent="0.25">
      <c r="K47" s="49" t="s">
        <v>452</v>
      </c>
      <c r="L47" s="44">
        <f>CUSTOS!$F$30</f>
        <v>0</v>
      </c>
      <c r="M47" s="44">
        <f>CUSTOS!$F$31</f>
        <v>796793.7746</v>
      </c>
      <c r="N47" s="44">
        <f>CUSTOS!$F$32</f>
        <v>0</v>
      </c>
      <c r="O47" s="44">
        <f>CUSTOS!$F$33</f>
        <v>9188.7292802005632</v>
      </c>
      <c r="P47" s="44">
        <f>CUSTOS!$F$34</f>
        <v>0</v>
      </c>
      <c r="Q47" s="44">
        <f>CUSTOS!$F$35</f>
        <v>805982.50388020056</v>
      </c>
      <c r="R47" s="44">
        <f>CUSTOS!$F$36</f>
        <v>1364147.4510150065</v>
      </c>
      <c r="S47" s="44">
        <f>CUSTOS!$F$37</f>
        <v>1364147.4510150065</v>
      </c>
      <c r="T47" s="44">
        <f>CUSTOS!$F$38</f>
        <v>88608.9905</v>
      </c>
      <c r="U47" s="44">
        <f>CUSTOS!$F$39</f>
        <v>18356.556700000001</v>
      </c>
      <c r="V47" s="44">
        <f>CUSTOS!$F$40</f>
        <v>0</v>
      </c>
      <c r="W47" s="44">
        <f>CUSTOS!$F$41</f>
        <v>106965.5472</v>
      </c>
      <c r="X47" s="44">
        <f>CUSTOS!$F$42</f>
        <v>0</v>
      </c>
      <c r="Y47" s="44">
        <f>CUSTOS!$F$43</f>
        <v>0</v>
      </c>
      <c r="Z47" s="44">
        <f>CUSTOS!$F$44</f>
        <v>39442.531537968789</v>
      </c>
      <c r="AA47" s="44">
        <f>CUSTOS!$F$45</f>
        <v>39442.531537968789</v>
      </c>
      <c r="AB47" s="44">
        <f>CUSTOS!$F$46</f>
        <v>2316538.0336331758</v>
      </c>
    </row>
    <row r="48" spans="1:28" ht="11.25" customHeight="1" x14ac:dyDescent="0.25"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</row>
    <row r="49" spans="11:28" ht="11.25" customHeight="1" x14ac:dyDescent="0.25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  <row r="50" spans="11:28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</sheetData>
  <mergeCells count="61">
    <mergeCell ref="E36:E38"/>
    <mergeCell ref="F36:F38"/>
    <mergeCell ref="A41:A42"/>
    <mergeCell ref="B41:B42"/>
    <mergeCell ref="C41:C42"/>
    <mergeCell ref="D36:D38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A8:A20"/>
    <mergeCell ref="B8:B10"/>
    <mergeCell ref="C8:C10"/>
    <mergeCell ref="D8:D10"/>
    <mergeCell ref="E8:E10"/>
    <mergeCell ref="F8:F10"/>
    <mergeCell ref="B11:B15"/>
    <mergeCell ref="C11:C15"/>
    <mergeCell ref="B16:B20"/>
    <mergeCell ref="C16:C20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4">
    <cfRule type="cellIs" dxfId="781" priority="33" operator="notEqual">
      <formula>$L$47</formula>
    </cfRule>
    <cfRule type="cellIs" dxfId="780" priority="34" operator="equal">
      <formula>$L$47</formula>
    </cfRule>
  </conditionalFormatting>
  <conditionalFormatting sqref="M44">
    <cfRule type="cellIs" dxfId="779" priority="31" operator="notEqual">
      <formula>$M$47</formula>
    </cfRule>
    <cfRule type="cellIs" dxfId="778" priority="32" operator="equal">
      <formula>$M$47</formula>
    </cfRule>
  </conditionalFormatting>
  <conditionalFormatting sqref="N44">
    <cfRule type="cellIs" dxfId="777" priority="29" operator="notEqual">
      <formula>$N$47</formula>
    </cfRule>
    <cfRule type="cellIs" dxfId="776" priority="30" operator="equal">
      <formula>$N$47</formula>
    </cfRule>
  </conditionalFormatting>
  <conditionalFormatting sqref="O44">
    <cfRule type="cellIs" dxfId="775" priority="27" operator="notEqual">
      <formula>$O$47</formula>
    </cfRule>
    <cfRule type="cellIs" dxfId="774" priority="28" operator="equal">
      <formula>$O$47</formula>
    </cfRule>
  </conditionalFormatting>
  <conditionalFormatting sqref="P44">
    <cfRule type="cellIs" dxfId="773" priority="25" operator="notEqual">
      <formula>$P$47</formula>
    </cfRule>
    <cfRule type="cellIs" dxfId="772" priority="26" operator="equal">
      <formula>$P$47</formula>
    </cfRule>
  </conditionalFormatting>
  <conditionalFormatting sqref="Q44">
    <cfRule type="cellIs" dxfId="771" priority="23" operator="notEqual">
      <formula>$Q$47</formula>
    </cfRule>
    <cfRule type="cellIs" dxfId="770" priority="24" operator="equal">
      <formula>$Q$47</formula>
    </cfRule>
  </conditionalFormatting>
  <conditionalFormatting sqref="R44">
    <cfRule type="cellIs" dxfId="769" priority="21" operator="notEqual">
      <formula>$R$47</formula>
    </cfRule>
    <cfRule type="cellIs" dxfId="768" priority="22" operator="equal">
      <formula>$R$47</formula>
    </cfRule>
  </conditionalFormatting>
  <conditionalFormatting sqref="S44">
    <cfRule type="cellIs" dxfId="767" priority="19" operator="notEqual">
      <formula>$S$47</formula>
    </cfRule>
    <cfRule type="cellIs" dxfId="766" priority="20" operator="equal">
      <formula>$S$47</formula>
    </cfRule>
  </conditionalFormatting>
  <conditionalFormatting sqref="T44">
    <cfRule type="cellIs" dxfId="765" priority="17" operator="notEqual">
      <formula>$T$47</formula>
    </cfRule>
    <cfRule type="cellIs" dxfId="764" priority="18" operator="equal">
      <formula>$T$47</formula>
    </cfRule>
  </conditionalFormatting>
  <conditionalFormatting sqref="U44">
    <cfRule type="cellIs" dxfId="763" priority="15" operator="notEqual">
      <formula>$U$47</formula>
    </cfRule>
    <cfRule type="cellIs" dxfId="762" priority="16" operator="equal">
      <formula>$U$47</formula>
    </cfRule>
  </conditionalFormatting>
  <conditionalFormatting sqref="V44">
    <cfRule type="cellIs" dxfId="761" priority="13" operator="notEqual">
      <formula>$V$47</formula>
    </cfRule>
    <cfRule type="cellIs" dxfId="760" priority="14" operator="equal">
      <formula>$V$47</formula>
    </cfRule>
  </conditionalFormatting>
  <conditionalFormatting sqref="W44">
    <cfRule type="cellIs" dxfId="759" priority="11" operator="notEqual">
      <formula>$W$47</formula>
    </cfRule>
    <cfRule type="cellIs" dxfId="758" priority="12" operator="equal">
      <formula>$W$47</formula>
    </cfRule>
  </conditionalFormatting>
  <conditionalFormatting sqref="X44">
    <cfRule type="cellIs" dxfId="757" priority="9" operator="notEqual">
      <formula>$X$47</formula>
    </cfRule>
    <cfRule type="cellIs" dxfId="756" priority="10" operator="equal">
      <formula>$X$47</formula>
    </cfRule>
  </conditionalFormatting>
  <conditionalFormatting sqref="Y44">
    <cfRule type="cellIs" dxfId="755" priority="7" operator="notEqual">
      <formula>$Y$47</formula>
    </cfRule>
    <cfRule type="cellIs" dxfId="754" priority="8" operator="equal">
      <formula>$Y$47</formula>
    </cfRule>
  </conditionalFormatting>
  <conditionalFormatting sqref="Z44">
    <cfRule type="cellIs" dxfId="753" priority="5" operator="notEqual">
      <formula>$Z$47</formula>
    </cfRule>
    <cfRule type="cellIs" dxfId="752" priority="6" operator="equal">
      <formula>$Z$47</formula>
    </cfRule>
  </conditionalFormatting>
  <conditionalFormatting sqref="AA44">
    <cfRule type="cellIs" dxfId="751" priority="3" operator="notEqual">
      <formula>$AA$47</formula>
    </cfRule>
    <cfRule type="cellIs" dxfId="750" priority="4" operator="equal">
      <formula>$AA$47</formula>
    </cfRule>
  </conditionalFormatting>
  <conditionalFormatting sqref="AB44">
    <cfRule type="cellIs" dxfId="749" priority="1" operator="notEqual">
      <formula>$AB$47</formula>
    </cfRule>
    <cfRule type="cellIs" dxfId="748" priority="2" operator="equal">
      <formula>$AB$47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CCA07-6C8D-4313-9718-51DB6BFC7C81}">
  <dimension ref="A1:AV444"/>
  <sheetViews>
    <sheetView showGridLines="0" topLeftCell="AH1" workbookViewId="0">
      <selection activeCell="AV9" sqref="AV9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1.28515625" style="4" bestFit="1" customWidth="1"/>
    <col min="8" max="8" width="10.28515625" style="4" bestFit="1" customWidth="1"/>
    <col min="9" max="9" width="12.140625" style="5" bestFit="1" customWidth="1"/>
    <col min="10" max="10" width="7" style="6" bestFit="1" customWidth="1"/>
    <col min="11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71093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23.28515625" style="4" bestFit="1" customWidth="1"/>
    <col min="29" max="29" width="24.7109375" style="4" bestFit="1" customWidth="1"/>
    <col min="30" max="30" width="22.5703125" style="4" bestFit="1" customWidth="1"/>
    <col min="31" max="31" width="24.140625" style="4" bestFit="1" customWidth="1"/>
    <col min="32" max="32" width="25.5703125" style="4" bestFit="1" customWidth="1"/>
    <col min="33" max="33" width="23.42578125" style="4" bestFit="1" customWidth="1"/>
    <col min="34" max="34" width="9.140625" style="4"/>
    <col min="35" max="35" width="9.28515625" style="4" bestFit="1" customWidth="1"/>
    <col min="36" max="36" width="14.5703125" style="4" bestFit="1" customWidth="1"/>
    <col min="37" max="37" width="15.42578125" style="4" bestFit="1" customWidth="1"/>
    <col min="38" max="38" width="9.28515625" style="4" bestFit="1" customWidth="1"/>
    <col min="39" max="39" width="9.140625" style="4"/>
    <col min="40" max="40" width="9.28515625" style="4" bestFit="1" customWidth="1"/>
    <col min="41" max="41" width="12.28515625" style="4" bestFit="1" customWidth="1"/>
    <col min="42" max="42" width="13.28515625" style="4" bestFit="1" customWidth="1"/>
    <col min="43" max="43" width="9.28515625" style="4" bestFit="1" customWidth="1"/>
    <col min="44" max="44" width="9.140625" style="4"/>
    <col min="45" max="45" width="9.28515625" style="4" bestFit="1" customWidth="1"/>
    <col min="46" max="47" width="10.85546875" style="4" bestFit="1" customWidth="1"/>
    <col min="48" max="48" width="9.28515625" style="4" bestFit="1" customWidth="1"/>
    <col min="49" max="16384" width="9.140625" style="4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551</v>
      </c>
      <c r="W1" s="1" t="s">
        <v>552</v>
      </c>
      <c r="X1" s="1" t="s">
        <v>553</v>
      </c>
      <c r="Y1" s="1" t="s">
        <v>554</v>
      </c>
      <c r="Z1" s="1" t="s">
        <v>555</v>
      </c>
      <c r="AA1" s="1" t="s">
        <v>556</v>
      </c>
      <c r="AB1" s="1" t="s">
        <v>569</v>
      </c>
      <c r="AC1" s="1" t="s">
        <v>570</v>
      </c>
      <c r="AD1" s="1" t="s">
        <v>571</v>
      </c>
      <c r="AE1" s="1" t="s">
        <v>572</v>
      </c>
      <c r="AF1" s="1" t="s">
        <v>573</v>
      </c>
      <c r="AG1" s="1" t="s">
        <v>574</v>
      </c>
      <c r="AI1" s="59" t="s">
        <v>60</v>
      </c>
      <c r="AJ1" s="59" t="s">
        <v>575</v>
      </c>
      <c r="AK1" s="59" t="s">
        <v>576</v>
      </c>
      <c r="AL1" s="59" t="s">
        <v>577</v>
      </c>
      <c r="AN1" s="59" t="s">
        <v>60</v>
      </c>
      <c r="AO1" s="59" t="s">
        <v>578</v>
      </c>
      <c r="AP1" s="59" t="s">
        <v>579</v>
      </c>
      <c r="AQ1" s="59" t="s">
        <v>577</v>
      </c>
      <c r="AS1" s="59" t="s">
        <v>60</v>
      </c>
      <c r="AT1" s="59" t="s">
        <v>580</v>
      </c>
      <c r="AU1" s="59" t="s">
        <v>581</v>
      </c>
      <c r="AV1" s="59" t="s">
        <v>577</v>
      </c>
    </row>
    <row r="2" spans="1:48" ht="11.25" customHeight="1" x14ac:dyDescent="0.25">
      <c r="A2" s="4" t="s">
        <v>21</v>
      </c>
      <c r="B2" s="4" t="s">
        <v>34</v>
      </c>
      <c r="C2" s="4" t="s">
        <v>51</v>
      </c>
      <c r="D2" s="4" t="s">
        <v>33</v>
      </c>
      <c r="E2" s="4" t="s">
        <v>25</v>
      </c>
      <c r="F2" s="4" t="s">
        <v>52</v>
      </c>
      <c r="G2" s="4" t="s">
        <v>25</v>
      </c>
      <c r="H2" s="4" t="s">
        <v>37</v>
      </c>
      <c r="I2" s="5">
        <v>44378</v>
      </c>
      <c r="J2" s="6">
        <v>1800</v>
      </c>
      <c r="K2" s="6">
        <v>905.36929199999997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53</v>
      </c>
      <c r="R2" s="4">
        <v>0</v>
      </c>
      <c r="S2" s="6">
        <v>2</v>
      </c>
      <c r="T2" s="6">
        <v>0</v>
      </c>
      <c r="U2" s="6">
        <v>0</v>
      </c>
      <c r="V2" s="6">
        <f>IF(ISERROR(VLOOKUP($S$2,'TAR FIN'!$A$1:$O$85,15,0)),0,VLOOKUP($S$2,'TAR FIN'!$A$1:$O$85,15,0))</f>
        <v>14.94</v>
      </c>
      <c r="W2" s="6">
        <f>IF(ISERROR(VLOOKUP($T$2,'TAR FIN'!$A$1:$O$85,15,0)),0,VLOOKUP($T$2,'TAR FIN'!$A$1:$O$85,15,0))</f>
        <v>0</v>
      </c>
      <c r="X2" s="6">
        <f>IF(ISERROR(VLOOKUP($U$2,'TAR FIN'!$A$1:$O$85,15,0)),0,VLOOKUP($U$2,'TAR FIN'!$A$1:$O$85,15,0))</f>
        <v>0</v>
      </c>
      <c r="Y2" s="6">
        <f ca="1">('TUSD BE'!$AM$6+'TUSD BF'!$AM$6+'TUSD CVA'!$AM$6)*1</f>
        <v>19.63429077280307</v>
      </c>
      <c r="Z2" s="6">
        <f ca="1">('TUSD BE'!$AM$7+'TUSD BF'!$AM$7+'TUSD CVA'!$AM$7)*1</f>
        <v>114.48039155571371</v>
      </c>
      <c r="AA2" s="6"/>
      <c r="AB2" s="6">
        <f>$K$2*$V$2</f>
        <v>13526.21722248</v>
      </c>
      <c r="AC2" s="6">
        <f>$M$2*$W$2</f>
        <v>0</v>
      </c>
      <c r="AD2" s="6">
        <f>$O$2*$X$2</f>
        <v>0</v>
      </c>
      <c r="AE2" s="6">
        <f ca="1">$K$2*$Y$2</f>
        <v>17776.283935894848</v>
      </c>
      <c r="AF2" s="6">
        <f ca="1">$M$2*$Z$2</f>
        <v>0</v>
      </c>
      <c r="AG2" s="6">
        <f>$O$2*$AA$2</f>
        <v>0</v>
      </c>
      <c r="AI2" s="60" t="s">
        <v>34</v>
      </c>
      <c r="AJ2" s="61">
        <f>SUMIF($B$2:$B$444,AI2,$AB$2:$AB$444)+SUMIF($B$2:$B$444,AI2,$AC$2:$AC$444)</f>
        <v>6711859.9372552615</v>
      </c>
      <c r="AK2" s="61">
        <f ca="1">SUMIF($B$2:$B$444,AI2,$AE$2:$AE$444)+SUMIF($B$2:$B$444,AI2,$AF$2:$AF$444)</f>
        <v>8444761.2238491829</v>
      </c>
      <c r="AL2" s="62">
        <f t="shared" ref="AL2:AL9" ca="1" si="0">IF(AJ2&lt;&gt;0,AK2/AJ2-1,0)</f>
        <v>0.25818495957807075</v>
      </c>
      <c r="AN2" s="60" t="s">
        <v>34</v>
      </c>
      <c r="AO2" s="61">
        <f>SUMIF($B$2:$B$444,AN2,$AD$2:$AD$444)</f>
        <v>6174625.7329272022</v>
      </c>
      <c r="AP2" s="61">
        <f>SUMIF($B$2:$B$444,AN2,$AG$2:$AG$444)</f>
        <v>5809372.7195525654</v>
      </c>
      <c r="AQ2" s="62">
        <f t="shared" ref="AQ2:AQ9" si="1">IF(AO2&lt;&gt;0,AP2/AO2-1,0)</f>
        <v>-5.9153870885949478E-2</v>
      </c>
      <c r="AS2" s="60" t="s">
        <v>34</v>
      </c>
      <c r="AT2" s="61">
        <f>SUMIF($B$2:$B$444,AS2,$AB$2:$AB$444)+SUMIF($B$2:$B$444,AS2,$AC$2:$AC$444)+SUMIF($B$2:$B$444,AS2,$AD$2:$AD$444)</f>
        <v>12886485.670182463</v>
      </c>
      <c r="AU2" s="61">
        <f ca="1">SUMIF($B$2:$B$444,AS2,$AE$2:$AE$444)+SUMIF($B$2:$B$444,AS2,$AF$2:$AF$444)+SUMIF($B$2:$B$444,AS2,$AG$2:$AG$444)</f>
        <v>14254133.943401748</v>
      </c>
      <c r="AV2" s="62">
        <f t="shared" ref="AV2:AV9" ca="1" si="2">IF(AT2&lt;&gt;0,AU2/AT2-1,0)</f>
        <v>0.10613043060947436</v>
      </c>
    </row>
    <row r="3" spans="1:48" ht="11.25" customHeight="1" x14ac:dyDescent="0.25">
      <c r="A3" s="4" t="s">
        <v>21</v>
      </c>
      <c r="B3" s="4" t="s">
        <v>34</v>
      </c>
      <c r="C3" s="4" t="s">
        <v>51</v>
      </c>
      <c r="D3" s="4" t="s">
        <v>33</v>
      </c>
      <c r="E3" s="4" t="s">
        <v>25</v>
      </c>
      <c r="F3" s="4" t="s">
        <v>52</v>
      </c>
      <c r="G3" s="4" t="s">
        <v>25</v>
      </c>
      <c r="H3" s="4" t="s">
        <v>37</v>
      </c>
      <c r="I3" s="5">
        <v>44409</v>
      </c>
      <c r="J3" s="6">
        <v>1802</v>
      </c>
      <c r="K3" s="6">
        <v>918.92490845999998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53</v>
      </c>
      <c r="R3" s="4">
        <v>0</v>
      </c>
      <c r="S3" s="6">
        <v>2</v>
      </c>
      <c r="T3" s="6">
        <v>0</v>
      </c>
      <c r="U3" s="6">
        <v>0</v>
      </c>
      <c r="V3" s="6">
        <f>IF(ISERROR(VLOOKUP($S$3,'TAR FIN'!$A$1:$O$85,15,0)),0,VLOOKUP($S$3,'TAR FIN'!$A$1:$O$85,15,0))</f>
        <v>14.94</v>
      </c>
      <c r="W3" s="6">
        <f>IF(ISERROR(VLOOKUP($T$3,'TAR FIN'!$A$1:$O$85,15,0)),0,VLOOKUP($T$3,'TAR FIN'!$A$1:$O$85,15,0))</f>
        <v>0</v>
      </c>
      <c r="X3" s="6">
        <f>IF(ISERROR(VLOOKUP($U$3,'TAR FIN'!$A$1:$O$85,15,0)),0,VLOOKUP($U$3,'TAR FIN'!$A$1:$O$85,15,0))</f>
        <v>0</v>
      </c>
      <c r="Y3" s="6">
        <f ca="1">('TUSD BE'!$AM$6+'TUSD BF'!$AM$6+'TUSD CVA'!$AM$6)*1</f>
        <v>19.63429077280307</v>
      </c>
      <c r="Z3" s="6">
        <f ca="1">('TUSD BE'!$AM$7+'TUSD BF'!$AM$7+'TUSD CVA'!$AM$7)*1</f>
        <v>114.48039155571371</v>
      </c>
      <c r="AA3" s="6"/>
      <c r="AB3" s="6">
        <f>$K$3*$V$3</f>
        <v>13728.7381323924</v>
      </c>
      <c r="AC3" s="6">
        <f>$M$3*$W$3</f>
        <v>0</v>
      </c>
      <c r="AD3" s="6">
        <f>$O$3*$X$3</f>
        <v>0</v>
      </c>
      <c r="AE3" s="6">
        <f ca="1">$K$3*$Y$3</f>
        <v>18042.438851075083</v>
      </c>
      <c r="AF3" s="6">
        <f ca="1">$M$3*$Z$3</f>
        <v>0</v>
      </c>
      <c r="AG3" s="6">
        <f>$O$3*$AA$3</f>
        <v>0</v>
      </c>
      <c r="AI3" s="60" t="s">
        <v>22</v>
      </c>
      <c r="AJ3" s="61">
        <f>SUMIF($B$2:$B$444,AI3,$AB$2:$AB$444)+SUMIF($B$2:$B$444,AI3,$AC$2:$AC$444)</f>
        <v>7017337.6636399962</v>
      </c>
      <c r="AK3" s="61">
        <f ca="1">SUMIF($B$2:$B$444,AI3,$AE$2:$AE$444)+SUMIF($B$2:$B$444,AI3,$AF$2:$AF$444)</f>
        <v>7898850.7757311575</v>
      </c>
      <c r="AL3" s="62">
        <f t="shared" ca="1" si="0"/>
        <v>0.12561930953653255</v>
      </c>
      <c r="AN3" s="60" t="s">
        <v>22</v>
      </c>
      <c r="AO3" s="61">
        <f>SUMIF($B$2:$B$444,AN3,$AD$2:$AD$444)</f>
        <v>5131385.4318300001</v>
      </c>
      <c r="AP3" s="61">
        <f>SUMIF($B$2:$B$444,AN3,$AG$2:$AG$444)</f>
        <v>4827989.952195988</v>
      </c>
      <c r="AQ3" s="62">
        <f t="shared" si="1"/>
        <v>-5.912545133562741E-2</v>
      </c>
      <c r="AS3" s="60" t="s">
        <v>22</v>
      </c>
      <c r="AT3" s="61">
        <f>SUMIF($B$2:$B$444,AS3,$AB$2:$AB$444)+SUMIF($B$2:$B$444,AS3,$AC$2:$AC$444)+SUMIF($B$2:$B$444,AS3,$AD$2:$AD$444)</f>
        <v>12148723.095469996</v>
      </c>
      <c r="AU3" s="61">
        <f ca="1">SUMIF($B$2:$B$444,AS3,$AE$2:$AE$444)+SUMIF($B$2:$B$444,AS3,$AF$2:$AF$444)+SUMIF($B$2:$B$444,AS3,$AG$2:$AG$444)</f>
        <v>12726840.727927145</v>
      </c>
      <c r="AV3" s="62">
        <f t="shared" ca="1" si="2"/>
        <v>4.7586699269877686E-2</v>
      </c>
    </row>
    <row r="4" spans="1:48" ht="11.25" customHeight="1" x14ac:dyDescent="0.25">
      <c r="A4" s="4" t="s">
        <v>21</v>
      </c>
      <c r="B4" s="4" t="s">
        <v>34</v>
      </c>
      <c r="C4" s="4" t="s">
        <v>51</v>
      </c>
      <c r="D4" s="4" t="s">
        <v>33</v>
      </c>
      <c r="E4" s="4" t="s">
        <v>25</v>
      </c>
      <c r="F4" s="4" t="s">
        <v>52</v>
      </c>
      <c r="G4" s="4" t="s">
        <v>25</v>
      </c>
      <c r="H4" s="4" t="s">
        <v>37</v>
      </c>
      <c r="I4" s="5">
        <v>44440</v>
      </c>
      <c r="J4" s="6">
        <v>1800</v>
      </c>
      <c r="K4" s="6">
        <v>907.34920199999999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53</v>
      </c>
      <c r="R4" s="4">
        <v>0</v>
      </c>
      <c r="S4" s="6">
        <v>2</v>
      </c>
      <c r="T4" s="6">
        <v>0</v>
      </c>
      <c r="U4" s="6">
        <v>0</v>
      </c>
      <c r="V4" s="6">
        <f>IF(ISERROR(VLOOKUP($S$4,'TAR FIN'!$A$1:$O$85,15,0)),0,VLOOKUP($S$4,'TAR FIN'!$A$1:$O$85,15,0))</f>
        <v>14.94</v>
      </c>
      <c r="W4" s="6">
        <f>IF(ISERROR(VLOOKUP($T$4,'TAR FIN'!$A$1:$O$85,15,0)),0,VLOOKUP($T$4,'TAR FIN'!$A$1:$O$85,15,0))</f>
        <v>0</v>
      </c>
      <c r="X4" s="6">
        <f>IF(ISERROR(VLOOKUP($U$4,'TAR FIN'!$A$1:$O$85,15,0)),0,VLOOKUP($U$4,'TAR FIN'!$A$1:$O$85,15,0))</f>
        <v>0</v>
      </c>
      <c r="Y4" s="6">
        <f ca="1">('TUSD BE'!$AM$6+'TUSD BF'!$AM$6+'TUSD CVA'!$AM$6)*1</f>
        <v>19.63429077280307</v>
      </c>
      <c r="Z4" s="6">
        <f ca="1">('TUSD BE'!$AM$7+'TUSD BF'!$AM$7+'TUSD CVA'!$AM$7)*1</f>
        <v>114.48039155571371</v>
      </c>
      <c r="AA4" s="6"/>
      <c r="AB4" s="6">
        <f>$K$4*$V$4</f>
        <v>13555.797077879999</v>
      </c>
      <c r="AC4" s="6">
        <f>$M$4*$W$4</f>
        <v>0</v>
      </c>
      <c r="AD4" s="6">
        <f>$O$4*$X$4</f>
        <v>0</v>
      </c>
      <c r="AE4" s="6">
        <f ca="1">$K$4*$Y$4</f>
        <v>17815.158064538828</v>
      </c>
      <c r="AF4" s="6">
        <f ca="1">$M$4*$Z$4</f>
        <v>0</v>
      </c>
      <c r="AG4" s="6">
        <f>$O$4*$AA$4</f>
        <v>0</v>
      </c>
      <c r="AI4" s="60" t="s">
        <v>39</v>
      </c>
      <c r="AJ4" s="61">
        <f>SUMIF($B$2:$B$444,AI4,$AB$2:$AB$444)+SUMIF($B$2:$B$444,AI4,$AC$2:$AC$444)</f>
        <v>13331.026239999997</v>
      </c>
      <c r="AK4" s="61">
        <f ca="1">SUMIF($B$2:$B$444,AI4,$AE$2:$AE$444)+SUMIF($B$2:$B$444,AI4,$AF$2:$AF$444)</f>
        <v>16077.32722347737</v>
      </c>
      <c r="AL4" s="62">
        <f t="shared" ca="1" si="0"/>
        <v>0.20600821977508721</v>
      </c>
      <c r="AN4" s="60" t="s">
        <v>39</v>
      </c>
      <c r="AO4" s="61">
        <f>SUMIF($B$2:$B$444,AN4,$AD$2:$AD$444)</f>
        <v>9677.8057599999993</v>
      </c>
      <c r="AP4" s="61">
        <f>SUMIF($B$2:$B$444,AN4,$AG$2:$AG$444)</f>
        <v>9726.3501559019678</v>
      </c>
      <c r="AQ4" s="62">
        <f t="shared" si="1"/>
        <v>5.0160539595256459E-3</v>
      </c>
      <c r="AS4" s="60" t="s">
        <v>39</v>
      </c>
      <c r="AT4" s="61">
        <f>SUMIF($B$2:$B$444,AS4,$AB$2:$AB$444)+SUMIF($B$2:$B$444,AS4,$AC$2:$AC$444)+SUMIF($B$2:$B$444,AS4,$AD$2:$AD$444)</f>
        <v>23008.831999999995</v>
      </c>
      <c r="AU4" s="61">
        <f ca="1">SUMIF($B$2:$B$444,AS4,$AE$2:$AE$444)+SUMIF($B$2:$B$444,AS4,$AF$2:$AF$444)+SUMIF($B$2:$B$444,AS4,$AG$2:$AG$444)</f>
        <v>25803.67737937934</v>
      </c>
      <c r="AV4" s="62">
        <f t="shared" ca="1" si="2"/>
        <v>0.12146837263966059</v>
      </c>
    </row>
    <row r="5" spans="1:48" ht="11.25" customHeight="1" x14ac:dyDescent="0.25">
      <c r="A5" s="4" t="s">
        <v>21</v>
      </c>
      <c r="B5" s="4" t="s">
        <v>34</v>
      </c>
      <c r="C5" s="4" t="s">
        <v>51</v>
      </c>
      <c r="D5" s="4" t="s">
        <v>33</v>
      </c>
      <c r="E5" s="4" t="s">
        <v>25</v>
      </c>
      <c r="F5" s="4" t="s">
        <v>52</v>
      </c>
      <c r="G5" s="4" t="s">
        <v>25</v>
      </c>
      <c r="H5" s="4" t="s">
        <v>37</v>
      </c>
      <c r="I5" s="5">
        <v>44470</v>
      </c>
      <c r="J5" s="6">
        <v>1813</v>
      </c>
      <c r="K5" s="6">
        <v>906.93687861000001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53</v>
      </c>
      <c r="R5" s="4">
        <v>0</v>
      </c>
      <c r="S5" s="6">
        <v>2</v>
      </c>
      <c r="T5" s="6">
        <v>0</v>
      </c>
      <c r="U5" s="6">
        <v>0</v>
      </c>
      <c r="V5" s="6">
        <f>IF(ISERROR(VLOOKUP($S$5,'TAR FIN'!$A$1:$O$85,15,0)),0,VLOOKUP($S$5,'TAR FIN'!$A$1:$O$85,15,0))</f>
        <v>14.94</v>
      </c>
      <c r="W5" s="6">
        <f>IF(ISERROR(VLOOKUP($T$5,'TAR FIN'!$A$1:$O$85,15,0)),0,VLOOKUP($T$5,'TAR FIN'!$A$1:$O$85,15,0))</f>
        <v>0</v>
      </c>
      <c r="X5" s="6">
        <f>IF(ISERROR(VLOOKUP($U$5,'TAR FIN'!$A$1:$O$85,15,0)),0,VLOOKUP($U$5,'TAR FIN'!$A$1:$O$85,15,0))</f>
        <v>0</v>
      </c>
      <c r="Y5" s="6">
        <f ca="1">('TUSD BE'!$AM$6+'TUSD BF'!$AM$6+'TUSD CVA'!$AM$6)*1</f>
        <v>19.63429077280307</v>
      </c>
      <c r="Z5" s="6">
        <f ca="1">('TUSD BE'!$AM$7+'TUSD BF'!$AM$7+'TUSD CVA'!$AM$7)*1</f>
        <v>114.48039155571371</v>
      </c>
      <c r="AA5" s="6"/>
      <c r="AB5" s="6">
        <f>$K$5*$V$5</f>
        <v>13549.6369664334</v>
      </c>
      <c r="AC5" s="6">
        <f>$M$5*$W$5</f>
        <v>0</v>
      </c>
      <c r="AD5" s="6">
        <f>$O$5*$X$5</f>
        <v>0</v>
      </c>
      <c r="AE5" s="6">
        <f ca="1">$K$5*$Y$5</f>
        <v>17807.062387207141</v>
      </c>
      <c r="AF5" s="6">
        <f ca="1">$M$5*$Z$5</f>
        <v>0</v>
      </c>
      <c r="AG5" s="6">
        <f>$O$5*$AA$5</f>
        <v>0</v>
      </c>
      <c r="AI5" s="60" t="s">
        <v>32</v>
      </c>
      <c r="AJ5" s="61">
        <f>SUMIF($B$2:$B$444,AI5,$AB$2:$AB$444)+SUMIF($B$2:$B$444,AI5,$AC$2:$AC$444)</f>
        <v>4093541.5716279992</v>
      </c>
      <c r="AK5" s="61">
        <f ca="1">SUMIF($B$2:$B$444,AI5,$AE$2:$AE$444)+SUMIF($B$2:$B$444,AI5,$AF$2:$AF$444)</f>
        <v>4643391.0094260946</v>
      </c>
      <c r="AL5" s="62">
        <f t="shared" ca="1" si="0"/>
        <v>0.13432120528811931</v>
      </c>
      <c r="AN5" s="60" t="s">
        <v>32</v>
      </c>
      <c r="AO5" s="61">
        <f>SUMIF($B$2:$B$444,AN5,$AD$2:$AD$444)</f>
        <v>2971777.061892</v>
      </c>
      <c r="AP5" s="61">
        <f>SUMIF($B$2:$B$444,AN5,$AG$2:$AG$444)</f>
        <v>2809195.9058189755</v>
      </c>
      <c r="AQ5" s="62">
        <f t="shared" si="1"/>
        <v>-5.4708395914973562E-2</v>
      </c>
      <c r="AS5" s="60" t="s">
        <v>32</v>
      </c>
      <c r="AT5" s="61">
        <f>SUMIF($B$2:$B$444,AS5,$AB$2:$AB$444)+SUMIF($B$2:$B$444,AS5,$AC$2:$AC$444)+SUMIF($B$2:$B$444,AS5,$AD$2:$AD$444)</f>
        <v>7065318.6335199997</v>
      </c>
      <c r="AU5" s="61">
        <f ca="1">SUMIF($B$2:$B$444,AS5,$AE$2:$AE$444)+SUMIF($B$2:$B$444,AS5,$AF$2:$AF$444)+SUMIF($B$2:$B$444,AS5,$AG$2:$AG$444)</f>
        <v>7452586.9152450701</v>
      </c>
      <c r="AV5" s="62">
        <f t="shared" ca="1" si="2"/>
        <v>5.4812571352090611E-2</v>
      </c>
    </row>
    <row r="6" spans="1:48" ht="11.25" customHeight="1" x14ac:dyDescent="0.25">
      <c r="A6" s="4" t="s">
        <v>21</v>
      </c>
      <c r="B6" s="4" t="s">
        <v>34</v>
      </c>
      <c r="C6" s="4" t="s">
        <v>51</v>
      </c>
      <c r="D6" s="4" t="s">
        <v>33</v>
      </c>
      <c r="E6" s="4" t="s">
        <v>25</v>
      </c>
      <c r="F6" s="4" t="s">
        <v>52</v>
      </c>
      <c r="G6" s="4" t="s">
        <v>25</v>
      </c>
      <c r="H6" s="4" t="s">
        <v>37</v>
      </c>
      <c r="I6" s="5">
        <v>44501</v>
      </c>
      <c r="J6" s="6">
        <v>1809</v>
      </c>
      <c r="K6" s="6">
        <v>904.5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53</v>
      </c>
      <c r="R6" s="4">
        <v>0</v>
      </c>
      <c r="S6" s="6">
        <v>2</v>
      </c>
      <c r="T6" s="6">
        <v>0</v>
      </c>
      <c r="U6" s="6">
        <v>0</v>
      </c>
      <c r="V6" s="6">
        <f>IF(ISERROR(VLOOKUP($S$6,'TAR FIN'!$A$1:$O$85,15,0)),0,VLOOKUP($S$6,'TAR FIN'!$A$1:$O$85,15,0))</f>
        <v>14.94</v>
      </c>
      <c r="W6" s="6">
        <f>IF(ISERROR(VLOOKUP($T$6,'TAR FIN'!$A$1:$O$85,15,0)),0,VLOOKUP($T$6,'TAR FIN'!$A$1:$O$85,15,0))</f>
        <v>0</v>
      </c>
      <c r="X6" s="6">
        <f>IF(ISERROR(VLOOKUP($U$6,'TAR FIN'!$A$1:$O$85,15,0)),0,VLOOKUP($U$6,'TAR FIN'!$A$1:$O$85,15,0))</f>
        <v>0</v>
      </c>
      <c r="Y6" s="6">
        <f ca="1">('TUSD BE'!$AM$6+'TUSD BF'!$AM$6+'TUSD CVA'!$AM$6)*1</f>
        <v>19.63429077280307</v>
      </c>
      <c r="Z6" s="6">
        <f ca="1">('TUSD BE'!$AM$7+'TUSD BF'!$AM$7+'TUSD CVA'!$AM$7)*1</f>
        <v>114.48039155571371</v>
      </c>
      <c r="AA6" s="6"/>
      <c r="AB6" s="6">
        <f>$K$6*$V$6</f>
        <v>13513.23</v>
      </c>
      <c r="AC6" s="6">
        <f>$M$6*$W$6</f>
        <v>0</v>
      </c>
      <c r="AD6" s="6">
        <f>$O$6*$X$6</f>
        <v>0</v>
      </c>
      <c r="AE6" s="6">
        <f ca="1">$K$6*$Y$6</f>
        <v>17759.216004000376</v>
      </c>
      <c r="AF6" s="6">
        <f ca="1">$M$6*$Z$6</f>
        <v>0</v>
      </c>
      <c r="AG6" s="6">
        <f>$O$6*$AA$6</f>
        <v>0</v>
      </c>
      <c r="AI6" s="60" t="s">
        <v>42</v>
      </c>
      <c r="AJ6" s="61">
        <f>SUMIF($B$2:$B$444,AI6,$AB$2:$AB$444)+SUMIF($B$2:$B$444,AI6,$AC$2:$AC$444)</f>
        <v>655188.33709999989</v>
      </c>
      <c r="AK6" s="61">
        <f ca="1">SUMIF($B$2:$B$444,AI6,$AE$2:$AE$444)+SUMIF($B$2:$B$444,AI6,$AF$2:$AF$444)</f>
        <v>739731.66094359488</v>
      </c>
      <c r="AL6" s="62">
        <f t="shared" ca="1" si="0"/>
        <v>0.12903667397042096</v>
      </c>
      <c r="AN6" s="60" t="s">
        <v>42</v>
      </c>
      <c r="AO6" s="61">
        <f>SUMIF($B$2:$B$444,AN6,$AD$2:$AD$444)</f>
        <v>475648.92540000007</v>
      </c>
      <c r="AP6" s="61">
        <f>SUMIF($B$2:$B$444,AN6,$AG$2:$AG$444)</f>
        <v>447517.74071238772</v>
      </c>
      <c r="AQ6" s="62">
        <f t="shared" si="1"/>
        <v>-5.9142748328413153E-2</v>
      </c>
      <c r="AS6" s="60" t="s">
        <v>42</v>
      </c>
      <c r="AT6" s="61">
        <f>SUMIF($B$2:$B$444,AS6,$AB$2:$AB$444)+SUMIF($B$2:$B$444,AS6,$AC$2:$AC$444)+SUMIF($B$2:$B$444,AS6,$AD$2:$AD$444)</f>
        <v>1130837.2625</v>
      </c>
      <c r="AU6" s="61">
        <f ca="1">SUMIF($B$2:$B$444,AS6,$AE$2:$AE$444)+SUMIF($B$2:$B$444,AS6,$AF$2:$AF$444)+SUMIF($B$2:$B$444,AS6,$AG$2:$AG$444)</f>
        <v>1187249.4016559827</v>
      </c>
      <c r="AV6" s="62">
        <f t="shared" ca="1" si="2"/>
        <v>4.9885285024362958E-2</v>
      </c>
    </row>
    <row r="7" spans="1:48" ht="11.25" customHeight="1" x14ac:dyDescent="0.25">
      <c r="A7" s="4" t="s">
        <v>21</v>
      </c>
      <c r="B7" s="4" t="s">
        <v>34</v>
      </c>
      <c r="C7" s="4" t="s">
        <v>51</v>
      </c>
      <c r="D7" s="4" t="s">
        <v>33</v>
      </c>
      <c r="E7" s="4" t="s">
        <v>25</v>
      </c>
      <c r="F7" s="4" t="s">
        <v>52</v>
      </c>
      <c r="G7" s="4" t="s">
        <v>25</v>
      </c>
      <c r="H7" s="4" t="s">
        <v>37</v>
      </c>
      <c r="I7" s="5">
        <v>44531</v>
      </c>
      <c r="J7" s="6">
        <v>1800</v>
      </c>
      <c r="K7" s="6">
        <v>932.78597400000001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53</v>
      </c>
      <c r="R7" s="4">
        <v>0</v>
      </c>
      <c r="S7" s="6">
        <v>2</v>
      </c>
      <c r="T7" s="6">
        <v>0</v>
      </c>
      <c r="U7" s="6">
        <v>0</v>
      </c>
      <c r="V7" s="6">
        <f>IF(ISERROR(VLOOKUP($S$7,'TAR FIN'!$A$1:$O$85,15,0)),0,VLOOKUP($S$7,'TAR FIN'!$A$1:$O$85,15,0))</f>
        <v>14.94</v>
      </c>
      <c r="W7" s="6">
        <f>IF(ISERROR(VLOOKUP($T$7,'TAR FIN'!$A$1:$O$85,15,0)),0,VLOOKUP($T$7,'TAR FIN'!$A$1:$O$85,15,0))</f>
        <v>0</v>
      </c>
      <c r="X7" s="6">
        <f>IF(ISERROR(VLOOKUP($U$7,'TAR FIN'!$A$1:$O$85,15,0)),0,VLOOKUP($U$7,'TAR FIN'!$A$1:$O$85,15,0))</f>
        <v>0</v>
      </c>
      <c r="Y7" s="6">
        <f ca="1">('TUSD BE'!$AM$6+'TUSD BF'!$AM$6+'TUSD CVA'!$AM$6)*1</f>
        <v>19.63429077280307</v>
      </c>
      <c r="Z7" s="6">
        <f ca="1">('TUSD BE'!$AM$7+'TUSD BF'!$AM$7+'TUSD CVA'!$AM$7)*1</f>
        <v>114.48039155571371</v>
      </c>
      <c r="AA7" s="6"/>
      <c r="AB7" s="6">
        <f>$K$7*$V$7</f>
        <v>13935.82245156</v>
      </c>
      <c r="AC7" s="6">
        <f>$M$7*$W$7</f>
        <v>0</v>
      </c>
      <c r="AD7" s="6">
        <f>$O$7*$X$7</f>
        <v>0</v>
      </c>
      <c r="AE7" s="6">
        <f ca="1">$K$7*$Y$7</f>
        <v>18314.591042308322</v>
      </c>
      <c r="AF7" s="6">
        <f ca="1">$M$7*$Z$7</f>
        <v>0</v>
      </c>
      <c r="AG7" s="6">
        <f>$O$7*$AA$7</f>
        <v>0</v>
      </c>
      <c r="AI7" s="60" t="s">
        <v>582</v>
      </c>
      <c r="AJ7" s="61">
        <f>+$AJ$2</f>
        <v>6711859.9372552615</v>
      </c>
      <c r="AK7" s="61">
        <f ca="1">+$AK$2</f>
        <v>8444761.2238491829</v>
      </c>
      <c r="AL7" s="62">
        <f t="shared" ca="1" si="0"/>
        <v>0.25818495957807075</v>
      </c>
      <c r="AN7" s="60" t="s">
        <v>582</v>
      </c>
      <c r="AO7" s="61">
        <f>+$AO$2</f>
        <v>6174625.7329272022</v>
      </c>
      <c r="AP7" s="61">
        <f>+$AP$2</f>
        <v>5809372.7195525654</v>
      </c>
      <c r="AQ7" s="62">
        <f t="shared" si="1"/>
        <v>-5.9153870885949478E-2</v>
      </c>
      <c r="AS7" s="60" t="s">
        <v>582</v>
      </c>
      <c r="AT7" s="61">
        <f>+$AT$2</f>
        <v>12886485.670182463</v>
      </c>
      <c r="AU7" s="61">
        <f ca="1">+$AU$2</f>
        <v>14254133.943401748</v>
      </c>
      <c r="AV7" s="62">
        <f t="shared" ca="1" si="2"/>
        <v>0.10613043060947436</v>
      </c>
    </row>
    <row r="8" spans="1:48" ht="11.25" customHeight="1" x14ac:dyDescent="0.25">
      <c r="A8" s="4" t="s">
        <v>21</v>
      </c>
      <c r="B8" s="4" t="s">
        <v>34</v>
      </c>
      <c r="C8" s="4" t="s">
        <v>51</v>
      </c>
      <c r="D8" s="4" t="s">
        <v>33</v>
      </c>
      <c r="E8" s="4" t="s">
        <v>25</v>
      </c>
      <c r="F8" s="4" t="s">
        <v>52</v>
      </c>
      <c r="G8" s="4" t="s">
        <v>25</v>
      </c>
      <c r="H8" s="4" t="s">
        <v>37</v>
      </c>
      <c r="I8" s="5">
        <v>44562</v>
      </c>
      <c r="J8" s="6">
        <v>1800</v>
      </c>
      <c r="K8" s="6">
        <v>901.16834400000005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53</v>
      </c>
      <c r="R8" s="4">
        <v>0</v>
      </c>
      <c r="S8" s="6">
        <v>2</v>
      </c>
      <c r="T8" s="6">
        <v>0</v>
      </c>
      <c r="U8" s="6">
        <v>0</v>
      </c>
      <c r="V8" s="6">
        <f>IF(ISERROR(VLOOKUP($S$8,'TAR FIN'!$A$1:$O$85,15,0)),0,VLOOKUP($S$8,'TAR FIN'!$A$1:$O$85,15,0))</f>
        <v>14.94</v>
      </c>
      <c r="W8" s="6">
        <f>IF(ISERROR(VLOOKUP($T$8,'TAR FIN'!$A$1:$O$85,15,0)),0,VLOOKUP($T$8,'TAR FIN'!$A$1:$O$85,15,0))</f>
        <v>0</v>
      </c>
      <c r="X8" s="6">
        <f>IF(ISERROR(VLOOKUP($U$8,'TAR FIN'!$A$1:$O$85,15,0)),0,VLOOKUP($U$8,'TAR FIN'!$A$1:$O$85,15,0))</f>
        <v>0</v>
      </c>
      <c r="Y8" s="6">
        <f ca="1">('TUSD BE'!$AM$6+'TUSD BF'!$AM$6+'TUSD CVA'!$AM$6)*1</f>
        <v>19.63429077280307</v>
      </c>
      <c r="Z8" s="6">
        <f ca="1">('TUSD BE'!$AM$7+'TUSD BF'!$AM$7+'TUSD CVA'!$AM$7)*1</f>
        <v>114.48039155571371</v>
      </c>
      <c r="AA8" s="6"/>
      <c r="AB8" s="6">
        <f>$K$8*$V$8</f>
        <v>13463.45505936</v>
      </c>
      <c r="AC8" s="6">
        <f>$M$8*$W$8</f>
        <v>0</v>
      </c>
      <c r="AD8" s="6">
        <f>$O$8*$X$8</f>
        <v>0</v>
      </c>
      <c r="AE8" s="6">
        <f ca="1">$K$8*$Y$8</f>
        <v>17693.801301341424</v>
      </c>
      <c r="AF8" s="6">
        <f ca="1">$M$8*$Z$8</f>
        <v>0</v>
      </c>
      <c r="AG8" s="6">
        <f>$O$8*$AA$8</f>
        <v>0</v>
      </c>
      <c r="AI8" s="60" t="s">
        <v>80</v>
      </c>
      <c r="AJ8" s="61">
        <f>+$AJ$3+$AJ$4+$AJ$5+$AJ$6</f>
        <v>11779398.598607995</v>
      </c>
      <c r="AK8" s="61">
        <f ca="1">+$AK$3+$AK$4+$AK$5+$AK$6</f>
        <v>13298050.773324324</v>
      </c>
      <c r="AL8" s="62">
        <f t="shared" ca="1" si="0"/>
        <v>0.12892442360306866</v>
      </c>
      <c r="AN8" s="60" t="s">
        <v>80</v>
      </c>
      <c r="AO8" s="61">
        <f>+$AO$3+$AO$4+$AO$5+$AO$6</f>
        <v>8588489.2248819992</v>
      </c>
      <c r="AP8" s="61">
        <f>+$AP$3+$AP$4+$AP$5+$AP$6</f>
        <v>8094429.9488832531</v>
      </c>
      <c r="AQ8" s="62">
        <f t="shared" si="1"/>
        <v>-5.7525749065084786E-2</v>
      </c>
      <c r="AS8" s="60" t="s">
        <v>80</v>
      </c>
      <c r="AT8" s="61">
        <f>+$AT$3+$AT$4+$AT$5+$AT$6</f>
        <v>20367887.823489998</v>
      </c>
      <c r="AU8" s="61">
        <f ca="1">+$AU$3+$AU$4+$AU$5+$AU$6</f>
        <v>21392480.722207576</v>
      </c>
      <c r="AV8" s="62">
        <f t="shared" ca="1" si="2"/>
        <v>5.0304327458831066E-2</v>
      </c>
    </row>
    <row r="9" spans="1:48" ht="11.25" customHeight="1" x14ac:dyDescent="0.25">
      <c r="A9" s="4" t="s">
        <v>21</v>
      </c>
      <c r="B9" s="4" t="s">
        <v>34</v>
      </c>
      <c r="C9" s="4" t="s">
        <v>51</v>
      </c>
      <c r="D9" s="4" t="s">
        <v>33</v>
      </c>
      <c r="E9" s="4" t="s">
        <v>25</v>
      </c>
      <c r="F9" s="4" t="s">
        <v>52</v>
      </c>
      <c r="G9" s="4" t="s">
        <v>25</v>
      </c>
      <c r="H9" s="4" t="s">
        <v>37</v>
      </c>
      <c r="I9" s="5">
        <v>44593</v>
      </c>
      <c r="J9" s="6">
        <v>1800</v>
      </c>
      <c r="K9" s="6">
        <v>900.80544599999996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53</v>
      </c>
      <c r="R9" s="4">
        <v>0</v>
      </c>
      <c r="S9" s="6">
        <v>2</v>
      </c>
      <c r="T9" s="6">
        <v>0</v>
      </c>
      <c r="U9" s="6">
        <v>0</v>
      </c>
      <c r="V9" s="6">
        <f>IF(ISERROR(VLOOKUP($S$9,'TAR FIN'!$A$1:$O$85,15,0)),0,VLOOKUP($S$9,'TAR FIN'!$A$1:$O$85,15,0))</f>
        <v>14.94</v>
      </c>
      <c r="W9" s="6">
        <f>IF(ISERROR(VLOOKUP($T$9,'TAR FIN'!$A$1:$O$85,15,0)),0,VLOOKUP($T$9,'TAR FIN'!$A$1:$O$85,15,0))</f>
        <v>0</v>
      </c>
      <c r="X9" s="6">
        <f>IF(ISERROR(VLOOKUP($U$9,'TAR FIN'!$A$1:$O$85,15,0)),0,VLOOKUP($U$9,'TAR FIN'!$A$1:$O$85,15,0))</f>
        <v>0</v>
      </c>
      <c r="Y9" s="6">
        <f ca="1">('TUSD BE'!$AM$6+'TUSD BF'!$AM$6+'TUSD CVA'!$AM$6)*1</f>
        <v>19.63429077280307</v>
      </c>
      <c r="Z9" s="6">
        <f ca="1">('TUSD BE'!$AM$7+'TUSD BF'!$AM$7+'TUSD CVA'!$AM$7)*1</f>
        <v>114.48039155571371</v>
      </c>
      <c r="AA9" s="6"/>
      <c r="AB9" s="6">
        <f>$K$9*$V$9</f>
        <v>13458.03336324</v>
      </c>
      <c r="AC9" s="6">
        <f>$M$9*$W$9</f>
        <v>0</v>
      </c>
      <c r="AD9" s="6">
        <f>$O$9*$X$9</f>
        <v>0</v>
      </c>
      <c r="AE9" s="6">
        <f ca="1">$K$9*$Y$9</f>
        <v>17686.676056488552</v>
      </c>
      <c r="AF9" s="6">
        <f ca="1">$M$9*$Z$9</f>
        <v>0</v>
      </c>
      <c r="AG9" s="6">
        <f>$O$9*$AA$9</f>
        <v>0</v>
      </c>
      <c r="AI9" s="60" t="s">
        <v>583</v>
      </c>
      <c r="AJ9" s="61">
        <f>AJ8+AJ7</f>
        <v>18491258.535863258</v>
      </c>
      <c r="AK9" s="61">
        <f ca="1">AK8+AK7</f>
        <v>21742811.997173507</v>
      </c>
      <c r="AL9" s="62">
        <f t="shared" ca="1" si="0"/>
        <v>0.17584273428463271</v>
      </c>
      <c r="AN9" s="60" t="s">
        <v>583</v>
      </c>
      <c r="AO9" s="61">
        <f>AO8+AO7</f>
        <v>14763114.957809202</v>
      </c>
      <c r="AP9" s="61">
        <f>AP8+AP7</f>
        <v>13903802.668435819</v>
      </c>
      <c r="AQ9" s="62">
        <f t="shared" si="1"/>
        <v>-5.8206705822529292E-2</v>
      </c>
      <c r="AS9" s="60" t="s">
        <v>583</v>
      </c>
      <c r="AT9" s="61">
        <f>AT8+AT7</f>
        <v>33254373.49367246</v>
      </c>
      <c r="AU9" s="61">
        <f ca="1">AU8+AU7</f>
        <v>35646614.665609322</v>
      </c>
      <c r="AV9" s="62">
        <f t="shared" ca="1" si="2"/>
        <v>7.1937640695352467E-2</v>
      </c>
    </row>
    <row r="10" spans="1:48" ht="11.25" customHeight="1" x14ac:dyDescent="0.25">
      <c r="A10" s="4" t="s">
        <v>21</v>
      </c>
      <c r="B10" s="4" t="s">
        <v>34</v>
      </c>
      <c r="C10" s="4" t="s">
        <v>51</v>
      </c>
      <c r="D10" s="4" t="s">
        <v>33</v>
      </c>
      <c r="E10" s="4" t="s">
        <v>25</v>
      </c>
      <c r="F10" s="4" t="s">
        <v>52</v>
      </c>
      <c r="G10" s="4" t="s">
        <v>25</v>
      </c>
      <c r="H10" s="4" t="s">
        <v>37</v>
      </c>
      <c r="I10" s="5">
        <v>44621</v>
      </c>
      <c r="J10" s="6">
        <v>1800</v>
      </c>
      <c r="K10" s="6">
        <v>901.23863400000005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53</v>
      </c>
      <c r="R10" s="4">
        <v>0</v>
      </c>
      <c r="S10" s="6">
        <v>2</v>
      </c>
      <c r="T10" s="6">
        <v>0</v>
      </c>
      <c r="U10" s="6">
        <v>0</v>
      </c>
      <c r="V10" s="6">
        <f>IF(ISERROR(VLOOKUP($S$10,'TAR FIN'!$A$1:$O$85,15,0)),0,VLOOKUP($S$10,'TAR FIN'!$A$1:$O$85,15,0))</f>
        <v>14.94</v>
      </c>
      <c r="W10" s="6">
        <f>IF(ISERROR(VLOOKUP($T$10,'TAR FIN'!$A$1:$O$85,15,0)),0,VLOOKUP($T$10,'TAR FIN'!$A$1:$O$85,15,0))</f>
        <v>0</v>
      </c>
      <c r="X10" s="6">
        <f>IF(ISERROR(VLOOKUP($U$10,'TAR FIN'!$A$1:$O$85,15,0)),0,VLOOKUP($U$10,'TAR FIN'!$A$1:$O$85,15,0))</f>
        <v>0</v>
      </c>
      <c r="Y10" s="6">
        <f ca="1">('TUSD BE'!$AM$6+'TUSD BF'!$AM$6+'TUSD CVA'!$AM$6)*1</f>
        <v>19.63429077280307</v>
      </c>
      <c r="Z10" s="6">
        <f ca="1">('TUSD BE'!$AM$7+'TUSD BF'!$AM$7+'TUSD CVA'!$AM$7)*1</f>
        <v>114.48039155571371</v>
      </c>
      <c r="AA10" s="6"/>
      <c r="AB10" s="6">
        <f>$K$10*$V$10</f>
        <v>13464.505191960001</v>
      </c>
      <c r="AC10" s="6">
        <f>$M$10*$W$10</f>
        <v>0</v>
      </c>
      <c r="AD10" s="6">
        <f>$O$10*$X$10</f>
        <v>0</v>
      </c>
      <c r="AE10" s="6">
        <f ca="1">$K$10*$Y$10</f>
        <v>17695.181395639844</v>
      </c>
      <c r="AF10" s="6">
        <f ca="1">$M$10*$Z$10</f>
        <v>0</v>
      </c>
      <c r="AG10" s="6">
        <f>$O$10*$AA$10</f>
        <v>0</v>
      </c>
    </row>
    <row r="11" spans="1:48" ht="11.25" customHeight="1" x14ac:dyDescent="0.25">
      <c r="A11" s="4" t="s">
        <v>21</v>
      </c>
      <c r="B11" s="4" t="s">
        <v>34</v>
      </c>
      <c r="C11" s="4" t="s">
        <v>51</v>
      </c>
      <c r="D11" s="4" t="s">
        <v>33</v>
      </c>
      <c r="E11" s="4" t="s">
        <v>25</v>
      </c>
      <c r="F11" s="4" t="s">
        <v>52</v>
      </c>
      <c r="G11" s="4" t="s">
        <v>25</v>
      </c>
      <c r="H11" s="4" t="s">
        <v>37</v>
      </c>
      <c r="I11" s="5">
        <v>44652</v>
      </c>
      <c r="J11" s="6">
        <v>1800</v>
      </c>
      <c r="K11" s="6">
        <v>901.65754800000002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53</v>
      </c>
      <c r="R11" s="4">
        <v>0</v>
      </c>
      <c r="S11" s="6">
        <v>2</v>
      </c>
      <c r="T11" s="6">
        <v>0</v>
      </c>
      <c r="U11" s="6">
        <v>0</v>
      </c>
      <c r="V11" s="6">
        <f>IF(ISERROR(VLOOKUP($S$11,'TAR FIN'!$A$1:$O$85,15,0)),0,VLOOKUP($S$11,'TAR FIN'!$A$1:$O$85,15,0))</f>
        <v>14.94</v>
      </c>
      <c r="W11" s="6">
        <f>IF(ISERROR(VLOOKUP($T$11,'TAR FIN'!$A$1:$O$85,15,0)),0,VLOOKUP($T$11,'TAR FIN'!$A$1:$O$85,15,0))</f>
        <v>0</v>
      </c>
      <c r="X11" s="6">
        <f>IF(ISERROR(VLOOKUP($U$11,'TAR FIN'!$A$1:$O$85,15,0)),0,VLOOKUP($U$11,'TAR FIN'!$A$1:$O$85,15,0))</f>
        <v>0</v>
      </c>
      <c r="Y11" s="6">
        <f ca="1">('TUSD BE'!$AM$6+'TUSD BF'!$AM$6+'TUSD CVA'!$AM$6)*1</f>
        <v>19.63429077280307</v>
      </c>
      <c r="Z11" s="6">
        <f ca="1">('TUSD BE'!$AM$7+'TUSD BF'!$AM$7+'TUSD CVA'!$AM$7)*1</f>
        <v>114.48039155571371</v>
      </c>
      <c r="AA11" s="6"/>
      <c r="AB11" s="6">
        <f>$K$11*$V$11</f>
        <v>13470.763767119999</v>
      </c>
      <c r="AC11" s="6">
        <f>$M$11*$W$11</f>
        <v>0</v>
      </c>
      <c r="AD11" s="6">
        <f>$O$11*$X$11</f>
        <v>0</v>
      </c>
      <c r="AE11" s="6">
        <f ca="1">$K$11*$Y$11</f>
        <v>17703.406474924643</v>
      </c>
      <c r="AF11" s="6">
        <f ca="1">$M$11*$Z$11</f>
        <v>0</v>
      </c>
      <c r="AG11" s="6">
        <f>$O$11*$AA$11</f>
        <v>0</v>
      </c>
    </row>
    <row r="12" spans="1:48" ht="11.25" customHeight="1" x14ac:dyDescent="0.25">
      <c r="A12" s="4" t="s">
        <v>21</v>
      </c>
      <c r="B12" s="4" t="s">
        <v>34</v>
      </c>
      <c r="C12" s="4" t="s">
        <v>51</v>
      </c>
      <c r="D12" s="4" t="s">
        <v>33</v>
      </c>
      <c r="E12" s="4" t="s">
        <v>25</v>
      </c>
      <c r="F12" s="4" t="s">
        <v>52</v>
      </c>
      <c r="G12" s="4" t="s">
        <v>25</v>
      </c>
      <c r="H12" s="4" t="s">
        <v>37</v>
      </c>
      <c r="I12" s="5">
        <v>44682</v>
      </c>
      <c r="J12" s="6">
        <v>1800</v>
      </c>
      <c r="K12" s="6">
        <v>990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53</v>
      </c>
      <c r="R12" s="4">
        <v>0</v>
      </c>
      <c r="S12" s="6">
        <v>2</v>
      </c>
      <c r="T12" s="6">
        <v>0</v>
      </c>
      <c r="U12" s="6">
        <v>0</v>
      </c>
      <c r="V12" s="6">
        <f>IF(ISERROR(VLOOKUP($S$12,'TAR FIN'!$A$1:$O$85,15,0)),0,VLOOKUP($S$12,'TAR FIN'!$A$1:$O$85,15,0))</f>
        <v>14.94</v>
      </c>
      <c r="W12" s="6">
        <f>IF(ISERROR(VLOOKUP($T$12,'TAR FIN'!$A$1:$O$85,15,0)),0,VLOOKUP($T$12,'TAR FIN'!$A$1:$O$85,15,0))</f>
        <v>0</v>
      </c>
      <c r="X12" s="6">
        <f>IF(ISERROR(VLOOKUP($U$12,'TAR FIN'!$A$1:$O$85,15,0)),0,VLOOKUP($U$12,'TAR FIN'!$A$1:$O$85,15,0))</f>
        <v>0</v>
      </c>
      <c r="Y12" s="6">
        <f ca="1">('TUSD BE'!$AM$6+'TUSD BF'!$AM$6+'TUSD CVA'!$AM$6)*1</f>
        <v>19.63429077280307</v>
      </c>
      <c r="Z12" s="6">
        <f ca="1">('TUSD BE'!$AM$7+'TUSD BF'!$AM$7+'TUSD CVA'!$AM$7)*1</f>
        <v>114.48039155571371</v>
      </c>
      <c r="AA12" s="6"/>
      <c r="AB12" s="6">
        <f>$K$12*$V$12</f>
        <v>14790.6</v>
      </c>
      <c r="AC12" s="6">
        <f>$M$12*$W$12</f>
        <v>0</v>
      </c>
      <c r="AD12" s="6">
        <f>$O$12*$X$12</f>
        <v>0</v>
      </c>
      <c r="AE12" s="6">
        <f ca="1">$K$12*$Y$12</f>
        <v>19437.947865075039</v>
      </c>
      <c r="AF12" s="6">
        <f ca="1">$M$12*$Z$12</f>
        <v>0</v>
      </c>
      <c r="AG12" s="6">
        <f>$O$12*$AA$12</f>
        <v>0</v>
      </c>
    </row>
    <row r="13" spans="1:48" ht="11.25" customHeight="1" x14ac:dyDescent="0.25">
      <c r="A13" s="4" t="s">
        <v>21</v>
      </c>
      <c r="B13" s="4" t="s">
        <v>34</v>
      </c>
      <c r="C13" s="4" t="s">
        <v>51</v>
      </c>
      <c r="D13" s="4" t="s">
        <v>33</v>
      </c>
      <c r="E13" s="4" t="s">
        <v>25</v>
      </c>
      <c r="F13" s="4" t="s">
        <v>52</v>
      </c>
      <c r="G13" s="4" t="s">
        <v>25</v>
      </c>
      <c r="H13" s="4" t="s">
        <v>37</v>
      </c>
      <c r="I13" s="5">
        <v>44713</v>
      </c>
      <c r="J13" s="6">
        <v>1800</v>
      </c>
      <c r="K13" s="6">
        <v>990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53</v>
      </c>
      <c r="R13" s="4">
        <v>0</v>
      </c>
      <c r="S13" s="6">
        <v>2</v>
      </c>
      <c r="T13" s="6">
        <v>0</v>
      </c>
      <c r="U13" s="6">
        <v>0</v>
      </c>
      <c r="V13" s="6">
        <f>IF(ISERROR(VLOOKUP($S$13,'TAR FIN'!$A$1:$O$85,15,0)),0,VLOOKUP($S$13,'TAR FIN'!$A$1:$O$85,15,0))</f>
        <v>14.94</v>
      </c>
      <c r="W13" s="6">
        <f>IF(ISERROR(VLOOKUP($T$13,'TAR FIN'!$A$1:$O$85,15,0)),0,VLOOKUP($T$13,'TAR FIN'!$A$1:$O$85,15,0))</f>
        <v>0</v>
      </c>
      <c r="X13" s="6">
        <f>IF(ISERROR(VLOOKUP($U$13,'TAR FIN'!$A$1:$O$85,15,0)),0,VLOOKUP($U$13,'TAR FIN'!$A$1:$O$85,15,0))</f>
        <v>0</v>
      </c>
      <c r="Y13" s="6">
        <f ca="1">('TUSD BE'!$AM$6+'TUSD BF'!$AM$6+'TUSD CVA'!$AM$6)*1</f>
        <v>19.63429077280307</v>
      </c>
      <c r="Z13" s="6">
        <f ca="1">('TUSD BE'!$AM$7+'TUSD BF'!$AM$7+'TUSD CVA'!$AM$7)*1</f>
        <v>114.48039155571371</v>
      </c>
      <c r="AA13" s="6"/>
      <c r="AB13" s="6">
        <f>$K$13*$V$13</f>
        <v>14790.6</v>
      </c>
      <c r="AC13" s="6">
        <f>$M$13*$W$13</f>
        <v>0</v>
      </c>
      <c r="AD13" s="6">
        <f>$O$13*$X$13</f>
        <v>0</v>
      </c>
      <c r="AE13" s="6">
        <f ca="1">$K$13*$Y$13</f>
        <v>19437.947865075039</v>
      </c>
      <c r="AF13" s="6">
        <f ca="1">$M$13*$Z$13</f>
        <v>0</v>
      </c>
      <c r="AG13" s="6">
        <f>$O$13*$AA$13</f>
        <v>0</v>
      </c>
    </row>
    <row r="14" spans="1:48" ht="11.25" customHeight="1" x14ac:dyDescent="0.25">
      <c r="A14" s="4" t="s">
        <v>21</v>
      </c>
      <c r="B14" s="4" t="s">
        <v>34</v>
      </c>
      <c r="C14" s="4" t="s">
        <v>51</v>
      </c>
      <c r="D14" s="4" t="s">
        <v>33</v>
      </c>
      <c r="E14" s="4" t="s">
        <v>25</v>
      </c>
      <c r="F14" s="4" t="s">
        <v>52</v>
      </c>
      <c r="G14" s="4" t="s">
        <v>25</v>
      </c>
      <c r="H14" s="4" t="s">
        <v>25</v>
      </c>
      <c r="I14" s="5">
        <v>44378</v>
      </c>
      <c r="J14" s="6">
        <v>0</v>
      </c>
      <c r="K14" s="6">
        <v>0</v>
      </c>
      <c r="L14" s="6">
        <v>816.21</v>
      </c>
      <c r="M14" s="6">
        <v>816.21</v>
      </c>
      <c r="N14" s="6">
        <v>0</v>
      </c>
      <c r="O14" s="6">
        <v>0</v>
      </c>
      <c r="P14" s="6">
        <v>1</v>
      </c>
      <c r="Q14" s="4" t="s">
        <v>53</v>
      </c>
      <c r="R14" s="4">
        <v>0</v>
      </c>
      <c r="S14" s="6">
        <v>0</v>
      </c>
      <c r="T14" s="6">
        <v>19</v>
      </c>
      <c r="U14" s="6">
        <v>0</v>
      </c>
      <c r="V14" s="6">
        <f>IF(ISERROR(VLOOKUP($S$14,'TAR FIN'!$A$1:$O$85,15,0)),0,VLOOKUP($S$14,'TAR FIN'!$A$1:$O$85,15,0))</f>
        <v>0</v>
      </c>
      <c r="W14" s="6">
        <f>IF(ISERROR(VLOOKUP($T$14,'TAR FIN'!$A$1:$O$85,15,0)),0,VLOOKUP($T$14,'TAR FIN'!$A$1:$O$85,15,0))</f>
        <v>78.650000000000006</v>
      </c>
      <c r="X14" s="6">
        <f>IF(ISERROR(VLOOKUP($U$14,'TAR FIN'!$A$1:$O$85,15,0)),0,VLOOKUP($U$14,'TAR FIN'!$A$1:$O$85,15,0))</f>
        <v>0</v>
      </c>
      <c r="Y14" s="6"/>
      <c r="Z14" s="6">
        <f ca="1">('TUSD BE'!$AM$7+'TUSD BF'!$AM$7+'TUSD CVA'!$AM$7)*1</f>
        <v>114.48039155571371</v>
      </c>
      <c r="AA14" s="6"/>
      <c r="AB14" s="6">
        <f>$K$14*$V$14</f>
        <v>0</v>
      </c>
      <c r="AC14" s="6">
        <f>$M$14*$W$14</f>
        <v>64194.916500000007</v>
      </c>
      <c r="AD14" s="6">
        <f>$O$14*$X$14</f>
        <v>0</v>
      </c>
      <c r="AE14" s="6">
        <f>$K$14*$Y$14</f>
        <v>0</v>
      </c>
      <c r="AF14" s="6">
        <f ca="1">$M$14*$Z$14</f>
        <v>93440.040391689094</v>
      </c>
      <c r="AG14" s="6">
        <f>$O$14*$AA$14</f>
        <v>0</v>
      </c>
    </row>
    <row r="15" spans="1:48" ht="11.25" customHeight="1" x14ac:dyDescent="0.25">
      <c r="A15" s="4" t="s">
        <v>21</v>
      </c>
      <c r="B15" s="4" t="s">
        <v>34</v>
      </c>
      <c r="C15" s="4" t="s">
        <v>51</v>
      </c>
      <c r="D15" s="4" t="s">
        <v>33</v>
      </c>
      <c r="E15" s="4" t="s">
        <v>25</v>
      </c>
      <c r="F15" s="4" t="s">
        <v>52</v>
      </c>
      <c r="G15" s="4" t="s">
        <v>25</v>
      </c>
      <c r="H15" s="4" t="s">
        <v>25</v>
      </c>
      <c r="I15" s="5">
        <v>44409</v>
      </c>
      <c r="J15" s="6">
        <v>0</v>
      </c>
      <c r="K15" s="6">
        <v>0</v>
      </c>
      <c r="L15" s="6">
        <v>769.80899999999997</v>
      </c>
      <c r="M15" s="6">
        <v>769.80899999999997</v>
      </c>
      <c r="N15" s="6">
        <v>0</v>
      </c>
      <c r="O15" s="6">
        <v>0</v>
      </c>
      <c r="P15" s="6">
        <v>1</v>
      </c>
      <c r="Q15" s="4" t="s">
        <v>53</v>
      </c>
      <c r="R15" s="4">
        <v>0</v>
      </c>
      <c r="S15" s="6">
        <v>0</v>
      </c>
      <c r="T15" s="6">
        <v>19</v>
      </c>
      <c r="U15" s="6">
        <v>0</v>
      </c>
      <c r="V15" s="6">
        <f>IF(ISERROR(VLOOKUP($S$15,'TAR FIN'!$A$1:$O$85,15,0)),0,VLOOKUP($S$15,'TAR FIN'!$A$1:$O$85,15,0))</f>
        <v>0</v>
      </c>
      <c r="W15" s="6">
        <f>IF(ISERROR(VLOOKUP($T$15,'TAR FIN'!$A$1:$O$85,15,0)),0,VLOOKUP($T$15,'TAR FIN'!$A$1:$O$85,15,0))</f>
        <v>78.650000000000006</v>
      </c>
      <c r="X15" s="6">
        <f>IF(ISERROR(VLOOKUP($U$15,'TAR FIN'!$A$1:$O$85,15,0)),0,VLOOKUP($U$15,'TAR FIN'!$A$1:$O$85,15,0))</f>
        <v>0</v>
      </c>
      <c r="Y15" s="6"/>
      <c r="Z15" s="6">
        <f ca="1">('TUSD BE'!$AM$7+'TUSD BF'!$AM$7+'TUSD CVA'!$AM$7)*1</f>
        <v>114.48039155571371</v>
      </c>
      <c r="AA15" s="6"/>
      <c r="AB15" s="6">
        <f>$K$15*$V$15</f>
        <v>0</v>
      </c>
      <c r="AC15" s="6">
        <f>$M$15*$W$15</f>
        <v>60545.477850000003</v>
      </c>
      <c r="AD15" s="6">
        <f>$O$15*$X$15</f>
        <v>0</v>
      </c>
      <c r="AE15" s="6">
        <f>$K$15*$Y$15</f>
        <v>0</v>
      </c>
      <c r="AF15" s="6">
        <f ca="1">$M$15*$Z$15</f>
        <v>88128.035743112414</v>
      </c>
      <c r="AG15" s="6">
        <f>$O$15*$AA$15</f>
        <v>0</v>
      </c>
    </row>
    <row r="16" spans="1:48" ht="11.25" customHeight="1" x14ac:dyDescent="0.25">
      <c r="A16" s="4" t="s">
        <v>21</v>
      </c>
      <c r="B16" s="4" t="s">
        <v>34</v>
      </c>
      <c r="C16" s="4" t="s">
        <v>51</v>
      </c>
      <c r="D16" s="4" t="s">
        <v>33</v>
      </c>
      <c r="E16" s="4" t="s">
        <v>25</v>
      </c>
      <c r="F16" s="4" t="s">
        <v>52</v>
      </c>
      <c r="G16" s="4" t="s">
        <v>25</v>
      </c>
      <c r="H16" s="4" t="s">
        <v>25</v>
      </c>
      <c r="I16" s="5">
        <v>44440</v>
      </c>
      <c r="J16" s="6">
        <v>0</v>
      </c>
      <c r="K16" s="6">
        <v>0</v>
      </c>
      <c r="L16" s="6">
        <v>736.49300000000005</v>
      </c>
      <c r="M16" s="6">
        <v>736.49300000000005</v>
      </c>
      <c r="N16" s="6">
        <v>0</v>
      </c>
      <c r="O16" s="6">
        <v>0</v>
      </c>
      <c r="P16" s="6">
        <v>1</v>
      </c>
      <c r="Q16" s="4" t="s">
        <v>53</v>
      </c>
      <c r="R16" s="4">
        <v>0</v>
      </c>
      <c r="S16" s="6">
        <v>0</v>
      </c>
      <c r="T16" s="6">
        <v>19</v>
      </c>
      <c r="U16" s="6">
        <v>0</v>
      </c>
      <c r="V16" s="6">
        <f>IF(ISERROR(VLOOKUP($S$16,'TAR FIN'!$A$1:$O$85,15,0)),0,VLOOKUP($S$16,'TAR FIN'!$A$1:$O$85,15,0))</f>
        <v>0</v>
      </c>
      <c r="W16" s="6">
        <f>IF(ISERROR(VLOOKUP($T$16,'TAR FIN'!$A$1:$O$85,15,0)),0,VLOOKUP($T$16,'TAR FIN'!$A$1:$O$85,15,0))</f>
        <v>78.650000000000006</v>
      </c>
      <c r="X16" s="6">
        <f>IF(ISERROR(VLOOKUP($U$16,'TAR FIN'!$A$1:$O$85,15,0)),0,VLOOKUP($U$16,'TAR FIN'!$A$1:$O$85,15,0))</f>
        <v>0</v>
      </c>
      <c r="Y16" s="6"/>
      <c r="Z16" s="6">
        <f ca="1">('TUSD BE'!$AM$7+'TUSD BF'!$AM$7+'TUSD CVA'!$AM$7)*1</f>
        <v>114.48039155571371</v>
      </c>
      <c r="AA16" s="6"/>
      <c r="AB16" s="6">
        <f>$K$16*$V$16</f>
        <v>0</v>
      </c>
      <c r="AC16" s="6">
        <f>$M$16*$W$16</f>
        <v>57925.174450000006</v>
      </c>
      <c r="AD16" s="6">
        <f>$O$16*$X$16</f>
        <v>0</v>
      </c>
      <c r="AE16" s="6">
        <f>$K$16*$Y$16</f>
        <v>0</v>
      </c>
      <c r="AF16" s="6">
        <f ca="1">$M$16*$Z$16</f>
        <v>84314.007018042263</v>
      </c>
      <c r="AG16" s="6">
        <f>$O$16*$AA$16</f>
        <v>0</v>
      </c>
    </row>
    <row r="17" spans="1:33" ht="11.25" customHeight="1" x14ac:dyDescent="0.25">
      <c r="A17" s="4" t="s">
        <v>21</v>
      </c>
      <c r="B17" s="4" t="s">
        <v>34</v>
      </c>
      <c r="C17" s="4" t="s">
        <v>51</v>
      </c>
      <c r="D17" s="4" t="s">
        <v>33</v>
      </c>
      <c r="E17" s="4" t="s">
        <v>25</v>
      </c>
      <c r="F17" s="4" t="s">
        <v>52</v>
      </c>
      <c r="G17" s="4" t="s">
        <v>25</v>
      </c>
      <c r="H17" s="4" t="s">
        <v>25</v>
      </c>
      <c r="I17" s="5">
        <v>44470</v>
      </c>
      <c r="J17" s="6">
        <v>0</v>
      </c>
      <c r="K17" s="6">
        <v>0</v>
      </c>
      <c r="L17" s="6">
        <v>814.29600000000005</v>
      </c>
      <c r="M17" s="6">
        <v>814.29600000000005</v>
      </c>
      <c r="N17" s="6">
        <v>0</v>
      </c>
      <c r="O17" s="6">
        <v>0</v>
      </c>
      <c r="P17" s="6">
        <v>1</v>
      </c>
      <c r="Q17" s="4" t="s">
        <v>53</v>
      </c>
      <c r="R17" s="4">
        <v>0</v>
      </c>
      <c r="S17" s="6">
        <v>0</v>
      </c>
      <c r="T17" s="6">
        <v>19</v>
      </c>
      <c r="U17" s="6">
        <v>0</v>
      </c>
      <c r="V17" s="6">
        <f>IF(ISERROR(VLOOKUP($S$17,'TAR FIN'!$A$1:$O$85,15,0)),0,VLOOKUP($S$17,'TAR FIN'!$A$1:$O$85,15,0))</f>
        <v>0</v>
      </c>
      <c r="W17" s="6">
        <f>IF(ISERROR(VLOOKUP($T$17,'TAR FIN'!$A$1:$O$85,15,0)),0,VLOOKUP($T$17,'TAR FIN'!$A$1:$O$85,15,0))</f>
        <v>78.650000000000006</v>
      </c>
      <c r="X17" s="6">
        <f>IF(ISERROR(VLOOKUP($U$17,'TAR FIN'!$A$1:$O$85,15,0)),0,VLOOKUP($U$17,'TAR FIN'!$A$1:$O$85,15,0))</f>
        <v>0</v>
      </c>
      <c r="Y17" s="6"/>
      <c r="Z17" s="6">
        <f ca="1">('TUSD BE'!$AM$7+'TUSD BF'!$AM$7+'TUSD CVA'!$AM$7)*1</f>
        <v>114.48039155571371</v>
      </c>
      <c r="AA17" s="6"/>
      <c r="AB17" s="6">
        <f>$K$17*$V$17</f>
        <v>0</v>
      </c>
      <c r="AC17" s="6">
        <f>$M$17*$W$17</f>
        <v>64044.380400000009</v>
      </c>
      <c r="AD17" s="6">
        <f>$O$17*$X$17</f>
        <v>0</v>
      </c>
      <c r="AE17" s="6">
        <f>$K$17*$Y$17</f>
        <v>0</v>
      </c>
      <c r="AF17" s="6">
        <f ca="1">$M$17*$Z$17</f>
        <v>93220.924922251463</v>
      </c>
      <c r="AG17" s="6">
        <f>$O$17*$AA$17</f>
        <v>0</v>
      </c>
    </row>
    <row r="18" spans="1:33" ht="11.25" customHeight="1" x14ac:dyDescent="0.25">
      <c r="A18" s="4" t="s">
        <v>21</v>
      </c>
      <c r="B18" s="4" t="s">
        <v>34</v>
      </c>
      <c r="C18" s="4" t="s">
        <v>51</v>
      </c>
      <c r="D18" s="4" t="s">
        <v>33</v>
      </c>
      <c r="E18" s="4" t="s">
        <v>25</v>
      </c>
      <c r="F18" s="4" t="s">
        <v>52</v>
      </c>
      <c r="G18" s="4" t="s">
        <v>25</v>
      </c>
      <c r="H18" s="4" t="s">
        <v>25</v>
      </c>
      <c r="I18" s="5">
        <v>44501</v>
      </c>
      <c r="J18" s="6">
        <v>0</v>
      </c>
      <c r="K18" s="6">
        <v>0</v>
      </c>
      <c r="L18" s="6">
        <v>772.84299999999996</v>
      </c>
      <c r="M18" s="6">
        <v>772.84299999999996</v>
      </c>
      <c r="N18" s="6">
        <v>0</v>
      </c>
      <c r="O18" s="6">
        <v>0</v>
      </c>
      <c r="P18" s="6">
        <v>1</v>
      </c>
      <c r="Q18" s="4" t="s">
        <v>53</v>
      </c>
      <c r="R18" s="4">
        <v>0</v>
      </c>
      <c r="S18" s="6">
        <v>0</v>
      </c>
      <c r="T18" s="6">
        <v>19</v>
      </c>
      <c r="U18" s="6">
        <v>0</v>
      </c>
      <c r="V18" s="6">
        <f>IF(ISERROR(VLOOKUP($S$18,'TAR FIN'!$A$1:$O$85,15,0)),0,VLOOKUP($S$18,'TAR FIN'!$A$1:$O$85,15,0))</f>
        <v>0</v>
      </c>
      <c r="W18" s="6">
        <f>IF(ISERROR(VLOOKUP($T$18,'TAR FIN'!$A$1:$O$85,15,0)),0,VLOOKUP($T$18,'TAR FIN'!$A$1:$O$85,15,0))</f>
        <v>78.650000000000006</v>
      </c>
      <c r="X18" s="6">
        <f>IF(ISERROR(VLOOKUP($U$18,'TAR FIN'!$A$1:$O$85,15,0)),0,VLOOKUP($U$18,'TAR FIN'!$A$1:$O$85,15,0))</f>
        <v>0</v>
      </c>
      <c r="Y18" s="6"/>
      <c r="Z18" s="6">
        <f ca="1">('TUSD BE'!$AM$7+'TUSD BF'!$AM$7+'TUSD CVA'!$AM$7)*1</f>
        <v>114.48039155571371</v>
      </c>
      <c r="AA18" s="6"/>
      <c r="AB18" s="6">
        <f>$K$18*$V$18</f>
        <v>0</v>
      </c>
      <c r="AC18" s="6">
        <f>$M$18*$W$18</f>
        <v>60784.101950000004</v>
      </c>
      <c r="AD18" s="6">
        <f>$O$18*$X$18</f>
        <v>0</v>
      </c>
      <c r="AE18" s="6">
        <f>$K$18*$Y$18</f>
        <v>0</v>
      </c>
      <c r="AF18" s="6">
        <f ca="1">$M$18*$Z$18</f>
        <v>88475.369251092445</v>
      </c>
      <c r="AG18" s="6">
        <f>$O$18*$AA$18</f>
        <v>0</v>
      </c>
    </row>
    <row r="19" spans="1:33" ht="11.25" customHeight="1" x14ac:dyDescent="0.25">
      <c r="A19" s="4" t="s">
        <v>21</v>
      </c>
      <c r="B19" s="4" t="s">
        <v>34</v>
      </c>
      <c r="C19" s="4" t="s">
        <v>51</v>
      </c>
      <c r="D19" s="4" t="s">
        <v>33</v>
      </c>
      <c r="E19" s="4" t="s">
        <v>25</v>
      </c>
      <c r="F19" s="4" t="s">
        <v>52</v>
      </c>
      <c r="G19" s="4" t="s">
        <v>25</v>
      </c>
      <c r="H19" s="4" t="s">
        <v>25</v>
      </c>
      <c r="I19" s="5">
        <v>44531</v>
      </c>
      <c r="J19" s="6">
        <v>0</v>
      </c>
      <c r="K19" s="6">
        <v>0</v>
      </c>
      <c r="L19" s="6">
        <v>596.46600000000001</v>
      </c>
      <c r="M19" s="6">
        <v>596.46600000000001</v>
      </c>
      <c r="N19" s="6">
        <v>0</v>
      </c>
      <c r="O19" s="6">
        <v>0</v>
      </c>
      <c r="P19" s="6">
        <v>1</v>
      </c>
      <c r="Q19" s="4" t="s">
        <v>53</v>
      </c>
      <c r="R19" s="4">
        <v>0</v>
      </c>
      <c r="S19" s="6">
        <v>0</v>
      </c>
      <c r="T19" s="6">
        <v>19</v>
      </c>
      <c r="U19" s="6">
        <v>0</v>
      </c>
      <c r="V19" s="6">
        <f>IF(ISERROR(VLOOKUP($S$19,'TAR FIN'!$A$1:$O$85,15,0)),0,VLOOKUP($S$19,'TAR FIN'!$A$1:$O$85,15,0))</f>
        <v>0</v>
      </c>
      <c r="W19" s="6">
        <f>IF(ISERROR(VLOOKUP($T$19,'TAR FIN'!$A$1:$O$85,15,0)),0,VLOOKUP($T$19,'TAR FIN'!$A$1:$O$85,15,0))</f>
        <v>78.650000000000006</v>
      </c>
      <c r="X19" s="6">
        <f>IF(ISERROR(VLOOKUP($U$19,'TAR FIN'!$A$1:$O$85,15,0)),0,VLOOKUP($U$19,'TAR FIN'!$A$1:$O$85,15,0))</f>
        <v>0</v>
      </c>
      <c r="Y19" s="6"/>
      <c r="Z19" s="6">
        <f ca="1">('TUSD BE'!$AM$7+'TUSD BF'!$AM$7+'TUSD CVA'!$AM$7)*1</f>
        <v>114.48039155571371</v>
      </c>
      <c r="AA19" s="6"/>
      <c r="AB19" s="6">
        <f>$K$19*$V$19</f>
        <v>0</v>
      </c>
      <c r="AC19" s="6">
        <f>$M$19*$W$19</f>
        <v>46912.050900000002</v>
      </c>
      <c r="AD19" s="6">
        <f>$O$19*$X$19</f>
        <v>0</v>
      </c>
      <c r="AE19" s="6">
        <f>$K$19*$Y$19</f>
        <v>0</v>
      </c>
      <c r="AF19" s="6">
        <f ca="1">$M$19*$Z$19</f>
        <v>68283.661229670339</v>
      </c>
      <c r="AG19" s="6">
        <f>$O$19*$AA$19</f>
        <v>0</v>
      </c>
    </row>
    <row r="20" spans="1:33" ht="11.25" customHeight="1" x14ac:dyDescent="0.25">
      <c r="A20" s="4" t="s">
        <v>21</v>
      </c>
      <c r="B20" s="4" t="s">
        <v>34</v>
      </c>
      <c r="C20" s="4" t="s">
        <v>51</v>
      </c>
      <c r="D20" s="4" t="s">
        <v>33</v>
      </c>
      <c r="E20" s="4" t="s">
        <v>25</v>
      </c>
      <c r="F20" s="4" t="s">
        <v>52</v>
      </c>
      <c r="G20" s="4" t="s">
        <v>25</v>
      </c>
      <c r="H20" s="4" t="s">
        <v>25</v>
      </c>
      <c r="I20" s="5">
        <v>44562</v>
      </c>
      <c r="J20" s="6">
        <v>0</v>
      </c>
      <c r="K20" s="6">
        <v>0</v>
      </c>
      <c r="L20" s="6">
        <v>601.54100000000005</v>
      </c>
      <c r="M20" s="6">
        <v>601.54100000000005</v>
      </c>
      <c r="N20" s="6">
        <v>0</v>
      </c>
      <c r="O20" s="6">
        <v>0</v>
      </c>
      <c r="P20" s="6">
        <v>1</v>
      </c>
      <c r="Q20" s="4" t="s">
        <v>53</v>
      </c>
      <c r="R20" s="4">
        <v>0</v>
      </c>
      <c r="S20" s="6">
        <v>0</v>
      </c>
      <c r="T20" s="6">
        <v>19</v>
      </c>
      <c r="U20" s="6">
        <v>0</v>
      </c>
      <c r="V20" s="6">
        <f>IF(ISERROR(VLOOKUP($S$20,'TAR FIN'!$A$1:$O$85,15,0)),0,VLOOKUP($S$20,'TAR FIN'!$A$1:$O$85,15,0))</f>
        <v>0</v>
      </c>
      <c r="W20" s="6">
        <f>IF(ISERROR(VLOOKUP($T$20,'TAR FIN'!$A$1:$O$85,15,0)),0,VLOOKUP($T$20,'TAR FIN'!$A$1:$O$85,15,0))</f>
        <v>78.650000000000006</v>
      </c>
      <c r="X20" s="6">
        <f>IF(ISERROR(VLOOKUP($U$20,'TAR FIN'!$A$1:$O$85,15,0)),0,VLOOKUP($U$20,'TAR FIN'!$A$1:$O$85,15,0))</f>
        <v>0</v>
      </c>
      <c r="Y20" s="6"/>
      <c r="Z20" s="6">
        <f ca="1">('TUSD BE'!$AM$7+'TUSD BF'!$AM$7+'TUSD CVA'!$AM$7)*1</f>
        <v>114.48039155571371</v>
      </c>
      <c r="AA20" s="6"/>
      <c r="AB20" s="6">
        <f>$K$20*$V$20</f>
        <v>0</v>
      </c>
      <c r="AC20" s="6">
        <f>$M$20*$W$20</f>
        <v>47311.19965000001</v>
      </c>
      <c r="AD20" s="6">
        <f>$O$20*$X$20</f>
        <v>0</v>
      </c>
      <c r="AE20" s="6">
        <f>$K$20*$Y$20</f>
        <v>0</v>
      </c>
      <c r="AF20" s="6">
        <f ca="1">$M$20*$Z$20</f>
        <v>68864.649216815582</v>
      </c>
      <c r="AG20" s="6">
        <f>$O$20*$AA$20</f>
        <v>0</v>
      </c>
    </row>
    <row r="21" spans="1:33" ht="11.25" customHeight="1" x14ac:dyDescent="0.25">
      <c r="A21" s="4" t="s">
        <v>21</v>
      </c>
      <c r="B21" s="4" t="s">
        <v>34</v>
      </c>
      <c r="C21" s="4" t="s">
        <v>51</v>
      </c>
      <c r="D21" s="4" t="s">
        <v>33</v>
      </c>
      <c r="E21" s="4" t="s">
        <v>25</v>
      </c>
      <c r="F21" s="4" t="s">
        <v>52</v>
      </c>
      <c r="G21" s="4" t="s">
        <v>25</v>
      </c>
      <c r="H21" s="4" t="s">
        <v>25</v>
      </c>
      <c r="I21" s="5">
        <v>44593</v>
      </c>
      <c r="J21" s="6">
        <v>0</v>
      </c>
      <c r="K21" s="6">
        <v>0</v>
      </c>
      <c r="L21" s="6">
        <v>705.21699999999998</v>
      </c>
      <c r="M21" s="6">
        <v>705.21699999999998</v>
      </c>
      <c r="N21" s="6">
        <v>0</v>
      </c>
      <c r="O21" s="6">
        <v>0</v>
      </c>
      <c r="P21" s="6">
        <v>1</v>
      </c>
      <c r="Q21" s="4" t="s">
        <v>53</v>
      </c>
      <c r="R21" s="4">
        <v>0</v>
      </c>
      <c r="S21" s="6">
        <v>0</v>
      </c>
      <c r="T21" s="6">
        <v>19</v>
      </c>
      <c r="U21" s="6">
        <v>0</v>
      </c>
      <c r="V21" s="6">
        <f>IF(ISERROR(VLOOKUP($S$21,'TAR FIN'!$A$1:$O$85,15,0)),0,VLOOKUP($S$21,'TAR FIN'!$A$1:$O$85,15,0))</f>
        <v>0</v>
      </c>
      <c r="W21" s="6">
        <f>IF(ISERROR(VLOOKUP($T$21,'TAR FIN'!$A$1:$O$85,15,0)),0,VLOOKUP($T$21,'TAR FIN'!$A$1:$O$85,15,0))</f>
        <v>78.650000000000006</v>
      </c>
      <c r="X21" s="6">
        <f>IF(ISERROR(VLOOKUP($U$21,'TAR FIN'!$A$1:$O$85,15,0)),0,VLOOKUP($U$21,'TAR FIN'!$A$1:$O$85,15,0))</f>
        <v>0</v>
      </c>
      <c r="Y21" s="6"/>
      <c r="Z21" s="6">
        <f ca="1">('TUSD BE'!$AM$7+'TUSD BF'!$AM$7+'TUSD CVA'!$AM$7)*1</f>
        <v>114.48039155571371</v>
      </c>
      <c r="AA21" s="6"/>
      <c r="AB21" s="6">
        <f>$K$21*$V$21</f>
        <v>0</v>
      </c>
      <c r="AC21" s="6">
        <f>$M$21*$W$21</f>
        <v>55465.317050000005</v>
      </c>
      <c r="AD21" s="6">
        <f>$O$21*$X$21</f>
        <v>0</v>
      </c>
      <c r="AE21" s="6">
        <f>$K$21*$Y$21</f>
        <v>0</v>
      </c>
      <c r="AF21" s="6">
        <f ca="1">$M$21*$Z$21</f>
        <v>80733.518291745757</v>
      </c>
      <c r="AG21" s="6">
        <f>$O$21*$AA$21</f>
        <v>0</v>
      </c>
    </row>
    <row r="22" spans="1:33" ht="11.25" customHeight="1" x14ac:dyDescent="0.25">
      <c r="A22" s="4" t="s">
        <v>21</v>
      </c>
      <c r="B22" s="4" t="s">
        <v>34</v>
      </c>
      <c r="C22" s="4" t="s">
        <v>51</v>
      </c>
      <c r="D22" s="4" t="s">
        <v>33</v>
      </c>
      <c r="E22" s="4" t="s">
        <v>25</v>
      </c>
      <c r="F22" s="4" t="s">
        <v>52</v>
      </c>
      <c r="G22" s="4" t="s">
        <v>25</v>
      </c>
      <c r="H22" s="4" t="s">
        <v>25</v>
      </c>
      <c r="I22" s="5">
        <v>44621</v>
      </c>
      <c r="J22" s="6">
        <v>0</v>
      </c>
      <c r="K22" s="6">
        <v>0</v>
      </c>
      <c r="L22" s="6">
        <v>761.19200000000001</v>
      </c>
      <c r="M22" s="6">
        <v>761.19200000000001</v>
      </c>
      <c r="N22" s="6">
        <v>0</v>
      </c>
      <c r="O22" s="6">
        <v>0</v>
      </c>
      <c r="P22" s="6">
        <v>1</v>
      </c>
      <c r="Q22" s="4" t="s">
        <v>53</v>
      </c>
      <c r="R22" s="4">
        <v>0</v>
      </c>
      <c r="S22" s="6">
        <v>0</v>
      </c>
      <c r="T22" s="6">
        <v>19</v>
      </c>
      <c r="U22" s="6">
        <v>0</v>
      </c>
      <c r="V22" s="6">
        <f>IF(ISERROR(VLOOKUP($S$22,'TAR FIN'!$A$1:$O$85,15,0)),0,VLOOKUP($S$22,'TAR FIN'!$A$1:$O$85,15,0))</f>
        <v>0</v>
      </c>
      <c r="W22" s="6">
        <f>IF(ISERROR(VLOOKUP($T$22,'TAR FIN'!$A$1:$O$85,15,0)),0,VLOOKUP($T$22,'TAR FIN'!$A$1:$O$85,15,0))</f>
        <v>78.650000000000006</v>
      </c>
      <c r="X22" s="6">
        <f>IF(ISERROR(VLOOKUP($U$22,'TAR FIN'!$A$1:$O$85,15,0)),0,VLOOKUP($U$22,'TAR FIN'!$A$1:$O$85,15,0))</f>
        <v>0</v>
      </c>
      <c r="Y22" s="6"/>
      <c r="Z22" s="6">
        <f ca="1">('TUSD BE'!$AM$7+'TUSD BF'!$AM$7+'TUSD CVA'!$AM$7)*1</f>
        <v>114.48039155571371</v>
      </c>
      <c r="AA22" s="6"/>
      <c r="AB22" s="6">
        <f>$K$22*$V$22</f>
        <v>0</v>
      </c>
      <c r="AC22" s="6">
        <f>$M$22*$W$22</f>
        <v>59867.750800000002</v>
      </c>
      <c r="AD22" s="6">
        <f>$O$22*$X$22</f>
        <v>0</v>
      </c>
      <c r="AE22" s="6">
        <f>$K$22*$Y$22</f>
        <v>0</v>
      </c>
      <c r="AF22" s="6">
        <f ca="1">$M$22*$Z$22</f>
        <v>87141.558209076829</v>
      </c>
      <c r="AG22" s="6">
        <f>$O$22*$AA$22</f>
        <v>0</v>
      </c>
    </row>
    <row r="23" spans="1:33" ht="11.25" customHeight="1" x14ac:dyDescent="0.25">
      <c r="A23" s="4" t="s">
        <v>21</v>
      </c>
      <c r="B23" s="4" t="s">
        <v>34</v>
      </c>
      <c r="C23" s="4" t="s">
        <v>51</v>
      </c>
      <c r="D23" s="4" t="s">
        <v>33</v>
      </c>
      <c r="E23" s="4" t="s">
        <v>25</v>
      </c>
      <c r="F23" s="4" t="s">
        <v>52</v>
      </c>
      <c r="G23" s="4" t="s">
        <v>25</v>
      </c>
      <c r="H23" s="4" t="s">
        <v>25</v>
      </c>
      <c r="I23" s="5">
        <v>44652</v>
      </c>
      <c r="J23" s="6">
        <v>0</v>
      </c>
      <c r="K23" s="6">
        <v>0</v>
      </c>
      <c r="L23" s="6">
        <v>683.74400000000003</v>
      </c>
      <c r="M23" s="6">
        <v>683.74400000000003</v>
      </c>
      <c r="N23" s="6">
        <v>0</v>
      </c>
      <c r="O23" s="6">
        <v>0</v>
      </c>
      <c r="P23" s="6">
        <v>1</v>
      </c>
      <c r="Q23" s="4" t="s">
        <v>53</v>
      </c>
      <c r="R23" s="4">
        <v>0</v>
      </c>
      <c r="S23" s="6">
        <v>0</v>
      </c>
      <c r="T23" s="6">
        <v>19</v>
      </c>
      <c r="U23" s="6">
        <v>0</v>
      </c>
      <c r="V23" s="6">
        <f>IF(ISERROR(VLOOKUP($S$23,'TAR FIN'!$A$1:$O$85,15,0)),0,VLOOKUP($S$23,'TAR FIN'!$A$1:$O$85,15,0))</f>
        <v>0</v>
      </c>
      <c r="W23" s="6">
        <f>IF(ISERROR(VLOOKUP($T$23,'TAR FIN'!$A$1:$O$85,15,0)),0,VLOOKUP($T$23,'TAR FIN'!$A$1:$O$85,15,0))</f>
        <v>78.650000000000006</v>
      </c>
      <c r="X23" s="6">
        <f>IF(ISERROR(VLOOKUP($U$23,'TAR FIN'!$A$1:$O$85,15,0)),0,VLOOKUP($U$23,'TAR FIN'!$A$1:$O$85,15,0))</f>
        <v>0</v>
      </c>
      <c r="Y23" s="6"/>
      <c r="Z23" s="6">
        <f ca="1">('TUSD BE'!$AM$7+'TUSD BF'!$AM$7+'TUSD CVA'!$AM$7)*1</f>
        <v>114.48039155571371</v>
      </c>
      <c r="AA23" s="6"/>
      <c r="AB23" s="6">
        <f>$K$23*$V$23</f>
        <v>0</v>
      </c>
      <c r="AC23" s="6">
        <f>$M$23*$W$23</f>
        <v>53776.465600000003</v>
      </c>
      <c r="AD23" s="6">
        <f>$O$23*$X$23</f>
        <v>0</v>
      </c>
      <c r="AE23" s="6">
        <f>$K$23*$Y$23</f>
        <v>0</v>
      </c>
      <c r="AF23" s="6">
        <f ca="1">$M$23*$Z$23</f>
        <v>78275.280843869914</v>
      </c>
      <c r="AG23" s="6">
        <f>$O$23*$AA$23</f>
        <v>0</v>
      </c>
    </row>
    <row r="24" spans="1:33" ht="11.25" customHeight="1" x14ac:dyDescent="0.25">
      <c r="A24" s="4" t="s">
        <v>21</v>
      </c>
      <c r="B24" s="4" t="s">
        <v>34</v>
      </c>
      <c r="C24" s="4" t="s">
        <v>51</v>
      </c>
      <c r="D24" s="4" t="s">
        <v>33</v>
      </c>
      <c r="E24" s="4" t="s">
        <v>25</v>
      </c>
      <c r="F24" s="4" t="s">
        <v>52</v>
      </c>
      <c r="G24" s="4" t="s">
        <v>25</v>
      </c>
      <c r="H24" s="4" t="s">
        <v>25</v>
      </c>
      <c r="I24" s="5">
        <v>44682</v>
      </c>
      <c r="J24" s="6">
        <v>0</v>
      </c>
      <c r="K24" s="6">
        <v>0</v>
      </c>
      <c r="L24" s="6">
        <v>709.04</v>
      </c>
      <c r="M24" s="6">
        <v>709.04</v>
      </c>
      <c r="N24" s="6">
        <v>0</v>
      </c>
      <c r="O24" s="6">
        <v>0</v>
      </c>
      <c r="P24" s="6">
        <v>1</v>
      </c>
      <c r="Q24" s="4" t="s">
        <v>53</v>
      </c>
      <c r="R24" s="4">
        <v>0</v>
      </c>
      <c r="S24" s="6">
        <v>0</v>
      </c>
      <c r="T24" s="6">
        <v>19</v>
      </c>
      <c r="U24" s="6">
        <v>0</v>
      </c>
      <c r="V24" s="6">
        <f>IF(ISERROR(VLOOKUP($S$24,'TAR FIN'!$A$1:$O$85,15,0)),0,VLOOKUP($S$24,'TAR FIN'!$A$1:$O$85,15,0))</f>
        <v>0</v>
      </c>
      <c r="W24" s="6">
        <f>IF(ISERROR(VLOOKUP($T$24,'TAR FIN'!$A$1:$O$85,15,0)),0,VLOOKUP($T$24,'TAR FIN'!$A$1:$O$85,15,0))</f>
        <v>78.650000000000006</v>
      </c>
      <c r="X24" s="6">
        <f>IF(ISERROR(VLOOKUP($U$24,'TAR FIN'!$A$1:$O$85,15,0)),0,VLOOKUP($U$24,'TAR FIN'!$A$1:$O$85,15,0))</f>
        <v>0</v>
      </c>
      <c r="Y24" s="6"/>
      <c r="Z24" s="6">
        <f ca="1">('TUSD BE'!$AM$7+'TUSD BF'!$AM$7+'TUSD CVA'!$AM$7)*1</f>
        <v>114.48039155571371</v>
      </c>
      <c r="AA24" s="6"/>
      <c r="AB24" s="6">
        <f>$K$24*$V$24</f>
        <v>0</v>
      </c>
      <c r="AC24" s="6">
        <f>$M$24*$W$24</f>
        <v>55765.995999999999</v>
      </c>
      <c r="AD24" s="6">
        <f>$O$24*$X$24</f>
        <v>0</v>
      </c>
      <c r="AE24" s="6">
        <f>$K$24*$Y$24</f>
        <v>0</v>
      </c>
      <c r="AF24" s="6">
        <f ca="1">$M$24*$Z$24</f>
        <v>81171.176828663243</v>
      </c>
      <c r="AG24" s="6">
        <f>$O$24*$AA$24</f>
        <v>0</v>
      </c>
    </row>
    <row r="25" spans="1:33" ht="11.25" customHeight="1" x14ac:dyDescent="0.25">
      <c r="A25" s="4" t="s">
        <v>21</v>
      </c>
      <c r="B25" s="4" t="s">
        <v>34</v>
      </c>
      <c r="C25" s="4" t="s">
        <v>51</v>
      </c>
      <c r="D25" s="4" t="s">
        <v>33</v>
      </c>
      <c r="E25" s="4" t="s">
        <v>25</v>
      </c>
      <c r="F25" s="4" t="s">
        <v>52</v>
      </c>
      <c r="G25" s="4" t="s">
        <v>25</v>
      </c>
      <c r="H25" s="4" t="s">
        <v>25</v>
      </c>
      <c r="I25" s="5">
        <v>44713</v>
      </c>
      <c r="J25" s="6">
        <v>0</v>
      </c>
      <c r="K25" s="6">
        <v>0</v>
      </c>
      <c r="L25" s="6">
        <v>709.08799999999997</v>
      </c>
      <c r="M25" s="6">
        <v>709.08799999999997</v>
      </c>
      <c r="N25" s="6">
        <v>0</v>
      </c>
      <c r="O25" s="6">
        <v>0</v>
      </c>
      <c r="P25" s="6">
        <v>1</v>
      </c>
      <c r="Q25" s="4" t="s">
        <v>53</v>
      </c>
      <c r="R25" s="4">
        <v>0</v>
      </c>
      <c r="S25" s="6">
        <v>0</v>
      </c>
      <c r="T25" s="6">
        <v>19</v>
      </c>
      <c r="U25" s="6">
        <v>0</v>
      </c>
      <c r="V25" s="6">
        <f>IF(ISERROR(VLOOKUP($S$25,'TAR FIN'!$A$1:$O$85,15,0)),0,VLOOKUP($S$25,'TAR FIN'!$A$1:$O$85,15,0))</f>
        <v>0</v>
      </c>
      <c r="W25" s="6">
        <f>IF(ISERROR(VLOOKUP($T$25,'TAR FIN'!$A$1:$O$85,15,0)),0,VLOOKUP($T$25,'TAR FIN'!$A$1:$O$85,15,0))</f>
        <v>78.650000000000006</v>
      </c>
      <c r="X25" s="6">
        <f>IF(ISERROR(VLOOKUP($U$25,'TAR FIN'!$A$1:$O$85,15,0)),0,VLOOKUP($U$25,'TAR FIN'!$A$1:$O$85,15,0))</f>
        <v>0</v>
      </c>
      <c r="Y25" s="6"/>
      <c r="Z25" s="6">
        <f ca="1">('TUSD BE'!$AM$7+'TUSD BF'!$AM$7+'TUSD CVA'!$AM$7)*1</f>
        <v>114.48039155571371</v>
      </c>
      <c r="AA25" s="6"/>
      <c r="AB25" s="6">
        <f>$K$25*$V$25</f>
        <v>0</v>
      </c>
      <c r="AC25" s="6">
        <f>$M$25*$W$25</f>
        <v>55769.771200000003</v>
      </c>
      <c r="AD25" s="6">
        <f>$O$25*$X$25</f>
        <v>0</v>
      </c>
      <c r="AE25" s="6">
        <f>$K$25*$Y$25</f>
        <v>0</v>
      </c>
      <c r="AF25" s="6">
        <f ca="1">$M$25*$Z$25</f>
        <v>81176.671887457924</v>
      </c>
      <c r="AG25" s="6">
        <f>$O$25*$AA$25</f>
        <v>0</v>
      </c>
    </row>
    <row r="26" spans="1:33" ht="11.25" customHeight="1" x14ac:dyDescent="0.25">
      <c r="A26" s="4" t="s">
        <v>21</v>
      </c>
      <c r="B26" s="4" t="s">
        <v>34</v>
      </c>
      <c r="C26" s="4" t="s">
        <v>51</v>
      </c>
      <c r="D26" s="4" t="s">
        <v>33</v>
      </c>
      <c r="E26" s="4" t="s">
        <v>25</v>
      </c>
      <c r="F26" s="4" t="s">
        <v>52</v>
      </c>
      <c r="G26" s="4" t="s">
        <v>25</v>
      </c>
      <c r="H26" s="4" t="s">
        <v>36</v>
      </c>
      <c r="I26" s="5">
        <v>44378</v>
      </c>
      <c r="J26" s="6">
        <v>1700</v>
      </c>
      <c r="K26" s="6">
        <v>855.07099800000003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53</v>
      </c>
      <c r="R26" s="4">
        <v>0</v>
      </c>
      <c r="S26" s="6">
        <v>8</v>
      </c>
      <c r="T26" s="6">
        <v>0</v>
      </c>
      <c r="U26" s="6">
        <v>0</v>
      </c>
      <c r="V26" s="6">
        <f>IF(ISERROR(VLOOKUP($S$26,'TAR FIN'!$A$1:$O$85,15,0)),0,VLOOKUP($S$26,'TAR FIN'!$A$1:$O$85,15,0))</f>
        <v>35.54</v>
      </c>
      <c r="W26" s="6">
        <f>IF(ISERROR(VLOOKUP($T$26,'TAR FIN'!$A$1:$O$85,15,0)),0,VLOOKUP($T$26,'TAR FIN'!$A$1:$O$85,15,0))</f>
        <v>0</v>
      </c>
      <c r="X26" s="6">
        <f>IF(ISERROR(VLOOKUP($U$26,'TAR FIN'!$A$1:$O$85,15,0)),0,VLOOKUP($U$26,'TAR FIN'!$A$1:$O$85,15,0))</f>
        <v>0</v>
      </c>
      <c r="Y26" s="6">
        <f ca="1">('TUSD BE'!$AM$5+'TUSD BF'!$AM$5+'TUSD CVA'!$AM$5)*1</f>
        <v>35.086170133817248</v>
      </c>
      <c r="Z26" s="6">
        <f ca="1">('TUSD BE'!$AM$7+'TUSD BF'!$AM$7+'TUSD CVA'!$AM$7)*1</f>
        <v>114.48039155571371</v>
      </c>
      <c r="AA26" s="6"/>
      <c r="AB26" s="6">
        <f>$K$26*$V$26</f>
        <v>30389.223268919999</v>
      </c>
      <c r="AC26" s="6">
        <f>$M$26*$W$26</f>
        <v>0</v>
      </c>
      <c r="AD26" s="6">
        <f>$O$26*$X$26</f>
        <v>0</v>
      </c>
      <c r="AE26" s="6">
        <f ca="1">$K$26*$Y$26</f>
        <v>30001.16651232091</v>
      </c>
      <c r="AF26" s="6">
        <f ca="1">$M$26*$Z$26</f>
        <v>0</v>
      </c>
      <c r="AG26" s="6">
        <f>$O$26*$AA$26</f>
        <v>0</v>
      </c>
    </row>
    <row r="27" spans="1:33" ht="11.25" customHeight="1" x14ac:dyDescent="0.25">
      <c r="A27" s="4" t="s">
        <v>21</v>
      </c>
      <c r="B27" s="4" t="s">
        <v>34</v>
      </c>
      <c r="C27" s="4" t="s">
        <v>51</v>
      </c>
      <c r="D27" s="4" t="s">
        <v>33</v>
      </c>
      <c r="E27" s="4" t="s">
        <v>25</v>
      </c>
      <c r="F27" s="4" t="s">
        <v>52</v>
      </c>
      <c r="G27" s="4" t="s">
        <v>25</v>
      </c>
      <c r="H27" s="4" t="s">
        <v>36</v>
      </c>
      <c r="I27" s="5">
        <v>44409</v>
      </c>
      <c r="J27" s="6">
        <v>1757</v>
      </c>
      <c r="K27" s="6">
        <v>895.97728311000003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53</v>
      </c>
      <c r="R27" s="4">
        <v>0</v>
      </c>
      <c r="S27" s="6">
        <v>8</v>
      </c>
      <c r="T27" s="6">
        <v>0</v>
      </c>
      <c r="U27" s="6">
        <v>0</v>
      </c>
      <c r="V27" s="6">
        <f>IF(ISERROR(VLOOKUP($S$27,'TAR FIN'!$A$1:$O$85,15,0)),0,VLOOKUP($S$27,'TAR FIN'!$A$1:$O$85,15,0))</f>
        <v>35.54</v>
      </c>
      <c r="W27" s="6">
        <f>IF(ISERROR(VLOOKUP($T$27,'TAR FIN'!$A$1:$O$85,15,0)),0,VLOOKUP($T$27,'TAR FIN'!$A$1:$O$85,15,0))</f>
        <v>0</v>
      </c>
      <c r="X27" s="6">
        <f>IF(ISERROR(VLOOKUP($U$27,'TAR FIN'!$A$1:$O$85,15,0)),0,VLOOKUP($U$27,'TAR FIN'!$A$1:$O$85,15,0))</f>
        <v>0</v>
      </c>
      <c r="Y27" s="6">
        <f ca="1">('TUSD BE'!$AM$5+'TUSD BF'!$AM$5+'TUSD CVA'!$AM$5)*1</f>
        <v>35.086170133817248</v>
      </c>
      <c r="Z27" s="6">
        <f ca="1">('TUSD BE'!$AM$7+'TUSD BF'!$AM$7+'TUSD CVA'!$AM$7)*1</f>
        <v>114.48039155571371</v>
      </c>
      <c r="AA27" s="6"/>
      <c r="AB27" s="6">
        <f>$K$27*$V$27</f>
        <v>31843.032641729402</v>
      </c>
      <c r="AC27" s="6">
        <f>$M$27*$W$27</f>
        <v>0</v>
      </c>
      <c r="AD27" s="6">
        <f>$O$27*$X$27</f>
        <v>0</v>
      </c>
      <c r="AE27" s="6">
        <f ca="1">$K$27*$Y$27</f>
        <v>31436.411391232803</v>
      </c>
      <c r="AF27" s="6">
        <f ca="1">$M$27*$Z$27</f>
        <v>0</v>
      </c>
      <c r="AG27" s="6">
        <f>$O$27*$AA$27</f>
        <v>0</v>
      </c>
    </row>
    <row r="28" spans="1:33" ht="11.25" customHeight="1" x14ac:dyDescent="0.25">
      <c r="A28" s="4" t="s">
        <v>21</v>
      </c>
      <c r="B28" s="4" t="s">
        <v>34</v>
      </c>
      <c r="C28" s="4" t="s">
        <v>51</v>
      </c>
      <c r="D28" s="4" t="s">
        <v>33</v>
      </c>
      <c r="E28" s="4" t="s">
        <v>25</v>
      </c>
      <c r="F28" s="4" t="s">
        <v>52</v>
      </c>
      <c r="G28" s="4" t="s">
        <v>25</v>
      </c>
      <c r="H28" s="4" t="s">
        <v>36</v>
      </c>
      <c r="I28" s="5">
        <v>44440</v>
      </c>
      <c r="J28" s="6">
        <v>1700</v>
      </c>
      <c r="K28" s="6">
        <v>856.94091300000002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53</v>
      </c>
      <c r="R28" s="4">
        <v>0</v>
      </c>
      <c r="S28" s="6">
        <v>8</v>
      </c>
      <c r="T28" s="6">
        <v>0</v>
      </c>
      <c r="U28" s="6">
        <v>0</v>
      </c>
      <c r="V28" s="6">
        <f>IF(ISERROR(VLOOKUP($S$28,'TAR FIN'!$A$1:$O$85,15,0)),0,VLOOKUP($S$28,'TAR FIN'!$A$1:$O$85,15,0))</f>
        <v>35.54</v>
      </c>
      <c r="W28" s="6">
        <f>IF(ISERROR(VLOOKUP($T$28,'TAR FIN'!$A$1:$O$85,15,0)),0,VLOOKUP($T$28,'TAR FIN'!$A$1:$O$85,15,0))</f>
        <v>0</v>
      </c>
      <c r="X28" s="6">
        <f>IF(ISERROR(VLOOKUP($U$28,'TAR FIN'!$A$1:$O$85,15,0)),0,VLOOKUP($U$28,'TAR FIN'!$A$1:$O$85,15,0))</f>
        <v>0</v>
      </c>
      <c r="Y28" s="6">
        <f ca="1">('TUSD BE'!$AM$5+'TUSD BF'!$AM$5+'TUSD CVA'!$AM$5)*1</f>
        <v>35.086170133817248</v>
      </c>
      <c r="Z28" s="6">
        <f ca="1">('TUSD BE'!$AM$7+'TUSD BF'!$AM$7+'TUSD CVA'!$AM$7)*1</f>
        <v>114.48039155571371</v>
      </c>
      <c r="AA28" s="6"/>
      <c r="AB28" s="6">
        <f>$K$28*$V$28</f>
        <v>30455.68004802</v>
      </c>
      <c r="AC28" s="6">
        <f>$M$28*$W$28</f>
        <v>0</v>
      </c>
      <c r="AD28" s="6">
        <f>$O$28*$X$28</f>
        <v>0</v>
      </c>
      <c r="AE28" s="6">
        <f ca="1">$K$28*$Y$28</f>
        <v>30066.774668146685</v>
      </c>
      <c r="AF28" s="6">
        <f ca="1">$M$28*$Z$28</f>
        <v>0</v>
      </c>
      <c r="AG28" s="6">
        <f>$O$28*$AA$28</f>
        <v>0</v>
      </c>
    </row>
    <row r="29" spans="1:33" ht="11.25" customHeight="1" x14ac:dyDescent="0.25">
      <c r="A29" s="4" t="s">
        <v>21</v>
      </c>
      <c r="B29" s="4" t="s">
        <v>34</v>
      </c>
      <c r="C29" s="4" t="s">
        <v>51</v>
      </c>
      <c r="D29" s="4" t="s">
        <v>33</v>
      </c>
      <c r="E29" s="4" t="s">
        <v>25</v>
      </c>
      <c r="F29" s="4" t="s">
        <v>52</v>
      </c>
      <c r="G29" s="4" t="s">
        <v>25</v>
      </c>
      <c r="H29" s="4" t="s">
        <v>36</v>
      </c>
      <c r="I29" s="5">
        <v>44470</v>
      </c>
      <c r="J29" s="6">
        <v>1730</v>
      </c>
      <c r="K29" s="6">
        <v>865.41687809999996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53</v>
      </c>
      <c r="R29" s="4">
        <v>0</v>
      </c>
      <c r="S29" s="6">
        <v>8</v>
      </c>
      <c r="T29" s="6">
        <v>0</v>
      </c>
      <c r="U29" s="6">
        <v>0</v>
      </c>
      <c r="V29" s="6">
        <f>IF(ISERROR(VLOOKUP($S$29,'TAR FIN'!$A$1:$O$85,15,0)),0,VLOOKUP($S$29,'TAR FIN'!$A$1:$O$85,15,0))</f>
        <v>35.54</v>
      </c>
      <c r="W29" s="6">
        <f>IF(ISERROR(VLOOKUP($T$29,'TAR FIN'!$A$1:$O$85,15,0)),0,VLOOKUP($T$29,'TAR FIN'!$A$1:$O$85,15,0))</f>
        <v>0</v>
      </c>
      <c r="X29" s="6">
        <f>IF(ISERROR(VLOOKUP($U$29,'TAR FIN'!$A$1:$O$85,15,0)),0,VLOOKUP($U$29,'TAR FIN'!$A$1:$O$85,15,0))</f>
        <v>0</v>
      </c>
      <c r="Y29" s="6">
        <f ca="1">('TUSD BE'!$AM$5+'TUSD BF'!$AM$5+'TUSD CVA'!$AM$5)*1</f>
        <v>35.086170133817248</v>
      </c>
      <c r="Z29" s="6">
        <f ca="1">('TUSD BE'!$AM$7+'TUSD BF'!$AM$7+'TUSD CVA'!$AM$7)*1</f>
        <v>114.48039155571371</v>
      </c>
      <c r="AA29" s="6"/>
      <c r="AB29" s="6">
        <f>$K$29*$V$29</f>
        <v>30756.915847673998</v>
      </c>
      <c r="AC29" s="6">
        <f>$M$29*$W$29</f>
        <v>0</v>
      </c>
      <c r="AD29" s="6">
        <f>$O$29*$X$29</f>
        <v>0</v>
      </c>
      <c r="AE29" s="6">
        <f ca="1">$K$29*$Y$29</f>
        <v>30364.163821693579</v>
      </c>
      <c r="AF29" s="6">
        <f ca="1">$M$29*$Z$29</f>
        <v>0</v>
      </c>
      <c r="AG29" s="6">
        <f>$O$29*$AA$29</f>
        <v>0</v>
      </c>
    </row>
    <row r="30" spans="1:33" ht="11.25" customHeight="1" x14ac:dyDescent="0.25">
      <c r="A30" s="4" t="s">
        <v>21</v>
      </c>
      <c r="B30" s="4" t="s">
        <v>34</v>
      </c>
      <c r="C30" s="4" t="s">
        <v>51</v>
      </c>
      <c r="D30" s="4" t="s">
        <v>33</v>
      </c>
      <c r="E30" s="4" t="s">
        <v>25</v>
      </c>
      <c r="F30" s="4" t="s">
        <v>52</v>
      </c>
      <c r="G30" s="4" t="s">
        <v>25</v>
      </c>
      <c r="H30" s="4" t="s">
        <v>36</v>
      </c>
      <c r="I30" s="5">
        <v>44501</v>
      </c>
      <c r="J30" s="6">
        <v>1700</v>
      </c>
      <c r="K30" s="6">
        <v>850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53</v>
      </c>
      <c r="R30" s="4">
        <v>0</v>
      </c>
      <c r="S30" s="6">
        <v>8</v>
      </c>
      <c r="T30" s="6">
        <v>0</v>
      </c>
      <c r="U30" s="6">
        <v>0</v>
      </c>
      <c r="V30" s="6">
        <f>IF(ISERROR(VLOOKUP($S$30,'TAR FIN'!$A$1:$O$85,15,0)),0,VLOOKUP($S$30,'TAR FIN'!$A$1:$O$85,15,0))</f>
        <v>35.54</v>
      </c>
      <c r="W30" s="6">
        <f>IF(ISERROR(VLOOKUP($T$30,'TAR FIN'!$A$1:$O$85,15,0)),0,VLOOKUP($T$30,'TAR FIN'!$A$1:$O$85,15,0))</f>
        <v>0</v>
      </c>
      <c r="X30" s="6">
        <f>IF(ISERROR(VLOOKUP($U$30,'TAR FIN'!$A$1:$O$85,15,0)),0,VLOOKUP($U$30,'TAR FIN'!$A$1:$O$85,15,0))</f>
        <v>0</v>
      </c>
      <c r="Y30" s="6">
        <f ca="1">('TUSD BE'!$AM$5+'TUSD BF'!$AM$5+'TUSD CVA'!$AM$5)*1</f>
        <v>35.086170133817248</v>
      </c>
      <c r="Z30" s="6">
        <f ca="1">('TUSD BE'!$AM$7+'TUSD BF'!$AM$7+'TUSD CVA'!$AM$7)*1</f>
        <v>114.48039155571371</v>
      </c>
      <c r="AA30" s="6"/>
      <c r="AB30" s="6">
        <f>$K$30*$V$30</f>
        <v>30209</v>
      </c>
      <c r="AC30" s="6">
        <f>$M$30*$W$30</f>
        <v>0</v>
      </c>
      <c r="AD30" s="6">
        <f>$O$30*$X$30</f>
        <v>0</v>
      </c>
      <c r="AE30" s="6">
        <f ca="1">$K$30*$Y$30</f>
        <v>29823.24461374466</v>
      </c>
      <c r="AF30" s="6">
        <f ca="1">$M$30*$Z$30</f>
        <v>0</v>
      </c>
      <c r="AG30" s="6">
        <f>$O$30*$AA$30</f>
        <v>0</v>
      </c>
    </row>
    <row r="31" spans="1:33" ht="11.25" customHeight="1" x14ac:dyDescent="0.25">
      <c r="A31" s="4" t="s">
        <v>21</v>
      </c>
      <c r="B31" s="4" t="s">
        <v>34</v>
      </c>
      <c r="C31" s="4" t="s">
        <v>51</v>
      </c>
      <c r="D31" s="4" t="s">
        <v>33</v>
      </c>
      <c r="E31" s="4" t="s">
        <v>25</v>
      </c>
      <c r="F31" s="4" t="s">
        <v>52</v>
      </c>
      <c r="G31" s="4" t="s">
        <v>25</v>
      </c>
      <c r="H31" s="4" t="s">
        <v>36</v>
      </c>
      <c r="I31" s="5">
        <v>44531</v>
      </c>
      <c r="J31" s="6">
        <v>1700</v>
      </c>
      <c r="K31" s="6">
        <v>880.96453099999997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53</v>
      </c>
      <c r="R31" s="4">
        <v>0</v>
      </c>
      <c r="S31" s="6">
        <v>8</v>
      </c>
      <c r="T31" s="6">
        <v>0</v>
      </c>
      <c r="U31" s="6">
        <v>0</v>
      </c>
      <c r="V31" s="6">
        <f>IF(ISERROR(VLOOKUP($S$31,'TAR FIN'!$A$1:$O$85,15,0)),0,VLOOKUP($S$31,'TAR FIN'!$A$1:$O$85,15,0))</f>
        <v>35.54</v>
      </c>
      <c r="W31" s="6">
        <f>IF(ISERROR(VLOOKUP($T$31,'TAR FIN'!$A$1:$O$85,15,0)),0,VLOOKUP($T$31,'TAR FIN'!$A$1:$O$85,15,0))</f>
        <v>0</v>
      </c>
      <c r="X31" s="6">
        <f>IF(ISERROR(VLOOKUP($U$31,'TAR FIN'!$A$1:$O$85,15,0)),0,VLOOKUP($U$31,'TAR FIN'!$A$1:$O$85,15,0))</f>
        <v>0</v>
      </c>
      <c r="Y31" s="6">
        <f ca="1">('TUSD BE'!$AM$5+'TUSD BF'!$AM$5+'TUSD CVA'!$AM$5)*1</f>
        <v>35.086170133817248</v>
      </c>
      <c r="Z31" s="6">
        <f ca="1">('TUSD BE'!$AM$7+'TUSD BF'!$AM$7+'TUSD CVA'!$AM$7)*1</f>
        <v>114.48039155571371</v>
      </c>
      <c r="AA31" s="6"/>
      <c r="AB31" s="6">
        <f>$K$31*$V$31</f>
        <v>31309.479431739997</v>
      </c>
      <c r="AC31" s="6">
        <f>$M$31*$W$31</f>
        <v>0</v>
      </c>
      <c r="AD31" s="6">
        <f>$O$31*$X$31</f>
        <v>0</v>
      </c>
      <c r="AE31" s="6">
        <f ca="1">$K$31*$Y$31</f>
        <v>30909.671416524518</v>
      </c>
      <c r="AF31" s="6">
        <f ca="1">$M$31*$Z$31</f>
        <v>0</v>
      </c>
      <c r="AG31" s="6">
        <f>$O$31*$AA$31</f>
        <v>0</v>
      </c>
    </row>
    <row r="32" spans="1:33" ht="11.25" customHeight="1" x14ac:dyDescent="0.25">
      <c r="A32" s="4" t="s">
        <v>21</v>
      </c>
      <c r="B32" s="4" t="s">
        <v>34</v>
      </c>
      <c r="C32" s="4" t="s">
        <v>51</v>
      </c>
      <c r="D32" s="4" t="s">
        <v>33</v>
      </c>
      <c r="E32" s="4" t="s">
        <v>25</v>
      </c>
      <c r="F32" s="4" t="s">
        <v>52</v>
      </c>
      <c r="G32" s="4" t="s">
        <v>25</v>
      </c>
      <c r="H32" s="4" t="s">
        <v>36</v>
      </c>
      <c r="I32" s="5">
        <v>44562</v>
      </c>
      <c r="J32" s="6">
        <v>1700</v>
      </c>
      <c r="K32" s="6">
        <v>851.10343599999999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53</v>
      </c>
      <c r="R32" s="4">
        <v>0</v>
      </c>
      <c r="S32" s="6">
        <v>8</v>
      </c>
      <c r="T32" s="6">
        <v>0</v>
      </c>
      <c r="U32" s="6">
        <v>0</v>
      </c>
      <c r="V32" s="6">
        <f>IF(ISERROR(VLOOKUP($S$32,'TAR FIN'!$A$1:$O$85,15,0)),0,VLOOKUP($S$32,'TAR FIN'!$A$1:$O$85,15,0))</f>
        <v>35.54</v>
      </c>
      <c r="W32" s="6">
        <f>IF(ISERROR(VLOOKUP($T$32,'TAR FIN'!$A$1:$O$85,15,0)),0,VLOOKUP($T$32,'TAR FIN'!$A$1:$O$85,15,0))</f>
        <v>0</v>
      </c>
      <c r="X32" s="6">
        <f>IF(ISERROR(VLOOKUP($U$32,'TAR FIN'!$A$1:$O$85,15,0)),0,VLOOKUP($U$32,'TAR FIN'!$A$1:$O$85,15,0))</f>
        <v>0</v>
      </c>
      <c r="Y32" s="6">
        <f ca="1">('TUSD BE'!$AM$5+'TUSD BF'!$AM$5+'TUSD CVA'!$AM$5)*1</f>
        <v>35.086170133817248</v>
      </c>
      <c r="Z32" s="6">
        <f ca="1">('TUSD BE'!$AM$7+'TUSD BF'!$AM$7+'TUSD CVA'!$AM$7)*1</f>
        <v>114.48039155571371</v>
      </c>
      <c r="AA32" s="6"/>
      <c r="AB32" s="6">
        <f>$K$32*$V$32</f>
        <v>30248.216115439998</v>
      </c>
      <c r="AC32" s="6">
        <f>$M$32*$W$32</f>
        <v>0</v>
      </c>
      <c r="AD32" s="6">
        <f>$O$32*$X$32</f>
        <v>0</v>
      </c>
      <c r="AE32" s="6">
        <f ca="1">$K$32*$Y$32</f>
        <v>29861.959956972438</v>
      </c>
      <c r="AF32" s="6">
        <f ca="1">$M$32*$Z$32</f>
        <v>0</v>
      </c>
      <c r="AG32" s="6">
        <f>$O$32*$AA$32</f>
        <v>0</v>
      </c>
    </row>
    <row r="33" spans="1:33" ht="11.25" customHeight="1" x14ac:dyDescent="0.25">
      <c r="A33" s="4" t="s">
        <v>21</v>
      </c>
      <c r="B33" s="4" t="s">
        <v>34</v>
      </c>
      <c r="C33" s="4" t="s">
        <v>51</v>
      </c>
      <c r="D33" s="4" t="s">
        <v>33</v>
      </c>
      <c r="E33" s="4" t="s">
        <v>25</v>
      </c>
      <c r="F33" s="4" t="s">
        <v>52</v>
      </c>
      <c r="G33" s="4" t="s">
        <v>25</v>
      </c>
      <c r="H33" s="4" t="s">
        <v>36</v>
      </c>
      <c r="I33" s="5">
        <v>44593</v>
      </c>
      <c r="J33" s="6">
        <v>1700</v>
      </c>
      <c r="K33" s="6">
        <v>850.76069900000005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53</v>
      </c>
      <c r="R33" s="4">
        <v>0</v>
      </c>
      <c r="S33" s="6">
        <v>8</v>
      </c>
      <c r="T33" s="6">
        <v>0</v>
      </c>
      <c r="U33" s="6">
        <v>0</v>
      </c>
      <c r="V33" s="6">
        <f>IF(ISERROR(VLOOKUP($S$33,'TAR FIN'!$A$1:$O$85,15,0)),0,VLOOKUP($S$33,'TAR FIN'!$A$1:$O$85,15,0))</f>
        <v>35.54</v>
      </c>
      <c r="W33" s="6">
        <f>IF(ISERROR(VLOOKUP($T$33,'TAR FIN'!$A$1:$O$85,15,0)),0,VLOOKUP($T$33,'TAR FIN'!$A$1:$O$85,15,0))</f>
        <v>0</v>
      </c>
      <c r="X33" s="6">
        <f>IF(ISERROR(VLOOKUP($U$33,'TAR FIN'!$A$1:$O$85,15,0)),0,VLOOKUP($U$33,'TAR FIN'!$A$1:$O$85,15,0))</f>
        <v>0</v>
      </c>
      <c r="Y33" s="6">
        <f ca="1">('TUSD BE'!$AM$5+'TUSD BF'!$AM$5+'TUSD CVA'!$AM$5)*1</f>
        <v>35.086170133817248</v>
      </c>
      <c r="Z33" s="6">
        <f ca="1">('TUSD BE'!$AM$7+'TUSD BF'!$AM$7+'TUSD CVA'!$AM$7)*1</f>
        <v>114.48039155571371</v>
      </c>
      <c r="AA33" s="6"/>
      <c r="AB33" s="6">
        <f>$K$33*$V$33</f>
        <v>30236.035242460002</v>
      </c>
      <c r="AC33" s="6">
        <f>$M$33*$W$33</f>
        <v>0</v>
      </c>
      <c r="AD33" s="6">
        <f>$O$33*$X$33</f>
        <v>0</v>
      </c>
      <c r="AE33" s="6">
        <f ca="1">$K$33*$Y$33</f>
        <v>29849.934628279287</v>
      </c>
      <c r="AF33" s="6">
        <f ca="1">$M$33*$Z$33</f>
        <v>0</v>
      </c>
      <c r="AG33" s="6">
        <f>$O$33*$AA$33</f>
        <v>0</v>
      </c>
    </row>
    <row r="34" spans="1:33" ht="11.25" customHeight="1" x14ac:dyDescent="0.25">
      <c r="A34" s="4" t="s">
        <v>21</v>
      </c>
      <c r="B34" s="4" t="s">
        <v>34</v>
      </c>
      <c r="C34" s="4" t="s">
        <v>51</v>
      </c>
      <c r="D34" s="4" t="s">
        <v>33</v>
      </c>
      <c r="E34" s="4" t="s">
        <v>25</v>
      </c>
      <c r="F34" s="4" t="s">
        <v>52</v>
      </c>
      <c r="G34" s="4" t="s">
        <v>25</v>
      </c>
      <c r="H34" s="4" t="s">
        <v>36</v>
      </c>
      <c r="I34" s="5">
        <v>44621</v>
      </c>
      <c r="J34" s="6">
        <v>1700</v>
      </c>
      <c r="K34" s="6">
        <v>851.16982099999996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53</v>
      </c>
      <c r="R34" s="4">
        <v>0</v>
      </c>
      <c r="S34" s="6">
        <v>8</v>
      </c>
      <c r="T34" s="6">
        <v>0</v>
      </c>
      <c r="U34" s="6">
        <v>0</v>
      </c>
      <c r="V34" s="6">
        <f>IF(ISERROR(VLOOKUP($S$34,'TAR FIN'!$A$1:$O$85,15,0)),0,VLOOKUP($S$34,'TAR FIN'!$A$1:$O$85,15,0))</f>
        <v>35.54</v>
      </c>
      <c r="W34" s="6">
        <f>IF(ISERROR(VLOOKUP($T$34,'TAR FIN'!$A$1:$O$85,15,0)),0,VLOOKUP($T$34,'TAR FIN'!$A$1:$O$85,15,0))</f>
        <v>0</v>
      </c>
      <c r="X34" s="6">
        <f>IF(ISERROR(VLOOKUP($U$34,'TAR FIN'!$A$1:$O$85,15,0)),0,VLOOKUP($U$34,'TAR FIN'!$A$1:$O$85,15,0))</f>
        <v>0</v>
      </c>
      <c r="Y34" s="6">
        <f ca="1">('TUSD BE'!$AM$5+'TUSD BF'!$AM$5+'TUSD CVA'!$AM$5)*1</f>
        <v>35.086170133817248</v>
      </c>
      <c r="Z34" s="6">
        <f ca="1">('TUSD BE'!$AM$7+'TUSD BF'!$AM$7+'TUSD CVA'!$AM$7)*1</f>
        <v>114.48039155571371</v>
      </c>
      <c r="AA34" s="6"/>
      <c r="AB34" s="6">
        <f>$K$34*$V$34</f>
        <v>30250.575438339998</v>
      </c>
      <c r="AC34" s="6">
        <f>$M$34*$W$34</f>
        <v>0</v>
      </c>
      <c r="AD34" s="6">
        <f>$O$34*$X$34</f>
        <v>0</v>
      </c>
      <c r="AE34" s="6">
        <f ca="1">$K$34*$Y$34</f>
        <v>29864.289152376772</v>
      </c>
      <c r="AF34" s="6">
        <f ca="1">$M$34*$Z$34</f>
        <v>0</v>
      </c>
      <c r="AG34" s="6">
        <f>$O$34*$AA$34</f>
        <v>0</v>
      </c>
    </row>
    <row r="35" spans="1:33" ht="11.25" customHeight="1" x14ac:dyDescent="0.25">
      <c r="A35" s="4" t="s">
        <v>21</v>
      </c>
      <c r="B35" s="4" t="s">
        <v>34</v>
      </c>
      <c r="C35" s="4" t="s">
        <v>51</v>
      </c>
      <c r="D35" s="4" t="s">
        <v>33</v>
      </c>
      <c r="E35" s="4" t="s">
        <v>25</v>
      </c>
      <c r="F35" s="4" t="s">
        <v>52</v>
      </c>
      <c r="G35" s="4" t="s">
        <v>25</v>
      </c>
      <c r="H35" s="4" t="s">
        <v>36</v>
      </c>
      <c r="I35" s="5">
        <v>44652</v>
      </c>
      <c r="J35" s="6">
        <v>1700</v>
      </c>
      <c r="K35" s="6">
        <v>851.56546200000003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53</v>
      </c>
      <c r="R35" s="4">
        <v>0</v>
      </c>
      <c r="S35" s="6">
        <v>8</v>
      </c>
      <c r="T35" s="6">
        <v>0</v>
      </c>
      <c r="U35" s="6">
        <v>0</v>
      </c>
      <c r="V35" s="6">
        <f>IF(ISERROR(VLOOKUP($S$35,'TAR FIN'!$A$1:$O$85,15,0)),0,VLOOKUP($S$35,'TAR FIN'!$A$1:$O$85,15,0))</f>
        <v>35.54</v>
      </c>
      <c r="W35" s="6">
        <f>IF(ISERROR(VLOOKUP($T$35,'TAR FIN'!$A$1:$O$85,15,0)),0,VLOOKUP($T$35,'TAR FIN'!$A$1:$O$85,15,0))</f>
        <v>0</v>
      </c>
      <c r="X35" s="6">
        <f>IF(ISERROR(VLOOKUP($U$35,'TAR FIN'!$A$1:$O$85,15,0)),0,VLOOKUP($U$35,'TAR FIN'!$A$1:$O$85,15,0))</f>
        <v>0</v>
      </c>
      <c r="Y35" s="6">
        <f ca="1">('TUSD BE'!$AM$5+'TUSD BF'!$AM$5+'TUSD CVA'!$AM$5)*1</f>
        <v>35.086170133817248</v>
      </c>
      <c r="Z35" s="6">
        <f ca="1">('TUSD BE'!$AM$7+'TUSD BF'!$AM$7+'TUSD CVA'!$AM$7)*1</f>
        <v>114.48039155571371</v>
      </c>
      <c r="AA35" s="6"/>
      <c r="AB35" s="6">
        <f>$K$35*$V$35</f>
        <v>30264.636519480002</v>
      </c>
      <c r="AC35" s="6">
        <f>$M$35*$W$35</f>
        <v>0</v>
      </c>
      <c r="AD35" s="6">
        <f>$O$35*$X$35</f>
        <v>0</v>
      </c>
      <c r="AE35" s="6">
        <f ca="1">$K$35*$Y$35</f>
        <v>29878.170679814688</v>
      </c>
      <c r="AF35" s="6">
        <f ca="1">$M$35*$Z$35</f>
        <v>0</v>
      </c>
      <c r="AG35" s="6">
        <f>$O$35*$AA$35</f>
        <v>0</v>
      </c>
    </row>
    <row r="36" spans="1:33" ht="11.25" customHeight="1" x14ac:dyDescent="0.25">
      <c r="A36" s="4" t="s">
        <v>21</v>
      </c>
      <c r="B36" s="4" t="s">
        <v>34</v>
      </c>
      <c r="C36" s="4" t="s">
        <v>51</v>
      </c>
      <c r="D36" s="4" t="s">
        <v>33</v>
      </c>
      <c r="E36" s="4" t="s">
        <v>25</v>
      </c>
      <c r="F36" s="4" t="s">
        <v>52</v>
      </c>
      <c r="G36" s="4" t="s">
        <v>25</v>
      </c>
      <c r="H36" s="4" t="s">
        <v>36</v>
      </c>
      <c r="I36" s="5">
        <v>44682</v>
      </c>
      <c r="J36" s="6">
        <v>1700</v>
      </c>
      <c r="K36" s="6">
        <v>935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53</v>
      </c>
      <c r="R36" s="4">
        <v>0</v>
      </c>
      <c r="S36" s="6">
        <v>8</v>
      </c>
      <c r="T36" s="6">
        <v>0</v>
      </c>
      <c r="U36" s="6">
        <v>0</v>
      </c>
      <c r="V36" s="6">
        <f>IF(ISERROR(VLOOKUP($S$36,'TAR FIN'!$A$1:$O$85,15,0)),0,VLOOKUP($S$36,'TAR FIN'!$A$1:$O$85,15,0))</f>
        <v>35.54</v>
      </c>
      <c r="W36" s="6">
        <f>IF(ISERROR(VLOOKUP($T$36,'TAR FIN'!$A$1:$O$85,15,0)),0,VLOOKUP($T$36,'TAR FIN'!$A$1:$O$85,15,0))</f>
        <v>0</v>
      </c>
      <c r="X36" s="6">
        <f>IF(ISERROR(VLOOKUP($U$36,'TAR FIN'!$A$1:$O$85,15,0)),0,VLOOKUP($U$36,'TAR FIN'!$A$1:$O$85,15,0))</f>
        <v>0</v>
      </c>
      <c r="Y36" s="6">
        <f ca="1">('TUSD BE'!$AM$5+'TUSD BF'!$AM$5+'TUSD CVA'!$AM$5)*1</f>
        <v>35.086170133817248</v>
      </c>
      <c r="Z36" s="6">
        <f ca="1">('TUSD BE'!$AM$7+'TUSD BF'!$AM$7+'TUSD CVA'!$AM$7)*1</f>
        <v>114.48039155571371</v>
      </c>
      <c r="AA36" s="6"/>
      <c r="AB36" s="6">
        <f>$K$36*$V$36</f>
        <v>33229.9</v>
      </c>
      <c r="AC36" s="6">
        <f>$M$36*$W$36</f>
        <v>0</v>
      </c>
      <c r="AD36" s="6">
        <f>$O$36*$X$36</f>
        <v>0</v>
      </c>
      <c r="AE36" s="6">
        <f ca="1">$K$36*$Y$36</f>
        <v>32805.569075119129</v>
      </c>
      <c r="AF36" s="6">
        <f ca="1">$M$36*$Z$36</f>
        <v>0</v>
      </c>
      <c r="AG36" s="6">
        <f>$O$36*$AA$36</f>
        <v>0</v>
      </c>
    </row>
    <row r="37" spans="1:33" ht="11.25" customHeight="1" x14ac:dyDescent="0.25">
      <c r="A37" s="4" t="s">
        <v>21</v>
      </c>
      <c r="B37" s="4" t="s">
        <v>34</v>
      </c>
      <c r="C37" s="4" t="s">
        <v>51</v>
      </c>
      <c r="D37" s="4" t="s">
        <v>33</v>
      </c>
      <c r="E37" s="4" t="s">
        <v>25</v>
      </c>
      <c r="F37" s="4" t="s">
        <v>52</v>
      </c>
      <c r="G37" s="4" t="s">
        <v>25</v>
      </c>
      <c r="H37" s="4" t="s">
        <v>36</v>
      </c>
      <c r="I37" s="5">
        <v>44713</v>
      </c>
      <c r="J37" s="6">
        <v>1700</v>
      </c>
      <c r="K37" s="6">
        <v>935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53</v>
      </c>
      <c r="R37" s="4">
        <v>0</v>
      </c>
      <c r="S37" s="6">
        <v>8</v>
      </c>
      <c r="T37" s="6">
        <v>0</v>
      </c>
      <c r="U37" s="6">
        <v>0</v>
      </c>
      <c r="V37" s="6">
        <f>IF(ISERROR(VLOOKUP($S$37,'TAR FIN'!$A$1:$O$85,15,0)),0,VLOOKUP($S$37,'TAR FIN'!$A$1:$O$85,15,0))</f>
        <v>35.54</v>
      </c>
      <c r="W37" s="6">
        <f>IF(ISERROR(VLOOKUP($T$37,'TAR FIN'!$A$1:$O$85,15,0)),0,VLOOKUP($T$37,'TAR FIN'!$A$1:$O$85,15,0))</f>
        <v>0</v>
      </c>
      <c r="X37" s="6">
        <f>IF(ISERROR(VLOOKUP($U$37,'TAR FIN'!$A$1:$O$85,15,0)),0,VLOOKUP($U$37,'TAR FIN'!$A$1:$O$85,15,0))</f>
        <v>0</v>
      </c>
      <c r="Y37" s="6">
        <f ca="1">('TUSD BE'!$AM$5+'TUSD BF'!$AM$5+'TUSD CVA'!$AM$5)*1</f>
        <v>35.086170133817248</v>
      </c>
      <c r="Z37" s="6">
        <f ca="1">('TUSD BE'!$AM$7+'TUSD BF'!$AM$7+'TUSD CVA'!$AM$7)*1</f>
        <v>114.48039155571371</v>
      </c>
      <c r="AA37" s="6"/>
      <c r="AB37" s="6">
        <f>$K$37*$V$37</f>
        <v>33229.9</v>
      </c>
      <c r="AC37" s="6">
        <f>$M$37*$W$37</f>
        <v>0</v>
      </c>
      <c r="AD37" s="6">
        <f>$O$37*$X$37</f>
        <v>0</v>
      </c>
      <c r="AE37" s="6">
        <f ca="1">$K$37*$Y$37</f>
        <v>32805.569075119129</v>
      </c>
      <c r="AF37" s="6">
        <f ca="1">$M$37*$Z$37</f>
        <v>0</v>
      </c>
      <c r="AG37" s="6">
        <f>$O$37*$AA$37</f>
        <v>0</v>
      </c>
    </row>
    <row r="38" spans="1:33" ht="11.25" customHeight="1" x14ac:dyDescent="0.25">
      <c r="A38" s="4" t="s">
        <v>21</v>
      </c>
      <c r="B38" s="4" t="s">
        <v>34</v>
      </c>
      <c r="C38" s="4" t="s">
        <v>35</v>
      </c>
      <c r="D38" s="4" t="s">
        <v>38</v>
      </c>
      <c r="E38" s="4" t="s">
        <v>25</v>
      </c>
      <c r="F38" s="4" t="s">
        <v>25</v>
      </c>
      <c r="G38" s="4" t="s">
        <v>25</v>
      </c>
      <c r="H38" s="4" t="s">
        <v>37</v>
      </c>
      <c r="I38" s="5">
        <v>44378</v>
      </c>
      <c r="J38" s="6">
        <v>0</v>
      </c>
      <c r="K38" s="6">
        <v>0</v>
      </c>
      <c r="L38" s="6">
        <v>178.31800000000001</v>
      </c>
      <c r="M38" s="6">
        <v>178.31800000000001</v>
      </c>
      <c r="N38" s="6">
        <v>178.31800000000001</v>
      </c>
      <c r="O38" s="6">
        <v>178.31800000000001</v>
      </c>
      <c r="P38" s="6">
        <v>0</v>
      </c>
      <c r="Q38" s="4" t="s">
        <v>26</v>
      </c>
      <c r="R38" s="4">
        <v>0</v>
      </c>
      <c r="S38" s="6">
        <v>0</v>
      </c>
      <c r="T38" s="6">
        <v>13</v>
      </c>
      <c r="U38" s="6">
        <v>16</v>
      </c>
      <c r="V38" s="6">
        <f>IF(ISERROR(VLOOKUP($S$38,'TAR FIN'!$A$1:$O$85,15,0)),0,VLOOKUP($S$38,'TAR FIN'!$A$1:$O$85,15,0))</f>
        <v>0</v>
      </c>
      <c r="W38" s="6">
        <f>IF(ISERROR(VLOOKUP($T$38,'TAR FIN'!$A$1:$O$85,15,0)),0,VLOOKUP($T$38,'TAR FIN'!$A$1:$O$85,15,0))</f>
        <v>78.650000000000006</v>
      </c>
      <c r="X38" s="6">
        <f>IF(ISERROR(VLOOKUP($U$38,'TAR FIN'!$A$1:$O$85,15,0)),0,VLOOKUP($U$38,'TAR FIN'!$A$1:$O$85,15,0))</f>
        <v>229.87</v>
      </c>
      <c r="Y38" s="6"/>
      <c r="Z38" s="6">
        <f ca="1">('TUSD BE'!$AM$12+'TUSD BF'!$AM$12+'TUSD CVA'!$AM$12)*1</f>
        <v>114.48039155571371</v>
      </c>
      <c r="AA38" s="6">
        <f>('TE BE'!$AB$6+'TE BF'!$AB$6+'TE CVA'!$AB$6)*1</f>
        <v>216.60171770542672</v>
      </c>
      <c r="AB38" s="6">
        <f>$K$38*$V$38</f>
        <v>0</v>
      </c>
      <c r="AC38" s="6">
        <f>$M$38*$W$38</f>
        <v>14024.710700000001</v>
      </c>
      <c r="AD38" s="6">
        <f>$O$38*$X$38</f>
        <v>40989.958660000004</v>
      </c>
      <c r="AE38" s="6">
        <f>$K$38*$Y$38</f>
        <v>0</v>
      </c>
      <c r="AF38" s="6">
        <f ca="1">$M$38*$Z$38</f>
        <v>20413.914461431759</v>
      </c>
      <c r="AG38" s="6">
        <f>$O$38*$AA$38</f>
        <v>38623.985097796285</v>
      </c>
    </row>
    <row r="39" spans="1:33" ht="11.25" customHeight="1" x14ac:dyDescent="0.25">
      <c r="A39" s="4" t="s">
        <v>27</v>
      </c>
      <c r="B39" s="4" t="s">
        <v>34</v>
      </c>
      <c r="C39" s="4" t="s">
        <v>35</v>
      </c>
      <c r="D39" s="4" t="s">
        <v>38</v>
      </c>
      <c r="E39" s="4" t="s">
        <v>25</v>
      </c>
      <c r="F39" s="4" t="s">
        <v>25</v>
      </c>
      <c r="G39" s="4" t="s">
        <v>25</v>
      </c>
      <c r="H39" s="4" t="s">
        <v>37</v>
      </c>
      <c r="I39" s="5">
        <v>44378</v>
      </c>
      <c r="J39" s="6">
        <v>0</v>
      </c>
      <c r="K39" s="6">
        <v>0</v>
      </c>
      <c r="L39" s="6">
        <v>12.545</v>
      </c>
      <c r="M39" s="6">
        <v>12.545</v>
      </c>
      <c r="N39" s="6">
        <v>12.545</v>
      </c>
      <c r="O39" s="6">
        <v>12.545</v>
      </c>
      <c r="P39" s="6">
        <v>0</v>
      </c>
      <c r="Q39" s="4" t="s">
        <v>26</v>
      </c>
      <c r="R39" s="4">
        <v>0</v>
      </c>
      <c r="S39" s="6">
        <v>0</v>
      </c>
      <c r="T39" s="6">
        <v>13</v>
      </c>
      <c r="U39" s="6">
        <v>16</v>
      </c>
      <c r="V39" s="6">
        <f>IF(ISERROR(VLOOKUP($S$39,'TAR FIN'!$A$1:$O$85,15,0)),0,VLOOKUP($S$39,'TAR FIN'!$A$1:$O$85,15,0))</f>
        <v>0</v>
      </c>
      <c r="W39" s="6">
        <f>IF(ISERROR(VLOOKUP($T$39,'TAR FIN'!$A$1:$O$85,15,0)),0,VLOOKUP($T$39,'TAR FIN'!$A$1:$O$85,15,0))</f>
        <v>78.650000000000006</v>
      </c>
      <c r="X39" s="6">
        <f>IF(ISERROR(VLOOKUP($U$39,'TAR FIN'!$A$1:$O$85,15,0)),0,VLOOKUP($U$39,'TAR FIN'!$A$1:$O$85,15,0))</f>
        <v>229.87</v>
      </c>
      <c r="Y39" s="6"/>
      <c r="Z39" s="6">
        <f ca="1">('TUSD BE'!$AM$12+'TUSD BF'!$AM$12+'TUSD CVA'!$AM$12)*1</f>
        <v>114.48039155571371</v>
      </c>
      <c r="AA39" s="6">
        <f>('TE BE'!$AB$6+'TE BF'!$AB$6+'TE CVA'!$AB$6)*1</f>
        <v>216.60171770542672</v>
      </c>
      <c r="AB39" s="6">
        <f>$K$39*$V$39</f>
        <v>0</v>
      </c>
      <c r="AC39" s="6">
        <f>$M$39*$W$39</f>
        <v>986.66425000000004</v>
      </c>
      <c r="AD39" s="6">
        <f>$O$39*$X$39</f>
        <v>2883.7191499999999</v>
      </c>
      <c r="AE39" s="6">
        <f>$K$39*$Y$39</f>
        <v>0</v>
      </c>
      <c r="AF39" s="6">
        <f ca="1">$M$39*$Z$39</f>
        <v>1436.1565120664284</v>
      </c>
      <c r="AG39" s="6">
        <f>$O$39*$AA$39</f>
        <v>2717.2685486145783</v>
      </c>
    </row>
    <row r="40" spans="1:33" ht="11.25" customHeight="1" x14ac:dyDescent="0.25">
      <c r="A40" s="4" t="s">
        <v>21</v>
      </c>
      <c r="B40" s="4" t="s">
        <v>34</v>
      </c>
      <c r="C40" s="4" t="s">
        <v>35</v>
      </c>
      <c r="D40" s="4" t="s">
        <v>38</v>
      </c>
      <c r="E40" s="4" t="s">
        <v>25</v>
      </c>
      <c r="F40" s="4" t="s">
        <v>25</v>
      </c>
      <c r="G40" s="4" t="s">
        <v>25</v>
      </c>
      <c r="H40" s="4" t="s">
        <v>37</v>
      </c>
      <c r="I40" s="5">
        <v>44409</v>
      </c>
      <c r="J40" s="6">
        <v>0</v>
      </c>
      <c r="K40" s="6">
        <v>0</v>
      </c>
      <c r="L40" s="6">
        <v>172.43899999999999</v>
      </c>
      <c r="M40" s="6">
        <v>172.43899999999999</v>
      </c>
      <c r="N40" s="6">
        <v>172.43899999999999</v>
      </c>
      <c r="O40" s="6">
        <v>172.43899999999999</v>
      </c>
      <c r="P40" s="6">
        <v>0</v>
      </c>
      <c r="Q40" s="4" t="s">
        <v>26</v>
      </c>
      <c r="R40" s="4">
        <v>0</v>
      </c>
      <c r="S40" s="6">
        <v>0</v>
      </c>
      <c r="T40" s="6">
        <v>13</v>
      </c>
      <c r="U40" s="6">
        <v>16</v>
      </c>
      <c r="V40" s="6">
        <f>IF(ISERROR(VLOOKUP($S$40,'TAR FIN'!$A$1:$O$85,15,0)),0,VLOOKUP($S$40,'TAR FIN'!$A$1:$O$85,15,0))</f>
        <v>0</v>
      </c>
      <c r="W40" s="6">
        <f>IF(ISERROR(VLOOKUP($T$40,'TAR FIN'!$A$1:$O$85,15,0)),0,VLOOKUP($T$40,'TAR FIN'!$A$1:$O$85,15,0))</f>
        <v>78.650000000000006</v>
      </c>
      <c r="X40" s="6">
        <f>IF(ISERROR(VLOOKUP($U$40,'TAR FIN'!$A$1:$O$85,15,0)),0,VLOOKUP($U$40,'TAR FIN'!$A$1:$O$85,15,0))</f>
        <v>229.87</v>
      </c>
      <c r="Y40" s="6"/>
      <c r="Z40" s="6">
        <f ca="1">('TUSD BE'!$AM$12+'TUSD BF'!$AM$12+'TUSD CVA'!$AM$12)*1</f>
        <v>114.48039155571371</v>
      </c>
      <c r="AA40" s="6">
        <f>('TE BE'!$AB$6+'TE BF'!$AB$6+'TE CVA'!$AB$6)*1</f>
        <v>216.60171770542672</v>
      </c>
      <c r="AB40" s="6">
        <f>$K$40*$V$40</f>
        <v>0</v>
      </c>
      <c r="AC40" s="6">
        <f>$M$40*$W$40</f>
        <v>13562.32735</v>
      </c>
      <c r="AD40" s="6">
        <f>$O$40*$X$40</f>
        <v>39638.552929999998</v>
      </c>
      <c r="AE40" s="6">
        <f>$K$40*$Y$40</f>
        <v>0</v>
      </c>
      <c r="AF40" s="6">
        <f ca="1">$M$40*$Z$40</f>
        <v>19740.884239475716</v>
      </c>
      <c r="AG40" s="6">
        <f>$O$40*$AA$40</f>
        <v>37350.583599406076</v>
      </c>
    </row>
    <row r="41" spans="1:33" ht="11.25" customHeight="1" x14ac:dyDescent="0.25">
      <c r="A41" s="4" t="s">
        <v>27</v>
      </c>
      <c r="B41" s="4" t="s">
        <v>34</v>
      </c>
      <c r="C41" s="4" t="s">
        <v>35</v>
      </c>
      <c r="D41" s="4" t="s">
        <v>38</v>
      </c>
      <c r="E41" s="4" t="s">
        <v>25</v>
      </c>
      <c r="F41" s="4" t="s">
        <v>25</v>
      </c>
      <c r="G41" s="4" t="s">
        <v>25</v>
      </c>
      <c r="H41" s="4" t="s">
        <v>37</v>
      </c>
      <c r="I41" s="5">
        <v>44409</v>
      </c>
      <c r="J41" s="6">
        <v>0</v>
      </c>
      <c r="K41" s="6">
        <v>0</v>
      </c>
      <c r="L41" s="6">
        <v>9.2539999999999996</v>
      </c>
      <c r="M41" s="6">
        <v>9.2539999999999996</v>
      </c>
      <c r="N41" s="6">
        <v>9.2539999999999996</v>
      </c>
      <c r="O41" s="6">
        <v>9.2539999999999996</v>
      </c>
      <c r="P41" s="6">
        <v>0</v>
      </c>
      <c r="Q41" s="4" t="s">
        <v>26</v>
      </c>
      <c r="R41" s="4">
        <v>0</v>
      </c>
      <c r="S41" s="6">
        <v>0</v>
      </c>
      <c r="T41" s="6">
        <v>13</v>
      </c>
      <c r="U41" s="6">
        <v>16</v>
      </c>
      <c r="V41" s="6">
        <f>IF(ISERROR(VLOOKUP($S$41,'TAR FIN'!$A$1:$O$85,15,0)),0,VLOOKUP($S$41,'TAR FIN'!$A$1:$O$85,15,0))</f>
        <v>0</v>
      </c>
      <c r="W41" s="6">
        <f>IF(ISERROR(VLOOKUP($T$41,'TAR FIN'!$A$1:$O$85,15,0)),0,VLOOKUP($T$41,'TAR FIN'!$A$1:$O$85,15,0))</f>
        <v>78.650000000000006</v>
      </c>
      <c r="X41" s="6">
        <f>IF(ISERROR(VLOOKUP($U$41,'TAR FIN'!$A$1:$O$85,15,0)),0,VLOOKUP($U$41,'TAR FIN'!$A$1:$O$85,15,0))</f>
        <v>229.87</v>
      </c>
      <c r="Y41" s="6"/>
      <c r="Z41" s="6">
        <f ca="1">('TUSD BE'!$AM$12+'TUSD BF'!$AM$12+'TUSD CVA'!$AM$12)*1</f>
        <v>114.48039155571371</v>
      </c>
      <c r="AA41" s="6">
        <f>('TE BE'!$AB$6+'TE BF'!$AB$6+'TE CVA'!$AB$6)*1</f>
        <v>216.60171770542672</v>
      </c>
      <c r="AB41" s="6">
        <f>$K$41*$V$41</f>
        <v>0</v>
      </c>
      <c r="AC41" s="6">
        <f>$M$41*$W$41</f>
        <v>727.82709999999997</v>
      </c>
      <c r="AD41" s="6">
        <f>$O$41*$X$41</f>
        <v>2127.2169800000001</v>
      </c>
      <c r="AE41" s="6">
        <f>$K$41*$Y$41</f>
        <v>0</v>
      </c>
      <c r="AF41" s="6">
        <f ca="1">$M$41*$Z$41</f>
        <v>1059.4015434565747</v>
      </c>
      <c r="AG41" s="6">
        <f>$O$41*$AA$41</f>
        <v>2004.4322956460187</v>
      </c>
    </row>
    <row r="42" spans="1:33" ht="11.25" customHeight="1" x14ac:dyDescent="0.25">
      <c r="A42" s="4" t="s">
        <v>21</v>
      </c>
      <c r="B42" s="4" t="s">
        <v>34</v>
      </c>
      <c r="C42" s="4" t="s">
        <v>35</v>
      </c>
      <c r="D42" s="4" t="s">
        <v>38</v>
      </c>
      <c r="E42" s="4" t="s">
        <v>25</v>
      </c>
      <c r="F42" s="4" t="s">
        <v>25</v>
      </c>
      <c r="G42" s="4" t="s">
        <v>25</v>
      </c>
      <c r="H42" s="4" t="s">
        <v>37</v>
      </c>
      <c r="I42" s="5">
        <v>44440</v>
      </c>
      <c r="J42" s="6">
        <v>0</v>
      </c>
      <c r="K42" s="6">
        <v>0</v>
      </c>
      <c r="L42" s="6">
        <v>166.48099999999999</v>
      </c>
      <c r="M42" s="6">
        <v>166.48099999999999</v>
      </c>
      <c r="N42" s="6">
        <v>166.48099999999999</v>
      </c>
      <c r="O42" s="6">
        <v>166.48099999999999</v>
      </c>
      <c r="P42" s="6">
        <v>0</v>
      </c>
      <c r="Q42" s="4" t="s">
        <v>26</v>
      </c>
      <c r="R42" s="4">
        <v>0</v>
      </c>
      <c r="S42" s="6">
        <v>0</v>
      </c>
      <c r="T42" s="6">
        <v>13</v>
      </c>
      <c r="U42" s="6">
        <v>16</v>
      </c>
      <c r="V42" s="6">
        <f>IF(ISERROR(VLOOKUP($S$42,'TAR FIN'!$A$1:$O$85,15,0)),0,VLOOKUP($S$42,'TAR FIN'!$A$1:$O$85,15,0))</f>
        <v>0</v>
      </c>
      <c r="W42" s="6">
        <f>IF(ISERROR(VLOOKUP($T$42,'TAR FIN'!$A$1:$O$85,15,0)),0,VLOOKUP($T$42,'TAR FIN'!$A$1:$O$85,15,0))</f>
        <v>78.650000000000006</v>
      </c>
      <c r="X42" s="6">
        <f>IF(ISERROR(VLOOKUP($U$42,'TAR FIN'!$A$1:$O$85,15,0)),0,VLOOKUP($U$42,'TAR FIN'!$A$1:$O$85,15,0))</f>
        <v>229.87</v>
      </c>
      <c r="Y42" s="6"/>
      <c r="Z42" s="6">
        <f ca="1">('TUSD BE'!$AM$12+'TUSD BF'!$AM$12+'TUSD CVA'!$AM$12)*1</f>
        <v>114.48039155571371</v>
      </c>
      <c r="AA42" s="6">
        <f>('TE BE'!$AB$6+'TE BF'!$AB$6+'TE CVA'!$AB$6)*1</f>
        <v>216.60171770542672</v>
      </c>
      <c r="AB42" s="6">
        <f>$K$42*$V$42</f>
        <v>0</v>
      </c>
      <c r="AC42" s="6">
        <f>$M$42*$W$42</f>
        <v>13093.730650000001</v>
      </c>
      <c r="AD42" s="6">
        <f>$O$42*$X$42</f>
        <v>38268.98747</v>
      </c>
      <c r="AE42" s="6">
        <f>$K$42*$Y$42</f>
        <v>0</v>
      </c>
      <c r="AF42" s="6">
        <f ca="1">$M$42*$Z$42</f>
        <v>19058.810066586775</v>
      </c>
      <c r="AG42" s="6">
        <f>$O$42*$AA$42</f>
        <v>36060.070565317146</v>
      </c>
    </row>
    <row r="43" spans="1:33" ht="11.25" customHeight="1" x14ac:dyDescent="0.25">
      <c r="A43" s="4" t="s">
        <v>27</v>
      </c>
      <c r="B43" s="4" t="s">
        <v>34</v>
      </c>
      <c r="C43" s="4" t="s">
        <v>35</v>
      </c>
      <c r="D43" s="4" t="s">
        <v>38</v>
      </c>
      <c r="E43" s="4" t="s">
        <v>25</v>
      </c>
      <c r="F43" s="4" t="s">
        <v>25</v>
      </c>
      <c r="G43" s="4" t="s">
        <v>25</v>
      </c>
      <c r="H43" s="4" t="s">
        <v>37</v>
      </c>
      <c r="I43" s="5">
        <v>44440</v>
      </c>
      <c r="J43" s="6">
        <v>0</v>
      </c>
      <c r="K43" s="6">
        <v>0</v>
      </c>
      <c r="L43" s="6">
        <v>7.24</v>
      </c>
      <c r="M43" s="6">
        <v>7.24</v>
      </c>
      <c r="N43" s="6">
        <v>7.24</v>
      </c>
      <c r="O43" s="6">
        <v>7.24</v>
      </c>
      <c r="P43" s="6">
        <v>0</v>
      </c>
      <c r="Q43" s="4" t="s">
        <v>26</v>
      </c>
      <c r="R43" s="4">
        <v>0</v>
      </c>
      <c r="S43" s="6">
        <v>0</v>
      </c>
      <c r="T43" s="6">
        <v>13</v>
      </c>
      <c r="U43" s="6">
        <v>16</v>
      </c>
      <c r="V43" s="6">
        <f>IF(ISERROR(VLOOKUP($S$43,'TAR FIN'!$A$1:$O$85,15,0)),0,VLOOKUP($S$43,'TAR FIN'!$A$1:$O$85,15,0))</f>
        <v>0</v>
      </c>
      <c r="W43" s="6">
        <f>IF(ISERROR(VLOOKUP($T$43,'TAR FIN'!$A$1:$O$85,15,0)),0,VLOOKUP($T$43,'TAR FIN'!$A$1:$O$85,15,0))</f>
        <v>78.650000000000006</v>
      </c>
      <c r="X43" s="6">
        <f>IF(ISERROR(VLOOKUP($U$43,'TAR FIN'!$A$1:$O$85,15,0)),0,VLOOKUP($U$43,'TAR FIN'!$A$1:$O$85,15,0))</f>
        <v>229.87</v>
      </c>
      <c r="Y43" s="6"/>
      <c r="Z43" s="6">
        <f ca="1">('TUSD BE'!$AM$12+'TUSD BF'!$AM$12+'TUSD CVA'!$AM$12)*1</f>
        <v>114.48039155571371</v>
      </c>
      <c r="AA43" s="6">
        <f>('TE BE'!$AB$6+'TE BF'!$AB$6+'TE CVA'!$AB$6)*1</f>
        <v>216.60171770542672</v>
      </c>
      <c r="AB43" s="6">
        <f>$K$43*$V$43</f>
        <v>0</v>
      </c>
      <c r="AC43" s="6">
        <f>$M$43*$W$43</f>
        <v>569.42600000000004</v>
      </c>
      <c r="AD43" s="6">
        <f>$O$43*$X$43</f>
        <v>1664.2588000000001</v>
      </c>
      <c r="AE43" s="6">
        <f>$K$43*$Y$43</f>
        <v>0</v>
      </c>
      <c r="AF43" s="6">
        <f ca="1">$M$43*$Z$43</f>
        <v>828.83803486336728</v>
      </c>
      <c r="AG43" s="6">
        <f>$O$43*$AA$43</f>
        <v>1568.1964361872895</v>
      </c>
    </row>
    <row r="44" spans="1:33" ht="11.25" customHeight="1" x14ac:dyDescent="0.25">
      <c r="A44" s="4" t="s">
        <v>21</v>
      </c>
      <c r="B44" s="4" t="s">
        <v>34</v>
      </c>
      <c r="C44" s="4" t="s">
        <v>35</v>
      </c>
      <c r="D44" s="4" t="s">
        <v>38</v>
      </c>
      <c r="E44" s="4" t="s">
        <v>25</v>
      </c>
      <c r="F44" s="4" t="s">
        <v>25</v>
      </c>
      <c r="G44" s="4" t="s">
        <v>25</v>
      </c>
      <c r="H44" s="4" t="s">
        <v>37</v>
      </c>
      <c r="I44" s="5">
        <v>44470</v>
      </c>
      <c r="J44" s="6">
        <v>0</v>
      </c>
      <c r="K44" s="6">
        <v>0</v>
      </c>
      <c r="L44" s="6">
        <v>175.33600000000001</v>
      </c>
      <c r="M44" s="6">
        <v>175.33600000000001</v>
      </c>
      <c r="N44" s="6">
        <v>175.33600000000001</v>
      </c>
      <c r="O44" s="6">
        <v>175.33600000000001</v>
      </c>
      <c r="P44" s="6">
        <v>0</v>
      </c>
      <c r="Q44" s="4" t="s">
        <v>26</v>
      </c>
      <c r="R44" s="4">
        <v>0</v>
      </c>
      <c r="S44" s="6">
        <v>0</v>
      </c>
      <c r="T44" s="6">
        <v>13</v>
      </c>
      <c r="U44" s="6">
        <v>16</v>
      </c>
      <c r="V44" s="6">
        <f>IF(ISERROR(VLOOKUP($S$44,'TAR FIN'!$A$1:$O$85,15,0)),0,VLOOKUP($S$44,'TAR FIN'!$A$1:$O$85,15,0))</f>
        <v>0</v>
      </c>
      <c r="W44" s="6">
        <f>IF(ISERROR(VLOOKUP($T$44,'TAR FIN'!$A$1:$O$85,15,0)),0,VLOOKUP($T$44,'TAR FIN'!$A$1:$O$85,15,0))</f>
        <v>78.650000000000006</v>
      </c>
      <c r="X44" s="6">
        <f>IF(ISERROR(VLOOKUP($U$44,'TAR FIN'!$A$1:$O$85,15,0)),0,VLOOKUP($U$44,'TAR FIN'!$A$1:$O$85,15,0))</f>
        <v>229.87</v>
      </c>
      <c r="Y44" s="6"/>
      <c r="Z44" s="6">
        <f ca="1">('TUSD BE'!$AM$12+'TUSD BF'!$AM$12+'TUSD CVA'!$AM$12)*1</f>
        <v>114.48039155571371</v>
      </c>
      <c r="AA44" s="6">
        <f>('TE BE'!$AB$6+'TE BF'!$AB$6+'TE CVA'!$AB$6)*1</f>
        <v>216.60171770542672</v>
      </c>
      <c r="AB44" s="6">
        <f>$K$44*$V$44</f>
        <v>0</v>
      </c>
      <c r="AC44" s="6">
        <f>$M$44*$W$44</f>
        <v>13790.176400000002</v>
      </c>
      <c r="AD44" s="6">
        <f>$O$44*$X$44</f>
        <v>40304.486320000004</v>
      </c>
      <c r="AE44" s="6">
        <f>$K$44*$Y$44</f>
        <v>0</v>
      </c>
      <c r="AF44" s="6">
        <f ca="1">$M$44*$Z$44</f>
        <v>20072.533933812621</v>
      </c>
      <c r="AG44" s="6">
        <f>$O$44*$AA$44</f>
        <v>37978.078775598704</v>
      </c>
    </row>
    <row r="45" spans="1:33" ht="11.25" customHeight="1" x14ac:dyDescent="0.25">
      <c r="A45" s="4" t="s">
        <v>27</v>
      </c>
      <c r="B45" s="4" t="s">
        <v>34</v>
      </c>
      <c r="C45" s="4" t="s">
        <v>35</v>
      </c>
      <c r="D45" s="4" t="s">
        <v>38</v>
      </c>
      <c r="E45" s="4" t="s">
        <v>25</v>
      </c>
      <c r="F45" s="4" t="s">
        <v>25</v>
      </c>
      <c r="G45" s="4" t="s">
        <v>25</v>
      </c>
      <c r="H45" s="4" t="s">
        <v>37</v>
      </c>
      <c r="I45" s="5">
        <v>44470</v>
      </c>
      <c r="J45" s="6">
        <v>0</v>
      </c>
      <c r="K45" s="6">
        <v>0</v>
      </c>
      <c r="L45" s="6">
        <v>8.6389999999999993</v>
      </c>
      <c r="M45" s="6">
        <v>8.6389999999999993</v>
      </c>
      <c r="N45" s="6">
        <v>8.6389999999999993</v>
      </c>
      <c r="O45" s="6">
        <v>8.6389999999999993</v>
      </c>
      <c r="P45" s="6">
        <v>0</v>
      </c>
      <c r="Q45" s="4" t="s">
        <v>26</v>
      </c>
      <c r="R45" s="4">
        <v>0</v>
      </c>
      <c r="S45" s="6">
        <v>0</v>
      </c>
      <c r="T45" s="6">
        <v>13</v>
      </c>
      <c r="U45" s="6">
        <v>16</v>
      </c>
      <c r="V45" s="6">
        <f>IF(ISERROR(VLOOKUP($S$45,'TAR FIN'!$A$1:$O$85,15,0)),0,VLOOKUP($S$45,'TAR FIN'!$A$1:$O$85,15,0))</f>
        <v>0</v>
      </c>
      <c r="W45" s="6">
        <f>IF(ISERROR(VLOOKUP($T$45,'TAR FIN'!$A$1:$O$85,15,0)),0,VLOOKUP($T$45,'TAR FIN'!$A$1:$O$85,15,0))</f>
        <v>78.650000000000006</v>
      </c>
      <c r="X45" s="6">
        <f>IF(ISERROR(VLOOKUP($U$45,'TAR FIN'!$A$1:$O$85,15,0)),0,VLOOKUP($U$45,'TAR FIN'!$A$1:$O$85,15,0))</f>
        <v>229.87</v>
      </c>
      <c r="Y45" s="6"/>
      <c r="Z45" s="6">
        <f ca="1">('TUSD BE'!$AM$12+'TUSD BF'!$AM$12+'TUSD CVA'!$AM$12)*1</f>
        <v>114.48039155571371</v>
      </c>
      <c r="AA45" s="6">
        <f>('TE BE'!$AB$6+'TE BF'!$AB$6+'TE CVA'!$AB$6)*1</f>
        <v>216.60171770542672</v>
      </c>
      <c r="AB45" s="6">
        <f>$K$45*$V$45</f>
        <v>0</v>
      </c>
      <c r="AC45" s="6">
        <f>$M$45*$W$45</f>
        <v>679.45735000000002</v>
      </c>
      <c r="AD45" s="6">
        <f>$O$45*$X$45</f>
        <v>1985.8469299999999</v>
      </c>
      <c r="AE45" s="6">
        <f>$K$45*$Y$45</f>
        <v>0</v>
      </c>
      <c r="AF45" s="6">
        <f ca="1">$M$45*$Z$45</f>
        <v>988.99610264981061</v>
      </c>
      <c r="AG45" s="6">
        <f>$O$45*$AA$45</f>
        <v>1871.2222392571814</v>
      </c>
    </row>
    <row r="46" spans="1:33" ht="11.25" customHeight="1" x14ac:dyDescent="0.25">
      <c r="A46" s="4" t="s">
        <v>21</v>
      </c>
      <c r="B46" s="4" t="s">
        <v>34</v>
      </c>
      <c r="C46" s="4" t="s">
        <v>35</v>
      </c>
      <c r="D46" s="4" t="s">
        <v>38</v>
      </c>
      <c r="E46" s="4" t="s">
        <v>25</v>
      </c>
      <c r="F46" s="4" t="s">
        <v>25</v>
      </c>
      <c r="G46" s="4" t="s">
        <v>25</v>
      </c>
      <c r="H46" s="4" t="s">
        <v>37</v>
      </c>
      <c r="I46" s="5">
        <v>44501</v>
      </c>
      <c r="J46" s="6">
        <v>0</v>
      </c>
      <c r="K46" s="6">
        <v>0</v>
      </c>
      <c r="L46" s="6">
        <v>205.268</v>
      </c>
      <c r="M46" s="6">
        <v>205.268</v>
      </c>
      <c r="N46" s="6">
        <v>205.268</v>
      </c>
      <c r="O46" s="6">
        <v>205.268</v>
      </c>
      <c r="P46" s="6">
        <v>0</v>
      </c>
      <c r="Q46" s="4" t="s">
        <v>26</v>
      </c>
      <c r="R46" s="4">
        <v>0</v>
      </c>
      <c r="S46" s="6">
        <v>0</v>
      </c>
      <c r="T46" s="6">
        <v>13</v>
      </c>
      <c r="U46" s="6">
        <v>16</v>
      </c>
      <c r="V46" s="6">
        <f>IF(ISERROR(VLOOKUP($S$46,'TAR FIN'!$A$1:$O$85,15,0)),0,VLOOKUP($S$46,'TAR FIN'!$A$1:$O$85,15,0))</f>
        <v>0</v>
      </c>
      <c r="W46" s="6">
        <f>IF(ISERROR(VLOOKUP($T$46,'TAR FIN'!$A$1:$O$85,15,0)),0,VLOOKUP($T$46,'TAR FIN'!$A$1:$O$85,15,0))</f>
        <v>78.650000000000006</v>
      </c>
      <c r="X46" s="6">
        <f>IF(ISERROR(VLOOKUP($U$46,'TAR FIN'!$A$1:$O$85,15,0)),0,VLOOKUP($U$46,'TAR FIN'!$A$1:$O$85,15,0))</f>
        <v>229.87</v>
      </c>
      <c r="Y46" s="6"/>
      <c r="Z46" s="6">
        <f ca="1">('TUSD BE'!$AM$12+'TUSD BF'!$AM$12+'TUSD CVA'!$AM$12)*1</f>
        <v>114.48039155571371</v>
      </c>
      <c r="AA46" s="6">
        <f>('TE BE'!$AB$6+'TE BF'!$AB$6+'TE CVA'!$AB$6)*1</f>
        <v>216.60171770542672</v>
      </c>
      <c r="AB46" s="6">
        <f>$K$46*$V$46</f>
        <v>0</v>
      </c>
      <c r="AC46" s="6">
        <f>$M$46*$W$46</f>
        <v>16144.328200000002</v>
      </c>
      <c r="AD46" s="6">
        <f>$O$46*$X$46</f>
        <v>47184.955159999998</v>
      </c>
      <c r="AE46" s="6">
        <f>$K$46*$Y$46</f>
        <v>0</v>
      </c>
      <c r="AF46" s="6">
        <f ca="1">$M$46*$Z$46</f>
        <v>23499.16101385824</v>
      </c>
      <c r="AG46" s="6">
        <f>$O$46*$AA$46</f>
        <v>44461.401389957529</v>
      </c>
    </row>
    <row r="47" spans="1:33" ht="11.25" customHeight="1" x14ac:dyDescent="0.25">
      <c r="A47" s="4" t="s">
        <v>27</v>
      </c>
      <c r="B47" s="4" t="s">
        <v>34</v>
      </c>
      <c r="C47" s="4" t="s">
        <v>35</v>
      </c>
      <c r="D47" s="4" t="s">
        <v>38</v>
      </c>
      <c r="E47" s="4" t="s">
        <v>25</v>
      </c>
      <c r="F47" s="4" t="s">
        <v>25</v>
      </c>
      <c r="G47" s="4" t="s">
        <v>25</v>
      </c>
      <c r="H47" s="4" t="s">
        <v>37</v>
      </c>
      <c r="I47" s="5">
        <v>44501</v>
      </c>
      <c r="J47" s="6">
        <v>0</v>
      </c>
      <c r="K47" s="6">
        <v>0</v>
      </c>
      <c r="L47" s="6">
        <v>32.134999999999998</v>
      </c>
      <c r="M47" s="6">
        <v>32.134999999999998</v>
      </c>
      <c r="N47" s="6">
        <v>32.134999999999998</v>
      </c>
      <c r="O47" s="6">
        <v>32.134999999999998</v>
      </c>
      <c r="P47" s="6">
        <v>0</v>
      </c>
      <c r="Q47" s="4" t="s">
        <v>26</v>
      </c>
      <c r="R47" s="4">
        <v>0</v>
      </c>
      <c r="S47" s="6">
        <v>0</v>
      </c>
      <c r="T47" s="6">
        <v>13</v>
      </c>
      <c r="U47" s="6">
        <v>16</v>
      </c>
      <c r="V47" s="6">
        <f>IF(ISERROR(VLOOKUP($S$47,'TAR FIN'!$A$1:$O$85,15,0)),0,VLOOKUP($S$47,'TAR FIN'!$A$1:$O$85,15,0))</f>
        <v>0</v>
      </c>
      <c r="W47" s="6">
        <f>IF(ISERROR(VLOOKUP($T$47,'TAR FIN'!$A$1:$O$85,15,0)),0,VLOOKUP($T$47,'TAR FIN'!$A$1:$O$85,15,0))</f>
        <v>78.650000000000006</v>
      </c>
      <c r="X47" s="6">
        <f>IF(ISERROR(VLOOKUP($U$47,'TAR FIN'!$A$1:$O$85,15,0)),0,VLOOKUP($U$47,'TAR FIN'!$A$1:$O$85,15,0))</f>
        <v>229.87</v>
      </c>
      <c r="Y47" s="6"/>
      <c r="Z47" s="6">
        <f ca="1">('TUSD BE'!$AM$12+'TUSD BF'!$AM$12+'TUSD CVA'!$AM$12)*1</f>
        <v>114.48039155571371</v>
      </c>
      <c r="AA47" s="6">
        <f>('TE BE'!$AB$6+'TE BF'!$AB$6+'TE CVA'!$AB$6)*1</f>
        <v>216.60171770542672</v>
      </c>
      <c r="AB47" s="6">
        <f>$K$47*$V$47</f>
        <v>0</v>
      </c>
      <c r="AC47" s="6">
        <f>$M$47*$W$47</f>
        <v>2527.4177500000001</v>
      </c>
      <c r="AD47" s="6">
        <f>$O$47*$X$47</f>
        <v>7386.8724499999998</v>
      </c>
      <c r="AE47" s="6">
        <f>$K$47*$Y$47</f>
        <v>0</v>
      </c>
      <c r="AF47" s="6">
        <f ca="1">$M$47*$Z$47</f>
        <v>3678.8273826428599</v>
      </c>
      <c r="AG47" s="6">
        <f>$O$47*$AA$47</f>
        <v>6960.4961984638876</v>
      </c>
    </row>
    <row r="48" spans="1:33" ht="11.25" customHeight="1" x14ac:dyDescent="0.25">
      <c r="A48" s="4" t="s">
        <v>21</v>
      </c>
      <c r="B48" s="4" t="s">
        <v>34</v>
      </c>
      <c r="C48" s="4" t="s">
        <v>35</v>
      </c>
      <c r="D48" s="4" t="s">
        <v>38</v>
      </c>
      <c r="E48" s="4" t="s">
        <v>25</v>
      </c>
      <c r="F48" s="4" t="s">
        <v>25</v>
      </c>
      <c r="G48" s="4" t="s">
        <v>25</v>
      </c>
      <c r="H48" s="4" t="s">
        <v>37</v>
      </c>
      <c r="I48" s="5">
        <v>44531</v>
      </c>
      <c r="J48" s="6">
        <v>0</v>
      </c>
      <c r="K48" s="6">
        <v>0</v>
      </c>
      <c r="L48" s="6">
        <v>219.99600000000001</v>
      </c>
      <c r="M48" s="6">
        <v>219.99600000000001</v>
      </c>
      <c r="N48" s="6">
        <v>219.99600000000001</v>
      </c>
      <c r="O48" s="6">
        <v>219.99600000000001</v>
      </c>
      <c r="P48" s="6">
        <v>0</v>
      </c>
      <c r="Q48" s="4" t="s">
        <v>26</v>
      </c>
      <c r="R48" s="4">
        <v>0</v>
      </c>
      <c r="S48" s="6">
        <v>0</v>
      </c>
      <c r="T48" s="6">
        <v>13</v>
      </c>
      <c r="U48" s="6">
        <v>16</v>
      </c>
      <c r="V48" s="6">
        <f>IF(ISERROR(VLOOKUP($S$48,'TAR FIN'!$A$1:$O$85,15,0)),0,VLOOKUP($S$48,'TAR FIN'!$A$1:$O$85,15,0))</f>
        <v>0</v>
      </c>
      <c r="W48" s="6">
        <f>IF(ISERROR(VLOOKUP($T$48,'TAR FIN'!$A$1:$O$85,15,0)),0,VLOOKUP($T$48,'TAR FIN'!$A$1:$O$85,15,0))</f>
        <v>78.650000000000006</v>
      </c>
      <c r="X48" s="6">
        <f>IF(ISERROR(VLOOKUP($U$48,'TAR FIN'!$A$1:$O$85,15,0)),0,VLOOKUP($U$48,'TAR FIN'!$A$1:$O$85,15,0))</f>
        <v>229.87</v>
      </c>
      <c r="Y48" s="6"/>
      <c r="Z48" s="6">
        <f ca="1">('TUSD BE'!$AM$12+'TUSD BF'!$AM$12+'TUSD CVA'!$AM$12)*1</f>
        <v>114.48039155571371</v>
      </c>
      <c r="AA48" s="6">
        <f>('TE BE'!$AB$6+'TE BF'!$AB$6+'TE CVA'!$AB$6)*1</f>
        <v>216.60171770542672</v>
      </c>
      <c r="AB48" s="6">
        <f>$K$48*$V$48</f>
        <v>0</v>
      </c>
      <c r="AC48" s="6">
        <f>$M$48*$W$48</f>
        <v>17302.685400000002</v>
      </c>
      <c r="AD48" s="6">
        <f>$O$48*$X$48</f>
        <v>50570.480520000005</v>
      </c>
      <c r="AE48" s="6">
        <f>$K$48*$Y$48</f>
        <v>0</v>
      </c>
      <c r="AF48" s="6">
        <f ca="1">$M$48*$Z$48</f>
        <v>25185.228220690795</v>
      </c>
      <c r="AG48" s="6">
        <f>$O$48*$AA$48</f>
        <v>47651.511488323056</v>
      </c>
    </row>
    <row r="49" spans="1:33" ht="11.25" customHeight="1" x14ac:dyDescent="0.25">
      <c r="A49" s="4" t="s">
        <v>27</v>
      </c>
      <c r="B49" s="4" t="s">
        <v>34</v>
      </c>
      <c r="C49" s="4" t="s">
        <v>35</v>
      </c>
      <c r="D49" s="4" t="s">
        <v>38</v>
      </c>
      <c r="E49" s="4" t="s">
        <v>25</v>
      </c>
      <c r="F49" s="4" t="s">
        <v>25</v>
      </c>
      <c r="G49" s="4" t="s">
        <v>25</v>
      </c>
      <c r="H49" s="4" t="s">
        <v>37</v>
      </c>
      <c r="I49" s="5">
        <v>44531</v>
      </c>
      <c r="J49" s="6">
        <v>0</v>
      </c>
      <c r="K49" s="6">
        <v>0</v>
      </c>
      <c r="L49" s="6">
        <v>16.257999999999999</v>
      </c>
      <c r="M49" s="6">
        <v>16.257999999999999</v>
      </c>
      <c r="N49" s="6">
        <v>16.257999999999999</v>
      </c>
      <c r="O49" s="6">
        <v>16.257999999999999</v>
      </c>
      <c r="P49" s="6">
        <v>0</v>
      </c>
      <c r="Q49" s="4" t="s">
        <v>26</v>
      </c>
      <c r="R49" s="4">
        <v>0</v>
      </c>
      <c r="S49" s="6">
        <v>0</v>
      </c>
      <c r="T49" s="6">
        <v>13</v>
      </c>
      <c r="U49" s="6">
        <v>16</v>
      </c>
      <c r="V49" s="6">
        <f>IF(ISERROR(VLOOKUP($S$49,'TAR FIN'!$A$1:$O$85,15,0)),0,VLOOKUP($S$49,'TAR FIN'!$A$1:$O$85,15,0))</f>
        <v>0</v>
      </c>
      <c r="W49" s="6">
        <f>IF(ISERROR(VLOOKUP($T$49,'TAR FIN'!$A$1:$O$85,15,0)),0,VLOOKUP($T$49,'TAR FIN'!$A$1:$O$85,15,0))</f>
        <v>78.650000000000006</v>
      </c>
      <c r="X49" s="6">
        <f>IF(ISERROR(VLOOKUP($U$49,'TAR FIN'!$A$1:$O$85,15,0)),0,VLOOKUP($U$49,'TAR FIN'!$A$1:$O$85,15,0))</f>
        <v>229.87</v>
      </c>
      <c r="Y49" s="6"/>
      <c r="Z49" s="6">
        <f ca="1">('TUSD BE'!$AM$12+'TUSD BF'!$AM$12+'TUSD CVA'!$AM$12)*1</f>
        <v>114.48039155571371</v>
      </c>
      <c r="AA49" s="6">
        <f>('TE BE'!$AB$6+'TE BF'!$AB$6+'TE CVA'!$AB$6)*1</f>
        <v>216.60171770542672</v>
      </c>
      <c r="AB49" s="6">
        <f>$K$49*$V$49</f>
        <v>0</v>
      </c>
      <c r="AC49" s="6">
        <f>$M$49*$W$49</f>
        <v>1278.6917000000001</v>
      </c>
      <c r="AD49" s="6">
        <f>$O$49*$X$49</f>
        <v>3737.2264599999999</v>
      </c>
      <c r="AE49" s="6">
        <f>$K$49*$Y$49</f>
        <v>0</v>
      </c>
      <c r="AF49" s="6">
        <f ca="1">$M$49*$Z$49</f>
        <v>1861.2222059127935</v>
      </c>
      <c r="AG49" s="6">
        <f>$O$49*$AA$49</f>
        <v>3521.5107264548274</v>
      </c>
    </row>
    <row r="50" spans="1:33" ht="11.25" customHeight="1" x14ac:dyDescent="0.25">
      <c r="A50" s="4" t="s">
        <v>21</v>
      </c>
      <c r="B50" s="4" t="s">
        <v>34</v>
      </c>
      <c r="C50" s="4" t="s">
        <v>35</v>
      </c>
      <c r="D50" s="4" t="s">
        <v>38</v>
      </c>
      <c r="E50" s="4" t="s">
        <v>25</v>
      </c>
      <c r="F50" s="4" t="s">
        <v>25</v>
      </c>
      <c r="G50" s="4" t="s">
        <v>25</v>
      </c>
      <c r="H50" s="4" t="s">
        <v>37</v>
      </c>
      <c r="I50" s="5">
        <v>44562</v>
      </c>
      <c r="J50" s="6">
        <v>0</v>
      </c>
      <c r="K50" s="6">
        <v>0</v>
      </c>
      <c r="L50" s="6">
        <v>234.53899999999999</v>
      </c>
      <c r="M50" s="6">
        <v>234.53899999999999</v>
      </c>
      <c r="N50" s="6">
        <v>234.53899999999999</v>
      </c>
      <c r="O50" s="6">
        <v>234.53899999999999</v>
      </c>
      <c r="P50" s="6">
        <v>0</v>
      </c>
      <c r="Q50" s="4" t="s">
        <v>26</v>
      </c>
      <c r="R50" s="4">
        <v>0</v>
      </c>
      <c r="S50" s="6">
        <v>0</v>
      </c>
      <c r="T50" s="6">
        <v>13</v>
      </c>
      <c r="U50" s="6">
        <v>16</v>
      </c>
      <c r="V50" s="6">
        <f>IF(ISERROR(VLOOKUP($S$50,'TAR FIN'!$A$1:$O$85,15,0)),0,VLOOKUP($S$50,'TAR FIN'!$A$1:$O$85,15,0))</f>
        <v>0</v>
      </c>
      <c r="W50" s="6">
        <f>IF(ISERROR(VLOOKUP($T$50,'TAR FIN'!$A$1:$O$85,15,0)),0,VLOOKUP($T$50,'TAR FIN'!$A$1:$O$85,15,0))</f>
        <v>78.650000000000006</v>
      </c>
      <c r="X50" s="6">
        <f>IF(ISERROR(VLOOKUP($U$50,'TAR FIN'!$A$1:$O$85,15,0)),0,VLOOKUP($U$50,'TAR FIN'!$A$1:$O$85,15,0))</f>
        <v>229.87</v>
      </c>
      <c r="Y50" s="6"/>
      <c r="Z50" s="6">
        <f ca="1">('TUSD BE'!$AM$12+'TUSD BF'!$AM$12+'TUSD CVA'!$AM$12)*1</f>
        <v>114.48039155571371</v>
      </c>
      <c r="AA50" s="6">
        <f>('TE BE'!$AB$6+'TE BF'!$AB$6+'TE CVA'!$AB$6)*1</f>
        <v>216.60171770542672</v>
      </c>
      <c r="AB50" s="6">
        <f>$K$50*$V$50</f>
        <v>0</v>
      </c>
      <c r="AC50" s="6">
        <f>$M$50*$W$50</f>
        <v>18446.49235</v>
      </c>
      <c r="AD50" s="6">
        <f>$O$50*$X$50</f>
        <v>53913.479930000001</v>
      </c>
      <c r="AE50" s="6">
        <f>$K$50*$Y$50</f>
        <v>0</v>
      </c>
      <c r="AF50" s="6">
        <f ca="1">$M$50*$Z$50</f>
        <v>26850.116555085537</v>
      </c>
      <c r="AG50" s="6">
        <f>$O$50*$AA$50</f>
        <v>50801.550268913074</v>
      </c>
    </row>
    <row r="51" spans="1:33" ht="11.25" customHeight="1" x14ac:dyDescent="0.25">
      <c r="A51" s="4" t="s">
        <v>27</v>
      </c>
      <c r="B51" s="4" t="s">
        <v>34</v>
      </c>
      <c r="C51" s="4" t="s">
        <v>35</v>
      </c>
      <c r="D51" s="4" t="s">
        <v>38</v>
      </c>
      <c r="E51" s="4" t="s">
        <v>25</v>
      </c>
      <c r="F51" s="4" t="s">
        <v>25</v>
      </c>
      <c r="G51" s="4" t="s">
        <v>25</v>
      </c>
      <c r="H51" s="4" t="s">
        <v>37</v>
      </c>
      <c r="I51" s="5">
        <v>44562</v>
      </c>
      <c r="J51" s="6">
        <v>0</v>
      </c>
      <c r="K51" s="6">
        <v>0</v>
      </c>
      <c r="L51" s="6">
        <v>20.654</v>
      </c>
      <c r="M51" s="6">
        <v>20.654</v>
      </c>
      <c r="N51" s="6">
        <v>20.654</v>
      </c>
      <c r="O51" s="6">
        <v>20.654</v>
      </c>
      <c r="P51" s="6">
        <v>0</v>
      </c>
      <c r="Q51" s="4" t="s">
        <v>26</v>
      </c>
      <c r="R51" s="4">
        <v>0</v>
      </c>
      <c r="S51" s="6">
        <v>0</v>
      </c>
      <c r="T51" s="6">
        <v>13</v>
      </c>
      <c r="U51" s="6">
        <v>16</v>
      </c>
      <c r="V51" s="6">
        <f>IF(ISERROR(VLOOKUP($S$51,'TAR FIN'!$A$1:$O$85,15,0)),0,VLOOKUP($S$51,'TAR FIN'!$A$1:$O$85,15,0))</f>
        <v>0</v>
      </c>
      <c r="W51" s="6">
        <f>IF(ISERROR(VLOOKUP($T$51,'TAR FIN'!$A$1:$O$85,15,0)),0,VLOOKUP($T$51,'TAR FIN'!$A$1:$O$85,15,0))</f>
        <v>78.650000000000006</v>
      </c>
      <c r="X51" s="6">
        <f>IF(ISERROR(VLOOKUP($U$51,'TAR FIN'!$A$1:$O$85,15,0)),0,VLOOKUP($U$51,'TAR FIN'!$A$1:$O$85,15,0))</f>
        <v>229.87</v>
      </c>
      <c r="Y51" s="6"/>
      <c r="Z51" s="6">
        <f ca="1">('TUSD BE'!$AM$12+'TUSD BF'!$AM$12+'TUSD CVA'!$AM$12)*1</f>
        <v>114.48039155571371</v>
      </c>
      <c r="AA51" s="6">
        <f>('TE BE'!$AB$6+'TE BF'!$AB$6+'TE CVA'!$AB$6)*1</f>
        <v>216.60171770542672</v>
      </c>
      <c r="AB51" s="6">
        <f>$K$51*$V$51</f>
        <v>0</v>
      </c>
      <c r="AC51" s="6">
        <f>$M$51*$W$51</f>
        <v>1624.4371000000001</v>
      </c>
      <c r="AD51" s="6">
        <f>$O$51*$X$51</f>
        <v>4747.7349800000002</v>
      </c>
      <c r="AE51" s="6">
        <f>$K$51*$Y$51</f>
        <v>0</v>
      </c>
      <c r="AF51" s="6">
        <f ca="1">$M$51*$Z$51</f>
        <v>2364.4780071917107</v>
      </c>
      <c r="AG51" s="6">
        <f>$O$51*$AA$51</f>
        <v>4473.6918774878832</v>
      </c>
    </row>
    <row r="52" spans="1:33" ht="11.25" customHeight="1" x14ac:dyDescent="0.25">
      <c r="A52" s="4" t="s">
        <v>21</v>
      </c>
      <c r="B52" s="4" t="s">
        <v>34</v>
      </c>
      <c r="C52" s="4" t="s">
        <v>35</v>
      </c>
      <c r="D52" s="4" t="s">
        <v>38</v>
      </c>
      <c r="E52" s="4" t="s">
        <v>25</v>
      </c>
      <c r="F52" s="4" t="s">
        <v>25</v>
      </c>
      <c r="G52" s="4" t="s">
        <v>25</v>
      </c>
      <c r="H52" s="4" t="s">
        <v>37</v>
      </c>
      <c r="I52" s="5">
        <v>44593</v>
      </c>
      <c r="J52" s="6">
        <v>0</v>
      </c>
      <c r="K52" s="6">
        <v>0</v>
      </c>
      <c r="L52" s="6">
        <v>208.126</v>
      </c>
      <c r="M52" s="6">
        <v>208.126</v>
      </c>
      <c r="N52" s="6">
        <v>208.126</v>
      </c>
      <c r="O52" s="6">
        <v>208.126</v>
      </c>
      <c r="P52" s="6">
        <v>0</v>
      </c>
      <c r="Q52" s="4" t="s">
        <v>26</v>
      </c>
      <c r="R52" s="4">
        <v>0</v>
      </c>
      <c r="S52" s="6">
        <v>0</v>
      </c>
      <c r="T52" s="6">
        <v>13</v>
      </c>
      <c r="U52" s="6">
        <v>16</v>
      </c>
      <c r="V52" s="6">
        <f>IF(ISERROR(VLOOKUP($S$52,'TAR FIN'!$A$1:$O$85,15,0)),0,VLOOKUP($S$52,'TAR FIN'!$A$1:$O$85,15,0))</f>
        <v>0</v>
      </c>
      <c r="W52" s="6">
        <f>IF(ISERROR(VLOOKUP($T$52,'TAR FIN'!$A$1:$O$85,15,0)),0,VLOOKUP($T$52,'TAR FIN'!$A$1:$O$85,15,0))</f>
        <v>78.650000000000006</v>
      </c>
      <c r="X52" s="6">
        <f>IF(ISERROR(VLOOKUP($U$52,'TAR FIN'!$A$1:$O$85,15,0)),0,VLOOKUP($U$52,'TAR FIN'!$A$1:$O$85,15,0))</f>
        <v>229.87</v>
      </c>
      <c r="Y52" s="6"/>
      <c r="Z52" s="6">
        <f ca="1">('TUSD BE'!$AM$12+'TUSD BF'!$AM$12+'TUSD CVA'!$AM$12)*1</f>
        <v>114.48039155571371</v>
      </c>
      <c r="AA52" s="6">
        <f>('TE BE'!$AB$6+'TE BF'!$AB$6+'TE CVA'!$AB$6)*1</f>
        <v>216.60171770542672</v>
      </c>
      <c r="AB52" s="6">
        <f>$K$52*$V$52</f>
        <v>0</v>
      </c>
      <c r="AC52" s="6">
        <f>$M$52*$W$52</f>
        <v>16369.109900000001</v>
      </c>
      <c r="AD52" s="6">
        <f>$O$52*$X$52</f>
        <v>47841.923620000001</v>
      </c>
      <c r="AE52" s="6">
        <f>$K$52*$Y$52</f>
        <v>0</v>
      </c>
      <c r="AF52" s="6">
        <f ca="1">$M$52*$Z$52</f>
        <v>23826.345972924471</v>
      </c>
      <c r="AG52" s="6">
        <f>$O$52*$AA$52</f>
        <v>45080.449099159639</v>
      </c>
    </row>
    <row r="53" spans="1:33" ht="11.25" customHeight="1" x14ac:dyDescent="0.25">
      <c r="A53" s="4" t="s">
        <v>27</v>
      </c>
      <c r="B53" s="4" t="s">
        <v>34</v>
      </c>
      <c r="C53" s="4" t="s">
        <v>35</v>
      </c>
      <c r="D53" s="4" t="s">
        <v>38</v>
      </c>
      <c r="E53" s="4" t="s">
        <v>25</v>
      </c>
      <c r="F53" s="4" t="s">
        <v>25</v>
      </c>
      <c r="G53" s="4" t="s">
        <v>25</v>
      </c>
      <c r="H53" s="4" t="s">
        <v>37</v>
      </c>
      <c r="I53" s="5">
        <v>44593</v>
      </c>
      <c r="J53" s="6">
        <v>0</v>
      </c>
      <c r="K53" s="6">
        <v>0</v>
      </c>
      <c r="L53" s="6">
        <v>41.901000000000003</v>
      </c>
      <c r="M53" s="6">
        <v>41.901000000000003</v>
      </c>
      <c r="N53" s="6">
        <v>41.901000000000003</v>
      </c>
      <c r="O53" s="6">
        <v>41.901000000000003</v>
      </c>
      <c r="P53" s="6">
        <v>0</v>
      </c>
      <c r="Q53" s="4" t="s">
        <v>26</v>
      </c>
      <c r="R53" s="4">
        <v>0</v>
      </c>
      <c r="S53" s="6">
        <v>0</v>
      </c>
      <c r="T53" s="6">
        <v>13</v>
      </c>
      <c r="U53" s="6">
        <v>16</v>
      </c>
      <c r="V53" s="6">
        <f>IF(ISERROR(VLOOKUP($S$53,'TAR FIN'!$A$1:$O$85,15,0)),0,VLOOKUP($S$53,'TAR FIN'!$A$1:$O$85,15,0))</f>
        <v>0</v>
      </c>
      <c r="W53" s="6">
        <f>IF(ISERROR(VLOOKUP($T$53,'TAR FIN'!$A$1:$O$85,15,0)),0,VLOOKUP($T$53,'TAR FIN'!$A$1:$O$85,15,0))</f>
        <v>78.650000000000006</v>
      </c>
      <c r="X53" s="6">
        <f>IF(ISERROR(VLOOKUP($U$53,'TAR FIN'!$A$1:$O$85,15,0)),0,VLOOKUP($U$53,'TAR FIN'!$A$1:$O$85,15,0))</f>
        <v>229.87</v>
      </c>
      <c r="Y53" s="6"/>
      <c r="Z53" s="6">
        <f ca="1">('TUSD BE'!$AM$12+'TUSD BF'!$AM$12+'TUSD CVA'!$AM$12)*1</f>
        <v>114.48039155571371</v>
      </c>
      <c r="AA53" s="6">
        <f>('TE BE'!$AB$6+'TE BF'!$AB$6+'TE CVA'!$AB$6)*1</f>
        <v>216.60171770542672</v>
      </c>
      <c r="AB53" s="6">
        <f>$K$53*$V$53</f>
        <v>0</v>
      </c>
      <c r="AC53" s="6">
        <f>$M$53*$W$53</f>
        <v>3295.5136500000003</v>
      </c>
      <c r="AD53" s="6">
        <f>$O$53*$X$53</f>
        <v>9631.7828700000009</v>
      </c>
      <c r="AE53" s="6">
        <f>$K$53*$Y$53</f>
        <v>0</v>
      </c>
      <c r="AF53" s="6">
        <f ca="1">$M$53*$Z$53</f>
        <v>4796.8428865759606</v>
      </c>
      <c r="AG53" s="6">
        <f>$O$53*$AA$53</f>
        <v>9075.8285735750851</v>
      </c>
    </row>
    <row r="54" spans="1:33" ht="11.25" customHeight="1" x14ac:dyDescent="0.25">
      <c r="A54" s="4" t="s">
        <v>21</v>
      </c>
      <c r="B54" s="4" t="s">
        <v>34</v>
      </c>
      <c r="C54" s="4" t="s">
        <v>35</v>
      </c>
      <c r="D54" s="4" t="s">
        <v>38</v>
      </c>
      <c r="E54" s="4" t="s">
        <v>25</v>
      </c>
      <c r="F54" s="4" t="s">
        <v>25</v>
      </c>
      <c r="G54" s="4" t="s">
        <v>25</v>
      </c>
      <c r="H54" s="4" t="s">
        <v>37</v>
      </c>
      <c r="I54" s="5">
        <v>44621</v>
      </c>
      <c r="J54" s="6">
        <v>0</v>
      </c>
      <c r="K54" s="6">
        <v>0</v>
      </c>
      <c r="L54" s="6">
        <v>209.947</v>
      </c>
      <c r="M54" s="6">
        <v>209.947</v>
      </c>
      <c r="N54" s="6">
        <v>209.947</v>
      </c>
      <c r="O54" s="6">
        <v>209.947</v>
      </c>
      <c r="P54" s="6">
        <v>0</v>
      </c>
      <c r="Q54" s="4" t="s">
        <v>26</v>
      </c>
      <c r="R54" s="4">
        <v>0</v>
      </c>
      <c r="S54" s="6">
        <v>0</v>
      </c>
      <c r="T54" s="6">
        <v>13</v>
      </c>
      <c r="U54" s="6">
        <v>16</v>
      </c>
      <c r="V54" s="6">
        <f>IF(ISERROR(VLOOKUP($S$54,'TAR FIN'!$A$1:$O$85,15,0)),0,VLOOKUP($S$54,'TAR FIN'!$A$1:$O$85,15,0))</f>
        <v>0</v>
      </c>
      <c r="W54" s="6">
        <f>IF(ISERROR(VLOOKUP($T$54,'TAR FIN'!$A$1:$O$85,15,0)),0,VLOOKUP($T$54,'TAR FIN'!$A$1:$O$85,15,0))</f>
        <v>78.650000000000006</v>
      </c>
      <c r="X54" s="6">
        <f>IF(ISERROR(VLOOKUP($U$54,'TAR FIN'!$A$1:$O$85,15,0)),0,VLOOKUP($U$54,'TAR FIN'!$A$1:$O$85,15,0))</f>
        <v>229.87</v>
      </c>
      <c r="Y54" s="6"/>
      <c r="Z54" s="6">
        <f ca="1">('TUSD BE'!$AM$12+'TUSD BF'!$AM$12+'TUSD CVA'!$AM$12)*1</f>
        <v>114.48039155571371</v>
      </c>
      <c r="AA54" s="6">
        <f>('TE BE'!$AB$6+'TE BF'!$AB$6+'TE CVA'!$AB$6)*1</f>
        <v>216.60171770542672</v>
      </c>
      <c r="AB54" s="6">
        <f>$K$54*$V$54</f>
        <v>0</v>
      </c>
      <c r="AC54" s="6">
        <f>$M$54*$W$54</f>
        <v>16512.331550000003</v>
      </c>
      <c r="AD54" s="6">
        <f>$O$54*$X$54</f>
        <v>48260.516889999999</v>
      </c>
      <c r="AE54" s="6">
        <f>$K$54*$Y$54</f>
        <v>0</v>
      </c>
      <c r="AF54" s="6">
        <f ca="1">$M$54*$Z$54</f>
        <v>24034.814765947427</v>
      </c>
      <c r="AG54" s="6">
        <f>$O$54*$AA$54</f>
        <v>45474.880827101224</v>
      </c>
    </row>
    <row r="55" spans="1:33" ht="11.25" customHeight="1" x14ac:dyDescent="0.25">
      <c r="A55" s="4" t="s">
        <v>27</v>
      </c>
      <c r="B55" s="4" t="s">
        <v>34</v>
      </c>
      <c r="C55" s="4" t="s">
        <v>35</v>
      </c>
      <c r="D55" s="4" t="s">
        <v>38</v>
      </c>
      <c r="E55" s="4" t="s">
        <v>25</v>
      </c>
      <c r="F55" s="4" t="s">
        <v>25</v>
      </c>
      <c r="G55" s="4" t="s">
        <v>25</v>
      </c>
      <c r="H55" s="4" t="s">
        <v>37</v>
      </c>
      <c r="I55" s="5">
        <v>44621</v>
      </c>
      <c r="J55" s="6">
        <v>0</v>
      </c>
      <c r="K55" s="6">
        <v>0</v>
      </c>
      <c r="L55" s="6">
        <v>32.024000000000001</v>
      </c>
      <c r="M55" s="6">
        <v>32.024000000000001</v>
      </c>
      <c r="N55" s="6">
        <v>32.024000000000001</v>
      </c>
      <c r="O55" s="6">
        <v>32.024000000000001</v>
      </c>
      <c r="P55" s="6">
        <v>0</v>
      </c>
      <c r="Q55" s="4" t="s">
        <v>26</v>
      </c>
      <c r="R55" s="4">
        <v>0</v>
      </c>
      <c r="S55" s="6">
        <v>0</v>
      </c>
      <c r="T55" s="6">
        <v>13</v>
      </c>
      <c r="U55" s="6">
        <v>16</v>
      </c>
      <c r="V55" s="6">
        <f>IF(ISERROR(VLOOKUP($S$55,'TAR FIN'!$A$1:$O$85,15,0)),0,VLOOKUP($S$55,'TAR FIN'!$A$1:$O$85,15,0))</f>
        <v>0</v>
      </c>
      <c r="W55" s="6">
        <f>IF(ISERROR(VLOOKUP($T$55,'TAR FIN'!$A$1:$O$85,15,0)),0,VLOOKUP($T$55,'TAR FIN'!$A$1:$O$85,15,0))</f>
        <v>78.650000000000006</v>
      </c>
      <c r="X55" s="6">
        <f>IF(ISERROR(VLOOKUP($U$55,'TAR FIN'!$A$1:$O$85,15,0)),0,VLOOKUP($U$55,'TAR FIN'!$A$1:$O$85,15,0))</f>
        <v>229.87</v>
      </c>
      <c r="Y55" s="6"/>
      <c r="Z55" s="6">
        <f ca="1">('TUSD BE'!$AM$12+'TUSD BF'!$AM$12+'TUSD CVA'!$AM$12)*1</f>
        <v>114.48039155571371</v>
      </c>
      <c r="AA55" s="6">
        <f>('TE BE'!$AB$6+'TE BF'!$AB$6+'TE CVA'!$AB$6)*1</f>
        <v>216.60171770542672</v>
      </c>
      <c r="AB55" s="6">
        <f>$K$55*$V$55</f>
        <v>0</v>
      </c>
      <c r="AC55" s="6">
        <f>$M$55*$W$55</f>
        <v>2518.6876000000002</v>
      </c>
      <c r="AD55" s="6">
        <f>$O$55*$X$55</f>
        <v>7361.3568800000003</v>
      </c>
      <c r="AE55" s="6">
        <f>$K$55*$Y$55</f>
        <v>0</v>
      </c>
      <c r="AF55" s="6">
        <f ca="1">$M$55*$Z$55</f>
        <v>3666.1200591801758</v>
      </c>
      <c r="AG55" s="6">
        <f>$O$55*$AA$55</f>
        <v>6936.4534077985854</v>
      </c>
    </row>
    <row r="56" spans="1:33" ht="11.25" customHeight="1" x14ac:dyDescent="0.25">
      <c r="A56" s="4" t="s">
        <v>21</v>
      </c>
      <c r="B56" s="4" t="s">
        <v>34</v>
      </c>
      <c r="C56" s="4" t="s">
        <v>35</v>
      </c>
      <c r="D56" s="4" t="s">
        <v>38</v>
      </c>
      <c r="E56" s="4" t="s">
        <v>25</v>
      </c>
      <c r="F56" s="4" t="s">
        <v>25</v>
      </c>
      <c r="G56" s="4" t="s">
        <v>25</v>
      </c>
      <c r="H56" s="4" t="s">
        <v>37</v>
      </c>
      <c r="I56" s="5">
        <v>44652</v>
      </c>
      <c r="J56" s="6">
        <v>0</v>
      </c>
      <c r="K56" s="6">
        <v>0</v>
      </c>
      <c r="L56" s="6">
        <v>178.52699999999999</v>
      </c>
      <c r="M56" s="6">
        <v>178.52699999999999</v>
      </c>
      <c r="N56" s="6">
        <v>178.52699999999999</v>
      </c>
      <c r="O56" s="6">
        <v>178.52699999999999</v>
      </c>
      <c r="P56" s="6">
        <v>0</v>
      </c>
      <c r="Q56" s="4" t="s">
        <v>26</v>
      </c>
      <c r="R56" s="4">
        <v>0</v>
      </c>
      <c r="S56" s="6">
        <v>0</v>
      </c>
      <c r="T56" s="6">
        <v>13</v>
      </c>
      <c r="U56" s="6">
        <v>16</v>
      </c>
      <c r="V56" s="6">
        <f>IF(ISERROR(VLOOKUP($S$56,'TAR FIN'!$A$1:$O$85,15,0)),0,VLOOKUP($S$56,'TAR FIN'!$A$1:$O$85,15,0))</f>
        <v>0</v>
      </c>
      <c r="W56" s="6">
        <f>IF(ISERROR(VLOOKUP($T$56,'TAR FIN'!$A$1:$O$85,15,0)),0,VLOOKUP($T$56,'TAR FIN'!$A$1:$O$85,15,0))</f>
        <v>78.650000000000006</v>
      </c>
      <c r="X56" s="6">
        <f>IF(ISERROR(VLOOKUP($U$56,'TAR FIN'!$A$1:$O$85,15,0)),0,VLOOKUP($U$56,'TAR FIN'!$A$1:$O$85,15,0))</f>
        <v>229.87</v>
      </c>
      <c r="Y56" s="6"/>
      <c r="Z56" s="6">
        <f ca="1">('TUSD BE'!$AM$12+'TUSD BF'!$AM$12+'TUSD CVA'!$AM$12)*1</f>
        <v>114.48039155571371</v>
      </c>
      <c r="AA56" s="6">
        <f>('TE BE'!$AB$6+'TE BF'!$AB$6+'TE CVA'!$AB$6)*1</f>
        <v>216.60171770542672</v>
      </c>
      <c r="AB56" s="6">
        <f>$K$56*$V$56</f>
        <v>0</v>
      </c>
      <c r="AC56" s="6">
        <f>$M$56*$W$56</f>
        <v>14041.14855</v>
      </c>
      <c r="AD56" s="6">
        <f>$O$56*$X$56</f>
        <v>41038.001489999995</v>
      </c>
      <c r="AE56" s="6">
        <f>$K$56*$Y$56</f>
        <v>0</v>
      </c>
      <c r="AF56" s="6">
        <f ca="1">$M$56*$Z$56</f>
        <v>20437.840863266902</v>
      </c>
      <c r="AG56" s="6">
        <f>$O$56*$AA$56</f>
        <v>38669.254856796717</v>
      </c>
    </row>
    <row r="57" spans="1:33" ht="11.25" customHeight="1" x14ac:dyDescent="0.25">
      <c r="A57" s="4" t="s">
        <v>27</v>
      </c>
      <c r="B57" s="4" t="s">
        <v>34</v>
      </c>
      <c r="C57" s="4" t="s">
        <v>35</v>
      </c>
      <c r="D57" s="4" t="s">
        <v>38</v>
      </c>
      <c r="E57" s="4" t="s">
        <v>25</v>
      </c>
      <c r="F57" s="4" t="s">
        <v>25</v>
      </c>
      <c r="G57" s="4" t="s">
        <v>25</v>
      </c>
      <c r="H57" s="4" t="s">
        <v>37</v>
      </c>
      <c r="I57" s="5">
        <v>44652</v>
      </c>
      <c r="J57" s="6">
        <v>0</v>
      </c>
      <c r="K57" s="6">
        <v>0</v>
      </c>
      <c r="L57" s="6">
        <v>46.622</v>
      </c>
      <c r="M57" s="6">
        <v>46.622</v>
      </c>
      <c r="N57" s="6">
        <v>46.622</v>
      </c>
      <c r="O57" s="6">
        <v>46.622</v>
      </c>
      <c r="P57" s="6">
        <v>0</v>
      </c>
      <c r="Q57" s="4" t="s">
        <v>26</v>
      </c>
      <c r="R57" s="4">
        <v>0</v>
      </c>
      <c r="S57" s="6">
        <v>0</v>
      </c>
      <c r="T57" s="6">
        <v>13</v>
      </c>
      <c r="U57" s="6">
        <v>16</v>
      </c>
      <c r="V57" s="6">
        <f>IF(ISERROR(VLOOKUP($S$57,'TAR FIN'!$A$1:$O$85,15,0)),0,VLOOKUP($S$57,'TAR FIN'!$A$1:$O$85,15,0))</f>
        <v>0</v>
      </c>
      <c r="W57" s="6">
        <f>IF(ISERROR(VLOOKUP($T$57,'TAR FIN'!$A$1:$O$85,15,0)),0,VLOOKUP($T$57,'TAR FIN'!$A$1:$O$85,15,0))</f>
        <v>78.650000000000006</v>
      </c>
      <c r="X57" s="6">
        <f>IF(ISERROR(VLOOKUP($U$57,'TAR FIN'!$A$1:$O$85,15,0)),0,VLOOKUP($U$57,'TAR FIN'!$A$1:$O$85,15,0))</f>
        <v>229.87</v>
      </c>
      <c r="Y57" s="6"/>
      <c r="Z57" s="6">
        <f ca="1">('TUSD BE'!$AM$12+'TUSD BF'!$AM$12+'TUSD CVA'!$AM$12)*1</f>
        <v>114.48039155571371</v>
      </c>
      <c r="AA57" s="6">
        <f>('TE BE'!$AB$6+'TE BF'!$AB$6+'TE CVA'!$AB$6)*1</f>
        <v>216.60171770542672</v>
      </c>
      <c r="AB57" s="6">
        <f>$K$57*$V$57</f>
        <v>0</v>
      </c>
      <c r="AC57" s="6">
        <f>$M$57*$W$57</f>
        <v>3666.8203000000003</v>
      </c>
      <c r="AD57" s="6">
        <f>$O$57*$X$57</f>
        <v>10716.99914</v>
      </c>
      <c r="AE57" s="6">
        <f>$K$57*$Y$57</f>
        <v>0</v>
      </c>
      <c r="AF57" s="6">
        <f ca="1">$M$57*$Z$57</f>
        <v>5337.3048151104849</v>
      </c>
      <c r="AG57" s="6">
        <f>$O$57*$AA$57</f>
        <v>10098.405282862404</v>
      </c>
    </row>
    <row r="58" spans="1:33" ht="11.25" customHeight="1" x14ac:dyDescent="0.25">
      <c r="A58" s="4" t="s">
        <v>21</v>
      </c>
      <c r="B58" s="4" t="s">
        <v>34</v>
      </c>
      <c r="C58" s="4" t="s">
        <v>35</v>
      </c>
      <c r="D58" s="4" t="s">
        <v>38</v>
      </c>
      <c r="E58" s="4" t="s">
        <v>25</v>
      </c>
      <c r="F58" s="4" t="s">
        <v>25</v>
      </c>
      <c r="G58" s="4" t="s">
        <v>25</v>
      </c>
      <c r="H58" s="4" t="s">
        <v>37</v>
      </c>
      <c r="I58" s="5">
        <v>44682</v>
      </c>
      <c r="J58" s="6">
        <v>0</v>
      </c>
      <c r="K58" s="6">
        <v>0</v>
      </c>
      <c r="L58" s="6">
        <v>187.43799999999999</v>
      </c>
      <c r="M58" s="6">
        <v>187.43799999999999</v>
      </c>
      <c r="N58" s="6">
        <v>187.43799999999999</v>
      </c>
      <c r="O58" s="6">
        <v>187.43799999999999</v>
      </c>
      <c r="P58" s="6">
        <v>0</v>
      </c>
      <c r="Q58" s="4" t="s">
        <v>26</v>
      </c>
      <c r="R58" s="4">
        <v>0</v>
      </c>
      <c r="S58" s="6">
        <v>0</v>
      </c>
      <c r="T58" s="6">
        <v>13</v>
      </c>
      <c r="U58" s="6">
        <v>16</v>
      </c>
      <c r="V58" s="6">
        <f>IF(ISERROR(VLOOKUP($S$58,'TAR FIN'!$A$1:$O$85,15,0)),0,VLOOKUP($S$58,'TAR FIN'!$A$1:$O$85,15,0))</f>
        <v>0</v>
      </c>
      <c r="W58" s="6">
        <f>IF(ISERROR(VLOOKUP($T$58,'TAR FIN'!$A$1:$O$85,15,0)),0,VLOOKUP($T$58,'TAR FIN'!$A$1:$O$85,15,0))</f>
        <v>78.650000000000006</v>
      </c>
      <c r="X58" s="6">
        <f>IF(ISERROR(VLOOKUP($U$58,'TAR FIN'!$A$1:$O$85,15,0)),0,VLOOKUP($U$58,'TAR FIN'!$A$1:$O$85,15,0))</f>
        <v>229.87</v>
      </c>
      <c r="Y58" s="6"/>
      <c r="Z58" s="6">
        <f ca="1">('TUSD BE'!$AM$12+'TUSD BF'!$AM$12+'TUSD CVA'!$AM$12)*1</f>
        <v>114.48039155571371</v>
      </c>
      <c r="AA58" s="6">
        <f>('TE BE'!$AB$6+'TE BF'!$AB$6+'TE CVA'!$AB$6)*1</f>
        <v>216.60171770542672</v>
      </c>
      <c r="AB58" s="6">
        <f>$K$58*$V$58</f>
        <v>0</v>
      </c>
      <c r="AC58" s="6">
        <f>$M$58*$W$58</f>
        <v>14741.9987</v>
      </c>
      <c r="AD58" s="6">
        <f>$O$58*$X$58</f>
        <v>43086.373059999998</v>
      </c>
      <c r="AE58" s="6">
        <f>$K$58*$Y$58</f>
        <v>0</v>
      </c>
      <c r="AF58" s="6">
        <f ca="1">$M$58*$Z$58</f>
        <v>21457.975632419864</v>
      </c>
      <c r="AG58" s="6">
        <f>$O$58*$AA$58</f>
        <v>40599.392763269774</v>
      </c>
    </row>
    <row r="59" spans="1:33" ht="11.25" customHeight="1" x14ac:dyDescent="0.25">
      <c r="A59" s="4" t="s">
        <v>27</v>
      </c>
      <c r="B59" s="4" t="s">
        <v>34</v>
      </c>
      <c r="C59" s="4" t="s">
        <v>35</v>
      </c>
      <c r="D59" s="4" t="s">
        <v>38</v>
      </c>
      <c r="E59" s="4" t="s">
        <v>25</v>
      </c>
      <c r="F59" s="4" t="s">
        <v>25</v>
      </c>
      <c r="G59" s="4" t="s">
        <v>25</v>
      </c>
      <c r="H59" s="4" t="s">
        <v>37</v>
      </c>
      <c r="I59" s="5">
        <v>44682</v>
      </c>
      <c r="J59" s="6">
        <v>0</v>
      </c>
      <c r="K59" s="6">
        <v>0</v>
      </c>
      <c r="L59" s="6">
        <v>28.597999999999999</v>
      </c>
      <c r="M59" s="6">
        <v>28.597999999999999</v>
      </c>
      <c r="N59" s="6">
        <v>28.597999999999999</v>
      </c>
      <c r="O59" s="6">
        <v>28.597999999999999</v>
      </c>
      <c r="P59" s="6">
        <v>0</v>
      </c>
      <c r="Q59" s="4" t="s">
        <v>26</v>
      </c>
      <c r="R59" s="4">
        <v>0</v>
      </c>
      <c r="S59" s="6">
        <v>0</v>
      </c>
      <c r="T59" s="6">
        <v>13</v>
      </c>
      <c r="U59" s="6">
        <v>16</v>
      </c>
      <c r="V59" s="6">
        <f>IF(ISERROR(VLOOKUP($S$59,'TAR FIN'!$A$1:$O$85,15,0)),0,VLOOKUP($S$59,'TAR FIN'!$A$1:$O$85,15,0))</f>
        <v>0</v>
      </c>
      <c r="W59" s="6">
        <f>IF(ISERROR(VLOOKUP($T$59,'TAR FIN'!$A$1:$O$85,15,0)),0,VLOOKUP($T$59,'TAR FIN'!$A$1:$O$85,15,0))</f>
        <v>78.650000000000006</v>
      </c>
      <c r="X59" s="6">
        <f>IF(ISERROR(VLOOKUP($U$59,'TAR FIN'!$A$1:$O$85,15,0)),0,VLOOKUP($U$59,'TAR FIN'!$A$1:$O$85,15,0))</f>
        <v>229.87</v>
      </c>
      <c r="Y59" s="6"/>
      <c r="Z59" s="6">
        <f ca="1">('TUSD BE'!$AM$12+'TUSD BF'!$AM$12+'TUSD CVA'!$AM$12)*1</f>
        <v>114.48039155571371</v>
      </c>
      <c r="AA59" s="6">
        <f>('TE BE'!$AB$6+'TE BF'!$AB$6+'TE CVA'!$AB$6)*1</f>
        <v>216.60171770542672</v>
      </c>
      <c r="AB59" s="6">
        <f>$K$59*$V$59</f>
        <v>0</v>
      </c>
      <c r="AC59" s="6">
        <f>$M$59*$W$59</f>
        <v>2249.2327</v>
      </c>
      <c r="AD59" s="6">
        <f>$O$59*$X$59</f>
        <v>6573.8222599999999</v>
      </c>
      <c r="AE59" s="6">
        <f>$K$59*$Y$59</f>
        <v>0</v>
      </c>
      <c r="AF59" s="6">
        <f ca="1">$M$59*$Z$59</f>
        <v>3273.9102377103004</v>
      </c>
      <c r="AG59" s="6">
        <f>$O$59*$AA$59</f>
        <v>6194.3759229397929</v>
      </c>
    </row>
    <row r="60" spans="1:33" ht="11.25" customHeight="1" x14ac:dyDescent="0.25">
      <c r="A60" s="4" t="s">
        <v>21</v>
      </c>
      <c r="B60" s="4" t="s">
        <v>34</v>
      </c>
      <c r="C60" s="4" t="s">
        <v>35</v>
      </c>
      <c r="D60" s="4" t="s">
        <v>38</v>
      </c>
      <c r="E60" s="4" t="s">
        <v>25</v>
      </c>
      <c r="F60" s="4" t="s">
        <v>25</v>
      </c>
      <c r="G60" s="4" t="s">
        <v>25</v>
      </c>
      <c r="H60" s="4" t="s">
        <v>37</v>
      </c>
      <c r="I60" s="5">
        <v>44713</v>
      </c>
      <c r="J60" s="6">
        <v>0</v>
      </c>
      <c r="K60" s="6">
        <v>0</v>
      </c>
      <c r="L60" s="6">
        <v>177.31899999999999</v>
      </c>
      <c r="M60" s="6">
        <v>177.31899999999999</v>
      </c>
      <c r="N60" s="6">
        <v>177.31899999999999</v>
      </c>
      <c r="O60" s="6">
        <v>177.31899999999999</v>
      </c>
      <c r="P60" s="6">
        <v>0</v>
      </c>
      <c r="Q60" s="4" t="s">
        <v>26</v>
      </c>
      <c r="R60" s="4">
        <v>0</v>
      </c>
      <c r="S60" s="6">
        <v>0</v>
      </c>
      <c r="T60" s="6">
        <v>13</v>
      </c>
      <c r="U60" s="6">
        <v>16</v>
      </c>
      <c r="V60" s="6">
        <f>IF(ISERROR(VLOOKUP($S$60,'TAR FIN'!$A$1:$O$85,15,0)),0,VLOOKUP($S$60,'TAR FIN'!$A$1:$O$85,15,0))</f>
        <v>0</v>
      </c>
      <c r="W60" s="6">
        <f>IF(ISERROR(VLOOKUP($T$60,'TAR FIN'!$A$1:$O$85,15,0)),0,VLOOKUP($T$60,'TAR FIN'!$A$1:$O$85,15,0))</f>
        <v>78.650000000000006</v>
      </c>
      <c r="X60" s="6">
        <f>IF(ISERROR(VLOOKUP($U$60,'TAR FIN'!$A$1:$O$85,15,0)),0,VLOOKUP($U$60,'TAR FIN'!$A$1:$O$85,15,0))</f>
        <v>229.87</v>
      </c>
      <c r="Y60" s="6"/>
      <c r="Z60" s="6">
        <f ca="1">('TUSD BE'!$AM$12+'TUSD BF'!$AM$12+'TUSD CVA'!$AM$12)*1</f>
        <v>114.48039155571371</v>
      </c>
      <c r="AA60" s="6">
        <f>('TE BE'!$AB$6+'TE BF'!$AB$6+'TE CVA'!$AB$6)*1</f>
        <v>216.60171770542672</v>
      </c>
      <c r="AB60" s="6">
        <f>$K$60*$V$60</f>
        <v>0</v>
      </c>
      <c r="AC60" s="6">
        <f>$M$60*$W$60</f>
        <v>13946.139349999999</v>
      </c>
      <c r="AD60" s="6">
        <f>$O$60*$X$60</f>
        <v>40760.318529999997</v>
      </c>
      <c r="AE60" s="6">
        <f>$K$60*$Y$60</f>
        <v>0</v>
      </c>
      <c r="AF60" s="6">
        <f ca="1">$M$60*$Z$60</f>
        <v>20299.548550267598</v>
      </c>
      <c r="AG60" s="6">
        <f>$O$60*$AA$60</f>
        <v>38407.599981808562</v>
      </c>
    </row>
    <row r="61" spans="1:33" ht="11.25" customHeight="1" x14ac:dyDescent="0.25">
      <c r="A61" s="4" t="s">
        <v>27</v>
      </c>
      <c r="B61" s="4" t="s">
        <v>34</v>
      </c>
      <c r="C61" s="4" t="s">
        <v>35</v>
      </c>
      <c r="D61" s="4" t="s">
        <v>38</v>
      </c>
      <c r="E61" s="4" t="s">
        <v>25</v>
      </c>
      <c r="F61" s="4" t="s">
        <v>25</v>
      </c>
      <c r="G61" s="4" t="s">
        <v>25</v>
      </c>
      <c r="H61" s="4" t="s">
        <v>37</v>
      </c>
      <c r="I61" s="5">
        <v>44713</v>
      </c>
      <c r="J61" s="6">
        <v>0</v>
      </c>
      <c r="K61" s="6">
        <v>0</v>
      </c>
      <c r="L61" s="6">
        <v>22.238</v>
      </c>
      <c r="M61" s="6">
        <v>22.238</v>
      </c>
      <c r="N61" s="6">
        <v>22.238</v>
      </c>
      <c r="O61" s="6">
        <v>22.238</v>
      </c>
      <c r="P61" s="6">
        <v>0</v>
      </c>
      <c r="Q61" s="4" t="s">
        <v>26</v>
      </c>
      <c r="R61" s="4">
        <v>0</v>
      </c>
      <c r="S61" s="6">
        <v>0</v>
      </c>
      <c r="T61" s="6">
        <v>13</v>
      </c>
      <c r="U61" s="6">
        <v>16</v>
      </c>
      <c r="V61" s="6">
        <f>IF(ISERROR(VLOOKUP($S$61,'TAR FIN'!$A$1:$O$85,15,0)),0,VLOOKUP($S$61,'TAR FIN'!$A$1:$O$85,15,0))</f>
        <v>0</v>
      </c>
      <c r="W61" s="6">
        <f>IF(ISERROR(VLOOKUP($T$61,'TAR FIN'!$A$1:$O$85,15,0)),0,VLOOKUP($T$61,'TAR FIN'!$A$1:$O$85,15,0))</f>
        <v>78.650000000000006</v>
      </c>
      <c r="X61" s="6">
        <f>IF(ISERROR(VLOOKUP($U$61,'TAR FIN'!$A$1:$O$85,15,0)),0,VLOOKUP($U$61,'TAR FIN'!$A$1:$O$85,15,0))</f>
        <v>229.87</v>
      </c>
      <c r="Y61" s="6"/>
      <c r="Z61" s="6">
        <f ca="1">('TUSD BE'!$AM$12+'TUSD BF'!$AM$12+'TUSD CVA'!$AM$12)*1</f>
        <v>114.48039155571371</v>
      </c>
      <c r="AA61" s="6">
        <f>('TE BE'!$AB$6+'TE BF'!$AB$6+'TE CVA'!$AB$6)*1</f>
        <v>216.60171770542672</v>
      </c>
      <c r="AB61" s="6">
        <f>$K$61*$V$61</f>
        <v>0</v>
      </c>
      <c r="AC61" s="6">
        <f>$M$61*$W$61</f>
        <v>1749.0187000000001</v>
      </c>
      <c r="AD61" s="6">
        <f>$O$61*$X$61</f>
        <v>5111.8490599999996</v>
      </c>
      <c r="AE61" s="6">
        <f>$K$61*$Y$61</f>
        <v>0</v>
      </c>
      <c r="AF61" s="6">
        <f ca="1">$M$61*$Z$61</f>
        <v>2545.8149474159613</v>
      </c>
      <c r="AG61" s="6">
        <f>$O$61*$AA$61</f>
        <v>4816.7889983332798</v>
      </c>
    </row>
    <row r="62" spans="1:33" ht="11.25" customHeight="1" x14ac:dyDescent="0.25">
      <c r="A62" s="4" t="s">
        <v>21</v>
      </c>
      <c r="B62" s="4" t="s">
        <v>34</v>
      </c>
      <c r="C62" s="4" t="s">
        <v>35</v>
      </c>
      <c r="D62" s="4" t="s">
        <v>38</v>
      </c>
      <c r="E62" s="4" t="s">
        <v>25</v>
      </c>
      <c r="F62" s="4" t="s">
        <v>25</v>
      </c>
      <c r="G62" s="4" t="s">
        <v>25</v>
      </c>
      <c r="H62" s="4" t="s">
        <v>25</v>
      </c>
      <c r="I62" s="5">
        <v>44378</v>
      </c>
      <c r="J62" s="6">
        <v>900</v>
      </c>
      <c r="K62" s="6">
        <v>900</v>
      </c>
      <c r="L62" s="6">
        <v>0</v>
      </c>
      <c r="M62" s="6">
        <v>0</v>
      </c>
      <c r="N62" s="6">
        <v>0</v>
      </c>
      <c r="O62" s="6">
        <v>0</v>
      </c>
      <c r="P62" s="6">
        <v>9</v>
      </c>
      <c r="Q62" s="4" t="s">
        <v>26</v>
      </c>
      <c r="R62" s="4">
        <v>0</v>
      </c>
      <c r="S62" s="6">
        <v>36</v>
      </c>
      <c r="T62" s="6">
        <v>0</v>
      </c>
      <c r="U62" s="6">
        <v>0</v>
      </c>
      <c r="V62" s="6">
        <f>IF(ISERROR(VLOOKUP($S$62,'TAR FIN'!$A$1:$O$85,15,0)),0,VLOOKUP($S$62,'TAR FIN'!$A$1:$O$85,15,0))</f>
        <v>14.94</v>
      </c>
      <c r="W62" s="6">
        <f>IF(ISERROR(VLOOKUP($T$62,'TAR FIN'!$A$1:$O$85,15,0)),0,VLOOKUP($T$62,'TAR FIN'!$A$1:$O$85,15,0))</f>
        <v>0</v>
      </c>
      <c r="X62" s="6">
        <f>IF(ISERROR(VLOOKUP($U$62,'TAR FIN'!$A$1:$O$85,15,0)),0,VLOOKUP($U$62,'TAR FIN'!$A$1:$O$85,15,0))</f>
        <v>0</v>
      </c>
      <c r="Y62" s="6">
        <f ca="1">('TUSD BE'!$AM$10+'TUSD BF'!$AM$10+'TUSD CVA'!$AM$10)*1</f>
        <v>19.63429077280307</v>
      </c>
      <c r="Z62" s="6"/>
      <c r="AA62" s="6"/>
      <c r="AB62" s="6">
        <f>$K$62*$V$62</f>
        <v>13446</v>
      </c>
      <c r="AC62" s="6">
        <f>$M$62*$W$62</f>
        <v>0</v>
      </c>
      <c r="AD62" s="6">
        <f>$O$62*$X$62</f>
        <v>0</v>
      </c>
      <c r="AE62" s="6">
        <f ca="1">$K$62*$Y$62</f>
        <v>17670.861695522763</v>
      </c>
      <c r="AF62" s="6">
        <f>$M$62*$Z$62</f>
        <v>0</v>
      </c>
      <c r="AG62" s="6">
        <f>$O$62*$AA$62</f>
        <v>0</v>
      </c>
    </row>
    <row r="63" spans="1:33" ht="11.25" customHeight="1" x14ac:dyDescent="0.25">
      <c r="A63" s="4" t="s">
        <v>27</v>
      </c>
      <c r="B63" s="4" t="s">
        <v>34</v>
      </c>
      <c r="C63" s="4" t="s">
        <v>35</v>
      </c>
      <c r="D63" s="4" t="s">
        <v>38</v>
      </c>
      <c r="E63" s="4" t="s">
        <v>25</v>
      </c>
      <c r="F63" s="4" t="s">
        <v>25</v>
      </c>
      <c r="G63" s="4" t="s">
        <v>25</v>
      </c>
      <c r="H63" s="4" t="s">
        <v>25</v>
      </c>
      <c r="I63" s="5">
        <v>44378</v>
      </c>
      <c r="J63" s="6">
        <v>150</v>
      </c>
      <c r="K63" s="6">
        <v>150</v>
      </c>
      <c r="L63" s="6">
        <v>0</v>
      </c>
      <c r="M63" s="6">
        <v>0</v>
      </c>
      <c r="N63" s="6">
        <v>0</v>
      </c>
      <c r="O63" s="6">
        <v>0</v>
      </c>
      <c r="P63" s="6">
        <v>1</v>
      </c>
      <c r="Q63" s="4" t="s">
        <v>26</v>
      </c>
      <c r="R63" s="4">
        <v>0</v>
      </c>
      <c r="S63" s="6">
        <v>36</v>
      </c>
      <c r="T63" s="6">
        <v>0</v>
      </c>
      <c r="U63" s="6">
        <v>0</v>
      </c>
      <c r="V63" s="6">
        <f>IF(ISERROR(VLOOKUP($S$63,'TAR FIN'!$A$1:$O$85,15,0)),0,VLOOKUP($S$63,'TAR FIN'!$A$1:$O$85,15,0))</f>
        <v>14.94</v>
      </c>
      <c r="W63" s="6">
        <f>IF(ISERROR(VLOOKUP($T$63,'TAR FIN'!$A$1:$O$85,15,0)),0,VLOOKUP($T$63,'TAR FIN'!$A$1:$O$85,15,0))</f>
        <v>0</v>
      </c>
      <c r="X63" s="6">
        <f>IF(ISERROR(VLOOKUP($U$63,'TAR FIN'!$A$1:$O$85,15,0)),0,VLOOKUP($U$63,'TAR FIN'!$A$1:$O$85,15,0))</f>
        <v>0</v>
      </c>
      <c r="Y63" s="6">
        <f ca="1">('TUSD BE'!$AM$10+'TUSD BF'!$AM$10+'TUSD CVA'!$AM$10)*1</f>
        <v>19.63429077280307</v>
      </c>
      <c r="Z63" s="6"/>
      <c r="AA63" s="6"/>
      <c r="AB63" s="6">
        <f>$K$63*$V$63</f>
        <v>2241</v>
      </c>
      <c r="AC63" s="6">
        <f>$M$63*$W$63</f>
        <v>0</v>
      </c>
      <c r="AD63" s="6">
        <f>$O$63*$X$63</f>
        <v>0</v>
      </c>
      <c r="AE63" s="6">
        <f ca="1">$K$63*$Y$63</f>
        <v>2945.1436159204604</v>
      </c>
      <c r="AF63" s="6">
        <f>$M$63*$Z$63</f>
        <v>0</v>
      </c>
      <c r="AG63" s="6">
        <f>$O$63*$AA$63</f>
        <v>0</v>
      </c>
    </row>
    <row r="64" spans="1:33" ht="11.25" customHeight="1" x14ac:dyDescent="0.25">
      <c r="A64" s="4" t="s">
        <v>21</v>
      </c>
      <c r="B64" s="4" t="s">
        <v>34</v>
      </c>
      <c r="C64" s="4" t="s">
        <v>35</v>
      </c>
      <c r="D64" s="4" t="s">
        <v>38</v>
      </c>
      <c r="E64" s="4" t="s">
        <v>25</v>
      </c>
      <c r="F64" s="4" t="s">
        <v>25</v>
      </c>
      <c r="G64" s="4" t="s">
        <v>25</v>
      </c>
      <c r="H64" s="4" t="s">
        <v>25</v>
      </c>
      <c r="I64" s="5">
        <v>44409</v>
      </c>
      <c r="J64" s="6">
        <v>877</v>
      </c>
      <c r="K64" s="6">
        <v>877</v>
      </c>
      <c r="L64" s="6">
        <v>0</v>
      </c>
      <c r="M64" s="6">
        <v>0</v>
      </c>
      <c r="N64" s="6">
        <v>0</v>
      </c>
      <c r="O64" s="6">
        <v>0</v>
      </c>
      <c r="P64" s="6">
        <v>9</v>
      </c>
      <c r="Q64" s="4" t="s">
        <v>26</v>
      </c>
      <c r="R64" s="4">
        <v>0</v>
      </c>
      <c r="S64" s="6">
        <v>36</v>
      </c>
      <c r="T64" s="6">
        <v>0</v>
      </c>
      <c r="U64" s="6">
        <v>0</v>
      </c>
      <c r="V64" s="6">
        <f>IF(ISERROR(VLOOKUP($S$64,'TAR FIN'!$A$1:$O$85,15,0)),0,VLOOKUP($S$64,'TAR FIN'!$A$1:$O$85,15,0))</f>
        <v>14.94</v>
      </c>
      <c r="W64" s="6">
        <f>IF(ISERROR(VLOOKUP($T$64,'TAR FIN'!$A$1:$O$85,15,0)),0,VLOOKUP($T$64,'TAR FIN'!$A$1:$O$85,15,0))</f>
        <v>0</v>
      </c>
      <c r="X64" s="6">
        <f>IF(ISERROR(VLOOKUP($U$64,'TAR FIN'!$A$1:$O$85,15,0)),0,VLOOKUP($U$64,'TAR FIN'!$A$1:$O$85,15,0))</f>
        <v>0</v>
      </c>
      <c r="Y64" s="6">
        <f ca="1">('TUSD BE'!$AM$10+'TUSD BF'!$AM$10+'TUSD CVA'!$AM$10)*1</f>
        <v>19.63429077280307</v>
      </c>
      <c r="Z64" s="6"/>
      <c r="AA64" s="6"/>
      <c r="AB64" s="6">
        <f>$K$64*$V$64</f>
        <v>13102.38</v>
      </c>
      <c r="AC64" s="6">
        <f>$M$64*$W$64</f>
        <v>0</v>
      </c>
      <c r="AD64" s="6">
        <f>$O$64*$X$64</f>
        <v>0</v>
      </c>
      <c r="AE64" s="6">
        <f ca="1">$K$64*$Y$64</f>
        <v>17219.273007748292</v>
      </c>
      <c r="AF64" s="6">
        <f>$M$64*$Z$64</f>
        <v>0</v>
      </c>
      <c r="AG64" s="6">
        <f>$O$64*$AA$64</f>
        <v>0</v>
      </c>
    </row>
    <row r="65" spans="1:33" ht="11.25" customHeight="1" x14ac:dyDescent="0.25">
      <c r="A65" s="4" t="s">
        <v>27</v>
      </c>
      <c r="B65" s="4" t="s">
        <v>34</v>
      </c>
      <c r="C65" s="4" t="s">
        <v>35</v>
      </c>
      <c r="D65" s="4" t="s">
        <v>38</v>
      </c>
      <c r="E65" s="4" t="s">
        <v>25</v>
      </c>
      <c r="F65" s="4" t="s">
        <v>25</v>
      </c>
      <c r="G65" s="4" t="s">
        <v>25</v>
      </c>
      <c r="H65" s="4" t="s">
        <v>25</v>
      </c>
      <c r="I65" s="5">
        <v>44409</v>
      </c>
      <c r="J65" s="6">
        <v>150</v>
      </c>
      <c r="K65" s="6">
        <v>150</v>
      </c>
      <c r="L65" s="6">
        <v>0</v>
      </c>
      <c r="M65" s="6">
        <v>0</v>
      </c>
      <c r="N65" s="6">
        <v>0</v>
      </c>
      <c r="O65" s="6">
        <v>0</v>
      </c>
      <c r="P65" s="6">
        <v>1</v>
      </c>
      <c r="Q65" s="4" t="s">
        <v>26</v>
      </c>
      <c r="R65" s="4">
        <v>0</v>
      </c>
      <c r="S65" s="6">
        <v>36</v>
      </c>
      <c r="T65" s="6">
        <v>0</v>
      </c>
      <c r="U65" s="6">
        <v>0</v>
      </c>
      <c r="V65" s="6">
        <f>IF(ISERROR(VLOOKUP($S$65,'TAR FIN'!$A$1:$O$85,15,0)),0,VLOOKUP($S$65,'TAR FIN'!$A$1:$O$85,15,0))</f>
        <v>14.94</v>
      </c>
      <c r="W65" s="6">
        <f>IF(ISERROR(VLOOKUP($T$65,'TAR FIN'!$A$1:$O$85,15,0)),0,VLOOKUP($T$65,'TAR FIN'!$A$1:$O$85,15,0))</f>
        <v>0</v>
      </c>
      <c r="X65" s="6">
        <f>IF(ISERROR(VLOOKUP($U$65,'TAR FIN'!$A$1:$O$85,15,0)),0,VLOOKUP($U$65,'TAR FIN'!$A$1:$O$85,15,0))</f>
        <v>0</v>
      </c>
      <c r="Y65" s="6">
        <f ca="1">('TUSD BE'!$AM$10+'TUSD BF'!$AM$10+'TUSD CVA'!$AM$10)*1</f>
        <v>19.63429077280307</v>
      </c>
      <c r="Z65" s="6"/>
      <c r="AA65" s="6"/>
      <c r="AB65" s="6">
        <f>$K$65*$V$65</f>
        <v>2241</v>
      </c>
      <c r="AC65" s="6">
        <f>$M$65*$W$65</f>
        <v>0</v>
      </c>
      <c r="AD65" s="6">
        <f>$O$65*$X$65</f>
        <v>0</v>
      </c>
      <c r="AE65" s="6">
        <f ca="1">$K$65*$Y$65</f>
        <v>2945.1436159204604</v>
      </c>
      <c r="AF65" s="6">
        <f>$M$65*$Z$65</f>
        <v>0</v>
      </c>
      <c r="AG65" s="6">
        <f>$O$65*$AA$65</f>
        <v>0</v>
      </c>
    </row>
    <row r="66" spans="1:33" ht="11.25" customHeight="1" x14ac:dyDescent="0.25">
      <c r="A66" s="4" t="s">
        <v>21</v>
      </c>
      <c r="B66" s="4" t="s">
        <v>34</v>
      </c>
      <c r="C66" s="4" t="s">
        <v>35</v>
      </c>
      <c r="D66" s="4" t="s">
        <v>38</v>
      </c>
      <c r="E66" s="4" t="s">
        <v>25</v>
      </c>
      <c r="F66" s="4" t="s">
        <v>25</v>
      </c>
      <c r="G66" s="4" t="s">
        <v>25</v>
      </c>
      <c r="H66" s="4" t="s">
        <v>25</v>
      </c>
      <c r="I66" s="5">
        <v>44440</v>
      </c>
      <c r="J66" s="6">
        <v>877</v>
      </c>
      <c r="K66" s="6">
        <v>877</v>
      </c>
      <c r="L66" s="6">
        <v>0</v>
      </c>
      <c r="M66" s="6">
        <v>0</v>
      </c>
      <c r="N66" s="6">
        <v>0</v>
      </c>
      <c r="O66" s="6">
        <v>0</v>
      </c>
      <c r="P66" s="6">
        <v>9</v>
      </c>
      <c r="Q66" s="4" t="s">
        <v>26</v>
      </c>
      <c r="R66" s="4">
        <v>0</v>
      </c>
      <c r="S66" s="6">
        <v>36</v>
      </c>
      <c r="T66" s="6">
        <v>0</v>
      </c>
      <c r="U66" s="6">
        <v>0</v>
      </c>
      <c r="V66" s="6">
        <f>IF(ISERROR(VLOOKUP($S$66,'TAR FIN'!$A$1:$O$85,15,0)),0,VLOOKUP($S$66,'TAR FIN'!$A$1:$O$85,15,0))</f>
        <v>14.94</v>
      </c>
      <c r="W66" s="6">
        <f>IF(ISERROR(VLOOKUP($T$66,'TAR FIN'!$A$1:$O$85,15,0)),0,VLOOKUP($T$66,'TAR FIN'!$A$1:$O$85,15,0))</f>
        <v>0</v>
      </c>
      <c r="X66" s="6">
        <f>IF(ISERROR(VLOOKUP($U$66,'TAR FIN'!$A$1:$O$85,15,0)),0,VLOOKUP($U$66,'TAR FIN'!$A$1:$O$85,15,0))</f>
        <v>0</v>
      </c>
      <c r="Y66" s="6">
        <f ca="1">('TUSD BE'!$AM$10+'TUSD BF'!$AM$10+'TUSD CVA'!$AM$10)*1</f>
        <v>19.63429077280307</v>
      </c>
      <c r="Z66" s="6"/>
      <c r="AA66" s="6"/>
      <c r="AB66" s="6">
        <f>$K$66*$V$66</f>
        <v>13102.38</v>
      </c>
      <c r="AC66" s="6">
        <f>$M$66*$W$66</f>
        <v>0</v>
      </c>
      <c r="AD66" s="6">
        <f>$O$66*$X$66</f>
        <v>0</v>
      </c>
      <c r="AE66" s="6">
        <f ca="1">$K$66*$Y$66</f>
        <v>17219.273007748292</v>
      </c>
      <c r="AF66" s="6">
        <f>$M$66*$Z$66</f>
        <v>0</v>
      </c>
      <c r="AG66" s="6">
        <f>$O$66*$AA$66</f>
        <v>0</v>
      </c>
    </row>
    <row r="67" spans="1:33" ht="11.25" customHeight="1" x14ac:dyDescent="0.25">
      <c r="A67" s="4" t="s">
        <v>27</v>
      </c>
      <c r="B67" s="4" t="s">
        <v>34</v>
      </c>
      <c r="C67" s="4" t="s">
        <v>35</v>
      </c>
      <c r="D67" s="4" t="s">
        <v>38</v>
      </c>
      <c r="E67" s="4" t="s">
        <v>25</v>
      </c>
      <c r="F67" s="4" t="s">
        <v>25</v>
      </c>
      <c r="G67" s="4" t="s">
        <v>25</v>
      </c>
      <c r="H67" s="4" t="s">
        <v>25</v>
      </c>
      <c r="I67" s="5">
        <v>44440</v>
      </c>
      <c r="J67" s="6">
        <v>150</v>
      </c>
      <c r="K67" s="6">
        <v>150</v>
      </c>
      <c r="L67" s="6">
        <v>0</v>
      </c>
      <c r="M67" s="6">
        <v>0</v>
      </c>
      <c r="N67" s="6">
        <v>0</v>
      </c>
      <c r="O67" s="6">
        <v>0</v>
      </c>
      <c r="P67" s="6">
        <v>1</v>
      </c>
      <c r="Q67" s="4" t="s">
        <v>26</v>
      </c>
      <c r="R67" s="4">
        <v>0</v>
      </c>
      <c r="S67" s="6">
        <v>36</v>
      </c>
      <c r="T67" s="6">
        <v>0</v>
      </c>
      <c r="U67" s="6">
        <v>0</v>
      </c>
      <c r="V67" s="6">
        <f>IF(ISERROR(VLOOKUP($S$67,'TAR FIN'!$A$1:$O$85,15,0)),0,VLOOKUP($S$67,'TAR FIN'!$A$1:$O$85,15,0))</f>
        <v>14.94</v>
      </c>
      <c r="W67" s="6">
        <f>IF(ISERROR(VLOOKUP($T$67,'TAR FIN'!$A$1:$O$85,15,0)),0,VLOOKUP($T$67,'TAR FIN'!$A$1:$O$85,15,0))</f>
        <v>0</v>
      </c>
      <c r="X67" s="6">
        <f>IF(ISERROR(VLOOKUP($U$67,'TAR FIN'!$A$1:$O$85,15,0)),0,VLOOKUP($U$67,'TAR FIN'!$A$1:$O$85,15,0))</f>
        <v>0</v>
      </c>
      <c r="Y67" s="6">
        <f ca="1">('TUSD BE'!$AM$10+'TUSD BF'!$AM$10+'TUSD CVA'!$AM$10)*1</f>
        <v>19.63429077280307</v>
      </c>
      <c r="Z67" s="6"/>
      <c r="AA67" s="6"/>
      <c r="AB67" s="6">
        <f>$K$67*$V$67</f>
        <v>2241</v>
      </c>
      <c r="AC67" s="6">
        <f>$M$67*$W$67</f>
        <v>0</v>
      </c>
      <c r="AD67" s="6">
        <f>$O$67*$X$67</f>
        <v>0</v>
      </c>
      <c r="AE67" s="6">
        <f ca="1">$K$67*$Y$67</f>
        <v>2945.1436159204604</v>
      </c>
      <c r="AF67" s="6">
        <f>$M$67*$Z$67</f>
        <v>0</v>
      </c>
      <c r="AG67" s="6">
        <f>$O$67*$AA$67</f>
        <v>0</v>
      </c>
    </row>
    <row r="68" spans="1:33" ht="11.25" customHeight="1" x14ac:dyDescent="0.25">
      <c r="A68" s="4" t="s">
        <v>21</v>
      </c>
      <c r="B68" s="4" t="s">
        <v>34</v>
      </c>
      <c r="C68" s="4" t="s">
        <v>35</v>
      </c>
      <c r="D68" s="4" t="s">
        <v>38</v>
      </c>
      <c r="E68" s="4" t="s">
        <v>25</v>
      </c>
      <c r="F68" s="4" t="s">
        <v>25</v>
      </c>
      <c r="G68" s="4" t="s">
        <v>25</v>
      </c>
      <c r="H68" s="4" t="s">
        <v>25</v>
      </c>
      <c r="I68" s="5">
        <v>44470</v>
      </c>
      <c r="J68" s="6">
        <v>877</v>
      </c>
      <c r="K68" s="6">
        <v>877</v>
      </c>
      <c r="L68" s="6">
        <v>0</v>
      </c>
      <c r="M68" s="6">
        <v>0</v>
      </c>
      <c r="N68" s="6">
        <v>0</v>
      </c>
      <c r="O68" s="6">
        <v>0</v>
      </c>
      <c r="P68" s="6">
        <v>9</v>
      </c>
      <c r="Q68" s="4" t="s">
        <v>26</v>
      </c>
      <c r="R68" s="4">
        <v>0</v>
      </c>
      <c r="S68" s="6">
        <v>36</v>
      </c>
      <c r="T68" s="6">
        <v>0</v>
      </c>
      <c r="U68" s="6">
        <v>0</v>
      </c>
      <c r="V68" s="6">
        <f>IF(ISERROR(VLOOKUP($S$68,'TAR FIN'!$A$1:$O$85,15,0)),0,VLOOKUP($S$68,'TAR FIN'!$A$1:$O$85,15,0))</f>
        <v>14.94</v>
      </c>
      <c r="W68" s="6">
        <f>IF(ISERROR(VLOOKUP($T$68,'TAR FIN'!$A$1:$O$85,15,0)),0,VLOOKUP($T$68,'TAR FIN'!$A$1:$O$85,15,0))</f>
        <v>0</v>
      </c>
      <c r="X68" s="6">
        <f>IF(ISERROR(VLOOKUP($U$68,'TAR FIN'!$A$1:$O$85,15,0)),0,VLOOKUP($U$68,'TAR FIN'!$A$1:$O$85,15,0))</f>
        <v>0</v>
      </c>
      <c r="Y68" s="6">
        <f ca="1">('TUSD BE'!$AM$10+'TUSD BF'!$AM$10+'TUSD CVA'!$AM$10)*1</f>
        <v>19.63429077280307</v>
      </c>
      <c r="Z68" s="6"/>
      <c r="AA68" s="6"/>
      <c r="AB68" s="6">
        <f>$K$68*$V$68</f>
        <v>13102.38</v>
      </c>
      <c r="AC68" s="6">
        <f>$M$68*$W$68</f>
        <v>0</v>
      </c>
      <c r="AD68" s="6">
        <f>$O$68*$X$68</f>
        <v>0</v>
      </c>
      <c r="AE68" s="6">
        <f ca="1">$K$68*$Y$68</f>
        <v>17219.273007748292</v>
      </c>
      <c r="AF68" s="6">
        <f>$M$68*$Z$68</f>
        <v>0</v>
      </c>
      <c r="AG68" s="6">
        <f>$O$68*$AA$68</f>
        <v>0</v>
      </c>
    </row>
    <row r="69" spans="1:33" ht="11.25" customHeight="1" x14ac:dyDescent="0.25">
      <c r="A69" s="4" t="s">
        <v>27</v>
      </c>
      <c r="B69" s="4" t="s">
        <v>34</v>
      </c>
      <c r="C69" s="4" t="s">
        <v>35</v>
      </c>
      <c r="D69" s="4" t="s">
        <v>38</v>
      </c>
      <c r="E69" s="4" t="s">
        <v>25</v>
      </c>
      <c r="F69" s="4" t="s">
        <v>25</v>
      </c>
      <c r="G69" s="4" t="s">
        <v>25</v>
      </c>
      <c r="H69" s="4" t="s">
        <v>25</v>
      </c>
      <c r="I69" s="5">
        <v>44470</v>
      </c>
      <c r="J69" s="6">
        <v>150</v>
      </c>
      <c r="K69" s="6">
        <v>150</v>
      </c>
      <c r="L69" s="6">
        <v>0</v>
      </c>
      <c r="M69" s="6">
        <v>0</v>
      </c>
      <c r="N69" s="6">
        <v>0</v>
      </c>
      <c r="O69" s="6">
        <v>0</v>
      </c>
      <c r="P69" s="6">
        <v>1</v>
      </c>
      <c r="Q69" s="4" t="s">
        <v>26</v>
      </c>
      <c r="R69" s="4">
        <v>0</v>
      </c>
      <c r="S69" s="6">
        <v>36</v>
      </c>
      <c r="T69" s="6">
        <v>0</v>
      </c>
      <c r="U69" s="6">
        <v>0</v>
      </c>
      <c r="V69" s="6">
        <f>IF(ISERROR(VLOOKUP($S$69,'TAR FIN'!$A$1:$O$85,15,0)),0,VLOOKUP($S$69,'TAR FIN'!$A$1:$O$85,15,0))</f>
        <v>14.94</v>
      </c>
      <c r="W69" s="6">
        <f>IF(ISERROR(VLOOKUP($T$69,'TAR FIN'!$A$1:$O$85,15,0)),0,VLOOKUP($T$69,'TAR FIN'!$A$1:$O$85,15,0))</f>
        <v>0</v>
      </c>
      <c r="X69" s="6">
        <f>IF(ISERROR(VLOOKUP($U$69,'TAR FIN'!$A$1:$O$85,15,0)),0,VLOOKUP($U$69,'TAR FIN'!$A$1:$O$85,15,0))</f>
        <v>0</v>
      </c>
      <c r="Y69" s="6">
        <f ca="1">('TUSD BE'!$AM$10+'TUSD BF'!$AM$10+'TUSD CVA'!$AM$10)*1</f>
        <v>19.63429077280307</v>
      </c>
      <c r="Z69" s="6"/>
      <c r="AA69" s="6"/>
      <c r="AB69" s="6">
        <f>$K$69*$V$69</f>
        <v>2241</v>
      </c>
      <c r="AC69" s="6">
        <f>$M$69*$W$69</f>
        <v>0</v>
      </c>
      <c r="AD69" s="6">
        <f>$O$69*$X$69</f>
        <v>0</v>
      </c>
      <c r="AE69" s="6">
        <f ca="1">$K$69*$Y$69</f>
        <v>2945.1436159204604</v>
      </c>
      <c r="AF69" s="6">
        <f>$M$69*$Z$69</f>
        <v>0</v>
      </c>
      <c r="AG69" s="6">
        <f>$O$69*$AA$69</f>
        <v>0</v>
      </c>
    </row>
    <row r="70" spans="1:33" ht="11.25" customHeight="1" x14ac:dyDescent="0.25">
      <c r="A70" s="4" t="s">
        <v>21</v>
      </c>
      <c r="B70" s="4" t="s">
        <v>34</v>
      </c>
      <c r="C70" s="4" t="s">
        <v>35</v>
      </c>
      <c r="D70" s="4" t="s">
        <v>38</v>
      </c>
      <c r="E70" s="4" t="s">
        <v>25</v>
      </c>
      <c r="F70" s="4" t="s">
        <v>25</v>
      </c>
      <c r="G70" s="4" t="s">
        <v>25</v>
      </c>
      <c r="H70" s="4" t="s">
        <v>25</v>
      </c>
      <c r="I70" s="5">
        <v>44501</v>
      </c>
      <c r="J70" s="6">
        <v>880</v>
      </c>
      <c r="K70" s="6">
        <v>880</v>
      </c>
      <c r="L70" s="6">
        <v>0</v>
      </c>
      <c r="M70" s="6">
        <v>0</v>
      </c>
      <c r="N70" s="6">
        <v>0</v>
      </c>
      <c r="O70" s="6">
        <v>0</v>
      </c>
      <c r="P70" s="6">
        <v>9</v>
      </c>
      <c r="Q70" s="4" t="s">
        <v>26</v>
      </c>
      <c r="R70" s="4">
        <v>0</v>
      </c>
      <c r="S70" s="6">
        <v>36</v>
      </c>
      <c r="T70" s="6">
        <v>0</v>
      </c>
      <c r="U70" s="6">
        <v>0</v>
      </c>
      <c r="V70" s="6">
        <f>IF(ISERROR(VLOOKUP($S$70,'TAR FIN'!$A$1:$O$85,15,0)),0,VLOOKUP($S$70,'TAR FIN'!$A$1:$O$85,15,0))</f>
        <v>14.94</v>
      </c>
      <c r="W70" s="6">
        <f>IF(ISERROR(VLOOKUP($T$70,'TAR FIN'!$A$1:$O$85,15,0)),0,VLOOKUP($T$70,'TAR FIN'!$A$1:$O$85,15,0))</f>
        <v>0</v>
      </c>
      <c r="X70" s="6">
        <f>IF(ISERROR(VLOOKUP($U$70,'TAR FIN'!$A$1:$O$85,15,0)),0,VLOOKUP($U$70,'TAR FIN'!$A$1:$O$85,15,0))</f>
        <v>0</v>
      </c>
      <c r="Y70" s="6">
        <f ca="1">('TUSD BE'!$AM$10+'TUSD BF'!$AM$10+'TUSD CVA'!$AM$10)*1</f>
        <v>19.63429077280307</v>
      </c>
      <c r="Z70" s="6"/>
      <c r="AA70" s="6"/>
      <c r="AB70" s="6">
        <f>$K$70*$V$70</f>
        <v>13147.199999999999</v>
      </c>
      <c r="AC70" s="6">
        <f>$M$70*$W$70</f>
        <v>0</v>
      </c>
      <c r="AD70" s="6">
        <f>$O$70*$X$70</f>
        <v>0</v>
      </c>
      <c r="AE70" s="6">
        <f ca="1">$K$70*$Y$70</f>
        <v>17278.175880066701</v>
      </c>
      <c r="AF70" s="6">
        <f>$M$70*$Z$70</f>
        <v>0</v>
      </c>
      <c r="AG70" s="6">
        <f>$O$70*$AA$70</f>
        <v>0</v>
      </c>
    </row>
    <row r="71" spans="1:33" ht="11.25" customHeight="1" x14ac:dyDescent="0.25">
      <c r="A71" s="4" t="s">
        <v>27</v>
      </c>
      <c r="B71" s="4" t="s">
        <v>34</v>
      </c>
      <c r="C71" s="4" t="s">
        <v>35</v>
      </c>
      <c r="D71" s="4" t="s">
        <v>38</v>
      </c>
      <c r="E71" s="4" t="s">
        <v>25</v>
      </c>
      <c r="F71" s="4" t="s">
        <v>25</v>
      </c>
      <c r="G71" s="4" t="s">
        <v>25</v>
      </c>
      <c r="H71" s="4" t="s">
        <v>25</v>
      </c>
      <c r="I71" s="5">
        <v>44501</v>
      </c>
      <c r="J71" s="6">
        <v>187</v>
      </c>
      <c r="K71" s="6">
        <v>187</v>
      </c>
      <c r="L71" s="6">
        <v>0</v>
      </c>
      <c r="M71" s="6">
        <v>0</v>
      </c>
      <c r="N71" s="6">
        <v>0</v>
      </c>
      <c r="O71" s="6">
        <v>0</v>
      </c>
      <c r="P71" s="6">
        <v>1</v>
      </c>
      <c r="Q71" s="4" t="s">
        <v>26</v>
      </c>
      <c r="R71" s="4">
        <v>0</v>
      </c>
      <c r="S71" s="6">
        <v>36</v>
      </c>
      <c r="T71" s="6">
        <v>0</v>
      </c>
      <c r="U71" s="6">
        <v>0</v>
      </c>
      <c r="V71" s="6">
        <f>IF(ISERROR(VLOOKUP($S$71,'TAR FIN'!$A$1:$O$85,15,0)),0,VLOOKUP($S$71,'TAR FIN'!$A$1:$O$85,15,0))</f>
        <v>14.94</v>
      </c>
      <c r="W71" s="6">
        <f>IF(ISERROR(VLOOKUP($T$71,'TAR FIN'!$A$1:$O$85,15,0)),0,VLOOKUP($T$71,'TAR FIN'!$A$1:$O$85,15,0))</f>
        <v>0</v>
      </c>
      <c r="X71" s="6">
        <f>IF(ISERROR(VLOOKUP($U$71,'TAR FIN'!$A$1:$O$85,15,0)),0,VLOOKUP($U$71,'TAR FIN'!$A$1:$O$85,15,0))</f>
        <v>0</v>
      </c>
      <c r="Y71" s="6">
        <f ca="1">('TUSD BE'!$AM$10+'TUSD BF'!$AM$10+'TUSD CVA'!$AM$10)*1</f>
        <v>19.63429077280307</v>
      </c>
      <c r="Z71" s="6"/>
      <c r="AA71" s="6"/>
      <c r="AB71" s="6">
        <f>$K$71*$V$71</f>
        <v>2793.7799999999997</v>
      </c>
      <c r="AC71" s="6">
        <f>$M$71*$W$71</f>
        <v>0</v>
      </c>
      <c r="AD71" s="6">
        <f>$O$71*$X$71</f>
        <v>0</v>
      </c>
      <c r="AE71" s="6">
        <f ca="1">$K$71*$Y$71</f>
        <v>3671.612374514174</v>
      </c>
      <c r="AF71" s="6">
        <f>$M$71*$Z$71</f>
        <v>0</v>
      </c>
      <c r="AG71" s="6">
        <f>$O$71*$AA$71</f>
        <v>0</v>
      </c>
    </row>
    <row r="72" spans="1:33" ht="11.25" customHeight="1" x14ac:dyDescent="0.25">
      <c r="A72" s="4" t="s">
        <v>21</v>
      </c>
      <c r="B72" s="4" t="s">
        <v>34</v>
      </c>
      <c r="C72" s="4" t="s">
        <v>35</v>
      </c>
      <c r="D72" s="4" t="s">
        <v>38</v>
      </c>
      <c r="E72" s="4" t="s">
        <v>25</v>
      </c>
      <c r="F72" s="4" t="s">
        <v>25</v>
      </c>
      <c r="G72" s="4" t="s">
        <v>25</v>
      </c>
      <c r="H72" s="4" t="s">
        <v>25</v>
      </c>
      <c r="I72" s="5">
        <v>44531</v>
      </c>
      <c r="J72" s="6">
        <v>890</v>
      </c>
      <c r="K72" s="6">
        <v>890</v>
      </c>
      <c r="L72" s="6">
        <v>0</v>
      </c>
      <c r="M72" s="6">
        <v>0</v>
      </c>
      <c r="N72" s="6">
        <v>0</v>
      </c>
      <c r="O72" s="6">
        <v>0</v>
      </c>
      <c r="P72" s="6">
        <v>9</v>
      </c>
      <c r="Q72" s="4" t="s">
        <v>26</v>
      </c>
      <c r="R72" s="4">
        <v>0</v>
      </c>
      <c r="S72" s="6">
        <v>36</v>
      </c>
      <c r="T72" s="6">
        <v>0</v>
      </c>
      <c r="U72" s="6">
        <v>0</v>
      </c>
      <c r="V72" s="6">
        <f>IF(ISERROR(VLOOKUP($S$72,'TAR FIN'!$A$1:$O$85,15,0)),0,VLOOKUP($S$72,'TAR FIN'!$A$1:$O$85,15,0))</f>
        <v>14.94</v>
      </c>
      <c r="W72" s="6">
        <f>IF(ISERROR(VLOOKUP($T$72,'TAR FIN'!$A$1:$O$85,15,0)),0,VLOOKUP($T$72,'TAR FIN'!$A$1:$O$85,15,0))</f>
        <v>0</v>
      </c>
      <c r="X72" s="6">
        <f>IF(ISERROR(VLOOKUP($U$72,'TAR FIN'!$A$1:$O$85,15,0)),0,VLOOKUP($U$72,'TAR FIN'!$A$1:$O$85,15,0))</f>
        <v>0</v>
      </c>
      <c r="Y72" s="6">
        <f ca="1">('TUSD BE'!$AM$10+'TUSD BF'!$AM$10+'TUSD CVA'!$AM$10)*1</f>
        <v>19.63429077280307</v>
      </c>
      <c r="Z72" s="6"/>
      <c r="AA72" s="6"/>
      <c r="AB72" s="6">
        <f>$K$72*$V$72</f>
        <v>13296.6</v>
      </c>
      <c r="AC72" s="6">
        <f>$M$72*$W$72</f>
        <v>0</v>
      </c>
      <c r="AD72" s="6">
        <f>$O$72*$X$72</f>
        <v>0</v>
      </c>
      <c r="AE72" s="6">
        <f ca="1">$K$72*$Y$72</f>
        <v>17474.518787794732</v>
      </c>
      <c r="AF72" s="6">
        <f>$M$72*$Z$72</f>
        <v>0</v>
      </c>
      <c r="AG72" s="6">
        <f>$O$72*$AA$72</f>
        <v>0</v>
      </c>
    </row>
    <row r="73" spans="1:33" ht="11.25" customHeight="1" x14ac:dyDescent="0.25">
      <c r="A73" s="4" t="s">
        <v>27</v>
      </c>
      <c r="B73" s="4" t="s">
        <v>34</v>
      </c>
      <c r="C73" s="4" t="s">
        <v>35</v>
      </c>
      <c r="D73" s="4" t="s">
        <v>38</v>
      </c>
      <c r="E73" s="4" t="s">
        <v>25</v>
      </c>
      <c r="F73" s="4" t="s">
        <v>25</v>
      </c>
      <c r="G73" s="4" t="s">
        <v>25</v>
      </c>
      <c r="H73" s="4" t="s">
        <v>25</v>
      </c>
      <c r="I73" s="5">
        <v>44531</v>
      </c>
      <c r="J73" s="6">
        <v>150</v>
      </c>
      <c r="K73" s="6">
        <v>150</v>
      </c>
      <c r="L73" s="6">
        <v>0</v>
      </c>
      <c r="M73" s="6">
        <v>0</v>
      </c>
      <c r="N73" s="6">
        <v>0</v>
      </c>
      <c r="O73" s="6">
        <v>0</v>
      </c>
      <c r="P73" s="6">
        <v>1</v>
      </c>
      <c r="Q73" s="4" t="s">
        <v>26</v>
      </c>
      <c r="R73" s="4">
        <v>0</v>
      </c>
      <c r="S73" s="6">
        <v>36</v>
      </c>
      <c r="T73" s="6">
        <v>0</v>
      </c>
      <c r="U73" s="6">
        <v>0</v>
      </c>
      <c r="V73" s="6">
        <f>IF(ISERROR(VLOOKUP($S$73,'TAR FIN'!$A$1:$O$85,15,0)),0,VLOOKUP($S$73,'TAR FIN'!$A$1:$O$85,15,0))</f>
        <v>14.94</v>
      </c>
      <c r="W73" s="6">
        <f>IF(ISERROR(VLOOKUP($T$73,'TAR FIN'!$A$1:$O$85,15,0)),0,VLOOKUP($T$73,'TAR FIN'!$A$1:$O$85,15,0))</f>
        <v>0</v>
      </c>
      <c r="X73" s="6">
        <f>IF(ISERROR(VLOOKUP($U$73,'TAR FIN'!$A$1:$O$85,15,0)),0,VLOOKUP($U$73,'TAR FIN'!$A$1:$O$85,15,0))</f>
        <v>0</v>
      </c>
      <c r="Y73" s="6">
        <f ca="1">('TUSD BE'!$AM$10+'TUSD BF'!$AM$10+'TUSD CVA'!$AM$10)*1</f>
        <v>19.63429077280307</v>
      </c>
      <c r="Z73" s="6"/>
      <c r="AA73" s="6"/>
      <c r="AB73" s="6">
        <f>$K$73*$V$73</f>
        <v>2241</v>
      </c>
      <c r="AC73" s="6">
        <f>$M$73*$W$73</f>
        <v>0</v>
      </c>
      <c r="AD73" s="6">
        <f>$O$73*$X$73</f>
        <v>0</v>
      </c>
      <c r="AE73" s="6">
        <f ca="1">$K$73*$Y$73</f>
        <v>2945.1436159204604</v>
      </c>
      <c r="AF73" s="6">
        <f>$M$73*$Z$73</f>
        <v>0</v>
      </c>
      <c r="AG73" s="6">
        <f>$O$73*$AA$73</f>
        <v>0</v>
      </c>
    </row>
    <row r="74" spans="1:33" ht="11.25" customHeight="1" x14ac:dyDescent="0.25">
      <c r="A74" s="4" t="s">
        <v>21</v>
      </c>
      <c r="B74" s="4" t="s">
        <v>34</v>
      </c>
      <c r="C74" s="4" t="s">
        <v>35</v>
      </c>
      <c r="D74" s="4" t="s">
        <v>38</v>
      </c>
      <c r="E74" s="4" t="s">
        <v>25</v>
      </c>
      <c r="F74" s="4" t="s">
        <v>25</v>
      </c>
      <c r="G74" s="4" t="s">
        <v>25</v>
      </c>
      <c r="H74" s="4" t="s">
        <v>25</v>
      </c>
      <c r="I74" s="5">
        <v>44562</v>
      </c>
      <c r="J74" s="6">
        <v>933</v>
      </c>
      <c r="K74" s="6">
        <v>933</v>
      </c>
      <c r="L74" s="6">
        <v>0</v>
      </c>
      <c r="M74" s="6">
        <v>0</v>
      </c>
      <c r="N74" s="6">
        <v>0</v>
      </c>
      <c r="O74" s="6">
        <v>0</v>
      </c>
      <c r="P74" s="6">
        <v>9</v>
      </c>
      <c r="Q74" s="4" t="s">
        <v>26</v>
      </c>
      <c r="R74" s="4">
        <v>0</v>
      </c>
      <c r="S74" s="6">
        <v>36</v>
      </c>
      <c r="T74" s="6">
        <v>0</v>
      </c>
      <c r="U74" s="6">
        <v>0</v>
      </c>
      <c r="V74" s="6">
        <f>IF(ISERROR(VLOOKUP($S$74,'TAR FIN'!$A$1:$O$85,15,0)),0,VLOOKUP($S$74,'TAR FIN'!$A$1:$O$85,15,0))</f>
        <v>14.94</v>
      </c>
      <c r="W74" s="6">
        <f>IF(ISERROR(VLOOKUP($T$74,'TAR FIN'!$A$1:$O$85,15,0)),0,VLOOKUP($T$74,'TAR FIN'!$A$1:$O$85,15,0))</f>
        <v>0</v>
      </c>
      <c r="X74" s="6">
        <f>IF(ISERROR(VLOOKUP($U$74,'TAR FIN'!$A$1:$O$85,15,0)),0,VLOOKUP($U$74,'TAR FIN'!$A$1:$O$85,15,0))</f>
        <v>0</v>
      </c>
      <c r="Y74" s="6">
        <f ca="1">('TUSD BE'!$AM$10+'TUSD BF'!$AM$10+'TUSD CVA'!$AM$10)*1</f>
        <v>19.63429077280307</v>
      </c>
      <c r="Z74" s="6"/>
      <c r="AA74" s="6"/>
      <c r="AB74" s="6">
        <f>$K$74*$V$74</f>
        <v>13939.02</v>
      </c>
      <c r="AC74" s="6">
        <f>$M$74*$W$74</f>
        <v>0</v>
      </c>
      <c r="AD74" s="6">
        <f>$O$74*$X$74</f>
        <v>0</v>
      </c>
      <c r="AE74" s="6">
        <f ca="1">$K$74*$Y$74</f>
        <v>18318.793291025264</v>
      </c>
      <c r="AF74" s="6">
        <f>$M$74*$Z$74</f>
        <v>0</v>
      </c>
      <c r="AG74" s="6">
        <f>$O$74*$AA$74</f>
        <v>0</v>
      </c>
    </row>
    <row r="75" spans="1:33" ht="11.25" customHeight="1" x14ac:dyDescent="0.25">
      <c r="A75" s="4" t="s">
        <v>27</v>
      </c>
      <c r="B75" s="4" t="s">
        <v>34</v>
      </c>
      <c r="C75" s="4" t="s">
        <v>35</v>
      </c>
      <c r="D75" s="4" t="s">
        <v>38</v>
      </c>
      <c r="E75" s="4" t="s">
        <v>25</v>
      </c>
      <c r="F75" s="4" t="s">
        <v>25</v>
      </c>
      <c r="G75" s="4" t="s">
        <v>25</v>
      </c>
      <c r="H75" s="4" t="s">
        <v>25</v>
      </c>
      <c r="I75" s="5">
        <v>44562</v>
      </c>
      <c r="J75" s="6">
        <v>150</v>
      </c>
      <c r="K75" s="6">
        <v>150</v>
      </c>
      <c r="L75" s="6">
        <v>0</v>
      </c>
      <c r="M75" s="6">
        <v>0</v>
      </c>
      <c r="N75" s="6">
        <v>0</v>
      </c>
      <c r="O75" s="6">
        <v>0</v>
      </c>
      <c r="P75" s="6">
        <v>1</v>
      </c>
      <c r="Q75" s="4" t="s">
        <v>26</v>
      </c>
      <c r="R75" s="4">
        <v>0</v>
      </c>
      <c r="S75" s="6">
        <v>36</v>
      </c>
      <c r="T75" s="6">
        <v>0</v>
      </c>
      <c r="U75" s="6">
        <v>0</v>
      </c>
      <c r="V75" s="6">
        <f>IF(ISERROR(VLOOKUP($S$75,'TAR FIN'!$A$1:$O$85,15,0)),0,VLOOKUP($S$75,'TAR FIN'!$A$1:$O$85,15,0))</f>
        <v>14.94</v>
      </c>
      <c r="W75" s="6">
        <f>IF(ISERROR(VLOOKUP($T$75,'TAR FIN'!$A$1:$O$85,15,0)),0,VLOOKUP($T$75,'TAR FIN'!$A$1:$O$85,15,0))</f>
        <v>0</v>
      </c>
      <c r="X75" s="6">
        <f>IF(ISERROR(VLOOKUP($U$75,'TAR FIN'!$A$1:$O$85,15,0)),0,VLOOKUP($U$75,'TAR FIN'!$A$1:$O$85,15,0))</f>
        <v>0</v>
      </c>
      <c r="Y75" s="6">
        <f ca="1">('TUSD BE'!$AM$10+'TUSD BF'!$AM$10+'TUSD CVA'!$AM$10)*1</f>
        <v>19.63429077280307</v>
      </c>
      <c r="Z75" s="6"/>
      <c r="AA75" s="6"/>
      <c r="AB75" s="6">
        <f>$K$75*$V$75</f>
        <v>2241</v>
      </c>
      <c r="AC75" s="6">
        <f>$M$75*$W$75</f>
        <v>0</v>
      </c>
      <c r="AD75" s="6">
        <f>$O$75*$X$75</f>
        <v>0</v>
      </c>
      <c r="AE75" s="6">
        <f ca="1">$K$75*$Y$75</f>
        <v>2945.1436159204604</v>
      </c>
      <c r="AF75" s="6">
        <f>$M$75*$Z$75</f>
        <v>0</v>
      </c>
      <c r="AG75" s="6">
        <f>$O$75*$AA$75</f>
        <v>0</v>
      </c>
    </row>
    <row r="76" spans="1:33" ht="11.25" customHeight="1" x14ac:dyDescent="0.25">
      <c r="A76" s="4" t="s">
        <v>21</v>
      </c>
      <c r="B76" s="4" t="s">
        <v>34</v>
      </c>
      <c r="C76" s="4" t="s">
        <v>35</v>
      </c>
      <c r="D76" s="4" t="s">
        <v>38</v>
      </c>
      <c r="E76" s="4" t="s">
        <v>25</v>
      </c>
      <c r="F76" s="4" t="s">
        <v>25</v>
      </c>
      <c r="G76" s="4" t="s">
        <v>25</v>
      </c>
      <c r="H76" s="4" t="s">
        <v>25</v>
      </c>
      <c r="I76" s="5">
        <v>44593</v>
      </c>
      <c r="J76" s="6">
        <v>891</v>
      </c>
      <c r="K76" s="6">
        <v>891</v>
      </c>
      <c r="L76" s="6">
        <v>0</v>
      </c>
      <c r="M76" s="6">
        <v>0</v>
      </c>
      <c r="N76" s="6">
        <v>0</v>
      </c>
      <c r="O76" s="6">
        <v>0</v>
      </c>
      <c r="P76" s="6">
        <v>9</v>
      </c>
      <c r="Q76" s="4" t="s">
        <v>26</v>
      </c>
      <c r="R76" s="4">
        <v>0</v>
      </c>
      <c r="S76" s="6">
        <v>36</v>
      </c>
      <c r="T76" s="6">
        <v>0</v>
      </c>
      <c r="U76" s="6">
        <v>0</v>
      </c>
      <c r="V76" s="6">
        <f>IF(ISERROR(VLOOKUP($S$76,'TAR FIN'!$A$1:$O$85,15,0)),0,VLOOKUP($S$76,'TAR FIN'!$A$1:$O$85,15,0))</f>
        <v>14.94</v>
      </c>
      <c r="W76" s="6">
        <f>IF(ISERROR(VLOOKUP($T$76,'TAR FIN'!$A$1:$O$85,15,0)),0,VLOOKUP($T$76,'TAR FIN'!$A$1:$O$85,15,0))</f>
        <v>0</v>
      </c>
      <c r="X76" s="6">
        <f>IF(ISERROR(VLOOKUP($U$76,'TAR FIN'!$A$1:$O$85,15,0)),0,VLOOKUP($U$76,'TAR FIN'!$A$1:$O$85,15,0))</f>
        <v>0</v>
      </c>
      <c r="Y76" s="6">
        <f ca="1">('TUSD BE'!$AM$10+'TUSD BF'!$AM$10+'TUSD CVA'!$AM$10)*1</f>
        <v>19.63429077280307</v>
      </c>
      <c r="Z76" s="6"/>
      <c r="AA76" s="6"/>
      <c r="AB76" s="6">
        <f>$K$76*$V$76</f>
        <v>13311.539999999999</v>
      </c>
      <c r="AC76" s="6">
        <f>$M$76*$W$76</f>
        <v>0</v>
      </c>
      <c r="AD76" s="6">
        <f>$O$76*$X$76</f>
        <v>0</v>
      </c>
      <c r="AE76" s="6">
        <f ca="1">$K$76*$Y$76</f>
        <v>17494.153078567535</v>
      </c>
      <c r="AF76" s="6">
        <f>$M$76*$Z$76</f>
        <v>0</v>
      </c>
      <c r="AG76" s="6">
        <f>$O$76*$AA$76</f>
        <v>0</v>
      </c>
    </row>
    <row r="77" spans="1:33" ht="11.25" customHeight="1" x14ac:dyDescent="0.25">
      <c r="A77" s="4" t="s">
        <v>27</v>
      </c>
      <c r="B77" s="4" t="s">
        <v>34</v>
      </c>
      <c r="C77" s="4" t="s">
        <v>35</v>
      </c>
      <c r="D77" s="4" t="s">
        <v>38</v>
      </c>
      <c r="E77" s="4" t="s">
        <v>25</v>
      </c>
      <c r="F77" s="4" t="s">
        <v>25</v>
      </c>
      <c r="G77" s="4" t="s">
        <v>25</v>
      </c>
      <c r="H77" s="4" t="s">
        <v>25</v>
      </c>
      <c r="I77" s="5">
        <v>44593</v>
      </c>
      <c r="J77" s="6">
        <v>191</v>
      </c>
      <c r="K77" s="6">
        <v>191</v>
      </c>
      <c r="L77" s="6">
        <v>0</v>
      </c>
      <c r="M77" s="6">
        <v>0</v>
      </c>
      <c r="N77" s="6">
        <v>0</v>
      </c>
      <c r="O77" s="6">
        <v>0</v>
      </c>
      <c r="P77" s="6">
        <v>1</v>
      </c>
      <c r="Q77" s="4" t="s">
        <v>26</v>
      </c>
      <c r="R77" s="4">
        <v>0</v>
      </c>
      <c r="S77" s="6">
        <v>36</v>
      </c>
      <c r="T77" s="6">
        <v>0</v>
      </c>
      <c r="U77" s="6">
        <v>0</v>
      </c>
      <c r="V77" s="6">
        <f>IF(ISERROR(VLOOKUP($S$77,'TAR FIN'!$A$1:$O$85,15,0)),0,VLOOKUP($S$77,'TAR FIN'!$A$1:$O$85,15,0))</f>
        <v>14.94</v>
      </c>
      <c r="W77" s="6">
        <f>IF(ISERROR(VLOOKUP($T$77,'TAR FIN'!$A$1:$O$85,15,0)),0,VLOOKUP($T$77,'TAR FIN'!$A$1:$O$85,15,0))</f>
        <v>0</v>
      </c>
      <c r="X77" s="6">
        <f>IF(ISERROR(VLOOKUP($U$77,'TAR FIN'!$A$1:$O$85,15,0)),0,VLOOKUP($U$77,'TAR FIN'!$A$1:$O$85,15,0))</f>
        <v>0</v>
      </c>
      <c r="Y77" s="6">
        <f ca="1">('TUSD BE'!$AM$10+'TUSD BF'!$AM$10+'TUSD CVA'!$AM$10)*1</f>
        <v>19.63429077280307</v>
      </c>
      <c r="Z77" s="6"/>
      <c r="AA77" s="6"/>
      <c r="AB77" s="6">
        <f>$K$77*$V$77</f>
        <v>2853.54</v>
      </c>
      <c r="AC77" s="6">
        <f>$M$77*$W$77</f>
        <v>0</v>
      </c>
      <c r="AD77" s="6">
        <f>$O$77*$X$77</f>
        <v>0</v>
      </c>
      <c r="AE77" s="6">
        <f ca="1">$K$77*$Y$77</f>
        <v>3750.1495376053863</v>
      </c>
      <c r="AF77" s="6">
        <f>$M$77*$Z$77</f>
        <v>0</v>
      </c>
      <c r="AG77" s="6">
        <f>$O$77*$AA$77</f>
        <v>0</v>
      </c>
    </row>
    <row r="78" spans="1:33" ht="11.25" customHeight="1" x14ac:dyDescent="0.25">
      <c r="A78" s="4" t="s">
        <v>21</v>
      </c>
      <c r="B78" s="4" t="s">
        <v>34</v>
      </c>
      <c r="C78" s="4" t="s">
        <v>35</v>
      </c>
      <c r="D78" s="4" t="s">
        <v>38</v>
      </c>
      <c r="E78" s="4" t="s">
        <v>25</v>
      </c>
      <c r="F78" s="4" t="s">
        <v>25</v>
      </c>
      <c r="G78" s="4" t="s">
        <v>25</v>
      </c>
      <c r="H78" s="4" t="s">
        <v>25</v>
      </c>
      <c r="I78" s="5">
        <v>44621</v>
      </c>
      <c r="J78" s="6">
        <v>882</v>
      </c>
      <c r="K78" s="6">
        <v>882</v>
      </c>
      <c r="L78" s="6">
        <v>0</v>
      </c>
      <c r="M78" s="6">
        <v>0</v>
      </c>
      <c r="N78" s="6">
        <v>0</v>
      </c>
      <c r="O78" s="6">
        <v>0</v>
      </c>
      <c r="P78" s="6">
        <v>9</v>
      </c>
      <c r="Q78" s="4" t="s">
        <v>26</v>
      </c>
      <c r="R78" s="4">
        <v>0</v>
      </c>
      <c r="S78" s="6">
        <v>36</v>
      </c>
      <c r="T78" s="6">
        <v>0</v>
      </c>
      <c r="U78" s="6">
        <v>0</v>
      </c>
      <c r="V78" s="6">
        <f>IF(ISERROR(VLOOKUP($S$78,'TAR FIN'!$A$1:$O$85,15,0)),0,VLOOKUP($S$78,'TAR FIN'!$A$1:$O$85,15,0))</f>
        <v>14.94</v>
      </c>
      <c r="W78" s="6">
        <f>IF(ISERROR(VLOOKUP($T$78,'TAR FIN'!$A$1:$O$85,15,0)),0,VLOOKUP($T$78,'TAR FIN'!$A$1:$O$85,15,0))</f>
        <v>0</v>
      </c>
      <c r="X78" s="6">
        <f>IF(ISERROR(VLOOKUP($U$78,'TAR FIN'!$A$1:$O$85,15,0)),0,VLOOKUP($U$78,'TAR FIN'!$A$1:$O$85,15,0))</f>
        <v>0</v>
      </c>
      <c r="Y78" s="6">
        <f ca="1">('TUSD BE'!$AM$10+'TUSD BF'!$AM$10+'TUSD CVA'!$AM$10)*1</f>
        <v>19.63429077280307</v>
      </c>
      <c r="Z78" s="6"/>
      <c r="AA78" s="6"/>
      <c r="AB78" s="6">
        <f>$K$78*$V$78</f>
        <v>13177.08</v>
      </c>
      <c r="AC78" s="6">
        <f>$M$78*$W$78</f>
        <v>0</v>
      </c>
      <c r="AD78" s="6">
        <f>$O$78*$X$78</f>
        <v>0</v>
      </c>
      <c r="AE78" s="6">
        <f ca="1">$K$78*$Y$78</f>
        <v>17317.444461612307</v>
      </c>
      <c r="AF78" s="6">
        <f>$M$78*$Z$78</f>
        <v>0</v>
      </c>
      <c r="AG78" s="6">
        <f>$O$78*$AA$78</f>
        <v>0</v>
      </c>
    </row>
    <row r="79" spans="1:33" ht="11.25" customHeight="1" x14ac:dyDescent="0.25">
      <c r="A79" s="4" t="s">
        <v>27</v>
      </c>
      <c r="B79" s="4" t="s">
        <v>34</v>
      </c>
      <c r="C79" s="4" t="s">
        <v>35</v>
      </c>
      <c r="D79" s="4" t="s">
        <v>38</v>
      </c>
      <c r="E79" s="4" t="s">
        <v>25</v>
      </c>
      <c r="F79" s="4" t="s">
        <v>25</v>
      </c>
      <c r="G79" s="4" t="s">
        <v>25</v>
      </c>
      <c r="H79" s="4" t="s">
        <v>25</v>
      </c>
      <c r="I79" s="5">
        <v>44621</v>
      </c>
      <c r="J79" s="6">
        <v>155</v>
      </c>
      <c r="K79" s="6">
        <v>155</v>
      </c>
      <c r="L79" s="6">
        <v>0</v>
      </c>
      <c r="M79" s="6">
        <v>0</v>
      </c>
      <c r="N79" s="6">
        <v>0</v>
      </c>
      <c r="O79" s="6">
        <v>0</v>
      </c>
      <c r="P79" s="6">
        <v>1</v>
      </c>
      <c r="Q79" s="4" t="s">
        <v>26</v>
      </c>
      <c r="R79" s="4">
        <v>0</v>
      </c>
      <c r="S79" s="6">
        <v>36</v>
      </c>
      <c r="T79" s="6">
        <v>0</v>
      </c>
      <c r="U79" s="6">
        <v>0</v>
      </c>
      <c r="V79" s="6">
        <f>IF(ISERROR(VLOOKUP($S$79,'TAR FIN'!$A$1:$O$85,15,0)),0,VLOOKUP($S$79,'TAR FIN'!$A$1:$O$85,15,0))</f>
        <v>14.94</v>
      </c>
      <c r="W79" s="6">
        <f>IF(ISERROR(VLOOKUP($T$79,'TAR FIN'!$A$1:$O$85,15,0)),0,VLOOKUP($T$79,'TAR FIN'!$A$1:$O$85,15,0))</f>
        <v>0</v>
      </c>
      <c r="X79" s="6">
        <f>IF(ISERROR(VLOOKUP($U$79,'TAR FIN'!$A$1:$O$85,15,0)),0,VLOOKUP($U$79,'TAR FIN'!$A$1:$O$85,15,0))</f>
        <v>0</v>
      </c>
      <c r="Y79" s="6">
        <f ca="1">('TUSD BE'!$AM$10+'TUSD BF'!$AM$10+'TUSD CVA'!$AM$10)*1</f>
        <v>19.63429077280307</v>
      </c>
      <c r="Z79" s="6"/>
      <c r="AA79" s="6"/>
      <c r="AB79" s="6">
        <f>$K$79*$V$79</f>
        <v>2315.6999999999998</v>
      </c>
      <c r="AC79" s="6">
        <f>$M$79*$W$79</f>
        <v>0</v>
      </c>
      <c r="AD79" s="6">
        <f>$O$79*$X$79</f>
        <v>0</v>
      </c>
      <c r="AE79" s="6">
        <f ca="1">$K$79*$Y$79</f>
        <v>3043.3150697844758</v>
      </c>
      <c r="AF79" s="6">
        <f>$M$79*$Z$79</f>
        <v>0</v>
      </c>
      <c r="AG79" s="6">
        <f>$O$79*$AA$79</f>
        <v>0</v>
      </c>
    </row>
    <row r="80" spans="1:33" ht="11.25" customHeight="1" x14ac:dyDescent="0.25">
      <c r="A80" s="4" t="s">
        <v>21</v>
      </c>
      <c r="B80" s="4" t="s">
        <v>34</v>
      </c>
      <c r="C80" s="4" t="s">
        <v>35</v>
      </c>
      <c r="D80" s="4" t="s">
        <v>38</v>
      </c>
      <c r="E80" s="4" t="s">
        <v>25</v>
      </c>
      <c r="F80" s="4" t="s">
        <v>25</v>
      </c>
      <c r="G80" s="4" t="s">
        <v>25</v>
      </c>
      <c r="H80" s="4" t="s">
        <v>25</v>
      </c>
      <c r="I80" s="5">
        <v>44652</v>
      </c>
      <c r="J80" s="6">
        <v>887</v>
      </c>
      <c r="K80" s="6">
        <v>887</v>
      </c>
      <c r="L80" s="6">
        <v>0</v>
      </c>
      <c r="M80" s="6">
        <v>0</v>
      </c>
      <c r="N80" s="6">
        <v>0</v>
      </c>
      <c r="O80" s="6">
        <v>0</v>
      </c>
      <c r="P80" s="6">
        <v>9</v>
      </c>
      <c r="Q80" s="4" t="s">
        <v>26</v>
      </c>
      <c r="R80" s="4">
        <v>0</v>
      </c>
      <c r="S80" s="6">
        <v>36</v>
      </c>
      <c r="T80" s="6">
        <v>0</v>
      </c>
      <c r="U80" s="6">
        <v>0</v>
      </c>
      <c r="V80" s="6">
        <f>IF(ISERROR(VLOOKUP($S$80,'TAR FIN'!$A$1:$O$85,15,0)),0,VLOOKUP($S$80,'TAR FIN'!$A$1:$O$85,15,0))</f>
        <v>14.94</v>
      </c>
      <c r="W80" s="6">
        <f>IF(ISERROR(VLOOKUP($T$80,'TAR FIN'!$A$1:$O$85,15,0)),0,VLOOKUP($T$80,'TAR FIN'!$A$1:$O$85,15,0))</f>
        <v>0</v>
      </c>
      <c r="X80" s="6">
        <f>IF(ISERROR(VLOOKUP($U$80,'TAR FIN'!$A$1:$O$85,15,0)),0,VLOOKUP($U$80,'TAR FIN'!$A$1:$O$85,15,0))</f>
        <v>0</v>
      </c>
      <c r="Y80" s="6">
        <f ca="1">('TUSD BE'!$AM$10+'TUSD BF'!$AM$10+'TUSD CVA'!$AM$10)*1</f>
        <v>19.63429077280307</v>
      </c>
      <c r="Z80" s="6"/>
      <c r="AA80" s="6"/>
      <c r="AB80" s="6">
        <f>$K$80*$V$80</f>
        <v>13251.779999999999</v>
      </c>
      <c r="AC80" s="6">
        <f>$M$80*$W$80</f>
        <v>0</v>
      </c>
      <c r="AD80" s="6">
        <f>$O$80*$X$80</f>
        <v>0</v>
      </c>
      <c r="AE80" s="6">
        <f ca="1">$K$80*$Y$80</f>
        <v>17415.615915476323</v>
      </c>
      <c r="AF80" s="6">
        <f>$M$80*$Z$80</f>
        <v>0</v>
      </c>
      <c r="AG80" s="6">
        <f>$O$80*$AA$80</f>
        <v>0</v>
      </c>
    </row>
    <row r="81" spans="1:33" ht="11.25" customHeight="1" x14ac:dyDescent="0.25">
      <c r="A81" s="4" t="s">
        <v>27</v>
      </c>
      <c r="B81" s="4" t="s">
        <v>34</v>
      </c>
      <c r="C81" s="4" t="s">
        <v>35</v>
      </c>
      <c r="D81" s="4" t="s">
        <v>38</v>
      </c>
      <c r="E81" s="4" t="s">
        <v>25</v>
      </c>
      <c r="F81" s="4" t="s">
        <v>25</v>
      </c>
      <c r="G81" s="4" t="s">
        <v>25</v>
      </c>
      <c r="H81" s="4" t="s">
        <v>25</v>
      </c>
      <c r="I81" s="5">
        <v>44652</v>
      </c>
      <c r="J81" s="6">
        <v>199</v>
      </c>
      <c r="K81" s="6">
        <v>199</v>
      </c>
      <c r="L81" s="6">
        <v>0</v>
      </c>
      <c r="M81" s="6">
        <v>0</v>
      </c>
      <c r="N81" s="6">
        <v>0</v>
      </c>
      <c r="O81" s="6">
        <v>0</v>
      </c>
      <c r="P81" s="6">
        <v>1</v>
      </c>
      <c r="Q81" s="4" t="s">
        <v>26</v>
      </c>
      <c r="R81" s="4">
        <v>0</v>
      </c>
      <c r="S81" s="6">
        <v>36</v>
      </c>
      <c r="T81" s="6">
        <v>0</v>
      </c>
      <c r="U81" s="6">
        <v>0</v>
      </c>
      <c r="V81" s="6">
        <f>IF(ISERROR(VLOOKUP($S$81,'TAR FIN'!$A$1:$O$85,15,0)),0,VLOOKUP($S$81,'TAR FIN'!$A$1:$O$85,15,0))</f>
        <v>14.94</v>
      </c>
      <c r="W81" s="6">
        <f>IF(ISERROR(VLOOKUP($T$81,'TAR FIN'!$A$1:$O$85,15,0)),0,VLOOKUP($T$81,'TAR FIN'!$A$1:$O$85,15,0))</f>
        <v>0</v>
      </c>
      <c r="X81" s="6">
        <f>IF(ISERROR(VLOOKUP($U$81,'TAR FIN'!$A$1:$O$85,15,0)),0,VLOOKUP($U$81,'TAR FIN'!$A$1:$O$85,15,0))</f>
        <v>0</v>
      </c>
      <c r="Y81" s="6">
        <f ca="1">('TUSD BE'!$AM$10+'TUSD BF'!$AM$10+'TUSD CVA'!$AM$10)*1</f>
        <v>19.63429077280307</v>
      </c>
      <c r="Z81" s="6"/>
      <c r="AA81" s="6"/>
      <c r="AB81" s="6">
        <f>$K$81*$V$81</f>
        <v>2973.06</v>
      </c>
      <c r="AC81" s="6">
        <f>$M$81*$W$81</f>
        <v>0</v>
      </c>
      <c r="AD81" s="6">
        <f>$O$81*$X$81</f>
        <v>0</v>
      </c>
      <c r="AE81" s="6">
        <f ca="1">$K$81*$Y$81</f>
        <v>3907.2238637878108</v>
      </c>
      <c r="AF81" s="6">
        <f>$M$81*$Z$81</f>
        <v>0</v>
      </c>
      <c r="AG81" s="6">
        <f>$O$81*$AA$81</f>
        <v>0</v>
      </c>
    </row>
    <row r="82" spans="1:33" ht="11.25" customHeight="1" x14ac:dyDescent="0.25">
      <c r="A82" s="4" t="s">
        <v>21</v>
      </c>
      <c r="B82" s="4" t="s">
        <v>34</v>
      </c>
      <c r="C82" s="4" t="s">
        <v>35</v>
      </c>
      <c r="D82" s="4" t="s">
        <v>38</v>
      </c>
      <c r="E82" s="4" t="s">
        <v>25</v>
      </c>
      <c r="F82" s="4" t="s">
        <v>25</v>
      </c>
      <c r="G82" s="4" t="s">
        <v>25</v>
      </c>
      <c r="H82" s="4" t="s">
        <v>25</v>
      </c>
      <c r="I82" s="5">
        <v>44682</v>
      </c>
      <c r="J82" s="6">
        <v>887</v>
      </c>
      <c r="K82" s="6">
        <v>887</v>
      </c>
      <c r="L82" s="6">
        <v>0</v>
      </c>
      <c r="M82" s="6">
        <v>0</v>
      </c>
      <c r="N82" s="6">
        <v>0</v>
      </c>
      <c r="O82" s="6">
        <v>0</v>
      </c>
      <c r="P82" s="6">
        <v>9</v>
      </c>
      <c r="Q82" s="4" t="s">
        <v>26</v>
      </c>
      <c r="R82" s="4">
        <v>0</v>
      </c>
      <c r="S82" s="6">
        <v>36</v>
      </c>
      <c r="T82" s="6">
        <v>0</v>
      </c>
      <c r="U82" s="6">
        <v>0</v>
      </c>
      <c r="V82" s="6">
        <f>IF(ISERROR(VLOOKUP($S$82,'TAR FIN'!$A$1:$O$85,15,0)),0,VLOOKUP($S$82,'TAR FIN'!$A$1:$O$85,15,0))</f>
        <v>14.94</v>
      </c>
      <c r="W82" s="6">
        <f>IF(ISERROR(VLOOKUP($T$82,'TAR FIN'!$A$1:$O$85,15,0)),0,VLOOKUP($T$82,'TAR FIN'!$A$1:$O$85,15,0))</f>
        <v>0</v>
      </c>
      <c r="X82" s="6">
        <f>IF(ISERROR(VLOOKUP($U$82,'TAR FIN'!$A$1:$O$85,15,0)),0,VLOOKUP($U$82,'TAR FIN'!$A$1:$O$85,15,0))</f>
        <v>0</v>
      </c>
      <c r="Y82" s="6">
        <f ca="1">('TUSD BE'!$AM$10+'TUSD BF'!$AM$10+'TUSD CVA'!$AM$10)*1</f>
        <v>19.63429077280307</v>
      </c>
      <c r="Z82" s="6"/>
      <c r="AA82" s="6"/>
      <c r="AB82" s="6">
        <f>$K$82*$V$82</f>
        <v>13251.779999999999</v>
      </c>
      <c r="AC82" s="6">
        <f>$M$82*$W$82</f>
        <v>0</v>
      </c>
      <c r="AD82" s="6">
        <f>$O$82*$X$82</f>
        <v>0</v>
      </c>
      <c r="AE82" s="6">
        <f ca="1">$K$82*$Y$82</f>
        <v>17415.615915476323</v>
      </c>
      <c r="AF82" s="6">
        <f>$M$82*$Z$82</f>
        <v>0</v>
      </c>
      <c r="AG82" s="6">
        <f>$O$82*$AA$82</f>
        <v>0</v>
      </c>
    </row>
    <row r="83" spans="1:33" ht="11.25" customHeight="1" x14ac:dyDescent="0.25">
      <c r="A83" s="4" t="s">
        <v>27</v>
      </c>
      <c r="B83" s="4" t="s">
        <v>34</v>
      </c>
      <c r="C83" s="4" t="s">
        <v>35</v>
      </c>
      <c r="D83" s="4" t="s">
        <v>38</v>
      </c>
      <c r="E83" s="4" t="s">
        <v>25</v>
      </c>
      <c r="F83" s="4" t="s">
        <v>25</v>
      </c>
      <c r="G83" s="4" t="s">
        <v>25</v>
      </c>
      <c r="H83" s="4" t="s">
        <v>25</v>
      </c>
      <c r="I83" s="5">
        <v>44682</v>
      </c>
      <c r="J83" s="6">
        <v>181</v>
      </c>
      <c r="K83" s="6">
        <v>181</v>
      </c>
      <c r="L83" s="6">
        <v>0</v>
      </c>
      <c r="M83" s="6">
        <v>0</v>
      </c>
      <c r="N83" s="6">
        <v>0</v>
      </c>
      <c r="O83" s="6">
        <v>0</v>
      </c>
      <c r="P83" s="6">
        <v>1</v>
      </c>
      <c r="Q83" s="4" t="s">
        <v>26</v>
      </c>
      <c r="R83" s="4">
        <v>0</v>
      </c>
      <c r="S83" s="6">
        <v>36</v>
      </c>
      <c r="T83" s="6">
        <v>0</v>
      </c>
      <c r="U83" s="6">
        <v>0</v>
      </c>
      <c r="V83" s="6">
        <f>IF(ISERROR(VLOOKUP($S$83,'TAR FIN'!$A$1:$O$85,15,0)),0,VLOOKUP($S$83,'TAR FIN'!$A$1:$O$85,15,0))</f>
        <v>14.94</v>
      </c>
      <c r="W83" s="6">
        <f>IF(ISERROR(VLOOKUP($T$83,'TAR FIN'!$A$1:$O$85,15,0)),0,VLOOKUP($T$83,'TAR FIN'!$A$1:$O$85,15,0))</f>
        <v>0</v>
      </c>
      <c r="X83" s="6">
        <f>IF(ISERROR(VLOOKUP($U$83,'TAR FIN'!$A$1:$O$85,15,0)),0,VLOOKUP($U$83,'TAR FIN'!$A$1:$O$85,15,0))</f>
        <v>0</v>
      </c>
      <c r="Y83" s="6">
        <f ca="1">('TUSD BE'!$AM$10+'TUSD BF'!$AM$10+'TUSD CVA'!$AM$10)*1</f>
        <v>19.63429077280307</v>
      </c>
      <c r="Z83" s="6"/>
      <c r="AA83" s="6"/>
      <c r="AB83" s="6">
        <f>$K$83*$V$83</f>
        <v>2704.14</v>
      </c>
      <c r="AC83" s="6">
        <f>$M$83*$W$83</f>
        <v>0</v>
      </c>
      <c r="AD83" s="6">
        <f>$O$83*$X$83</f>
        <v>0</v>
      </c>
      <c r="AE83" s="6">
        <f ca="1">$K$83*$Y$83</f>
        <v>3553.8066298773556</v>
      </c>
      <c r="AF83" s="6">
        <f>$M$83*$Z$83</f>
        <v>0</v>
      </c>
      <c r="AG83" s="6">
        <f>$O$83*$AA$83</f>
        <v>0</v>
      </c>
    </row>
    <row r="84" spans="1:33" ht="11.25" customHeight="1" x14ac:dyDescent="0.25">
      <c r="A84" s="4" t="s">
        <v>21</v>
      </c>
      <c r="B84" s="4" t="s">
        <v>34</v>
      </c>
      <c r="C84" s="4" t="s">
        <v>35</v>
      </c>
      <c r="D84" s="4" t="s">
        <v>38</v>
      </c>
      <c r="E84" s="4" t="s">
        <v>25</v>
      </c>
      <c r="F84" s="4" t="s">
        <v>25</v>
      </c>
      <c r="G84" s="4" t="s">
        <v>25</v>
      </c>
      <c r="H84" s="4" t="s">
        <v>25</v>
      </c>
      <c r="I84" s="5">
        <v>44713</v>
      </c>
      <c r="J84" s="6">
        <v>887</v>
      </c>
      <c r="K84" s="6">
        <v>887</v>
      </c>
      <c r="L84" s="6">
        <v>0</v>
      </c>
      <c r="M84" s="6">
        <v>0</v>
      </c>
      <c r="N84" s="6">
        <v>0</v>
      </c>
      <c r="O84" s="6">
        <v>0</v>
      </c>
      <c r="P84" s="6">
        <v>9</v>
      </c>
      <c r="Q84" s="4" t="s">
        <v>26</v>
      </c>
      <c r="R84" s="4">
        <v>0</v>
      </c>
      <c r="S84" s="6">
        <v>36</v>
      </c>
      <c r="T84" s="6">
        <v>0</v>
      </c>
      <c r="U84" s="6">
        <v>0</v>
      </c>
      <c r="V84" s="6">
        <f>IF(ISERROR(VLOOKUP($S$84,'TAR FIN'!$A$1:$O$85,15,0)),0,VLOOKUP($S$84,'TAR FIN'!$A$1:$O$85,15,0))</f>
        <v>14.94</v>
      </c>
      <c r="W84" s="6">
        <f>IF(ISERROR(VLOOKUP($T$84,'TAR FIN'!$A$1:$O$85,15,0)),0,VLOOKUP($T$84,'TAR FIN'!$A$1:$O$85,15,0))</f>
        <v>0</v>
      </c>
      <c r="X84" s="6">
        <f>IF(ISERROR(VLOOKUP($U$84,'TAR FIN'!$A$1:$O$85,15,0)),0,VLOOKUP($U$84,'TAR FIN'!$A$1:$O$85,15,0))</f>
        <v>0</v>
      </c>
      <c r="Y84" s="6">
        <f ca="1">('TUSD BE'!$AM$10+'TUSD BF'!$AM$10+'TUSD CVA'!$AM$10)*1</f>
        <v>19.63429077280307</v>
      </c>
      <c r="Z84" s="6"/>
      <c r="AA84" s="6"/>
      <c r="AB84" s="6">
        <f>$K$84*$V$84</f>
        <v>13251.779999999999</v>
      </c>
      <c r="AC84" s="6">
        <f>$M$84*$W$84</f>
        <v>0</v>
      </c>
      <c r="AD84" s="6">
        <f>$O$84*$X$84</f>
        <v>0</v>
      </c>
      <c r="AE84" s="6">
        <f ca="1">$K$84*$Y$84</f>
        <v>17415.615915476323</v>
      </c>
      <c r="AF84" s="6">
        <f>$M$84*$Z$84</f>
        <v>0</v>
      </c>
      <c r="AG84" s="6">
        <f>$O$84*$AA$84</f>
        <v>0</v>
      </c>
    </row>
    <row r="85" spans="1:33" ht="11.25" customHeight="1" x14ac:dyDescent="0.25">
      <c r="A85" s="4" t="s">
        <v>27</v>
      </c>
      <c r="B85" s="4" t="s">
        <v>34</v>
      </c>
      <c r="C85" s="4" t="s">
        <v>35</v>
      </c>
      <c r="D85" s="4" t="s">
        <v>38</v>
      </c>
      <c r="E85" s="4" t="s">
        <v>25</v>
      </c>
      <c r="F85" s="4" t="s">
        <v>25</v>
      </c>
      <c r="G85" s="4" t="s">
        <v>25</v>
      </c>
      <c r="H85" s="4" t="s">
        <v>25</v>
      </c>
      <c r="I85" s="5">
        <v>44713</v>
      </c>
      <c r="J85" s="6">
        <v>150</v>
      </c>
      <c r="K85" s="6">
        <v>150</v>
      </c>
      <c r="L85" s="6">
        <v>0</v>
      </c>
      <c r="M85" s="6">
        <v>0</v>
      </c>
      <c r="N85" s="6">
        <v>0</v>
      </c>
      <c r="O85" s="6">
        <v>0</v>
      </c>
      <c r="P85" s="6">
        <v>1</v>
      </c>
      <c r="Q85" s="4" t="s">
        <v>26</v>
      </c>
      <c r="R85" s="4">
        <v>0</v>
      </c>
      <c r="S85" s="6">
        <v>36</v>
      </c>
      <c r="T85" s="6">
        <v>0</v>
      </c>
      <c r="U85" s="6">
        <v>0</v>
      </c>
      <c r="V85" s="6">
        <f>IF(ISERROR(VLOOKUP($S$85,'TAR FIN'!$A$1:$O$85,15,0)),0,VLOOKUP($S$85,'TAR FIN'!$A$1:$O$85,15,0))</f>
        <v>14.94</v>
      </c>
      <c r="W85" s="6">
        <f>IF(ISERROR(VLOOKUP($T$85,'TAR FIN'!$A$1:$O$85,15,0)),0,VLOOKUP($T$85,'TAR FIN'!$A$1:$O$85,15,0))</f>
        <v>0</v>
      </c>
      <c r="X85" s="6">
        <f>IF(ISERROR(VLOOKUP($U$85,'TAR FIN'!$A$1:$O$85,15,0)),0,VLOOKUP($U$85,'TAR FIN'!$A$1:$O$85,15,0))</f>
        <v>0</v>
      </c>
      <c r="Y85" s="6">
        <f ca="1">('TUSD BE'!$AM$10+'TUSD BF'!$AM$10+'TUSD CVA'!$AM$10)*1</f>
        <v>19.63429077280307</v>
      </c>
      <c r="Z85" s="6"/>
      <c r="AA85" s="6"/>
      <c r="AB85" s="6">
        <f>$K$85*$V$85</f>
        <v>2241</v>
      </c>
      <c r="AC85" s="6">
        <f>$M$85*$W$85</f>
        <v>0</v>
      </c>
      <c r="AD85" s="6">
        <f>$O$85*$X$85</f>
        <v>0</v>
      </c>
      <c r="AE85" s="6">
        <f ca="1">$K$85*$Y$85</f>
        <v>2945.1436159204604</v>
      </c>
      <c r="AF85" s="6">
        <f>$M$85*$Z$85</f>
        <v>0</v>
      </c>
      <c r="AG85" s="6">
        <f>$O$85*$AA$85</f>
        <v>0</v>
      </c>
    </row>
    <row r="86" spans="1:33" ht="11.25" customHeight="1" x14ac:dyDescent="0.25">
      <c r="A86" s="4" t="s">
        <v>21</v>
      </c>
      <c r="B86" s="4" t="s">
        <v>34</v>
      </c>
      <c r="C86" s="4" t="s">
        <v>35</v>
      </c>
      <c r="D86" s="4" t="s">
        <v>38</v>
      </c>
      <c r="E86" s="4" t="s">
        <v>25</v>
      </c>
      <c r="F86" s="4" t="s">
        <v>25</v>
      </c>
      <c r="G86" s="4" t="s">
        <v>25</v>
      </c>
      <c r="H86" s="4" t="s">
        <v>36</v>
      </c>
      <c r="I86" s="5">
        <v>44378</v>
      </c>
      <c r="J86" s="6">
        <v>0</v>
      </c>
      <c r="K86" s="6">
        <v>0</v>
      </c>
      <c r="L86" s="6">
        <v>16.327999999999999</v>
      </c>
      <c r="M86" s="6">
        <v>16.327999999999999</v>
      </c>
      <c r="N86" s="6">
        <v>16.327999999999999</v>
      </c>
      <c r="O86" s="6">
        <v>16.327999999999999</v>
      </c>
      <c r="P86" s="6">
        <v>0</v>
      </c>
      <c r="Q86" s="4" t="s">
        <v>26</v>
      </c>
      <c r="R86" s="4">
        <v>0</v>
      </c>
      <c r="S86" s="6">
        <v>0</v>
      </c>
      <c r="T86" s="6">
        <v>15</v>
      </c>
      <c r="U86" s="6">
        <v>9</v>
      </c>
      <c r="V86" s="6">
        <f>IF(ISERROR(VLOOKUP($S$86,'TAR FIN'!$A$1:$O$85,15,0)),0,VLOOKUP($S$86,'TAR FIN'!$A$1:$O$85,15,0))</f>
        <v>0</v>
      </c>
      <c r="W86" s="6">
        <f>IF(ISERROR(VLOOKUP($T$86,'TAR FIN'!$A$1:$O$85,15,0)),0,VLOOKUP($T$86,'TAR FIN'!$A$1:$O$85,15,0))</f>
        <v>940.75</v>
      </c>
      <c r="X86" s="6">
        <f>IF(ISERROR(VLOOKUP($U$86,'TAR FIN'!$A$1:$O$85,15,0)),0,VLOOKUP($U$86,'TAR FIN'!$A$1:$O$85,15,0))</f>
        <v>373.71</v>
      </c>
      <c r="Y86" s="6"/>
      <c r="Z86" s="6">
        <f ca="1">('TUSD BE'!$AM$11+'TUSD BF'!$AM$11+'TUSD CVA'!$AM$11)*1</f>
        <v>966.5081601045739</v>
      </c>
      <c r="AA86" s="6">
        <f>('TE BE'!$AB$5+'TE BF'!$AB$5+'TE CVA'!$AB$5)*1</f>
        <v>347.98834052804079</v>
      </c>
      <c r="AB86" s="6">
        <f>$K$86*$V$86</f>
        <v>0</v>
      </c>
      <c r="AC86" s="6">
        <f>$M$86*$W$86</f>
        <v>15360.565999999999</v>
      </c>
      <c r="AD86" s="6">
        <f>$O$86*$X$86</f>
        <v>6101.9368799999993</v>
      </c>
      <c r="AE86" s="6">
        <f>$K$86*$Y$86</f>
        <v>0</v>
      </c>
      <c r="AF86" s="6">
        <f ca="1">$M$86*$Z$86</f>
        <v>15781.145238187482</v>
      </c>
      <c r="AG86" s="6">
        <f>$O$86*$AA$86</f>
        <v>5681.95362414185</v>
      </c>
    </row>
    <row r="87" spans="1:33" ht="11.25" customHeight="1" x14ac:dyDescent="0.25">
      <c r="A87" s="4" t="s">
        <v>27</v>
      </c>
      <c r="B87" s="4" t="s">
        <v>34</v>
      </c>
      <c r="C87" s="4" t="s">
        <v>35</v>
      </c>
      <c r="D87" s="4" t="s">
        <v>38</v>
      </c>
      <c r="E87" s="4" t="s">
        <v>25</v>
      </c>
      <c r="F87" s="4" t="s">
        <v>25</v>
      </c>
      <c r="G87" s="4" t="s">
        <v>25</v>
      </c>
      <c r="H87" s="4" t="s">
        <v>36</v>
      </c>
      <c r="I87" s="5">
        <v>44378</v>
      </c>
      <c r="J87" s="6">
        <v>0</v>
      </c>
      <c r="K87" s="6">
        <v>0</v>
      </c>
      <c r="L87" s="6">
        <v>1.6339999999999999</v>
      </c>
      <c r="M87" s="6">
        <v>1.6339999999999999</v>
      </c>
      <c r="N87" s="6">
        <v>1.6339999999999999</v>
      </c>
      <c r="O87" s="6">
        <v>1.6339999999999999</v>
      </c>
      <c r="P87" s="6">
        <v>0</v>
      </c>
      <c r="Q87" s="4" t="s">
        <v>26</v>
      </c>
      <c r="R87" s="4">
        <v>0</v>
      </c>
      <c r="S87" s="6">
        <v>0</v>
      </c>
      <c r="T87" s="6">
        <v>15</v>
      </c>
      <c r="U87" s="6">
        <v>9</v>
      </c>
      <c r="V87" s="6">
        <f>IF(ISERROR(VLOOKUP($S$87,'TAR FIN'!$A$1:$O$85,15,0)),0,VLOOKUP($S$87,'TAR FIN'!$A$1:$O$85,15,0))</f>
        <v>0</v>
      </c>
      <c r="W87" s="6">
        <f>IF(ISERROR(VLOOKUP($T$87,'TAR FIN'!$A$1:$O$85,15,0)),0,VLOOKUP($T$87,'TAR FIN'!$A$1:$O$85,15,0))</f>
        <v>940.75</v>
      </c>
      <c r="X87" s="6">
        <f>IF(ISERROR(VLOOKUP($U$87,'TAR FIN'!$A$1:$O$85,15,0)),0,VLOOKUP($U$87,'TAR FIN'!$A$1:$O$85,15,0))</f>
        <v>373.71</v>
      </c>
      <c r="Y87" s="6"/>
      <c r="Z87" s="6">
        <f ca="1">('TUSD BE'!$AM$11+'TUSD BF'!$AM$11+'TUSD CVA'!$AM$11)*1</f>
        <v>966.5081601045739</v>
      </c>
      <c r="AA87" s="6">
        <f>('TE BE'!$AB$5+'TE BF'!$AB$5+'TE CVA'!$AB$5)*1</f>
        <v>347.98834052804079</v>
      </c>
      <c r="AB87" s="6">
        <f>$K$87*$V$87</f>
        <v>0</v>
      </c>
      <c r="AC87" s="6">
        <f>$M$87*$W$87</f>
        <v>1537.1854999999998</v>
      </c>
      <c r="AD87" s="6">
        <f>$O$87*$X$87</f>
        <v>610.64213999999993</v>
      </c>
      <c r="AE87" s="6">
        <f>$K$87*$Y$87</f>
        <v>0</v>
      </c>
      <c r="AF87" s="6">
        <f ca="1">$M$87*$Z$87</f>
        <v>1579.2743336108736</v>
      </c>
      <c r="AG87" s="6">
        <f>$O$87*$AA$87</f>
        <v>568.61294842281859</v>
      </c>
    </row>
    <row r="88" spans="1:33" ht="11.25" customHeight="1" x14ac:dyDescent="0.25">
      <c r="A88" s="4" t="s">
        <v>21</v>
      </c>
      <c r="B88" s="4" t="s">
        <v>34</v>
      </c>
      <c r="C88" s="4" t="s">
        <v>35</v>
      </c>
      <c r="D88" s="4" t="s">
        <v>38</v>
      </c>
      <c r="E88" s="4" t="s">
        <v>25</v>
      </c>
      <c r="F88" s="4" t="s">
        <v>25</v>
      </c>
      <c r="G88" s="4" t="s">
        <v>25</v>
      </c>
      <c r="H88" s="4" t="s">
        <v>36</v>
      </c>
      <c r="I88" s="5">
        <v>44409</v>
      </c>
      <c r="J88" s="6">
        <v>0</v>
      </c>
      <c r="K88" s="6">
        <v>0</v>
      </c>
      <c r="L88" s="6">
        <v>16.292999999999999</v>
      </c>
      <c r="M88" s="6">
        <v>16.292999999999999</v>
      </c>
      <c r="N88" s="6">
        <v>16.292999999999999</v>
      </c>
      <c r="O88" s="6">
        <v>16.292999999999999</v>
      </c>
      <c r="P88" s="6">
        <v>0</v>
      </c>
      <c r="Q88" s="4" t="s">
        <v>26</v>
      </c>
      <c r="R88" s="4">
        <v>0</v>
      </c>
      <c r="S88" s="6">
        <v>0</v>
      </c>
      <c r="T88" s="6">
        <v>15</v>
      </c>
      <c r="U88" s="6">
        <v>9</v>
      </c>
      <c r="V88" s="6">
        <f>IF(ISERROR(VLOOKUP($S$88,'TAR FIN'!$A$1:$O$85,15,0)),0,VLOOKUP($S$88,'TAR FIN'!$A$1:$O$85,15,0))</f>
        <v>0</v>
      </c>
      <c r="W88" s="6">
        <f>IF(ISERROR(VLOOKUP($T$88,'TAR FIN'!$A$1:$O$85,15,0)),0,VLOOKUP($T$88,'TAR FIN'!$A$1:$O$85,15,0))</f>
        <v>940.75</v>
      </c>
      <c r="X88" s="6">
        <f>IF(ISERROR(VLOOKUP($U$88,'TAR FIN'!$A$1:$O$85,15,0)),0,VLOOKUP($U$88,'TAR FIN'!$A$1:$O$85,15,0))</f>
        <v>373.71</v>
      </c>
      <c r="Y88" s="6"/>
      <c r="Z88" s="6">
        <f ca="1">('TUSD BE'!$AM$11+'TUSD BF'!$AM$11+'TUSD CVA'!$AM$11)*1</f>
        <v>966.5081601045739</v>
      </c>
      <c r="AA88" s="6">
        <f>('TE BE'!$AB$5+'TE BF'!$AB$5+'TE CVA'!$AB$5)*1</f>
        <v>347.98834052804079</v>
      </c>
      <c r="AB88" s="6">
        <f>$K$88*$V$88</f>
        <v>0</v>
      </c>
      <c r="AC88" s="6">
        <f>$M$88*$W$88</f>
        <v>15327.639749999998</v>
      </c>
      <c r="AD88" s="6">
        <f>$O$88*$X$88</f>
        <v>6088.8570299999992</v>
      </c>
      <c r="AE88" s="6">
        <f>$K$88*$Y$88</f>
        <v>0</v>
      </c>
      <c r="AF88" s="6">
        <f ca="1">$M$88*$Z$88</f>
        <v>15747.317452583822</v>
      </c>
      <c r="AG88" s="6">
        <f>$O$88*$AA$88</f>
        <v>5669.7740322233685</v>
      </c>
    </row>
    <row r="89" spans="1:33" ht="11.25" customHeight="1" x14ac:dyDescent="0.25">
      <c r="A89" s="4" t="s">
        <v>27</v>
      </c>
      <c r="B89" s="4" t="s">
        <v>34</v>
      </c>
      <c r="C89" s="4" t="s">
        <v>35</v>
      </c>
      <c r="D89" s="4" t="s">
        <v>38</v>
      </c>
      <c r="E89" s="4" t="s">
        <v>25</v>
      </c>
      <c r="F89" s="4" t="s">
        <v>25</v>
      </c>
      <c r="G89" s="4" t="s">
        <v>25</v>
      </c>
      <c r="H89" s="4" t="s">
        <v>36</v>
      </c>
      <c r="I89" s="5">
        <v>44409</v>
      </c>
      <c r="J89" s="6">
        <v>0</v>
      </c>
      <c r="K89" s="6">
        <v>0</v>
      </c>
      <c r="L89" s="6">
        <v>1.1910000000000001</v>
      </c>
      <c r="M89" s="6">
        <v>1.1910000000000001</v>
      </c>
      <c r="N89" s="6">
        <v>1.1910000000000001</v>
      </c>
      <c r="O89" s="6">
        <v>1.1910000000000001</v>
      </c>
      <c r="P89" s="6">
        <v>0</v>
      </c>
      <c r="Q89" s="4" t="s">
        <v>26</v>
      </c>
      <c r="R89" s="4">
        <v>0</v>
      </c>
      <c r="S89" s="6">
        <v>0</v>
      </c>
      <c r="T89" s="6">
        <v>15</v>
      </c>
      <c r="U89" s="6">
        <v>9</v>
      </c>
      <c r="V89" s="6">
        <f>IF(ISERROR(VLOOKUP($S$89,'TAR FIN'!$A$1:$O$85,15,0)),0,VLOOKUP($S$89,'TAR FIN'!$A$1:$O$85,15,0))</f>
        <v>0</v>
      </c>
      <c r="W89" s="6">
        <f>IF(ISERROR(VLOOKUP($T$89,'TAR FIN'!$A$1:$O$85,15,0)),0,VLOOKUP($T$89,'TAR FIN'!$A$1:$O$85,15,0))</f>
        <v>940.75</v>
      </c>
      <c r="X89" s="6">
        <f>IF(ISERROR(VLOOKUP($U$89,'TAR FIN'!$A$1:$O$85,15,0)),0,VLOOKUP($U$89,'TAR FIN'!$A$1:$O$85,15,0))</f>
        <v>373.71</v>
      </c>
      <c r="Y89" s="6"/>
      <c r="Z89" s="6">
        <f ca="1">('TUSD BE'!$AM$11+'TUSD BF'!$AM$11+'TUSD CVA'!$AM$11)*1</f>
        <v>966.5081601045739</v>
      </c>
      <c r="AA89" s="6">
        <f>('TE BE'!$AB$5+'TE BF'!$AB$5+'TE CVA'!$AB$5)*1</f>
        <v>347.98834052804079</v>
      </c>
      <c r="AB89" s="6">
        <f>$K$89*$V$89</f>
        <v>0</v>
      </c>
      <c r="AC89" s="6">
        <f>$M$89*$W$89</f>
        <v>1120.43325</v>
      </c>
      <c r="AD89" s="6">
        <f>$O$89*$X$89</f>
        <v>445.08861000000002</v>
      </c>
      <c r="AE89" s="6">
        <f>$K$89*$Y$89</f>
        <v>0</v>
      </c>
      <c r="AF89" s="6">
        <f ca="1">$M$89*$Z$89</f>
        <v>1151.1112186845476</v>
      </c>
      <c r="AG89" s="6">
        <f>$O$89*$AA$89</f>
        <v>414.45411356889662</v>
      </c>
    </row>
    <row r="90" spans="1:33" ht="11.25" customHeight="1" x14ac:dyDescent="0.25">
      <c r="A90" s="4" t="s">
        <v>21</v>
      </c>
      <c r="B90" s="4" t="s">
        <v>34</v>
      </c>
      <c r="C90" s="4" t="s">
        <v>35</v>
      </c>
      <c r="D90" s="4" t="s">
        <v>38</v>
      </c>
      <c r="E90" s="4" t="s">
        <v>25</v>
      </c>
      <c r="F90" s="4" t="s">
        <v>25</v>
      </c>
      <c r="G90" s="4" t="s">
        <v>25</v>
      </c>
      <c r="H90" s="4" t="s">
        <v>36</v>
      </c>
      <c r="I90" s="5">
        <v>44440</v>
      </c>
      <c r="J90" s="6">
        <v>0</v>
      </c>
      <c r="K90" s="6">
        <v>0</v>
      </c>
      <c r="L90" s="6">
        <v>16.042000000000002</v>
      </c>
      <c r="M90" s="6">
        <v>16.042000000000002</v>
      </c>
      <c r="N90" s="6">
        <v>16.042000000000002</v>
      </c>
      <c r="O90" s="6">
        <v>16.042000000000002</v>
      </c>
      <c r="P90" s="6">
        <v>0</v>
      </c>
      <c r="Q90" s="4" t="s">
        <v>26</v>
      </c>
      <c r="R90" s="4">
        <v>0</v>
      </c>
      <c r="S90" s="6">
        <v>0</v>
      </c>
      <c r="T90" s="6">
        <v>15</v>
      </c>
      <c r="U90" s="6">
        <v>9</v>
      </c>
      <c r="V90" s="6">
        <f>IF(ISERROR(VLOOKUP($S$90,'TAR FIN'!$A$1:$O$85,15,0)),0,VLOOKUP($S$90,'TAR FIN'!$A$1:$O$85,15,0))</f>
        <v>0</v>
      </c>
      <c r="W90" s="6">
        <f>IF(ISERROR(VLOOKUP($T$90,'TAR FIN'!$A$1:$O$85,15,0)),0,VLOOKUP($T$90,'TAR FIN'!$A$1:$O$85,15,0))</f>
        <v>940.75</v>
      </c>
      <c r="X90" s="6">
        <f>IF(ISERROR(VLOOKUP($U$90,'TAR FIN'!$A$1:$O$85,15,0)),0,VLOOKUP($U$90,'TAR FIN'!$A$1:$O$85,15,0))</f>
        <v>373.71</v>
      </c>
      <c r="Y90" s="6"/>
      <c r="Z90" s="6">
        <f ca="1">('TUSD BE'!$AM$11+'TUSD BF'!$AM$11+'TUSD CVA'!$AM$11)*1</f>
        <v>966.5081601045739</v>
      </c>
      <c r="AA90" s="6">
        <f>('TE BE'!$AB$5+'TE BF'!$AB$5+'TE CVA'!$AB$5)*1</f>
        <v>347.98834052804079</v>
      </c>
      <c r="AB90" s="6">
        <f>$K$90*$V$90</f>
        <v>0</v>
      </c>
      <c r="AC90" s="6">
        <f>$M$90*$W$90</f>
        <v>15091.511500000002</v>
      </c>
      <c r="AD90" s="6">
        <f>$O$90*$X$90</f>
        <v>5995.0558200000005</v>
      </c>
      <c r="AE90" s="6">
        <f>$K$90*$Y$90</f>
        <v>0</v>
      </c>
      <c r="AF90" s="6">
        <f ca="1">$M$90*$Z$90</f>
        <v>15504.723904397577</v>
      </c>
      <c r="AG90" s="6">
        <f>$O$90*$AA$90</f>
        <v>5582.428958750831</v>
      </c>
    </row>
    <row r="91" spans="1:33" ht="11.25" customHeight="1" x14ac:dyDescent="0.25">
      <c r="A91" s="4" t="s">
        <v>27</v>
      </c>
      <c r="B91" s="4" t="s">
        <v>34</v>
      </c>
      <c r="C91" s="4" t="s">
        <v>35</v>
      </c>
      <c r="D91" s="4" t="s">
        <v>38</v>
      </c>
      <c r="E91" s="4" t="s">
        <v>25</v>
      </c>
      <c r="F91" s="4" t="s">
        <v>25</v>
      </c>
      <c r="G91" s="4" t="s">
        <v>25</v>
      </c>
      <c r="H91" s="4" t="s">
        <v>36</v>
      </c>
      <c r="I91" s="5">
        <v>44440</v>
      </c>
      <c r="J91" s="6">
        <v>0</v>
      </c>
      <c r="K91" s="6">
        <v>0</v>
      </c>
      <c r="L91" s="6">
        <v>0.97299999999999998</v>
      </c>
      <c r="M91" s="6">
        <v>0.97299999999999998</v>
      </c>
      <c r="N91" s="6">
        <v>0.97299999999999998</v>
      </c>
      <c r="O91" s="6">
        <v>0.97299999999999998</v>
      </c>
      <c r="P91" s="6">
        <v>0</v>
      </c>
      <c r="Q91" s="4" t="s">
        <v>26</v>
      </c>
      <c r="R91" s="4">
        <v>0</v>
      </c>
      <c r="S91" s="6">
        <v>0</v>
      </c>
      <c r="T91" s="6">
        <v>15</v>
      </c>
      <c r="U91" s="6">
        <v>9</v>
      </c>
      <c r="V91" s="6">
        <f>IF(ISERROR(VLOOKUP($S$91,'TAR FIN'!$A$1:$O$85,15,0)),0,VLOOKUP($S$91,'TAR FIN'!$A$1:$O$85,15,0))</f>
        <v>0</v>
      </c>
      <c r="W91" s="6">
        <f>IF(ISERROR(VLOOKUP($T$91,'TAR FIN'!$A$1:$O$85,15,0)),0,VLOOKUP($T$91,'TAR FIN'!$A$1:$O$85,15,0))</f>
        <v>940.75</v>
      </c>
      <c r="X91" s="6">
        <f>IF(ISERROR(VLOOKUP($U$91,'TAR FIN'!$A$1:$O$85,15,0)),0,VLOOKUP($U$91,'TAR FIN'!$A$1:$O$85,15,0))</f>
        <v>373.71</v>
      </c>
      <c r="Y91" s="6"/>
      <c r="Z91" s="6">
        <f ca="1">('TUSD BE'!$AM$11+'TUSD BF'!$AM$11+'TUSD CVA'!$AM$11)*1</f>
        <v>966.5081601045739</v>
      </c>
      <c r="AA91" s="6">
        <f>('TE BE'!$AB$5+'TE BF'!$AB$5+'TE CVA'!$AB$5)*1</f>
        <v>347.98834052804079</v>
      </c>
      <c r="AB91" s="6">
        <f>$K$91*$V$91</f>
        <v>0</v>
      </c>
      <c r="AC91" s="6">
        <f>$M$91*$W$91</f>
        <v>915.34974999999997</v>
      </c>
      <c r="AD91" s="6">
        <f>$O$91*$X$91</f>
        <v>363.61982999999998</v>
      </c>
      <c r="AE91" s="6">
        <f>$K$91*$Y$91</f>
        <v>0</v>
      </c>
      <c r="AF91" s="6">
        <f ca="1">$M$91*$Z$91</f>
        <v>940.41243978175044</v>
      </c>
      <c r="AG91" s="6">
        <f>$O$91*$AA$91</f>
        <v>338.59265533378368</v>
      </c>
    </row>
    <row r="92" spans="1:33" ht="11.25" customHeight="1" x14ac:dyDescent="0.25">
      <c r="A92" s="4" t="s">
        <v>21</v>
      </c>
      <c r="B92" s="4" t="s">
        <v>34</v>
      </c>
      <c r="C92" s="4" t="s">
        <v>35</v>
      </c>
      <c r="D92" s="4" t="s">
        <v>38</v>
      </c>
      <c r="E92" s="4" t="s">
        <v>25</v>
      </c>
      <c r="F92" s="4" t="s">
        <v>25</v>
      </c>
      <c r="G92" s="4" t="s">
        <v>25</v>
      </c>
      <c r="H92" s="4" t="s">
        <v>36</v>
      </c>
      <c r="I92" s="5">
        <v>44470</v>
      </c>
      <c r="J92" s="6">
        <v>0</v>
      </c>
      <c r="K92" s="6">
        <v>0</v>
      </c>
      <c r="L92" s="6">
        <v>15.581</v>
      </c>
      <c r="M92" s="6">
        <v>15.581</v>
      </c>
      <c r="N92" s="6">
        <v>15.581</v>
      </c>
      <c r="O92" s="6">
        <v>15.581</v>
      </c>
      <c r="P92" s="6">
        <v>0</v>
      </c>
      <c r="Q92" s="4" t="s">
        <v>26</v>
      </c>
      <c r="R92" s="4">
        <v>0</v>
      </c>
      <c r="S92" s="6">
        <v>0</v>
      </c>
      <c r="T92" s="6">
        <v>15</v>
      </c>
      <c r="U92" s="6">
        <v>9</v>
      </c>
      <c r="V92" s="6">
        <f>IF(ISERROR(VLOOKUP($S$92,'TAR FIN'!$A$1:$O$85,15,0)),0,VLOOKUP($S$92,'TAR FIN'!$A$1:$O$85,15,0))</f>
        <v>0</v>
      </c>
      <c r="W92" s="6">
        <f>IF(ISERROR(VLOOKUP($T$92,'TAR FIN'!$A$1:$O$85,15,0)),0,VLOOKUP($T$92,'TAR FIN'!$A$1:$O$85,15,0))</f>
        <v>940.75</v>
      </c>
      <c r="X92" s="6">
        <f>IF(ISERROR(VLOOKUP($U$92,'TAR FIN'!$A$1:$O$85,15,0)),0,VLOOKUP($U$92,'TAR FIN'!$A$1:$O$85,15,0))</f>
        <v>373.71</v>
      </c>
      <c r="Y92" s="6"/>
      <c r="Z92" s="6">
        <f ca="1">('TUSD BE'!$AM$11+'TUSD BF'!$AM$11+'TUSD CVA'!$AM$11)*1</f>
        <v>966.5081601045739</v>
      </c>
      <c r="AA92" s="6">
        <f>('TE BE'!$AB$5+'TE BF'!$AB$5+'TE CVA'!$AB$5)*1</f>
        <v>347.98834052804079</v>
      </c>
      <c r="AB92" s="6">
        <f>$K$92*$V$92</f>
        <v>0</v>
      </c>
      <c r="AC92" s="6">
        <f>$M$92*$W$92</f>
        <v>14657.82575</v>
      </c>
      <c r="AD92" s="6">
        <f>$O$92*$X$92</f>
        <v>5822.7755099999995</v>
      </c>
      <c r="AE92" s="6">
        <f>$K$92*$Y$92</f>
        <v>0</v>
      </c>
      <c r="AF92" s="6">
        <f ca="1">$M$92*$Z$92</f>
        <v>15059.163642589365</v>
      </c>
      <c r="AG92" s="6">
        <f>$O$92*$AA$92</f>
        <v>5422.0063337674037</v>
      </c>
    </row>
    <row r="93" spans="1:33" ht="11.25" customHeight="1" x14ac:dyDescent="0.25">
      <c r="A93" s="4" t="s">
        <v>27</v>
      </c>
      <c r="B93" s="4" t="s">
        <v>34</v>
      </c>
      <c r="C93" s="4" t="s">
        <v>35</v>
      </c>
      <c r="D93" s="4" t="s">
        <v>38</v>
      </c>
      <c r="E93" s="4" t="s">
        <v>25</v>
      </c>
      <c r="F93" s="4" t="s">
        <v>25</v>
      </c>
      <c r="G93" s="4" t="s">
        <v>25</v>
      </c>
      <c r="H93" s="4" t="s">
        <v>36</v>
      </c>
      <c r="I93" s="5">
        <v>44470</v>
      </c>
      <c r="J93" s="6">
        <v>0</v>
      </c>
      <c r="K93" s="6">
        <v>0</v>
      </c>
      <c r="L93" s="6">
        <v>0.995</v>
      </c>
      <c r="M93" s="6">
        <v>0.995</v>
      </c>
      <c r="N93" s="6">
        <v>0.995</v>
      </c>
      <c r="O93" s="6">
        <v>0.995</v>
      </c>
      <c r="P93" s="6">
        <v>0</v>
      </c>
      <c r="Q93" s="4" t="s">
        <v>26</v>
      </c>
      <c r="R93" s="4">
        <v>0</v>
      </c>
      <c r="S93" s="6">
        <v>0</v>
      </c>
      <c r="T93" s="6">
        <v>15</v>
      </c>
      <c r="U93" s="6">
        <v>9</v>
      </c>
      <c r="V93" s="6">
        <f>IF(ISERROR(VLOOKUP($S$93,'TAR FIN'!$A$1:$O$85,15,0)),0,VLOOKUP($S$93,'TAR FIN'!$A$1:$O$85,15,0))</f>
        <v>0</v>
      </c>
      <c r="W93" s="6">
        <f>IF(ISERROR(VLOOKUP($T$93,'TAR FIN'!$A$1:$O$85,15,0)),0,VLOOKUP($T$93,'TAR FIN'!$A$1:$O$85,15,0))</f>
        <v>940.75</v>
      </c>
      <c r="X93" s="6">
        <f>IF(ISERROR(VLOOKUP($U$93,'TAR FIN'!$A$1:$O$85,15,0)),0,VLOOKUP($U$93,'TAR FIN'!$A$1:$O$85,15,0))</f>
        <v>373.71</v>
      </c>
      <c r="Y93" s="6"/>
      <c r="Z93" s="6">
        <f ca="1">('TUSD BE'!$AM$11+'TUSD BF'!$AM$11+'TUSD CVA'!$AM$11)*1</f>
        <v>966.5081601045739</v>
      </c>
      <c r="AA93" s="6">
        <f>('TE BE'!$AB$5+'TE BF'!$AB$5+'TE CVA'!$AB$5)*1</f>
        <v>347.98834052804079</v>
      </c>
      <c r="AB93" s="6">
        <f>$K$93*$V$93</f>
        <v>0</v>
      </c>
      <c r="AC93" s="6">
        <f>$M$93*$W$93</f>
        <v>936.04624999999999</v>
      </c>
      <c r="AD93" s="6">
        <f>$O$93*$X$93</f>
        <v>371.84144999999995</v>
      </c>
      <c r="AE93" s="6">
        <f>$K$93*$Y$93</f>
        <v>0</v>
      </c>
      <c r="AF93" s="6">
        <f ca="1">$M$93*$Z$93</f>
        <v>961.675619304051</v>
      </c>
      <c r="AG93" s="6">
        <f>$O$93*$AA$93</f>
        <v>346.24839882540061</v>
      </c>
    </row>
    <row r="94" spans="1:33" ht="11.25" customHeight="1" x14ac:dyDescent="0.25">
      <c r="A94" s="4" t="s">
        <v>21</v>
      </c>
      <c r="B94" s="4" t="s">
        <v>34</v>
      </c>
      <c r="C94" s="4" t="s">
        <v>35</v>
      </c>
      <c r="D94" s="4" t="s">
        <v>38</v>
      </c>
      <c r="E94" s="4" t="s">
        <v>25</v>
      </c>
      <c r="F94" s="4" t="s">
        <v>25</v>
      </c>
      <c r="G94" s="4" t="s">
        <v>25</v>
      </c>
      <c r="H94" s="4" t="s">
        <v>36</v>
      </c>
      <c r="I94" s="5">
        <v>44501</v>
      </c>
      <c r="J94" s="6">
        <v>0</v>
      </c>
      <c r="K94" s="6">
        <v>0</v>
      </c>
      <c r="L94" s="6">
        <v>18.66</v>
      </c>
      <c r="M94" s="6">
        <v>18.66</v>
      </c>
      <c r="N94" s="6">
        <v>18.66</v>
      </c>
      <c r="O94" s="6">
        <v>18.66</v>
      </c>
      <c r="P94" s="6">
        <v>0</v>
      </c>
      <c r="Q94" s="4" t="s">
        <v>26</v>
      </c>
      <c r="R94" s="4">
        <v>0</v>
      </c>
      <c r="S94" s="6">
        <v>0</v>
      </c>
      <c r="T94" s="6">
        <v>15</v>
      </c>
      <c r="U94" s="6">
        <v>9</v>
      </c>
      <c r="V94" s="6">
        <f>IF(ISERROR(VLOOKUP($S$94,'TAR FIN'!$A$1:$O$85,15,0)),0,VLOOKUP($S$94,'TAR FIN'!$A$1:$O$85,15,0))</f>
        <v>0</v>
      </c>
      <c r="W94" s="6">
        <f>IF(ISERROR(VLOOKUP($T$94,'TAR FIN'!$A$1:$O$85,15,0)),0,VLOOKUP($T$94,'TAR FIN'!$A$1:$O$85,15,0))</f>
        <v>940.75</v>
      </c>
      <c r="X94" s="6">
        <f>IF(ISERROR(VLOOKUP($U$94,'TAR FIN'!$A$1:$O$85,15,0)),0,VLOOKUP($U$94,'TAR FIN'!$A$1:$O$85,15,0))</f>
        <v>373.71</v>
      </c>
      <c r="Y94" s="6"/>
      <c r="Z94" s="6">
        <f ca="1">('TUSD BE'!$AM$11+'TUSD BF'!$AM$11+'TUSD CVA'!$AM$11)*1</f>
        <v>966.5081601045739</v>
      </c>
      <c r="AA94" s="6">
        <f>('TE BE'!$AB$5+'TE BF'!$AB$5+'TE CVA'!$AB$5)*1</f>
        <v>347.98834052804079</v>
      </c>
      <c r="AB94" s="6">
        <f>$K$94*$V$94</f>
        <v>0</v>
      </c>
      <c r="AC94" s="6">
        <f>$M$94*$W$94</f>
        <v>17554.395</v>
      </c>
      <c r="AD94" s="6">
        <f>$O$94*$X$94</f>
        <v>6973.4285999999993</v>
      </c>
      <c r="AE94" s="6">
        <f>$K$94*$Y$94</f>
        <v>0</v>
      </c>
      <c r="AF94" s="6">
        <f ca="1">$M$94*$Z$94</f>
        <v>18035.042267551351</v>
      </c>
      <c r="AG94" s="6">
        <f>$O$94*$AA$94</f>
        <v>6493.4624342532416</v>
      </c>
    </row>
    <row r="95" spans="1:33" ht="11.25" customHeight="1" x14ac:dyDescent="0.25">
      <c r="A95" s="4" t="s">
        <v>27</v>
      </c>
      <c r="B95" s="4" t="s">
        <v>34</v>
      </c>
      <c r="C95" s="4" t="s">
        <v>35</v>
      </c>
      <c r="D95" s="4" t="s">
        <v>38</v>
      </c>
      <c r="E95" s="4" t="s">
        <v>25</v>
      </c>
      <c r="F95" s="4" t="s">
        <v>25</v>
      </c>
      <c r="G95" s="4" t="s">
        <v>25</v>
      </c>
      <c r="H95" s="4" t="s">
        <v>36</v>
      </c>
      <c r="I95" s="5">
        <v>44501</v>
      </c>
      <c r="J95" s="6">
        <v>0</v>
      </c>
      <c r="K95" s="6">
        <v>0</v>
      </c>
      <c r="L95" s="6">
        <v>2.6749999999999998</v>
      </c>
      <c r="M95" s="6">
        <v>2.6749999999999998</v>
      </c>
      <c r="N95" s="6">
        <v>2.6749999999999998</v>
      </c>
      <c r="O95" s="6">
        <v>2.6749999999999998</v>
      </c>
      <c r="P95" s="6">
        <v>0</v>
      </c>
      <c r="Q95" s="4" t="s">
        <v>26</v>
      </c>
      <c r="R95" s="4">
        <v>0</v>
      </c>
      <c r="S95" s="6">
        <v>0</v>
      </c>
      <c r="T95" s="6">
        <v>15</v>
      </c>
      <c r="U95" s="6">
        <v>9</v>
      </c>
      <c r="V95" s="6">
        <f>IF(ISERROR(VLOOKUP($S$95,'TAR FIN'!$A$1:$O$85,15,0)),0,VLOOKUP($S$95,'TAR FIN'!$A$1:$O$85,15,0))</f>
        <v>0</v>
      </c>
      <c r="W95" s="6">
        <f>IF(ISERROR(VLOOKUP($T$95,'TAR FIN'!$A$1:$O$85,15,0)),0,VLOOKUP($T$95,'TAR FIN'!$A$1:$O$85,15,0))</f>
        <v>940.75</v>
      </c>
      <c r="X95" s="6">
        <f>IF(ISERROR(VLOOKUP($U$95,'TAR FIN'!$A$1:$O$85,15,0)),0,VLOOKUP($U$95,'TAR FIN'!$A$1:$O$85,15,0))</f>
        <v>373.71</v>
      </c>
      <c r="Y95" s="6"/>
      <c r="Z95" s="6">
        <f ca="1">('TUSD BE'!$AM$11+'TUSD BF'!$AM$11+'TUSD CVA'!$AM$11)*1</f>
        <v>966.5081601045739</v>
      </c>
      <c r="AA95" s="6">
        <f>('TE BE'!$AB$5+'TE BF'!$AB$5+'TE CVA'!$AB$5)*1</f>
        <v>347.98834052804079</v>
      </c>
      <c r="AB95" s="6">
        <f>$K$95*$V$95</f>
        <v>0</v>
      </c>
      <c r="AC95" s="6">
        <f>$M$95*$W$95</f>
        <v>2516.5062499999999</v>
      </c>
      <c r="AD95" s="6">
        <f>$O$95*$X$95</f>
        <v>999.67424999999992</v>
      </c>
      <c r="AE95" s="6">
        <f>$K$95*$Y$95</f>
        <v>0</v>
      </c>
      <c r="AF95" s="6">
        <f ca="1">$M$95*$Z$95</f>
        <v>2585.4093282797348</v>
      </c>
      <c r="AG95" s="6">
        <f>$O$95*$AA$95</f>
        <v>930.86881091250905</v>
      </c>
    </row>
    <row r="96" spans="1:33" ht="11.25" customHeight="1" x14ac:dyDescent="0.25">
      <c r="A96" s="4" t="s">
        <v>21</v>
      </c>
      <c r="B96" s="4" t="s">
        <v>34</v>
      </c>
      <c r="C96" s="4" t="s">
        <v>35</v>
      </c>
      <c r="D96" s="4" t="s">
        <v>38</v>
      </c>
      <c r="E96" s="4" t="s">
        <v>25</v>
      </c>
      <c r="F96" s="4" t="s">
        <v>25</v>
      </c>
      <c r="G96" s="4" t="s">
        <v>25</v>
      </c>
      <c r="H96" s="4" t="s">
        <v>36</v>
      </c>
      <c r="I96" s="5">
        <v>44531</v>
      </c>
      <c r="J96" s="6">
        <v>0</v>
      </c>
      <c r="K96" s="6">
        <v>0</v>
      </c>
      <c r="L96" s="6">
        <v>22.087</v>
      </c>
      <c r="M96" s="6">
        <v>22.087</v>
      </c>
      <c r="N96" s="6">
        <v>22.087</v>
      </c>
      <c r="O96" s="6">
        <v>22.087</v>
      </c>
      <c r="P96" s="6">
        <v>0</v>
      </c>
      <c r="Q96" s="4" t="s">
        <v>26</v>
      </c>
      <c r="R96" s="4">
        <v>0</v>
      </c>
      <c r="S96" s="6">
        <v>0</v>
      </c>
      <c r="T96" s="6">
        <v>15</v>
      </c>
      <c r="U96" s="6">
        <v>9</v>
      </c>
      <c r="V96" s="6">
        <f>IF(ISERROR(VLOOKUP($S$96,'TAR FIN'!$A$1:$O$85,15,0)),0,VLOOKUP($S$96,'TAR FIN'!$A$1:$O$85,15,0))</f>
        <v>0</v>
      </c>
      <c r="W96" s="6">
        <f>IF(ISERROR(VLOOKUP($T$96,'TAR FIN'!$A$1:$O$85,15,0)),0,VLOOKUP($T$96,'TAR FIN'!$A$1:$O$85,15,0))</f>
        <v>940.75</v>
      </c>
      <c r="X96" s="6">
        <f>IF(ISERROR(VLOOKUP($U$96,'TAR FIN'!$A$1:$O$85,15,0)),0,VLOOKUP($U$96,'TAR FIN'!$A$1:$O$85,15,0))</f>
        <v>373.71</v>
      </c>
      <c r="Y96" s="6"/>
      <c r="Z96" s="6">
        <f ca="1">('TUSD BE'!$AM$11+'TUSD BF'!$AM$11+'TUSD CVA'!$AM$11)*1</f>
        <v>966.5081601045739</v>
      </c>
      <c r="AA96" s="6">
        <f>('TE BE'!$AB$5+'TE BF'!$AB$5+'TE CVA'!$AB$5)*1</f>
        <v>347.98834052804079</v>
      </c>
      <c r="AB96" s="6">
        <f>$K$96*$V$96</f>
        <v>0</v>
      </c>
      <c r="AC96" s="6">
        <f>$M$96*$W$96</f>
        <v>20778.345249999998</v>
      </c>
      <c r="AD96" s="6">
        <f>$O$96*$X$96</f>
        <v>8254.1327700000002</v>
      </c>
      <c r="AE96" s="6">
        <f>$K$96*$Y$96</f>
        <v>0</v>
      </c>
      <c r="AF96" s="6">
        <f ca="1">$M$96*$Z$96</f>
        <v>21347.265732229724</v>
      </c>
      <c r="AG96" s="6">
        <f>$O$96*$AA$96</f>
        <v>7686.0184772428365</v>
      </c>
    </row>
    <row r="97" spans="1:33" ht="11.25" customHeight="1" x14ac:dyDescent="0.25">
      <c r="A97" s="4" t="s">
        <v>27</v>
      </c>
      <c r="B97" s="4" t="s">
        <v>34</v>
      </c>
      <c r="C97" s="4" t="s">
        <v>35</v>
      </c>
      <c r="D97" s="4" t="s">
        <v>38</v>
      </c>
      <c r="E97" s="4" t="s">
        <v>25</v>
      </c>
      <c r="F97" s="4" t="s">
        <v>25</v>
      </c>
      <c r="G97" s="4" t="s">
        <v>25</v>
      </c>
      <c r="H97" s="4" t="s">
        <v>36</v>
      </c>
      <c r="I97" s="5">
        <v>44531</v>
      </c>
      <c r="J97" s="6">
        <v>0</v>
      </c>
      <c r="K97" s="6">
        <v>0</v>
      </c>
      <c r="L97" s="6">
        <v>0.97</v>
      </c>
      <c r="M97" s="6">
        <v>0.97</v>
      </c>
      <c r="N97" s="6">
        <v>0.97</v>
      </c>
      <c r="O97" s="6">
        <v>0.97</v>
      </c>
      <c r="P97" s="6">
        <v>0</v>
      </c>
      <c r="Q97" s="4" t="s">
        <v>26</v>
      </c>
      <c r="R97" s="4">
        <v>0</v>
      </c>
      <c r="S97" s="6">
        <v>0</v>
      </c>
      <c r="T97" s="6">
        <v>15</v>
      </c>
      <c r="U97" s="6">
        <v>9</v>
      </c>
      <c r="V97" s="6">
        <f>IF(ISERROR(VLOOKUP($S$97,'TAR FIN'!$A$1:$O$85,15,0)),0,VLOOKUP($S$97,'TAR FIN'!$A$1:$O$85,15,0))</f>
        <v>0</v>
      </c>
      <c r="W97" s="6">
        <f>IF(ISERROR(VLOOKUP($T$97,'TAR FIN'!$A$1:$O$85,15,0)),0,VLOOKUP($T$97,'TAR FIN'!$A$1:$O$85,15,0))</f>
        <v>940.75</v>
      </c>
      <c r="X97" s="6">
        <f>IF(ISERROR(VLOOKUP($U$97,'TAR FIN'!$A$1:$O$85,15,0)),0,VLOOKUP($U$97,'TAR FIN'!$A$1:$O$85,15,0))</f>
        <v>373.71</v>
      </c>
      <c r="Y97" s="6"/>
      <c r="Z97" s="6">
        <f ca="1">('TUSD BE'!$AM$11+'TUSD BF'!$AM$11+'TUSD CVA'!$AM$11)*1</f>
        <v>966.5081601045739</v>
      </c>
      <c r="AA97" s="6">
        <f>('TE BE'!$AB$5+'TE BF'!$AB$5+'TE CVA'!$AB$5)*1</f>
        <v>347.98834052804079</v>
      </c>
      <c r="AB97" s="6">
        <f>$K$97*$V$97</f>
        <v>0</v>
      </c>
      <c r="AC97" s="6">
        <f>$M$97*$W$97</f>
        <v>912.52749999999992</v>
      </c>
      <c r="AD97" s="6">
        <f>$O$97*$X$97</f>
        <v>362.49869999999999</v>
      </c>
      <c r="AE97" s="6">
        <f>$K$97*$Y$97</f>
        <v>0</v>
      </c>
      <c r="AF97" s="6">
        <f ca="1">$M$97*$Z$97</f>
        <v>937.51291530143669</v>
      </c>
      <c r="AG97" s="6">
        <f>$O$97*$AA$97</f>
        <v>337.54869031219954</v>
      </c>
    </row>
    <row r="98" spans="1:33" ht="11.25" customHeight="1" x14ac:dyDescent="0.25">
      <c r="A98" s="4" t="s">
        <v>21</v>
      </c>
      <c r="B98" s="4" t="s">
        <v>34</v>
      </c>
      <c r="C98" s="4" t="s">
        <v>35</v>
      </c>
      <c r="D98" s="4" t="s">
        <v>38</v>
      </c>
      <c r="E98" s="4" t="s">
        <v>25</v>
      </c>
      <c r="F98" s="4" t="s">
        <v>25</v>
      </c>
      <c r="G98" s="4" t="s">
        <v>25</v>
      </c>
      <c r="H98" s="4" t="s">
        <v>36</v>
      </c>
      <c r="I98" s="5">
        <v>44562</v>
      </c>
      <c r="J98" s="6">
        <v>0</v>
      </c>
      <c r="K98" s="6">
        <v>0</v>
      </c>
      <c r="L98" s="6">
        <v>21.966000000000001</v>
      </c>
      <c r="M98" s="6">
        <v>21.966000000000001</v>
      </c>
      <c r="N98" s="6">
        <v>21.966000000000001</v>
      </c>
      <c r="O98" s="6">
        <v>21.966000000000001</v>
      </c>
      <c r="P98" s="6">
        <v>0</v>
      </c>
      <c r="Q98" s="4" t="s">
        <v>26</v>
      </c>
      <c r="R98" s="4">
        <v>0</v>
      </c>
      <c r="S98" s="6">
        <v>0</v>
      </c>
      <c r="T98" s="6">
        <v>15</v>
      </c>
      <c r="U98" s="6">
        <v>9</v>
      </c>
      <c r="V98" s="6">
        <f>IF(ISERROR(VLOOKUP($S$98,'TAR FIN'!$A$1:$O$85,15,0)),0,VLOOKUP($S$98,'TAR FIN'!$A$1:$O$85,15,0))</f>
        <v>0</v>
      </c>
      <c r="W98" s="6">
        <f>IF(ISERROR(VLOOKUP($T$98,'TAR FIN'!$A$1:$O$85,15,0)),0,VLOOKUP($T$98,'TAR FIN'!$A$1:$O$85,15,0))</f>
        <v>940.75</v>
      </c>
      <c r="X98" s="6">
        <f>IF(ISERROR(VLOOKUP($U$98,'TAR FIN'!$A$1:$O$85,15,0)),0,VLOOKUP($U$98,'TAR FIN'!$A$1:$O$85,15,0))</f>
        <v>373.71</v>
      </c>
      <c r="Y98" s="6"/>
      <c r="Z98" s="6">
        <f ca="1">('TUSD BE'!$AM$11+'TUSD BF'!$AM$11+'TUSD CVA'!$AM$11)*1</f>
        <v>966.5081601045739</v>
      </c>
      <c r="AA98" s="6">
        <f>('TE BE'!$AB$5+'TE BF'!$AB$5+'TE CVA'!$AB$5)*1</f>
        <v>347.98834052804079</v>
      </c>
      <c r="AB98" s="6">
        <f>$K$98*$V$98</f>
        <v>0</v>
      </c>
      <c r="AC98" s="6">
        <f>$M$98*$W$98</f>
        <v>20664.514500000001</v>
      </c>
      <c r="AD98" s="6">
        <f>$O$98*$X$98</f>
        <v>8208.9138600000006</v>
      </c>
      <c r="AE98" s="6">
        <f>$K$98*$Y$98</f>
        <v>0</v>
      </c>
      <c r="AF98" s="6">
        <f ca="1">$M$98*$Z$98</f>
        <v>21230.31824485707</v>
      </c>
      <c r="AG98" s="6">
        <f>$O$98*$AA$98</f>
        <v>7643.9118880389442</v>
      </c>
    </row>
    <row r="99" spans="1:33" ht="11.25" customHeight="1" x14ac:dyDescent="0.25">
      <c r="A99" s="4" t="s">
        <v>27</v>
      </c>
      <c r="B99" s="4" t="s">
        <v>34</v>
      </c>
      <c r="C99" s="4" t="s">
        <v>35</v>
      </c>
      <c r="D99" s="4" t="s">
        <v>38</v>
      </c>
      <c r="E99" s="4" t="s">
        <v>25</v>
      </c>
      <c r="F99" s="4" t="s">
        <v>25</v>
      </c>
      <c r="G99" s="4" t="s">
        <v>25</v>
      </c>
      <c r="H99" s="4" t="s">
        <v>36</v>
      </c>
      <c r="I99" s="5">
        <v>44562</v>
      </c>
      <c r="J99" s="6">
        <v>0</v>
      </c>
      <c r="K99" s="6">
        <v>0</v>
      </c>
      <c r="L99" s="6">
        <v>2.1240000000000001</v>
      </c>
      <c r="M99" s="6">
        <v>2.1240000000000001</v>
      </c>
      <c r="N99" s="6">
        <v>2.1240000000000001</v>
      </c>
      <c r="O99" s="6">
        <v>2.1240000000000001</v>
      </c>
      <c r="P99" s="6">
        <v>0</v>
      </c>
      <c r="Q99" s="4" t="s">
        <v>26</v>
      </c>
      <c r="R99" s="4">
        <v>0</v>
      </c>
      <c r="S99" s="6">
        <v>0</v>
      </c>
      <c r="T99" s="6">
        <v>15</v>
      </c>
      <c r="U99" s="6">
        <v>9</v>
      </c>
      <c r="V99" s="6">
        <f>IF(ISERROR(VLOOKUP($S$99,'TAR FIN'!$A$1:$O$85,15,0)),0,VLOOKUP($S$99,'TAR FIN'!$A$1:$O$85,15,0))</f>
        <v>0</v>
      </c>
      <c r="W99" s="6">
        <f>IF(ISERROR(VLOOKUP($T$99,'TAR FIN'!$A$1:$O$85,15,0)),0,VLOOKUP($T$99,'TAR FIN'!$A$1:$O$85,15,0))</f>
        <v>940.75</v>
      </c>
      <c r="X99" s="6">
        <f>IF(ISERROR(VLOOKUP($U$99,'TAR FIN'!$A$1:$O$85,15,0)),0,VLOOKUP($U$99,'TAR FIN'!$A$1:$O$85,15,0))</f>
        <v>373.71</v>
      </c>
      <c r="Y99" s="6"/>
      <c r="Z99" s="6">
        <f ca="1">('TUSD BE'!$AM$11+'TUSD BF'!$AM$11+'TUSD CVA'!$AM$11)*1</f>
        <v>966.5081601045739</v>
      </c>
      <c r="AA99" s="6">
        <f>('TE BE'!$AB$5+'TE BF'!$AB$5+'TE CVA'!$AB$5)*1</f>
        <v>347.98834052804079</v>
      </c>
      <c r="AB99" s="6">
        <f>$K$99*$V$99</f>
        <v>0</v>
      </c>
      <c r="AC99" s="6">
        <f>$M$99*$W$99</f>
        <v>1998.153</v>
      </c>
      <c r="AD99" s="6">
        <f>$O$99*$X$99</f>
        <v>793.76004</v>
      </c>
      <c r="AE99" s="6">
        <f>$K$99*$Y$99</f>
        <v>0</v>
      </c>
      <c r="AF99" s="6">
        <f ca="1">$M$99*$Z$99</f>
        <v>2052.8633320621152</v>
      </c>
      <c r="AG99" s="6">
        <f>$O$99*$AA$99</f>
        <v>739.12723528155868</v>
      </c>
    </row>
    <row r="100" spans="1:33" ht="11.25" customHeight="1" x14ac:dyDescent="0.25">
      <c r="A100" s="4" t="s">
        <v>21</v>
      </c>
      <c r="B100" s="4" t="s">
        <v>34</v>
      </c>
      <c r="C100" s="4" t="s">
        <v>35</v>
      </c>
      <c r="D100" s="4" t="s">
        <v>38</v>
      </c>
      <c r="E100" s="4" t="s">
        <v>25</v>
      </c>
      <c r="F100" s="4" t="s">
        <v>25</v>
      </c>
      <c r="G100" s="4" t="s">
        <v>25</v>
      </c>
      <c r="H100" s="4" t="s">
        <v>36</v>
      </c>
      <c r="I100" s="5">
        <v>44593</v>
      </c>
      <c r="J100" s="6">
        <v>0</v>
      </c>
      <c r="K100" s="6">
        <v>0</v>
      </c>
      <c r="L100" s="6">
        <v>20.425000000000001</v>
      </c>
      <c r="M100" s="6">
        <v>20.425000000000001</v>
      </c>
      <c r="N100" s="6">
        <v>20.425000000000001</v>
      </c>
      <c r="O100" s="6">
        <v>20.425000000000001</v>
      </c>
      <c r="P100" s="6">
        <v>0</v>
      </c>
      <c r="Q100" s="4" t="s">
        <v>26</v>
      </c>
      <c r="R100" s="4">
        <v>0</v>
      </c>
      <c r="S100" s="6">
        <v>0</v>
      </c>
      <c r="T100" s="6">
        <v>15</v>
      </c>
      <c r="U100" s="6">
        <v>9</v>
      </c>
      <c r="V100" s="6">
        <f>IF(ISERROR(VLOOKUP($S$100,'TAR FIN'!$A$1:$O$85,15,0)),0,VLOOKUP($S$100,'TAR FIN'!$A$1:$O$85,15,0))</f>
        <v>0</v>
      </c>
      <c r="W100" s="6">
        <f>IF(ISERROR(VLOOKUP($T$100,'TAR FIN'!$A$1:$O$85,15,0)),0,VLOOKUP($T$100,'TAR FIN'!$A$1:$O$85,15,0))</f>
        <v>940.75</v>
      </c>
      <c r="X100" s="6">
        <f>IF(ISERROR(VLOOKUP($U$100,'TAR FIN'!$A$1:$O$85,15,0)),0,VLOOKUP($U$100,'TAR FIN'!$A$1:$O$85,15,0))</f>
        <v>373.71</v>
      </c>
      <c r="Y100" s="6"/>
      <c r="Z100" s="6">
        <f ca="1">('TUSD BE'!$AM$11+'TUSD BF'!$AM$11+'TUSD CVA'!$AM$11)*1</f>
        <v>966.5081601045739</v>
      </c>
      <c r="AA100" s="6">
        <f>('TE BE'!$AB$5+'TE BF'!$AB$5+'TE CVA'!$AB$5)*1</f>
        <v>347.98834052804079</v>
      </c>
      <c r="AB100" s="6">
        <f>$K$100*$V$100</f>
        <v>0</v>
      </c>
      <c r="AC100" s="6">
        <f>$M$100*$W$100</f>
        <v>19214.818750000002</v>
      </c>
      <c r="AD100" s="6">
        <f>$O$100*$X$100</f>
        <v>7633.02675</v>
      </c>
      <c r="AE100" s="6">
        <f>$K$100*$Y$100</f>
        <v>0</v>
      </c>
      <c r="AF100" s="6">
        <f ca="1">$M$100*$Z$100</f>
        <v>19740.929170135922</v>
      </c>
      <c r="AG100" s="6">
        <f>$O$100*$AA$100</f>
        <v>7107.6618552852333</v>
      </c>
    </row>
    <row r="101" spans="1:33" ht="11.25" customHeight="1" x14ac:dyDescent="0.25">
      <c r="A101" s="4" t="s">
        <v>27</v>
      </c>
      <c r="B101" s="4" t="s">
        <v>34</v>
      </c>
      <c r="C101" s="4" t="s">
        <v>35</v>
      </c>
      <c r="D101" s="4" t="s">
        <v>38</v>
      </c>
      <c r="E101" s="4" t="s">
        <v>25</v>
      </c>
      <c r="F101" s="4" t="s">
        <v>25</v>
      </c>
      <c r="G101" s="4" t="s">
        <v>25</v>
      </c>
      <c r="H101" s="4" t="s">
        <v>36</v>
      </c>
      <c r="I101" s="5">
        <v>44593</v>
      </c>
      <c r="J101" s="6">
        <v>0</v>
      </c>
      <c r="K101" s="6">
        <v>0</v>
      </c>
      <c r="L101" s="6">
        <v>4.3490000000000002</v>
      </c>
      <c r="M101" s="6">
        <v>4.3490000000000002</v>
      </c>
      <c r="N101" s="6">
        <v>4.3490000000000002</v>
      </c>
      <c r="O101" s="6">
        <v>4.3490000000000002</v>
      </c>
      <c r="P101" s="6">
        <v>0</v>
      </c>
      <c r="Q101" s="4" t="s">
        <v>26</v>
      </c>
      <c r="R101" s="4">
        <v>0</v>
      </c>
      <c r="S101" s="6">
        <v>0</v>
      </c>
      <c r="T101" s="6">
        <v>15</v>
      </c>
      <c r="U101" s="6">
        <v>9</v>
      </c>
      <c r="V101" s="6">
        <f>IF(ISERROR(VLOOKUP($S$101,'TAR FIN'!$A$1:$O$85,15,0)),0,VLOOKUP($S$101,'TAR FIN'!$A$1:$O$85,15,0))</f>
        <v>0</v>
      </c>
      <c r="W101" s="6">
        <f>IF(ISERROR(VLOOKUP($T$101,'TAR FIN'!$A$1:$O$85,15,0)),0,VLOOKUP($T$101,'TAR FIN'!$A$1:$O$85,15,0))</f>
        <v>940.75</v>
      </c>
      <c r="X101" s="6">
        <f>IF(ISERROR(VLOOKUP($U$101,'TAR FIN'!$A$1:$O$85,15,0)),0,VLOOKUP($U$101,'TAR FIN'!$A$1:$O$85,15,0))</f>
        <v>373.71</v>
      </c>
      <c r="Y101" s="6"/>
      <c r="Z101" s="6">
        <f ca="1">('TUSD BE'!$AM$11+'TUSD BF'!$AM$11+'TUSD CVA'!$AM$11)*1</f>
        <v>966.5081601045739</v>
      </c>
      <c r="AA101" s="6">
        <f>('TE BE'!$AB$5+'TE BF'!$AB$5+'TE CVA'!$AB$5)*1</f>
        <v>347.98834052804079</v>
      </c>
      <c r="AB101" s="6">
        <f>$K$101*$V$101</f>
        <v>0</v>
      </c>
      <c r="AC101" s="6">
        <f>$M$101*$W$101</f>
        <v>4091.3217500000001</v>
      </c>
      <c r="AD101" s="6">
        <f>$O$101*$X$101</f>
        <v>1625.2647899999999</v>
      </c>
      <c r="AE101" s="6">
        <f>$K$101*$Y$101</f>
        <v>0</v>
      </c>
      <c r="AF101" s="6">
        <f ca="1">$M$101*$Z$101</f>
        <v>4203.3439882947923</v>
      </c>
      <c r="AG101" s="6">
        <f>$O$101*$AA$101</f>
        <v>1513.4012929564494</v>
      </c>
    </row>
    <row r="102" spans="1:33" ht="11.25" customHeight="1" x14ac:dyDescent="0.25">
      <c r="A102" s="4" t="s">
        <v>21</v>
      </c>
      <c r="B102" s="4" t="s">
        <v>34</v>
      </c>
      <c r="C102" s="4" t="s">
        <v>35</v>
      </c>
      <c r="D102" s="4" t="s">
        <v>38</v>
      </c>
      <c r="E102" s="4" t="s">
        <v>25</v>
      </c>
      <c r="F102" s="4" t="s">
        <v>25</v>
      </c>
      <c r="G102" s="4" t="s">
        <v>25</v>
      </c>
      <c r="H102" s="4" t="s">
        <v>36</v>
      </c>
      <c r="I102" s="5">
        <v>44621</v>
      </c>
      <c r="J102" s="6">
        <v>0</v>
      </c>
      <c r="K102" s="6">
        <v>0</v>
      </c>
      <c r="L102" s="6">
        <v>19.513000000000002</v>
      </c>
      <c r="M102" s="6">
        <v>19.513000000000002</v>
      </c>
      <c r="N102" s="6">
        <v>19.513000000000002</v>
      </c>
      <c r="O102" s="6">
        <v>19.513000000000002</v>
      </c>
      <c r="P102" s="6">
        <v>0</v>
      </c>
      <c r="Q102" s="4" t="s">
        <v>26</v>
      </c>
      <c r="R102" s="4">
        <v>0</v>
      </c>
      <c r="S102" s="6">
        <v>0</v>
      </c>
      <c r="T102" s="6">
        <v>15</v>
      </c>
      <c r="U102" s="6">
        <v>9</v>
      </c>
      <c r="V102" s="6">
        <f>IF(ISERROR(VLOOKUP($S$102,'TAR FIN'!$A$1:$O$85,15,0)),0,VLOOKUP($S$102,'TAR FIN'!$A$1:$O$85,15,0))</f>
        <v>0</v>
      </c>
      <c r="W102" s="6">
        <f>IF(ISERROR(VLOOKUP($T$102,'TAR FIN'!$A$1:$O$85,15,0)),0,VLOOKUP($T$102,'TAR FIN'!$A$1:$O$85,15,0))</f>
        <v>940.75</v>
      </c>
      <c r="X102" s="6">
        <f>IF(ISERROR(VLOOKUP($U$102,'TAR FIN'!$A$1:$O$85,15,0)),0,VLOOKUP($U$102,'TAR FIN'!$A$1:$O$85,15,0))</f>
        <v>373.71</v>
      </c>
      <c r="Y102" s="6"/>
      <c r="Z102" s="6">
        <f ca="1">('TUSD BE'!$AM$11+'TUSD BF'!$AM$11+'TUSD CVA'!$AM$11)*1</f>
        <v>966.5081601045739</v>
      </c>
      <c r="AA102" s="6">
        <f>('TE BE'!$AB$5+'TE BF'!$AB$5+'TE CVA'!$AB$5)*1</f>
        <v>347.98834052804079</v>
      </c>
      <c r="AB102" s="6">
        <f>$K$102*$V$102</f>
        <v>0</v>
      </c>
      <c r="AC102" s="6">
        <f>$M$102*$W$102</f>
        <v>18356.854750000002</v>
      </c>
      <c r="AD102" s="6">
        <f>$O$102*$X$102</f>
        <v>7292.2032300000001</v>
      </c>
      <c r="AE102" s="6">
        <f>$K$102*$Y$102</f>
        <v>0</v>
      </c>
      <c r="AF102" s="6">
        <f ca="1">$M$102*$Z$102</f>
        <v>18859.473728120553</v>
      </c>
      <c r="AG102" s="6">
        <f>$O$102*$AA$102</f>
        <v>6790.2964887236603</v>
      </c>
    </row>
    <row r="103" spans="1:33" ht="11.25" customHeight="1" x14ac:dyDescent="0.25">
      <c r="A103" s="4" t="s">
        <v>27</v>
      </c>
      <c r="B103" s="4" t="s">
        <v>34</v>
      </c>
      <c r="C103" s="4" t="s">
        <v>35</v>
      </c>
      <c r="D103" s="4" t="s">
        <v>38</v>
      </c>
      <c r="E103" s="4" t="s">
        <v>25</v>
      </c>
      <c r="F103" s="4" t="s">
        <v>25</v>
      </c>
      <c r="G103" s="4" t="s">
        <v>25</v>
      </c>
      <c r="H103" s="4" t="s">
        <v>36</v>
      </c>
      <c r="I103" s="5">
        <v>44621</v>
      </c>
      <c r="J103" s="6">
        <v>0</v>
      </c>
      <c r="K103" s="6">
        <v>0</v>
      </c>
      <c r="L103" s="6">
        <v>3.1930000000000001</v>
      </c>
      <c r="M103" s="6">
        <v>3.1930000000000001</v>
      </c>
      <c r="N103" s="6">
        <v>3.1930000000000001</v>
      </c>
      <c r="O103" s="6">
        <v>3.1930000000000001</v>
      </c>
      <c r="P103" s="6">
        <v>0</v>
      </c>
      <c r="Q103" s="4" t="s">
        <v>26</v>
      </c>
      <c r="R103" s="4">
        <v>0</v>
      </c>
      <c r="S103" s="6">
        <v>0</v>
      </c>
      <c r="T103" s="6">
        <v>15</v>
      </c>
      <c r="U103" s="6">
        <v>9</v>
      </c>
      <c r="V103" s="6">
        <f>IF(ISERROR(VLOOKUP($S$103,'TAR FIN'!$A$1:$O$85,15,0)),0,VLOOKUP($S$103,'TAR FIN'!$A$1:$O$85,15,0))</f>
        <v>0</v>
      </c>
      <c r="W103" s="6">
        <f>IF(ISERROR(VLOOKUP($T$103,'TAR FIN'!$A$1:$O$85,15,0)),0,VLOOKUP($T$103,'TAR FIN'!$A$1:$O$85,15,0))</f>
        <v>940.75</v>
      </c>
      <c r="X103" s="6">
        <f>IF(ISERROR(VLOOKUP($U$103,'TAR FIN'!$A$1:$O$85,15,0)),0,VLOOKUP($U$103,'TAR FIN'!$A$1:$O$85,15,0))</f>
        <v>373.71</v>
      </c>
      <c r="Y103" s="6"/>
      <c r="Z103" s="6">
        <f ca="1">('TUSD BE'!$AM$11+'TUSD BF'!$AM$11+'TUSD CVA'!$AM$11)*1</f>
        <v>966.5081601045739</v>
      </c>
      <c r="AA103" s="6">
        <f>('TE BE'!$AB$5+'TE BF'!$AB$5+'TE CVA'!$AB$5)*1</f>
        <v>347.98834052804079</v>
      </c>
      <c r="AB103" s="6">
        <f>$K$103*$V$103</f>
        <v>0</v>
      </c>
      <c r="AC103" s="6">
        <f>$M$103*$W$103</f>
        <v>3003.81475</v>
      </c>
      <c r="AD103" s="6">
        <f>$O$103*$X$103</f>
        <v>1193.25603</v>
      </c>
      <c r="AE103" s="6">
        <f>$K$103*$Y$103</f>
        <v>0</v>
      </c>
      <c r="AF103" s="6">
        <f ca="1">$M$103*$Z$103</f>
        <v>3086.0605552139045</v>
      </c>
      <c r="AG103" s="6">
        <f>$O$103*$AA$103</f>
        <v>1111.1267713060342</v>
      </c>
    </row>
    <row r="104" spans="1:33" ht="11.25" customHeight="1" x14ac:dyDescent="0.25">
      <c r="A104" s="4" t="s">
        <v>21</v>
      </c>
      <c r="B104" s="4" t="s">
        <v>34</v>
      </c>
      <c r="C104" s="4" t="s">
        <v>35</v>
      </c>
      <c r="D104" s="4" t="s">
        <v>38</v>
      </c>
      <c r="E104" s="4" t="s">
        <v>25</v>
      </c>
      <c r="F104" s="4" t="s">
        <v>25</v>
      </c>
      <c r="G104" s="4" t="s">
        <v>25</v>
      </c>
      <c r="H104" s="4" t="s">
        <v>36</v>
      </c>
      <c r="I104" s="5">
        <v>44652</v>
      </c>
      <c r="J104" s="6">
        <v>0</v>
      </c>
      <c r="K104" s="6">
        <v>0</v>
      </c>
      <c r="L104" s="6">
        <v>15.244999999999999</v>
      </c>
      <c r="M104" s="6">
        <v>15.244999999999999</v>
      </c>
      <c r="N104" s="6">
        <v>15.244999999999999</v>
      </c>
      <c r="O104" s="6">
        <v>15.244999999999999</v>
      </c>
      <c r="P104" s="6">
        <v>0</v>
      </c>
      <c r="Q104" s="4" t="s">
        <v>26</v>
      </c>
      <c r="R104" s="4">
        <v>0</v>
      </c>
      <c r="S104" s="6">
        <v>0</v>
      </c>
      <c r="T104" s="6">
        <v>15</v>
      </c>
      <c r="U104" s="6">
        <v>9</v>
      </c>
      <c r="V104" s="6">
        <f>IF(ISERROR(VLOOKUP($S$104,'TAR FIN'!$A$1:$O$85,15,0)),0,VLOOKUP($S$104,'TAR FIN'!$A$1:$O$85,15,0))</f>
        <v>0</v>
      </c>
      <c r="W104" s="6">
        <f>IF(ISERROR(VLOOKUP($T$104,'TAR FIN'!$A$1:$O$85,15,0)),0,VLOOKUP($T$104,'TAR FIN'!$A$1:$O$85,15,0))</f>
        <v>940.75</v>
      </c>
      <c r="X104" s="6">
        <f>IF(ISERROR(VLOOKUP($U$104,'TAR FIN'!$A$1:$O$85,15,0)),0,VLOOKUP($U$104,'TAR FIN'!$A$1:$O$85,15,0))</f>
        <v>373.71</v>
      </c>
      <c r="Y104" s="6"/>
      <c r="Z104" s="6">
        <f ca="1">('TUSD BE'!$AM$11+'TUSD BF'!$AM$11+'TUSD CVA'!$AM$11)*1</f>
        <v>966.5081601045739</v>
      </c>
      <c r="AA104" s="6">
        <f>('TE BE'!$AB$5+'TE BF'!$AB$5+'TE CVA'!$AB$5)*1</f>
        <v>347.98834052804079</v>
      </c>
      <c r="AB104" s="6">
        <f>$K$104*$V$104</f>
        <v>0</v>
      </c>
      <c r="AC104" s="6">
        <f>$M$104*$W$104</f>
        <v>14341.733749999999</v>
      </c>
      <c r="AD104" s="6">
        <f>$O$104*$X$104</f>
        <v>5697.2089499999993</v>
      </c>
      <c r="AE104" s="6">
        <f>$K$104*$Y$104</f>
        <v>0</v>
      </c>
      <c r="AF104" s="6">
        <f ca="1">$M$104*$Z$104</f>
        <v>14734.416900794229</v>
      </c>
      <c r="AG104" s="6">
        <f>$O$104*$AA$104</f>
        <v>5305.0822513499816</v>
      </c>
    </row>
    <row r="105" spans="1:33" ht="11.25" customHeight="1" x14ac:dyDescent="0.25">
      <c r="A105" s="4" t="s">
        <v>27</v>
      </c>
      <c r="B105" s="4" t="s">
        <v>34</v>
      </c>
      <c r="C105" s="4" t="s">
        <v>35</v>
      </c>
      <c r="D105" s="4" t="s">
        <v>38</v>
      </c>
      <c r="E105" s="4" t="s">
        <v>25</v>
      </c>
      <c r="F105" s="4" t="s">
        <v>25</v>
      </c>
      <c r="G105" s="4" t="s">
        <v>25</v>
      </c>
      <c r="H105" s="4" t="s">
        <v>36</v>
      </c>
      <c r="I105" s="5">
        <v>44652</v>
      </c>
      <c r="J105" s="6">
        <v>0</v>
      </c>
      <c r="K105" s="6">
        <v>0</v>
      </c>
      <c r="L105" s="6">
        <v>4.415</v>
      </c>
      <c r="M105" s="6">
        <v>4.415</v>
      </c>
      <c r="N105" s="6">
        <v>4.415</v>
      </c>
      <c r="O105" s="6">
        <v>4.415</v>
      </c>
      <c r="P105" s="6">
        <v>0</v>
      </c>
      <c r="Q105" s="4" t="s">
        <v>26</v>
      </c>
      <c r="R105" s="4">
        <v>0</v>
      </c>
      <c r="S105" s="6">
        <v>0</v>
      </c>
      <c r="T105" s="6">
        <v>15</v>
      </c>
      <c r="U105" s="6">
        <v>9</v>
      </c>
      <c r="V105" s="6">
        <f>IF(ISERROR(VLOOKUP($S$105,'TAR FIN'!$A$1:$O$85,15,0)),0,VLOOKUP($S$105,'TAR FIN'!$A$1:$O$85,15,0))</f>
        <v>0</v>
      </c>
      <c r="W105" s="6">
        <f>IF(ISERROR(VLOOKUP($T$105,'TAR FIN'!$A$1:$O$85,15,0)),0,VLOOKUP($T$105,'TAR FIN'!$A$1:$O$85,15,0))</f>
        <v>940.75</v>
      </c>
      <c r="X105" s="6">
        <f>IF(ISERROR(VLOOKUP($U$105,'TAR FIN'!$A$1:$O$85,15,0)),0,VLOOKUP($U$105,'TAR FIN'!$A$1:$O$85,15,0))</f>
        <v>373.71</v>
      </c>
      <c r="Y105" s="6"/>
      <c r="Z105" s="6">
        <f ca="1">('TUSD BE'!$AM$11+'TUSD BF'!$AM$11+'TUSD CVA'!$AM$11)*1</f>
        <v>966.5081601045739</v>
      </c>
      <c r="AA105" s="6">
        <f>('TE BE'!$AB$5+'TE BF'!$AB$5+'TE CVA'!$AB$5)*1</f>
        <v>347.98834052804079</v>
      </c>
      <c r="AB105" s="6">
        <f>$K$105*$V$105</f>
        <v>0</v>
      </c>
      <c r="AC105" s="6">
        <f>$M$105*$W$105</f>
        <v>4153.4112500000001</v>
      </c>
      <c r="AD105" s="6">
        <f>$O$105*$X$105</f>
        <v>1649.9296499999998</v>
      </c>
      <c r="AE105" s="6">
        <f>$K$105*$Y$105</f>
        <v>0</v>
      </c>
      <c r="AF105" s="6">
        <f ca="1">$M$105*$Z$105</f>
        <v>4267.133526861694</v>
      </c>
      <c r="AG105" s="6">
        <f>$O$105*$AA$105</f>
        <v>1536.3685234313002</v>
      </c>
    </row>
    <row r="106" spans="1:33" ht="11.25" customHeight="1" x14ac:dyDescent="0.25">
      <c r="A106" s="4" t="s">
        <v>21</v>
      </c>
      <c r="B106" s="4" t="s">
        <v>34</v>
      </c>
      <c r="C106" s="4" t="s">
        <v>35</v>
      </c>
      <c r="D106" s="4" t="s">
        <v>38</v>
      </c>
      <c r="E106" s="4" t="s">
        <v>25</v>
      </c>
      <c r="F106" s="4" t="s">
        <v>25</v>
      </c>
      <c r="G106" s="4" t="s">
        <v>25</v>
      </c>
      <c r="H106" s="4" t="s">
        <v>36</v>
      </c>
      <c r="I106" s="5">
        <v>44682</v>
      </c>
      <c r="J106" s="6">
        <v>0</v>
      </c>
      <c r="K106" s="6">
        <v>0</v>
      </c>
      <c r="L106" s="6">
        <v>16.850000000000001</v>
      </c>
      <c r="M106" s="6">
        <v>16.850000000000001</v>
      </c>
      <c r="N106" s="6">
        <v>16.850000000000001</v>
      </c>
      <c r="O106" s="6">
        <v>16.850000000000001</v>
      </c>
      <c r="P106" s="6">
        <v>0</v>
      </c>
      <c r="Q106" s="4" t="s">
        <v>26</v>
      </c>
      <c r="R106" s="4">
        <v>0</v>
      </c>
      <c r="S106" s="6">
        <v>0</v>
      </c>
      <c r="T106" s="6">
        <v>15</v>
      </c>
      <c r="U106" s="6">
        <v>9</v>
      </c>
      <c r="V106" s="6">
        <f>IF(ISERROR(VLOOKUP($S$106,'TAR FIN'!$A$1:$O$85,15,0)),0,VLOOKUP($S$106,'TAR FIN'!$A$1:$O$85,15,0))</f>
        <v>0</v>
      </c>
      <c r="W106" s="6">
        <f>IF(ISERROR(VLOOKUP($T$106,'TAR FIN'!$A$1:$O$85,15,0)),0,VLOOKUP($T$106,'TAR FIN'!$A$1:$O$85,15,0))</f>
        <v>940.75</v>
      </c>
      <c r="X106" s="6">
        <f>IF(ISERROR(VLOOKUP($U$106,'TAR FIN'!$A$1:$O$85,15,0)),0,VLOOKUP($U$106,'TAR FIN'!$A$1:$O$85,15,0))</f>
        <v>373.71</v>
      </c>
      <c r="Y106" s="6"/>
      <c r="Z106" s="6">
        <f ca="1">('TUSD BE'!$AM$11+'TUSD BF'!$AM$11+'TUSD CVA'!$AM$11)*1</f>
        <v>966.5081601045739</v>
      </c>
      <c r="AA106" s="6">
        <f>('TE BE'!$AB$5+'TE BF'!$AB$5+'TE CVA'!$AB$5)*1</f>
        <v>347.98834052804079</v>
      </c>
      <c r="AB106" s="6">
        <f>$K$106*$V$106</f>
        <v>0</v>
      </c>
      <c r="AC106" s="6">
        <f>$M$106*$W$106</f>
        <v>15851.637500000001</v>
      </c>
      <c r="AD106" s="6">
        <f>$O$106*$X$106</f>
        <v>6297.0135</v>
      </c>
      <c r="AE106" s="6">
        <f>$K$106*$Y$106</f>
        <v>0</v>
      </c>
      <c r="AF106" s="6">
        <f ca="1">$M$106*$Z$106</f>
        <v>16285.662497762072</v>
      </c>
      <c r="AG106" s="6">
        <f>$O$106*$AA$106</f>
        <v>5863.6035378974875</v>
      </c>
    </row>
    <row r="107" spans="1:33" ht="11.25" customHeight="1" x14ac:dyDescent="0.25">
      <c r="A107" s="4" t="s">
        <v>27</v>
      </c>
      <c r="B107" s="4" t="s">
        <v>34</v>
      </c>
      <c r="C107" s="4" t="s">
        <v>35</v>
      </c>
      <c r="D107" s="4" t="s">
        <v>38</v>
      </c>
      <c r="E107" s="4" t="s">
        <v>25</v>
      </c>
      <c r="F107" s="4" t="s">
        <v>25</v>
      </c>
      <c r="G107" s="4" t="s">
        <v>25</v>
      </c>
      <c r="H107" s="4" t="s">
        <v>36</v>
      </c>
      <c r="I107" s="5">
        <v>44682</v>
      </c>
      <c r="J107" s="6">
        <v>0</v>
      </c>
      <c r="K107" s="6">
        <v>0</v>
      </c>
      <c r="L107" s="6">
        <v>3.4889999999999999</v>
      </c>
      <c r="M107" s="6">
        <v>3.4889999999999999</v>
      </c>
      <c r="N107" s="6">
        <v>3.4889999999999999</v>
      </c>
      <c r="O107" s="6">
        <v>3.4889999999999999</v>
      </c>
      <c r="P107" s="6">
        <v>0</v>
      </c>
      <c r="Q107" s="4" t="s">
        <v>26</v>
      </c>
      <c r="R107" s="4">
        <v>0</v>
      </c>
      <c r="S107" s="6">
        <v>0</v>
      </c>
      <c r="T107" s="6">
        <v>15</v>
      </c>
      <c r="U107" s="6">
        <v>9</v>
      </c>
      <c r="V107" s="6">
        <f>IF(ISERROR(VLOOKUP($S$107,'TAR FIN'!$A$1:$O$85,15,0)),0,VLOOKUP($S$107,'TAR FIN'!$A$1:$O$85,15,0))</f>
        <v>0</v>
      </c>
      <c r="W107" s="6">
        <f>IF(ISERROR(VLOOKUP($T$107,'TAR FIN'!$A$1:$O$85,15,0)),0,VLOOKUP($T$107,'TAR FIN'!$A$1:$O$85,15,0))</f>
        <v>940.75</v>
      </c>
      <c r="X107" s="6">
        <f>IF(ISERROR(VLOOKUP($U$107,'TAR FIN'!$A$1:$O$85,15,0)),0,VLOOKUP($U$107,'TAR FIN'!$A$1:$O$85,15,0))</f>
        <v>373.71</v>
      </c>
      <c r="Y107" s="6"/>
      <c r="Z107" s="6">
        <f ca="1">('TUSD BE'!$AM$11+'TUSD BF'!$AM$11+'TUSD CVA'!$AM$11)*1</f>
        <v>966.5081601045739</v>
      </c>
      <c r="AA107" s="6">
        <f>('TE BE'!$AB$5+'TE BF'!$AB$5+'TE CVA'!$AB$5)*1</f>
        <v>347.98834052804079</v>
      </c>
      <c r="AB107" s="6">
        <f>$K$107*$V$107</f>
        <v>0</v>
      </c>
      <c r="AC107" s="6">
        <f>$M$107*$W$107</f>
        <v>3282.27675</v>
      </c>
      <c r="AD107" s="6">
        <f>$O$107*$X$107</f>
        <v>1303.8741899999998</v>
      </c>
      <c r="AE107" s="6">
        <f>$K$107*$Y$107</f>
        <v>0</v>
      </c>
      <c r="AF107" s="6">
        <f ca="1">$M$107*$Z$107</f>
        <v>3372.1469706048583</v>
      </c>
      <c r="AG107" s="6">
        <f>$O$107*$AA$107</f>
        <v>1214.1313201023343</v>
      </c>
    </row>
    <row r="108" spans="1:33" ht="11.25" customHeight="1" x14ac:dyDescent="0.25">
      <c r="A108" s="4" t="s">
        <v>21</v>
      </c>
      <c r="B108" s="4" t="s">
        <v>34</v>
      </c>
      <c r="C108" s="4" t="s">
        <v>35</v>
      </c>
      <c r="D108" s="4" t="s">
        <v>38</v>
      </c>
      <c r="E108" s="4" t="s">
        <v>25</v>
      </c>
      <c r="F108" s="4" t="s">
        <v>25</v>
      </c>
      <c r="G108" s="4" t="s">
        <v>25</v>
      </c>
      <c r="H108" s="4" t="s">
        <v>36</v>
      </c>
      <c r="I108" s="5">
        <v>44713</v>
      </c>
      <c r="J108" s="6">
        <v>0</v>
      </c>
      <c r="K108" s="6">
        <v>0</v>
      </c>
      <c r="L108" s="6">
        <v>16.263999999999999</v>
      </c>
      <c r="M108" s="6">
        <v>16.263999999999999</v>
      </c>
      <c r="N108" s="6">
        <v>16.263999999999999</v>
      </c>
      <c r="O108" s="6">
        <v>16.263999999999999</v>
      </c>
      <c r="P108" s="6">
        <v>0</v>
      </c>
      <c r="Q108" s="4" t="s">
        <v>26</v>
      </c>
      <c r="R108" s="4">
        <v>0</v>
      </c>
      <c r="S108" s="6">
        <v>0</v>
      </c>
      <c r="T108" s="6">
        <v>15</v>
      </c>
      <c r="U108" s="6">
        <v>9</v>
      </c>
      <c r="V108" s="6">
        <f>IF(ISERROR(VLOOKUP($S$108,'TAR FIN'!$A$1:$O$85,15,0)),0,VLOOKUP($S$108,'TAR FIN'!$A$1:$O$85,15,0))</f>
        <v>0</v>
      </c>
      <c r="W108" s="6">
        <f>IF(ISERROR(VLOOKUP($T$108,'TAR FIN'!$A$1:$O$85,15,0)),0,VLOOKUP($T$108,'TAR FIN'!$A$1:$O$85,15,0))</f>
        <v>940.75</v>
      </c>
      <c r="X108" s="6">
        <f>IF(ISERROR(VLOOKUP($U$108,'TAR FIN'!$A$1:$O$85,15,0)),0,VLOOKUP($U$108,'TAR FIN'!$A$1:$O$85,15,0))</f>
        <v>373.71</v>
      </c>
      <c r="Y108" s="6"/>
      <c r="Z108" s="6">
        <f ca="1">('TUSD BE'!$AM$11+'TUSD BF'!$AM$11+'TUSD CVA'!$AM$11)*1</f>
        <v>966.5081601045739</v>
      </c>
      <c r="AA108" s="6">
        <f>('TE BE'!$AB$5+'TE BF'!$AB$5+'TE CVA'!$AB$5)*1</f>
        <v>347.98834052804079</v>
      </c>
      <c r="AB108" s="6">
        <f>$K$108*$V$108</f>
        <v>0</v>
      </c>
      <c r="AC108" s="6">
        <f>$M$108*$W$108</f>
        <v>15300.358</v>
      </c>
      <c r="AD108" s="6">
        <f>$O$108*$X$108</f>
        <v>6078.0194399999991</v>
      </c>
      <c r="AE108" s="6">
        <f>$K$108*$Y$108</f>
        <v>0</v>
      </c>
      <c r="AF108" s="6">
        <f ca="1">$M$108*$Z$108</f>
        <v>15719.288715940789</v>
      </c>
      <c r="AG108" s="6">
        <f>$O$108*$AA$108</f>
        <v>5659.682370348055</v>
      </c>
    </row>
    <row r="109" spans="1:33" ht="11.25" customHeight="1" x14ac:dyDescent="0.25">
      <c r="A109" s="4" t="s">
        <v>27</v>
      </c>
      <c r="B109" s="4" t="s">
        <v>34</v>
      </c>
      <c r="C109" s="4" t="s">
        <v>35</v>
      </c>
      <c r="D109" s="4" t="s">
        <v>38</v>
      </c>
      <c r="E109" s="4" t="s">
        <v>25</v>
      </c>
      <c r="F109" s="4" t="s">
        <v>25</v>
      </c>
      <c r="G109" s="4" t="s">
        <v>25</v>
      </c>
      <c r="H109" s="4" t="s">
        <v>36</v>
      </c>
      <c r="I109" s="5">
        <v>44713</v>
      </c>
      <c r="J109" s="6">
        <v>0</v>
      </c>
      <c r="K109" s="6">
        <v>0</v>
      </c>
      <c r="L109" s="6">
        <v>1.599</v>
      </c>
      <c r="M109" s="6">
        <v>1.599</v>
      </c>
      <c r="N109" s="6">
        <v>1.599</v>
      </c>
      <c r="O109" s="6">
        <v>1.599</v>
      </c>
      <c r="P109" s="6">
        <v>0</v>
      </c>
      <c r="Q109" s="4" t="s">
        <v>26</v>
      </c>
      <c r="R109" s="4">
        <v>0</v>
      </c>
      <c r="S109" s="6">
        <v>0</v>
      </c>
      <c r="T109" s="6">
        <v>15</v>
      </c>
      <c r="U109" s="6">
        <v>9</v>
      </c>
      <c r="V109" s="6">
        <f>IF(ISERROR(VLOOKUP($S$109,'TAR FIN'!$A$1:$O$85,15,0)),0,VLOOKUP($S$109,'TAR FIN'!$A$1:$O$85,15,0))</f>
        <v>0</v>
      </c>
      <c r="W109" s="6">
        <f>IF(ISERROR(VLOOKUP($T$109,'TAR FIN'!$A$1:$O$85,15,0)),0,VLOOKUP($T$109,'TAR FIN'!$A$1:$O$85,15,0))</f>
        <v>940.75</v>
      </c>
      <c r="X109" s="6">
        <f>IF(ISERROR(VLOOKUP($U$109,'TAR FIN'!$A$1:$O$85,15,0)),0,VLOOKUP($U$109,'TAR FIN'!$A$1:$O$85,15,0))</f>
        <v>373.71</v>
      </c>
      <c r="Y109" s="6"/>
      <c r="Z109" s="6">
        <f ca="1">('TUSD BE'!$AM$11+'TUSD BF'!$AM$11+'TUSD CVA'!$AM$11)*1</f>
        <v>966.5081601045739</v>
      </c>
      <c r="AA109" s="6">
        <f>('TE BE'!$AB$5+'TE BF'!$AB$5+'TE CVA'!$AB$5)*1</f>
        <v>347.98834052804079</v>
      </c>
      <c r="AB109" s="6">
        <f>$K$109*$V$109</f>
        <v>0</v>
      </c>
      <c r="AC109" s="6">
        <f>$M$109*$W$109</f>
        <v>1504.2592500000001</v>
      </c>
      <c r="AD109" s="6">
        <f>$O$109*$X$109</f>
        <v>597.56228999999996</v>
      </c>
      <c r="AE109" s="6">
        <f>$K$109*$Y$109</f>
        <v>0</v>
      </c>
      <c r="AF109" s="6">
        <f ca="1">$M$109*$Z$109</f>
        <v>1545.4465480072136</v>
      </c>
      <c r="AG109" s="6">
        <f>$O$109*$AA$109</f>
        <v>556.43335650433721</v>
      </c>
    </row>
    <row r="110" spans="1:33" ht="11.25" customHeight="1" x14ac:dyDescent="0.25">
      <c r="A110" s="4" t="s">
        <v>21</v>
      </c>
      <c r="B110" s="4" t="s">
        <v>34</v>
      </c>
      <c r="C110" s="4" t="s">
        <v>35</v>
      </c>
      <c r="D110" s="4" t="s">
        <v>33</v>
      </c>
      <c r="E110" s="4" t="s">
        <v>25</v>
      </c>
      <c r="F110" s="4" t="s">
        <v>52</v>
      </c>
      <c r="G110" s="4" t="s">
        <v>25</v>
      </c>
      <c r="H110" s="4" t="s">
        <v>37</v>
      </c>
      <c r="I110" s="5">
        <v>44378</v>
      </c>
      <c r="J110" s="6">
        <v>0</v>
      </c>
      <c r="K110" s="6">
        <v>0</v>
      </c>
      <c r="L110" s="6">
        <v>203.71100000000001</v>
      </c>
      <c r="M110" s="6">
        <v>203.71100000000001</v>
      </c>
      <c r="N110" s="6">
        <v>0</v>
      </c>
      <c r="O110" s="6">
        <v>0</v>
      </c>
      <c r="P110" s="6">
        <v>0</v>
      </c>
      <c r="Q110" s="4" t="s">
        <v>53</v>
      </c>
      <c r="R110" s="4">
        <v>0</v>
      </c>
      <c r="S110" s="6">
        <v>0</v>
      </c>
      <c r="T110" s="6">
        <v>13</v>
      </c>
      <c r="U110" s="6">
        <v>0</v>
      </c>
      <c r="V110" s="6">
        <f>IF(ISERROR(VLOOKUP($S$110,'TAR FIN'!$A$1:$O$85,15,0)),0,VLOOKUP($S$110,'TAR FIN'!$A$1:$O$85,15,0))</f>
        <v>0</v>
      </c>
      <c r="W110" s="6">
        <f>IF(ISERROR(VLOOKUP($T$110,'TAR FIN'!$A$1:$O$85,15,0)),0,VLOOKUP($T$110,'TAR FIN'!$A$1:$O$85,15,0))</f>
        <v>78.650000000000006</v>
      </c>
      <c r="X110" s="6">
        <f>IF(ISERROR(VLOOKUP($U$110,'TAR FIN'!$A$1:$O$85,15,0)),0,VLOOKUP($U$110,'TAR FIN'!$A$1:$O$85,15,0))</f>
        <v>0</v>
      </c>
      <c r="Y110" s="6"/>
      <c r="Z110" s="6">
        <f ca="1">('TUSD BE'!$AM$12+'TUSD BF'!$AM$12+'TUSD CVA'!$AM$12)*1</f>
        <v>114.48039155571371</v>
      </c>
      <c r="AA110" s="6"/>
      <c r="AB110" s="6">
        <f>$K$110*$V$110</f>
        <v>0</v>
      </c>
      <c r="AC110" s="6">
        <f>$M$110*$W$110</f>
        <v>16021.870150000002</v>
      </c>
      <c r="AD110" s="6">
        <f>$O$110*$X$110</f>
        <v>0</v>
      </c>
      <c r="AE110" s="6">
        <f>$K$110*$Y$110</f>
        <v>0</v>
      </c>
      <c r="AF110" s="6">
        <f ca="1">$M$110*$Z$110</f>
        <v>23320.915044205998</v>
      </c>
      <c r="AG110" s="6">
        <f>$O$110*$AA$110</f>
        <v>0</v>
      </c>
    </row>
    <row r="111" spans="1:33" ht="11.25" customHeight="1" x14ac:dyDescent="0.25">
      <c r="A111" s="4" t="s">
        <v>21</v>
      </c>
      <c r="B111" s="4" t="s">
        <v>34</v>
      </c>
      <c r="C111" s="4" t="s">
        <v>35</v>
      </c>
      <c r="D111" s="4" t="s">
        <v>33</v>
      </c>
      <c r="E111" s="4" t="s">
        <v>25</v>
      </c>
      <c r="F111" s="4" t="s">
        <v>52</v>
      </c>
      <c r="G111" s="4" t="s">
        <v>25</v>
      </c>
      <c r="H111" s="4" t="s">
        <v>37</v>
      </c>
      <c r="I111" s="5">
        <v>44409</v>
      </c>
      <c r="J111" s="6">
        <v>0</v>
      </c>
      <c r="K111" s="6">
        <v>0</v>
      </c>
      <c r="L111" s="6">
        <v>190.25899999999999</v>
      </c>
      <c r="M111" s="6">
        <v>190.25899999999999</v>
      </c>
      <c r="N111" s="6">
        <v>0</v>
      </c>
      <c r="O111" s="6">
        <v>0</v>
      </c>
      <c r="P111" s="6">
        <v>0</v>
      </c>
      <c r="Q111" s="4" t="s">
        <v>53</v>
      </c>
      <c r="R111" s="4">
        <v>0</v>
      </c>
      <c r="S111" s="6">
        <v>0</v>
      </c>
      <c r="T111" s="6">
        <v>13</v>
      </c>
      <c r="U111" s="6">
        <v>0</v>
      </c>
      <c r="V111" s="6">
        <f>IF(ISERROR(VLOOKUP($S$111,'TAR FIN'!$A$1:$O$85,15,0)),0,VLOOKUP($S$111,'TAR FIN'!$A$1:$O$85,15,0))</f>
        <v>0</v>
      </c>
      <c r="W111" s="6">
        <f>IF(ISERROR(VLOOKUP($T$111,'TAR FIN'!$A$1:$O$85,15,0)),0,VLOOKUP($T$111,'TAR FIN'!$A$1:$O$85,15,0))</f>
        <v>78.650000000000006</v>
      </c>
      <c r="X111" s="6">
        <f>IF(ISERROR(VLOOKUP($U$111,'TAR FIN'!$A$1:$O$85,15,0)),0,VLOOKUP($U$111,'TAR FIN'!$A$1:$O$85,15,0))</f>
        <v>0</v>
      </c>
      <c r="Y111" s="6"/>
      <c r="Z111" s="6">
        <f ca="1">('TUSD BE'!$AM$12+'TUSD BF'!$AM$12+'TUSD CVA'!$AM$12)*1</f>
        <v>114.48039155571371</v>
      </c>
      <c r="AA111" s="6"/>
      <c r="AB111" s="6">
        <f>$K$111*$V$111</f>
        <v>0</v>
      </c>
      <c r="AC111" s="6">
        <f>$M$111*$W$111</f>
        <v>14963.870349999999</v>
      </c>
      <c r="AD111" s="6">
        <f>$O$111*$X$111</f>
        <v>0</v>
      </c>
      <c r="AE111" s="6">
        <f>$K$111*$Y$111</f>
        <v>0</v>
      </c>
      <c r="AF111" s="6">
        <f ca="1">$M$111*$Z$111</f>
        <v>21780.924816998533</v>
      </c>
      <c r="AG111" s="6">
        <f>$O$111*$AA$111</f>
        <v>0</v>
      </c>
    </row>
    <row r="112" spans="1:33" ht="11.25" customHeight="1" x14ac:dyDescent="0.25">
      <c r="A112" s="4" t="s">
        <v>21</v>
      </c>
      <c r="B112" s="4" t="s">
        <v>34</v>
      </c>
      <c r="C112" s="4" t="s">
        <v>35</v>
      </c>
      <c r="D112" s="4" t="s">
        <v>33</v>
      </c>
      <c r="E112" s="4" t="s">
        <v>25</v>
      </c>
      <c r="F112" s="4" t="s">
        <v>52</v>
      </c>
      <c r="G112" s="4" t="s">
        <v>25</v>
      </c>
      <c r="H112" s="4" t="s">
        <v>37</v>
      </c>
      <c r="I112" s="5">
        <v>44440</v>
      </c>
      <c r="J112" s="6">
        <v>0</v>
      </c>
      <c r="K112" s="6">
        <v>0</v>
      </c>
      <c r="L112" s="6">
        <v>195.62299999999999</v>
      </c>
      <c r="M112" s="6">
        <v>195.62299999999999</v>
      </c>
      <c r="N112" s="6">
        <v>0</v>
      </c>
      <c r="O112" s="6">
        <v>0</v>
      </c>
      <c r="P112" s="6">
        <v>0</v>
      </c>
      <c r="Q112" s="4" t="s">
        <v>53</v>
      </c>
      <c r="R112" s="4">
        <v>0</v>
      </c>
      <c r="S112" s="6">
        <v>0</v>
      </c>
      <c r="T112" s="6">
        <v>13</v>
      </c>
      <c r="U112" s="6">
        <v>0</v>
      </c>
      <c r="V112" s="6">
        <f>IF(ISERROR(VLOOKUP($S$112,'TAR FIN'!$A$1:$O$85,15,0)),0,VLOOKUP($S$112,'TAR FIN'!$A$1:$O$85,15,0))</f>
        <v>0</v>
      </c>
      <c r="W112" s="6">
        <f>IF(ISERROR(VLOOKUP($T$112,'TAR FIN'!$A$1:$O$85,15,0)),0,VLOOKUP($T$112,'TAR FIN'!$A$1:$O$85,15,0))</f>
        <v>78.650000000000006</v>
      </c>
      <c r="X112" s="6">
        <f>IF(ISERROR(VLOOKUP($U$112,'TAR FIN'!$A$1:$O$85,15,0)),0,VLOOKUP($U$112,'TAR FIN'!$A$1:$O$85,15,0))</f>
        <v>0</v>
      </c>
      <c r="Y112" s="6"/>
      <c r="Z112" s="6">
        <f ca="1">('TUSD BE'!$AM$12+'TUSD BF'!$AM$12+'TUSD CVA'!$AM$12)*1</f>
        <v>114.48039155571371</v>
      </c>
      <c r="AA112" s="6"/>
      <c r="AB112" s="6">
        <f>$K$112*$V$112</f>
        <v>0</v>
      </c>
      <c r="AC112" s="6">
        <f>$M$112*$W$112</f>
        <v>15385.748950000001</v>
      </c>
      <c r="AD112" s="6">
        <f>$O$112*$X$112</f>
        <v>0</v>
      </c>
      <c r="AE112" s="6">
        <f>$K$112*$Y$112</f>
        <v>0</v>
      </c>
      <c r="AF112" s="6">
        <f ca="1">$M$112*$Z$112</f>
        <v>22394.997637303382</v>
      </c>
      <c r="AG112" s="6">
        <f>$O$112*$AA$112</f>
        <v>0</v>
      </c>
    </row>
    <row r="113" spans="1:33" ht="11.25" customHeight="1" x14ac:dyDescent="0.25">
      <c r="A113" s="4" t="s">
        <v>21</v>
      </c>
      <c r="B113" s="4" t="s">
        <v>34</v>
      </c>
      <c r="C113" s="4" t="s">
        <v>35</v>
      </c>
      <c r="D113" s="4" t="s">
        <v>33</v>
      </c>
      <c r="E113" s="4" t="s">
        <v>25</v>
      </c>
      <c r="F113" s="4" t="s">
        <v>52</v>
      </c>
      <c r="G113" s="4" t="s">
        <v>25</v>
      </c>
      <c r="H113" s="4" t="s">
        <v>37</v>
      </c>
      <c r="I113" s="5">
        <v>44470</v>
      </c>
      <c r="J113" s="6">
        <v>0</v>
      </c>
      <c r="K113" s="6">
        <v>0</v>
      </c>
      <c r="L113" s="6">
        <v>207.36500000000001</v>
      </c>
      <c r="M113" s="6">
        <v>207.36500000000001</v>
      </c>
      <c r="N113" s="6">
        <v>0</v>
      </c>
      <c r="O113" s="6">
        <v>0</v>
      </c>
      <c r="P113" s="6">
        <v>0</v>
      </c>
      <c r="Q113" s="4" t="s">
        <v>53</v>
      </c>
      <c r="R113" s="4">
        <v>0</v>
      </c>
      <c r="S113" s="6">
        <v>0</v>
      </c>
      <c r="T113" s="6">
        <v>13</v>
      </c>
      <c r="U113" s="6">
        <v>0</v>
      </c>
      <c r="V113" s="6">
        <f>IF(ISERROR(VLOOKUP($S$113,'TAR FIN'!$A$1:$O$85,15,0)),0,VLOOKUP($S$113,'TAR FIN'!$A$1:$O$85,15,0))</f>
        <v>0</v>
      </c>
      <c r="W113" s="6">
        <f>IF(ISERROR(VLOOKUP($T$113,'TAR FIN'!$A$1:$O$85,15,0)),0,VLOOKUP($T$113,'TAR FIN'!$A$1:$O$85,15,0))</f>
        <v>78.650000000000006</v>
      </c>
      <c r="X113" s="6">
        <f>IF(ISERROR(VLOOKUP($U$113,'TAR FIN'!$A$1:$O$85,15,0)),0,VLOOKUP($U$113,'TAR FIN'!$A$1:$O$85,15,0))</f>
        <v>0</v>
      </c>
      <c r="Y113" s="6"/>
      <c r="Z113" s="6">
        <f ca="1">('TUSD BE'!$AM$12+'TUSD BF'!$AM$12+'TUSD CVA'!$AM$12)*1</f>
        <v>114.48039155571371</v>
      </c>
      <c r="AA113" s="6"/>
      <c r="AB113" s="6">
        <f>$K$113*$V$113</f>
        <v>0</v>
      </c>
      <c r="AC113" s="6">
        <f>$M$113*$W$113</f>
        <v>16309.257250000002</v>
      </c>
      <c r="AD113" s="6">
        <f>$O$113*$X$113</f>
        <v>0</v>
      </c>
      <c r="AE113" s="6">
        <f>$K$113*$Y$113</f>
        <v>0</v>
      </c>
      <c r="AF113" s="6">
        <f ca="1">$M$113*$Z$113</f>
        <v>23739.226394950576</v>
      </c>
      <c r="AG113" s="6">
        <f>$O$113*$AA$113</f>
        <v>0</v>
      </c>
    </row>
    <row r="114" spans="1:33" ht="11.25" customHeight="1" x14ac:dyDescent="0.25">
      <c r="A114" s="4" t="s">
        <v>21</v>
      </c>
      <c r="B114" s="4" t="s">
        <v>34</v>
      </c>
      <c r="C114" s="4" t="s">
        <v>35</v>
      </c>
      <c r="D114" s="4" t="s">
        <v>33</v>
      </c>
      <c r="E114" s="4" t="s">
        <v>25</v>
      </c>
      <c r="F114" s="4" t="s">
        <v>52</v>
      </c>
      <c r="G114" s="4" t="s">
        <v>25</v>
      </c>
      <c r="H114" s="4" t="s">
        <v>37</v>
      </c>
      <c r="I114" s="5">
        <v>44501</v>
      </c>
      <c r="J114" s="6">
        <v>0</v>
      </c>
      <c r="K114" s="6">
        <v>0</v>
      </c>
      <c r="L114" s="6">
        <v>204.29</v>
      </c>
      <c r="M114" s="6">
        <v>204.29</v>
      </c>
      <c r="N114" s="6">
        <v>0</v>
      </c>
      <c r="O114" s="6">
        <v>0</v>
      </c>
      <c r="P114" s="6">
        <v>0</v>
      </c>
      <c r="Q114" s="4" t="s">
        <v>53</v>
      </c>
      <c r="R114" s="4">
        <v>0</v>
      </c>
      <c r="S114" s="6">
        <v>0</v>
      </c>
      <c r="T114" s="6">
        <v>13</v>
      </c>
      <c r="U114" s="6">
        <v>0</v>
      </c>
      <c r="V114" s="6">
        <f>IF(ISERROR(VLOOKUP($S$114,'TAR FIN'!$A$1:$O$85,15,0)),0,VLOOKUP($S$114,'TAR FIN'!$A$1:$O$85,15,0))</f>
        <v>0</v>
      </c>
      <c r="W114" s="6">
        <f>IF(ISERROR(VLOOKUP($T$114,'TAR FIN'!$A$1:$O$85,15,0)),0,VLOOKUP($T$114,'TAR FIN'!$A$1:$O$85,15,0))</f>
        <v>78.650000000000006</v>
      </c>
      <c r="X114" s="6">
        <f>IF(ISERROR(VLOOKUP($U$114,'TAR FIN'!$A$1:$O$85,15,0)),0,VLOOKUP($U$114,'TAR FIN'!$A$1:$O$85,15,0))</f>
        <v>0</v>
      </c>
      <c r="Y114" s="6"/>
      <c r="Z114" s="6">
        <f ca="1">('TUSD BE'!$AM$12+'TUSD BF'!$AM$12+'TUSD CVA'!$AM$12)*1</f>
        <v>114.48039155571371</v>
      </c>
      <c r="AA114" s="6"/>
      <c r="AB114" s="6">
        <f>$K$114*$V$114</f>
        <v>0</v>
      </c>
      <c r="AC114" s="6">
        <f>$M$114*$W$114</f>
        <v>16067.408500000001</v>
      </c>
      <c r="AD114" s="6">
        <f>$O$114*$X$114</f>
        <v>0</v>
      </c>
      <c r="AE114" s="6">
        <f>$K$114*$Y$114</f>
        <v>0</v>
      </c>
      <c r="AF114" s="6">
        <f ca="1">$M$114*$Z$114</f>
        <v>23387.199190916752</v>
      </c>
      <c r="AG114" s="6">
        <f>$O$114*$AA$114</f>
        <v>0</v>
      </c>
    </row>
    <row r="115" spans="1:33" ht="11.25" customHeight="1" x14ac:dyDescent="0.25">
      <c r="A115" s="4" t="s">
        <v>21</v>
      </c>
      <c r="B115" s="4" t="s">
        <v>34</v>
      </c>
      <c r="C115" s="4" t="s">
        <v>35</v>
      </c>
      <c r="D115" s="4" t="s">
        <v>33</v>
      </c>
      <c r="E115" s="4" t="s">
        <v>25</v>
      </c>
      <c r="F115" s="4" t="s">
        <v>52</v>
      </c>
      <c r="G115" s="4" t="s">
        <v>25</v>
      </c>
      <c r="H115" s="4" t="s">
        <v>37</v>
      </c>
      <c r="I115" s="5">
        <v>44531</v>
      </c>
      <c r="J115" s="6">
        <v>0</v>
      </c>
      <c r="K115" s="6">
        <v>0</v>
      </c>
      <c r="L115" s="6">
        <v>141.66499999999999</v>
      </c>
      <c r="M115" s="6">
        <v>141.66499999999999</v>
      </c>
      <c r="N115" s="6">
        <v>0</v>
      </c>
      <c r="O115" s="6">
        <v>0</v>
      </c>
      <c r="P115" s="6">
        <v>0</v>
      </c>
      <c r="Q115" s="4" t="s">
        <v>53</v>
      </c>
      <c r="R115" s="4">
        <v>0</v>
      </c>
      <c r="S115" s="6">
        <v>0</v>
      </c>
      <c r="T115" s="6">
        <v>13</v>
      </c>
      <c r="U115" s="6">
        <v>0</v>
      </c>
      <c r="V115" s="6">
        <f>IF(ISERROR(VLOOKUP($S$115,'TAR FIN'!$A$1:$O$85,15,0)),0,VLOOKUP($S$115,'TAR FIN'!$A$1:$O$85,15,0))</f>
        <v>0</v>
      </c>
      <c r="W115" s="6">
        <f>IF(ISERROR(VLOOKUP($T$115,'TAR FIN'!$A$1:$O$85,15,0)),0,VLOOKUP($T$115,'TAR FIN'!$A$1:$O$85,15,0))</f>
        <v>78.650000000000006</v>
      </c>
      <c r="X115" s="6">
        <f>IF(ISERROR(VLOOKUP($U$115,'TAR FIN'!$A$1:$O$85,15,0)),0,VLOOKUP($U$115,'TAR FIN'!$A$1:$O$85,15,0))</f>
        <v>0</v>
      </c>
      <c r="Y115" s="6"/>
      <c r="Z115" s="6">
        <f ca="1">('TUSD BE'!$AM$12+'TUSD BF'!$AM$12+'TUSD CVA'!$AM$12)*1</f>
        <v>114.48039155571371</v>
      </c>
      <c r="AA115" s="6"/>
      <c r="AB115" s="6">
        <f>$K$115*$V$115</f>
        <v>0</v>
      </c>
      <c r="AC115" s="6">
        <f>$M$115*$W$115</f>
        <v>11141.95225</v>
      </c>
      <c r="AD115" s="6">
        <f>$O$115*$X$115</f>
        <v>0</v>
      </c>
      <c r="AE115" s="6">
        <f>$K$115*$Y$115</f>
        <v>0</v>
      </c>
      <c r="AF115" s="6">
        <f ca="1">$M$115*$Z$115</f>
        <v>16217.864669740182</v>
      </c>
      <c r="AG115" s="6">
        <f>$O$115*$AA$115</f>
        <v>0</v>
      </c>
    </row>
    <row r="116" spans="1:33" ht="11.25" customHeight="1" x14ac:dyDescent="0.25">
      <c r="A116" s="4" t="s">
        <v>21</v>
      </c>
      <c r="B116" s="4" t="s">
        <v>34</v>
      </c>
      <c r="C116" s="4" t="s">
        <v>35</v>
      </c>
      <c r="D116" s="4" t="s">
        <v>33</v>
      </c>
      <c r="E116" s="4" t="s">
        <v>25</v>
      </c>
      <c r="F116" s="4" t="s">
        <v>52</v>
      </c>
      <c r="G116" s="4" t="s">
        <v>25</v>
      </c>
      <c r="H116" s="4" t="s">
        <v>37</v>
      </c>
      <c r="I116" s="5">
        <v>44562</v>
      </c>
      <c r="J116" s="6">
        <v>0</v>
      </c>
      <c r="K116" s="6">
        <v>0</v>
      </c>
      <c r="L116" s="6">
        <v>332.79</v>
      </c>
      <c r="M116" s="6">
        <v>332.79</v>
      </c>
      <c r="N116" s="6">
        <v>0</v>
      </c>
      <c r="O116" s="6">
        <v>0</v>
      </c>
      <c r="P116" s="6">
        <v>0</v>
      </c>
      <c r="Q116" s="4" t="s">
        <v>53</v>
      </c>
      <c r="R116" s="4">
        <v>0</v>
      </c>
      <c r="S116" s="6">
        <v>0</v>
      </c>
      <c r="T116" s="6">
        <v>13</v>
      </c>
      <c r="U116" s="6">
        <v>0</v>
      </c>
      <c r="V116" s="6">
        <f>IF(ISERROR(VLOOKUP($S$116,'TAR FIN'!$A$1:$O$85,15,0)),0,VLOOKUP($S$116,'TAR FIN'!$A$1:$O$85,15,0))</f>
        <v>0</v>
      </c>
      <c r="W116" s="6">
        <f>IF(ISERROR(VLOOKUP($T$116,'TAR FIN'!$A$1:$O$85,15,0)),0,VLOOKUP($T$116,'TAR FIN'!$A$1:$O$85,15,0))</f>
        <v>78.650000000000006</v>
      </c>
      <c r="X116" s="6">
        <f>IF(ISERROR(VLOOKUP($U$116,'TAR FIN'!$A$1:$O$85,15,0)),0,VLOOKUP($U$116,'TAR FIN'!$A$1:$O$85,15,0))</f>
        <v>0</v>
      </c>
      <c r="Y116" s="6"/>
      <c r="Z116" s="6">
        <f ca="1">('TUSD BE'!$AM$12+'TUSD BF'!$AM$12+'TUSD CVA'!$AM$12)*1</f>
        <v>114.48039155571371</v>
      </c>
      <c r="AA116" s="6"/>
      <c r="AB116" s="6">
        <f>$K$116*$V$116</f>
        <v>0</v>
      </c>
      <c r="AC116" s="6">
        <f>$M$116*$W$116</f>
        <v>26173.933500000003</v>
      </c>
      <c r="AD116" s="6">
        <f>$O$116*$X$116</f>
        <v>0</v>
      </c>
      <c r="AE116" s="6">
        <f>$K$116*$Y$116</f>
        <v>0</v>
      </c>
      <c r="AF116" s="6">
        <f ca="1">$M$116*$Z$116</f>
        <v>38097.929505825967</v>
      </c>
      <c r="AG116" s="6">
        <f>$O$116*$AA$116</f>
        <v>0</v>
      </c>
    </row>
    <row r="117" spans="1:33" ht="11.25" customHeight="1" x14ac:dyDescent="0.25">
      <c r="A117" s="4" t="s">
        <v>21</v>
      </c>
      <c r="B117" s="4" t="s">
        <v>34</v>
      </c>
      <c r="C117" s="4" t="s">
        <v>35</v>
      </c>
      <c r="D117" s="4" t="s">
        <v>33</v>
      </c>
      <c r="E117" s="4" t="s">
        <v>25</v>
      </c>
      <c r="F117" s="4" t="s">
        <v>52</v>
      </c>
      <c r="G117" s="4" t="s">
        <v>25</v>
      </c>
      <c r="H117" s="4" t="s">
        <v>37</v>
      </c>
      <c r="I117" s="5">
        <v>44593</v>
      </c>
      <c r="J117" s="6">
        <v>0</v>
      </c>
      <c r="K117" s="6">
        <v>0</v>
      </c>
      <c r="L117" s="6">
        <v>302.23500000000001</v>
      </c>
      <c r="M117" s="6">
        <v>302.23500000000001</v>
      </c>
      <c r="N117" s="6">
        <v>0</v>
      </c>
      <c r="O117" s="6">
        <v>0</v>
      </c>
      <c r="P117" s="6">
        <v>0</v>
      </c>
      <c r="Q117" s="4" t="s">
        <v>53</v>
      </c>
      <c r="R117" s="4">
        <v>0</v>
      </c>
      <c r="S117" s="6">
        <v>0</v>
      </c>
      <c r="T117" s="6">
        <v>13</v>
      </c>
      <c r="U117" s="6">
        <v>0</v>
      </c>
      <c r="V117" s="6">
        <f>IF(ISERROR(VLOOKUP($S$117,'TAR FIN'!$A$1:$O$85,15,0)),0,VLOOKUP($S$117,'TAR FIN'!$A$1:$O$85,15,0))</f>
        <v>0</v>
      </c>
      <c r="W117" s="6">
        <f>IF(ISERROR(VLOOKUP($T$117,'TAR FIN'!$A$1:$O$85,15,0)),0,VLOOKUP($T$117,'TAR FIN'!$A$1:$O$85,15,0))</f>
        <v>78.650000000000006</v>
      </c>
      <c r="X117" s="6">
        <f>IF(ISERROR(VLOOKUP($U$117,'TAR FIN'!$A$1:$O$85,15,0)),0,VLOOKUP($U$117,'TAR FIN'!$A$1:$O$85,15,0))</f>
        <v>0</v>
      </c>
      <c r="Y117" s="6"/>
      <c r="Z117" s="6">
        <f ca="1">('TUSD BE'!$AM$12+'TUSD BF'!$AM$12+'TUSD CVA'!$AM$12)*1</f>
        <v>114.48039155571371</v>
      </c>
      <c r="AA117" s="6"/>
      <c r="AB117" s="6">
        <f>$K$117*$V$117</f>
        <v>0</v>
      </c>
      <c r="AC117" s="6">
        <f>$M$117*$W$117</f>
        <v>23770.782750000002</v>
      </c>
      <c r="AD117" s="6">
        <f>$O$117*$X$117</f>
        <v>0</v>
      </c>
      <c r="AE117" s="6">
        <f>$K$117*$Y$117</f>
        <v>0</v>
      </c>
      <c r="AF117" s="6">
        <f ca="1">$M$117*$Z$117</f>
        <v>34599.981141841134</v>
      </c>
      <c r="AG117" s="6">
        <f>$O$117*$AA$117</f>
        <v>0</v>
      </c>
    </row>
    <row r="118" spans="1:33" ht="11.25" customHeight="1" x14ac:dyDescent="0.25">
      <c r="A118" s="4" t="s">
        <v>21</v>
      </c>
      <c r="B118" s="4" t="s">
        <v>34</v>
      </c>
      <c r="C118" s="4" t="s">
        <v>35</v>
      </c>
      <c r="D118" s="4" t="s">
        <v>33</v>
      </c>
      <c r="E118" s="4" t="s">
        <v>25</v>
      </c>
      <c r="F118" s="4" t="s">
        <v>52</v>
      </c>
      <c r="G118" s="4" t="s">
        <v>25</v>
      </c>
      <c r="H118" s="4" t="s">
        <v>37</v>
      </c>
      <c r="I118" s="5">
        <v>44621</v>
      </c>
      <c r="J118" s="6">
        <v>0</v>
      </c>
      <c r="K118" s="6">
        <v>0</v>
      </c>
      <c r="L118" s="6">
        <v>346.10300000000001</v>
      </c>
      <c r="M118" s="6">
        <v>346.10300000000001</v>
      </c>
      <c r="N118" s="6">
        <v>0</v>
      </c>
      <c r="O118" s="6">
        <v>0</v>
      </c>
      <c r="P118" s="6">
        <v>0</v>
      </c>
      <c r="Q118" s="4" t="s">
        <v>53</v>
      </c>
      <c r="R118" s="4">
        <v>0</v>
      </c>
      <c r="S118" s="6">
        <v>0</v>
      </c>
      <c r="T118" s="6">
        <v>13</v>
      </c>
      <c r="U118" s="6">
        <v>0</v>
      </c>
      <c r="V118" s="6">
        <f>IF(ISERROR(VLOOKUP($S$118,'TAR FIN'!$A$1:$O$85,15,0)),0,VLOOKUP($S$118,'TAR FIN'!$A$1:$O$85,15,0))</f>
        <v>0</v>
      </c>
      <c r="W118" s="6">
        <f>IF(ISERROR(VLOOKUP($T$118,'TAR FIN'!$A$1:$O$85,15,0)),0,VLOOKUP($T$118,'TAR FIN'!$A$1:$O$85,15,0))</f>
        <v>78.650000000000006</v>
      </c>
      <c r="X118" s="6">
        <f>IF(ISERROR(VLOOKUP($U$118,'TAR FIN'!$A$1:$O$85,15,0)),0,VLOOKUP($U$118,'TAR FIN'!$A$1:$O$85,15,0))</f>
        <v>0</v>
      </c>
      <c r="Y118" s="6"/>
      <c r="Z118" s="6">
        <f ca="1">('TUSD BE'!$AM$12+'TUSD BF'!$AM$12+'TUSD CVA'!$AM$12)*1</f>
        <v>114.48039155571371</v>
      </c>
      <c r="AA118" s="6"/>
      <c r="AB118" s="6">
        <f>$K$118*$V$118</f>
        <v>0</v>
      </c>
      <c r="AC118" s="6">
        <f>$M$118*$W$118</f>
        <v>27221.000950000001</v>
      </c>
      <c r="AD118" s="6">
        <f>$O$118*$X$118</f>
        <v>0</v>
      </c>
      <c r="AE118" s="6">
        <f>$K$118*$Y$118</f>
        <v>0</v>
      </c>
      <c r="AF118" s="6">
        <f ca="1">$M$118*$Z$118</f>
        <v>39622.006958607184</v>
      </c>
      <c r="AG118" s="6">
        <f>$O$118*$AA$118</f>
        <v>0</v>
      </c>
    </row>
    <row r="119" spans="1:33" ht="11.25" customHeight="1" x14ac:dyDescent="0.25">
      <c r="A119" s="4" t="s">
        <v>21</v>
      </c>
      <c r="B119" s="4" t="s">
        <v>34</v>
      </c>
      <c r="C119" s="4" t="s">
        <v>35</v>
      </c>
      <c r="D119" s="4" t="s">
        <v>33</v>
      </c>
      <c r="E119" s="4" t="s">
        <v>25</v>
      </c>
      <c r="F119" s="4" t="s">
        <v>52</v>
      </c>
      <c r="G119" s="4" t="s">
        <v>25</v>
      </c>
      <c r="H119" s="4" t="s">
        <v>37</v>
      </c>
      <c r="I119" s="5">
        <v>44652</v>
      </c>
      <c r="J119" s="6">
        <v>0</v>
      </c>
      <c r="K119" s="6">
        <v>0</v>
      </c>
      <c r="L119" s="6">
        <v>285.63600000000002</v>
      </c>
      <c r="M119" s="6">
        <v>285.63600000000002</v>
      </c>
      <c r="N119" s="6">
        <v>0</v>
      </c>
      <c r="O119" s="6">
        <v>0</v>
      </c>
      <c r="P119" s="6">
        <v>0</v>
      </c>
      <c r="Q119" s="4" t="s">
        <v>53</v>
      </c>
      <c r="R119" s="4">
        <v>0</v>
      </c>
      <c r="S119" s="6">
        <v>0</v>
      </c>
      <c r="T119" s="6">
        <v>13</v>
      </c>
      <c r="U119" s="6">
        <v>0</v>
      </c>
      <c r="V119" s="6">
        <f>IF(ISERROR(VLOOKUP($S$119,'TAR FIN'!$A$1:$O$85,15,0)),0,VLOOKUP($S$119,'TAR FIN'!$A$1:$O$85,15,0))</f>
        <v>0</v>
      </c>
      <c r="W119" s="6">
        <f>IF(ISERROR(VLOOKUP($T$119,'TAR FIN'!$A$1:$O$85,15,0)),0,VLOOKUP($T$119,'TAR FIN'!$A$1:$O$85,15,0))</f>
        <v>78.650000000000006</v>
      </c>
      <c r="X119" s="6">
        <f>IF(ISERROR(VLOOKUP($U$119,'TAR FIN'!$A$1:$O$85,15,0)),0,VLOOKUP($U$119,'TAR FIN'!$A$1:$O$85,15,0))</f>
        <v>0</v>
      </c>
      <c r="Y119" s="6"/>
      <c r="Z119" s="6">
        <f ca="1">('TUSD BE'!$AM$12+'TUSD BF'!$AM$12+'TUSD CVA'!$AM$12)*1</f>
        <v>114.48039155571371</v>
      </c>
      <c r="AA119" s="6"/>
      <c r="AB119" s="6">
        <f>$K$119*$V$119</f>
        <v>0</v>
      </c>
      <c r="AC119" s="6">
        <f>$M$119*$W$119</f>
        <v>22465.271400000005</v>
      </c>
      <c r="AD119" s="6">
        <f>$O$119*$X$119</f>
        <v>0</v>
      </c>
      <c r="AE119" s="6">
        <f>$K$119*$Y$119</f>
        <v>0</v>
      </c>
      <c r="AF119" s="6">
        <f ca="1">$M$119*$Z$119</f>
        <v>32699.721122407842</v>
      </c>
      <c r="AG119" s="6">
        <f>$O$119*$AA$119</f>
        <v>0</v>
      </c>
    </row>
    <row r="120" spans="1:33" ht="11.25" customHeight="1" x14ac:dyDescent="0.25">
      <c r="A120" s="4" t="s">
        <v>21</v>
      </c>
      <c r="B120" s="4" t="s">
        <v>34</v>
      </c>
      <c r="C120" s="4" t="s">
        <v>35</v>
      </c>
      <c r="D120" s="4" t="s">
        <v>33</v>
      </c>
      <c r="E120" s="4" t="s">
        <v>25</v>
      </c>
      <c r="F120" s="4" t="s">
        <v>52</v>
      </c>
      <c r="G120" s="4" t="s">
        <v>25</v>
      </c>
      <c r="H120" s="4" t="s">
        <v>37</v>
      </c>
      <c r="I120" s="5">
        <v>44682</v>
      </c>
      <c r="J120" s="6">
        <v>0</v>
      </c>
      <c r="K120" s="6">
        <v>0</v>
      </c>
      <c r="L120" s="6">
        <v>303.78500000000003</v>
      </c>
      <c r="M120" s="6">
        <v>303.78500000000003</v>
      </c>
      <c r="N120" s="6">
        <v>0</v>
      </c>
      <c r="O120" s="6">
        <v>0</v>
      </c>
      <c r="P120" s="6">
        <v>0</v>
      </c>
      <c r="Q120" s="4" t="s">
        <v>53</v>
      </c>
      <c r="R120" s="4">
        <v>0</v>
      </c>
      <c r="S120" s="6">
        <v>0</v>
      </c>
      <c r="T120" s="6">
        <v>13</v>
      </c>
      <c r="U120" s="6">
        <v>0</v>
      </c>
      <c r="V120" s="6">
        <f>IF(ISERROR(VLOOKUP($S$120,'TAR FIN'!$A$1:$O$85,15,0)),0,VLOOKUP($S$120,'TAR FIN'!$A$1:$O$85,15,0))</f>
        <v>0</v>
      </c>
      <c r="W120" s="6">
        <f>IF(ISERROR(VLOOKUP($T$120,'TAR FIN'!$A$1:$O$85,15,0)),0,VLOOKUP($T$120,'TAR FIN'!$A$1:$O$85,15,0))</f>
        <v>78.650000000000006</v>
      </c>
      <c r="X120" s="6">
        <f>IF(ISERROR(VLOOKUP($U$120,'TAR FIN'!$A$1:$O$85,15,0)),0,VLOOKUP($U$120,'TAR FIN'!$A$1:$O$85,15,0))</f>
        <v>0</v>
      </c>
      <c r="Y120" s="6"/>
      <c r="Z120" s="6">
        <f ca="1">('TUSD BE'!$AM$12+'TUSD BF'!$AM$12+'TUSD CVA'!$AM$12)*1</f>
        <v>114.48039155571371</v>
      </c>
      <c r="AA120" s="6"/>
      <c r="AB120" s="6">
        <f>$K$120*$V$120</f>
        <v>0</v>
      </c>
      <c r="AC120" s="6">
        <f>$M$120*$W$120</f>
        <v>23892.690250000003</v>
      </c>
      <c r="AD120" s="6">
        <f>$O$120*$X$120</f>
        <v>0</v>
      </c>
      <c r="AE120" s="6">
        <f>$K$120*$Y$120</f>
        <v>0</v>
      </c>
      <c r="AF120" s="6">
        <f ca="1">$M$120*$Z$120</f>
        <v>34777.425748752488</v>
      </c>
      <c r="AG120" s="6">
        <f>$O$120*$AA$120</f>
        <v>0</v>
      </c>
    </row>
    <row r="121" spans="1:33" ht="11.25" customHeight="1" x14ac:dyDescent="0.25">
      <c r="A121" s="4" t="s">
        <v>21</v>
      </c>
      <c r="B121" s="4" t="s">
        <v>34</v>
      </c>
      <c r="C121" s="4" t="s">
        <v>35</v>
      </c>
      <c r="D121" s="4" t="s">
        <v>33</v>
      </c>
      <c r="E121" s="4" t="s">
        <v>25</v>
      </c>
      <c r="F121" s="4" t="s">
        <v>52</v>
      </c>
      <c r="G121" s="4" t="s">
        <v>25</v>
      </c>
      <c r="H121" s="4" t="s">
        <v>37</v>
      </c>
      <c r="I121" s="5">
        <v>44713</v>
      </c>
      <c r="J121" s="6">
        <v>0</v>
      </c>
      <c r="K121" s="6">
        <v>0</v>
      </c>
      <c r="L121" s="6">
        <v>301.58699999999999</v>
      </c>
      <c r="M121" s="6">
        <v>301.58699999999999</v>
      </c>
      <c r="N121" s="6">
        <v>0</v>
      </c>
      <c r="O121" s="6">
        <v>0</v>
      </c>
      <c r="P121" s="6">
        <v>0</v>
      </c>
      <c r="Q121" s="4" t="s">
        <v>53</v>
      </c>
      <c r="R121" s="4">
        <v>0</v>
      </c>
      <c r="S121" s="6">
        <v>0</v>
      </c>
      <c r="T121" s="6">
        <v>13</v>
      </c>
      <c r="U121" s="6">
        <v>0</v>
      </c>
      <c r="V121" s="6">
        <f>IF(ISERROR(VLOOKUP($S$121,'TAR FIN'!$A$1:$O$85,15,0)),0,VLOOKUP($S$121,'TAR FIN'!$A$1:$O$85,15,0))</f>
        <v>0</v>
      </c>
      <c r="W121" s="6">
        <f>IF(ISERROR(VLOOKUP($T$121,'TAR FIN'!$A$1:$O$85,15,0)),0,VLOOKUP($T$121,'TAR FIN'!$A$1:$O$85,15,0))</f>
        <v>78.650000000000006</v>
      </c>
      <c r="X121" s="6">
        <f>IF(ISERROR(VLOOKUP($U$121,'TAR FIN'!$A$1:$O$85,15,0)),0,VLOOKUP($U$121,'TAR FIN'!$A$1:$O$85,15,0))</f>
        <v>0</v>
      </c>
      <c r="Y121" s="6"/>
      <c r="Z121" s="6">
        <f ca="1">('TUSD BE'!$AM$12+'TUSD BF'!$AM$12+'TUSD CVA'!$AM$12)*1</f>
        <v>114.48039155571371</v>
      </c>
      <c r="AA121" s="6"/>
      <c r="AB121" s="6">
        <f>$K$121*$V$121</f>
        <v>0</v>
      </c>
      <c r="AC121" s="6">
        <f>$M$121*$W$121</f>
        <v>23719.81755</v>
      </c>
      <c r="AD121" s="6">
        <f>$O$121*$X$121</f>
        <v>0</v>
      </c>
      <c r="AE121" s="6">
        <f>$K$121*$Y$121</f>
        <v>0</v>
      </c>
      <c r="AF121" s="6">
        <f ca="1">$M$121*$Z$121</f>
        <v>34525.797848113027</v>
      </c>
      <c r="AG121" s="6">
        <f>$O$121*$AA$121</f>
        <v>0</v>
      </c>
    </row>
    <row r="122" spans="1:33" ht="11.25" customHeight="1" x14ac:dyDescent="0.25">
      <c r="A122" s="4" t="s">
        <v>21</v>
      </c>
      <c r="B122" s="4" t="s">
        <v>34</v>
      </c>
      <c r="C122" s="4" t="s">
        <v>35</v>
      </c>
      <c r="D122" s="4" t="s">
        <v>33</v>
      </c>
      <c r="E122" s="4" t="s">
        <v>25</v>
      </c>
      <c r="F122" s="4" t="s">
        <v>52</v>
      </c>
      <c r="G122" s="4" t="s">
        <v>25</v>
      </c>
      <c r="H122" s="4" t="s">
        <v>25</v>
      </c>
      <c r="I122" s="5">
        <v>44378</v>
      </c>
      <c r="J122" s="6">
        <v>750</v>
      </c>
      <c r="K122" s="6">
        <v>376.36172249999998</v>
      </c>
      <c r="L122" s="6">
        <v>0</v>
      </c>
      <c r="M122" s="6">
        <v>0</v>
      </c>
      <c r="N122" s="6">
        <v>0</v>
      </c>
      <c r="O122" s="6">
        <v>0</v>
      </c>
      <c r="P122" s="6">
        <v>1</v>
      </c>
      <c r="Q122" s="4" t="s">
        <v>53</v>
      </c>
      <c r="R122" s="4">
        <v>0</v>
      </c>
      <c r="S122" s="6">
        <v>36</v>
      </c>
      <c r="T122" s="6">
        <v>0</v>
      </c>
      <c r="U122" s="6">
        <v>0</v>
      </c>
      <c r="V122" s="6">
        <f>IF(ISERROR(VLOOKUP($S$122,'TAR FIN'!$A$1:$O$85,15,0)),0,VLOOKUP($S$122,'TAR FIN'!$A$1:$O$85,15,0))</f>
        <v>14.94</v>
      </c>
      <c r="W122" s="6">
        <f>IF(ISERROR(VLOOKUP($T$122,'TAR FIN'!$A$1:$O$85,15,0)),0,VLOOKUP($T$122,'TAR FIN'!$A$1:$O$85,15,0))</f>
        <v>0</v>
      </c>
      <c r="X122" s="6">
        <f>IF(ISERROR(VLOOKUP($U$122,'TAR FIN'!$A$1:$O$85,15,0)),0,VLOOKUP($U$122,'TAR FIN'!$A$1:$O$85,15,0))</f>
        <v>0</v>
      </c>
      <c r="Y122" s="6">
        <f ca="1">('TUSD BE'!$AM$10+'TUSD BF'!$AM$10+'TUSD CVA'!$AM$10)*1</f>
        <v>19.63429077280307</v>
      </c>
      <c r="Z122" s="6"/>
      <c r="AA122" s="6"/>
      <c r="AB122" s="6">
        <f>$K$122*$V$122</f>
        <v>5622.8441341499993</v>
      </c>
      <c r="AC122" s="6">
        <f>$M$122*$W$122</f>
        <v>0</v>
      </c>
      <c r="AD122" s="6">
        <f>$O$122*$X$122</f>
        <v>0</v>
      </c>
      <c r="AE122" s="6">
        <f ca="1">$K$122*$Y$122</f>
        <v>7389.5954953180189</v>
      </c>
      <c r="AF122" s="6">
        <f>$M$122*$Z$122</f>
        <v>0</v>
      </c>
      <c r="AG122" s="6">
        <f>$O$122*$AA$122</f>
        <v>0</v>
      </c>
    </row>
    <row r="123" spans="1:33" ht="11.25" customHeight="1" x14ac:dyDescent="0.25">
      <c r="A123" s="4" t="s">
        <v>21</v>
      </c>
      <c r="B123" s="4" t="s">
        <v>34</v>
      </c>
      <c r="C123" s="4" t="s">
        <v>35</v>
      </c>
      <c r="D123" s="4" t="s">
        <v>33</v>
      </c>
      <c r="E123" s="4" t="s">
        <v>25</v>
      </c>
      <c r="F123" s="4" t="s">
        <v>52</v>
      </c>
      <c r="G123" s="4" t="s">
        <v>25</v>
      </c>
      <c r="H123" s="4" t="s">
        <v>25</v>
      </c>
      <c r="I123" s="5">
        <v>44409</v>
      </c>
      <c r="J123" s="6">
        <v>750</v>
      </c>
      <c r="K123" s="6">
        <v>376.08338250000003</v>
      </c>
      <c r="L123" s="6">
        <v>0</v>
      </c>
      <c r="M123" s="6">
        <v>0</v>
      </c>
      <c r="N123" s="6">
        <v>0</v>
      </c>
      <c r="O123" s="6">
        <v>0</v>
      </c>
      <c r="P123" s="6">
        <v>1</v>
      </c>
      <c r="Q123" s="4" t="s">
        <v>53</v>
      </c>
      <c r="R123" s="4">
        <v>0</v>
      </c>
      <c r="S123" s="6">
        <v>36</v>
      </c>
      <c r="T123" s="6">
        <v>0</v>
      </c>
      <c r="U123" s="6">
        <v>0</v>
      </c>
      <c r="V123" s="6">
        <f>IF(ISERROR(VLOOKUP($S$123,'TAR FIN'!$A$1:$O$85,15,0)),0,VLOOKUP($S$123,'TAR FIN'!$A$1:$O$85,15,0))</f>
        <v>14.94</v>
      </c>
      <c r="W123" s="6">
        <f>IF(ISERROR(VLOOKUP($T$123,'TAR FIN'!$A$1:$O$85,15,0)),0,VLOOKUP($T$123,'TAR FIN'!$A$1:$O$85,15,0))</f>
        <v>0</v>
      </c>
      <c r="X123" s="6">
        <f>IF(ISERROR(VLOOKUP($U$123,'TAR FIN'!$A$1:$O$85,15,0)),0,VLOOKUP($U$123,'TAR FIN'!$A$1:$O$85,15,0))</f>
        <v>0</v>
      </c>
      <c r="Y123" s="6">
        <f ca="1">('TUSD BE'!$AM$10+'TUSD BF'!$AM$10+'TUSD CVA'!$AM$10)*1</f>
        <v>19.63429077280307</v>
      </c>
      <c r="Z123" s="6"/>
      <c r="AA123" s="6"/>
      <c r="AB123" s="6">
        <f>$K$123*$V$123</f>
        <v>5618.6857345500002</v>
      </c>
      <c r="AC123" s="6">
        <f>$M$123*$W$123</f>
        <v>0</v>
      </c>
      <c r="AD123" s="6">
        <f>$O$123*$X$123</f>
        <v>0</v>
      </c>
      <c r="AE123" s="6">
        <f ca="1">$K$123*$Y$123</f>
        <v>7384.1304868243178</v>
      </c>
      <c r="AF123" s="6">
        <f>$M$123*$Z$123</f>
        <v>0</v>
      </c>
      <c r="AG123" s="6">
        <f>$O$123*$AA$123</f>
        <v>0</v>
      </c>
    </row>
    <row r="124" spans="1:33" ht="11.25" customHeight="1" x14ac:dyDescent="0.25">
      <c r="A124" s="4" t="s">
        <v>21</v>
      </c>
      <c r="B124" s="4" t="s">
        <v>34</v>
      </c>
      <c r="C124" s="4" t="s">
        <v>35</v>
      </c>
      <c r="D124" s="4" t="s">
        <v>33</v>
      </c>
      <c r="E124" s="4" t="s">
        <v>25</v>
      </c>
      <c r="F124" s="4" t="s">
        <v>52</v>
      </c>
      <c r="G124" s="4" t="s">
        <v>25</v>
      </c>
      <c r="H124" s="4" t="s">
        <v>25</v>
      </c>
      <c r="I124" s="5">
        <v>44440</v>
      </c>
      <c r="J124" s="6">
        <v>700</v>
      </c>
      <c r="K124" s="6">
        <v>352.28124400000002</v>
      </c>
      <c r="L124" s="6">
        <v>0</v>
      </c>
      <c r="M124" s="6">
        <v>0</v>
      </c>
      <c r="N124" s="6">
        <v>0</v>
      </c>
      <c r="O124" s="6">
        <v>0</v>
      </c>
      <c r="P124" s="6">
        <v>1</v>
      </c>
      <c r="Q124" s="4" t="s">
        <v>53</v>
      </c>
      <c r="R124" s="4">
        <v>0</v>
      </c>
      <c r="S124" s="6">
        <v>36</v>
      </c>
      <c r="T124" s="6">
        <v>0</v>
      </c>
      <c r="U124" s="6">
        <v>0</v>
      </c>
      <c r="V124" s="6">
        <f>IF(ISERROR(VLOOKUP($S$124,'TAR FIN'!$A$1:$O$85,15,0)),0,VLOOKUP($S$124,'TAR FIN'!$A$1:$O$85,15,0))</f>
        <v>14.94</v>
      </c>
      <c r="W124" s="6">
        <f>IF(ISERROR(VLOOKUP($T$124,'TAR FIN'!$A$1:$O$85,15,0)),0,VLOOKUP($T$124,'TAR FIN'!$A$1:$O$85,15,0))</f>
        <v>0</v>
      </c>
      <c r="X124" s="6">
        <f>IF(ISERROR(VLOOKUP($U$124,'TAR FIN'!$A$1:$O$85,15,0)),0,VLOOKUP($U$124,'TAR FIN'!$A$1:$O$85,15,0))</f>
        <v>0</v>
      </c>
      <c r="Y124" s="6">
        <f ca="1">('TUSD BE'!$AM$10+'TUSD BF'!$AM$10+'TUSD CVA'!$AM$10)*1</f>
        <v>19.63429077280307</v>
      </c>
      <c r="Z124" s="6"/>
      <c r="AA124" s="6"/>
      <c r="AB124" s="6">
        <f>$K$124*$V$124</f>
        <v>5263.0817853600001</v>
      </c>
      <c r="AC124" s="6">
        <f>$M$124*$W$124</f>
        <v>0</v>
      </c>
      <c r="AD124" s="6">
        <f>$O$124*$X$124</f>
        <v>0</v>
      </c>
      <c r="AE124" s="6">
        <f ca="1">$K$124*$Y$124</f>
        <v>6916.792378500787</v>
      </c>
      <c r="AF124" s="6">
        <f>$M$124*$Z$124</f>
        <v>0</v>
      </c>
      <c r="AG124" s="6">
        <f>$O$124*$AA$124</f>
        <v>0</v>
      </c>
    </row>
    <row r="125" spans="1:33" ht="11.25" customHeight="1" x14ac:dyDescent="0.25">
      <c r="A125" s="4" t="s">
        <v>21</v>
      </c>
      <c r="B125" s="4" t="s">
        <v>34</v>
      </c>
      <c r="C125" s="4" t="s">
        <v>35</v>
      </c>
      <c r="D125" s="4" t="s">
        <v>33</v>
      </c>
      <c r="E125" s="4" t="s">
        <v>25</v>
      </c>
      <c r="F125" s="4" t="s">
        <v>52</v>
      </c>
      <c r="G125" s="4" t="s">
        <v>25</v>
      </c>
      <c r="H125" s="4" t="s">
        <v>25</v>
      </c>
      <c r="I125" s="5">
        <v>44470</v>
      </c>
      <c r="J125" s="6">
        <v>708</v>
      </c>
      <c r="K125" s="6">
        <v>355.96836036000002</v>
      </c>
      <c r="L125" s="6">
        <v>0</v>
      </c>
      <c r="M125" s="6">
        <v>0</v>
      </c>
      <c r="N125" s="6">
        <v>0</v>
      </c>
      <c r="O125" s="6">
        <v>0</v>
      </c>
      <c r="P125" s="6">
        <v>1</v>
      </c>
      <c r="Q125" s="4" t="s">
        <v>53</v>
      </c>
      <c r="R125" s="4">
        <v>0</v>
      </c>
      <c r="S125" s="6">
        <v>36</v>
      </c>
      <c r="T125" s="6">
        <v>0</v>
      </c>
      <c r="U125" s="6">
        <v>0</v>
      </c>
      <c r="V125" s="6">
        <f>IF(ISERROR(VLOOKUP($S$125,'TAR FIN'!$A$1:$O$85,15,0)),0,VLOOKUP($S$125,'TAR FIN'!$A$1:$O$85,15,0))</f>
        <v>14.94</v>
      </c>
      <c r="W125" s="6">
        <f>IF(ISERROR(VLOOKUP($T$125,'TAR FIN'!$A$1:$O$85,15,0)),0,VLOOKUP($T$125,'TAR FIN'!$A$1:$O$85,15,0))</f>
        <v>0</v>
      </c>
      <c r="X125" s="6">
        <f>IF(ISERROR(VLOOKUP($U$125,'TAR FIN'!$A$1:$O$85,15,0)),0,VLOOKUP($U$125,'TAR FIN'!$A$1:$O$85,15,0))</f>
        <v>0</v>
      </c>
      <c r="Y125" s="6">
        <f ca="1">('TUSD BE'!$AM$10+'TUSD BF'!$AM$10+'TUSD CVA'!$AM$10)*1</f>
        <v>19.63429077280307</v>
      </c>
      <c r="Z125" s="6"/>
      <c r="AA125" s="6"/>
      <c r="AB125" s="6">
        <f>$K$125*$V$125</f>
        <v>5318.1673037784003</v>
      </c>
      <c r="AC125" s="6">
        <f>$M$125*$W$125</f>
        <v>0</v>
      </c>
      <c r="AD125" s="6">
        <f>$O$125*$X$125</f>
        <v>0</v>
      </c>
      <c r="AE125" s="6">
        <f ca="1">$K$125*$Y$125</f>
        <v>6989.1862932261865</v>
      </c>
      <c r="AF125" s="6">
        <f>$M$125*$Z$125</f>
        <v>0</v>
      </c>
      <c r="AG125" s="6">
        <f>$O$125*$AA$125</f>
        <v>0</v>
      </c>
    </row>
    <row r="126" spans="1:33" ht="11.25" customHeight="1" x14ac:dyDescent="0.25">
      <c r="A126" s="4" t="s">
        <v>21</v>
      </c>
      <c r="B126" s="4" t="s">
        <v>34</v>
      </c>
      <c r="C126" s="4" t="s">
        <v>35</v>
      </c>
      <c r="D126" s="4" t="s">
        <v>33</v>
      </c>
      <c r="E126" s="4" t="s">
        <v>25</v>
      </c>
      <c r="F126" s="4" t="s">
        <v>52</v>
      </c>
      <c r="G126" s="4" t="s">
        <v>25</v>
      </c>
      <c r="H126" s="4" t="s">
        <v>25</v>
      </c>
      <c r="I126" s="5">
        <v>44501</v>
      </c>
      <c r="J126" s="6">
        <v>703</v>
      </c>
      <c r="K126" s="6">
        <v>382.22738482</v>
      </c>
      <c r="L126" s="6">
        <v>0</v>
      </c>
      <c r="M126" s="6">
        <v>0</v>
      </c>
      <c r="N126" s="6">
        <v>0</v>
      </c>
      <c r="O126" s="6">
        <v>0</v>
      </c>
      <c r="P126" s="6">
        <v>1</v>
      </c>
      <c r="Q126" s="4" t="s">
        <v>53</v>
      </c>
      <c r="R126" s="4">
        <v>0</v>
      </c>
      <c r="S126" s="6">
        <v>36</v>
      </c>
      <c r="T126" s="6">
        <v>0</v>
      </c>
      <c r="U126" s="6">
        <v>0</v>
      </c>
      <c r="V126" s="6">
        <f>IF(ISERROR(VLOOKUP($S$126,'TAR FIN'!$A$1:$O$85,15,0)),0,VLOOKUP($S$126,'TAR FIN'!$A$1:$O$85,15,0))</f>
        <v>14.94</v>
      </c>
      <c r="W126" s="6">
        <f>IF(ISERROR(VLOOKUP($T$126,'TAR FIN'!$A$1:$O$85,15,0)),0,VLOOKUP($T$126,'TAR FIN'!$A$1:$O$85,15,0))</f>
        <v>0</v>
      </c>
      <c r="X126" s="6">
        <f>IF(ISERROR(VLOOKUP($U$126,'TAR FIN'!$A$1:$O$85,15,0)),0,VLOOKUP($U$126,'TAR FIN'!$A$1:$O$85,15,0))</f>
        <v>0</v>
      </c>
      <c r="Y126" s="6">
        <f ca="1">('TUSD BE'!$AM$10+'TUSD BF'!$AM$10+'TUSD CVA'!$AM$10)*1</f>
        <v>19.63429077280307</v>
      </c>
      <c r="Z126" s="6"/>
      <c r="AA126" s="6"/>
      <c r="AB126" s="6">
        <f>$K$126*$V$126</f>
        <v>5710.4771292107998</v>
      </c>
      <c r="AC126" s="6">
        <f>$M$126*$W$126</f>
        <v>0</v>
      </c>
      <c r="AD126" s="6">
        <f>$O$126*$X$126</f>
        <v>0</v>
      </c>
      <c r="AE126" s="6">
        <f ca="1">$K$126*$Y$126</f>
        <v>7504.7636148839738</v>
      </c>
      <c r="AF126" s="6">
        <f>$M$126*$Z$126</f>
        <v>0</v>
      </c>
      <c r="AG126" s="6">
        <f>$O$126*$AA$126</f>
        <v>0</v>
      </c>
    </row>
    <row r="127" spans="1:33" ht="11.25" customHeight="1" x14ac:dyDescent="0.25">
      <c r="A127" s="4" t="s">
        <v>21</v>
      </c>
      <c r="B127" s="4" t="s">
        <v>34</v>
      </c>
      <c r="C127" s="4" t="s">
        <v>35</v>
      </c>
      <c r="D127" s="4" t="s">
        <v>33</v>
      </c>
      <c r="E127" s="4" t="s">
        <v>25</v>
      </c>
      <c r="F127" s="4" t="s">
        <v>52</v>
      </c>
      <c r="G127" s="4" t="s">
        <v>25</v>
      </c>
      <c r="H127" s="4" t="s">
        <v>25</v>
      </c>
      <c r="I127" s="5">
        <v>44531</v>
      </c>
      <c r="J127" s="6">
        <v>700</v>
      </c>
      <c r="K127" s="6">
        <v>350.86538200000001</v>
      </c>
      <c r="L127" s="6">
        <v>0</v>
      </c>
      <c r="M127" s="6">
        <v>0</v>
      </c>
      <c r="N127" s="6">
        <v>0</v>
      </c>
      <c r="O127" s="6">
        <v>0</v>
      </c>
      <c r="P127" s="6">
        <v>1</v>
      </c>
      <c r="Q127" s="4" t="s">
        <v>53</v>
      </c>
      <c r="R127" s="4">
        <v>0</v>
      </c>
      <c r="S127" s="6">
        <v>36</v>
      </c>
      <c r="T127" s="6">
        <v>0</v>
      </c>
      <c r="U127" s="6">
        <v>0</v>
      </c>
      <c r="V127" s="6">
        <f>IF(ISERROR(VLOOKUP($S$127,'TAR FIN'!$A$1:$O$85,15,0)),0,VLOOKUP($S$127,'TAR FIN'!$A$1:$O$85,15,0))</f>
        <v>14.94</v>
      </c>
      <c r="W127" s="6">
        <f>IF(ISERROR(VLOOKUP($T$127,'TAR FIN'!$A$1:$O$85,15,0)),0,VLOOKUP($T$127,'TAR FIN'!$A$1:$O$85,15,0))</f>
        <v>0</v>
      </c>
      <c r="X127" s="6">
        <f>IF(ISERROR(VLOOKUP($U$127,'TAR FIN'!$A$1:$O$85,15,0)),0,VLOOKUP($U$127,'TAR FIN'!$A$1:$O$85,15,0))</f>
        <v>0</v>
      </c>
      <c r="Y127" s="6">
        <f ca="1">('TUSD BE'!$AM$10+'TUSD BF'!$AM$10+'TUSD CVA'!$AM$10)*1</f>
        <v>19.63429077280307</v>
      </c>
      <c r="Z127" s="6"/>
      <c r="AA127" s="6"/>
      <c r="AB127" s="6">
        <f>$K$127*$V$127</f>
        <v>5241.9288070800003</v>
      </c>
      <c r="AC127" s="6">
        <f>$M$127*$W$127</f>
        <v>0</v>
      </c>
      <c r="AD127" s="6">
        <f>$O$127*$X$127</f>
        <v>0</v>
      </c>
      <c r="AE127" s="6">
        <f ca="1">$K$127*$Y$127</f>
        <v>6888.9929322986245</v>
      </c>
      <c r="AF127" s="6">
        <f>$M$127*$Z$127</f>
        <v>0</v>
      </c>
      <c r="AG127" s="6">
        <f>$O$127*$AA$127</f>
        <v>0</v>
      </c>
    </row>
    <row r="128" spans="1:33" ht="11.25" customHeight="1" x14ac:dyDescent="0.25">
      <c r="A128" s="4" t="s">
        <v>21</v>
      </c>
      <c r="B128" s="4" t="s">
        <v>34</v>
      </c>
      <c r="C128" s="4" t="s">
        <v>35</v>
      </c>
      <c r="D128" s="4" t="s">
        <v>33</v>
      </c>
      <c r="E128" s="4" t="s">
        <v>25</v>
      </c>
      <c r="F128" s="4" t="s">
        <v>52</v>
      </c>
      <c r="G128" s="4" t="s">
        <v>25</v>
      </c>
      <c r="H128" s="4" t="s">
        <v>25</v>
      </c>
      <c r="I128" s="5">
        <v>44562</v>
      </c>
      <c r="J128" s="6">
        <v>1160</v>
      </c>
      <c r="K128" s="6">
        <v>645.33774240000002</v>
      </c>
      <c r="L128" s="6">
        <v>0</v>
      </c>
      <c r="M128" s="6">
        <v>0</v>
      </c>
      <c r="N128" s="6">
        <v>0</v>
      </c>
      <c r="O128" s="6">
        <v>0</v>
      </c>
      <c r="P128" s="6">
        <v>2</v>
      </c>
      <c r="Q128" s="4" t="s">
        <v>53</v>
      </c>
      <c r="R128" s="4">
        <v>0</v>
      </c>
      <c r="S128" s="6">
        <v>36</v>
      </c>
      <c r="T128" s="6">
        <v>0</v>
      </c>
      <c r="U128" s="6">
        <v>0</v>
      </c>
      <c r="V128" s="6">
        <f>IF(ISERROR(VLOOKUP($S$128,'TAR FIN'!$A$1:$O$85,15,0)),0,VLOOKUP($S$128,'TAR FIN'!$A$1:$O$85,15,0))</f>
        <v>14.94</v>
      </c>
      <c r="W128" s="6">
        <f>IF(ISERROR(VLOOKUP($T$128,'TAR FIN'!$A$1:$O$85,15,0)),0,VLOOKUP($T$128,'TAR FIN'!$A$1:$O$85,15,0))</f>
        <v>0</v>
      </c>
      <c r="X128" s="6">
        <f>IF(ISERROR(VLOOKUP($U$128,'TAR FIN'!$A$1:$O$85,15,0)),0,VLOOKUP($U$128,'TAR FIN'!$A$1:$O$85,15,0))</f>
        <v>0</v>
      </c>
      <c r="Y128" s="6">
        <f ca="1">('TUSD BE'!$AM$10+'TUSD BF'!$AM$10+'TUSD CVA'!$AM$10)*1</f>
        <v>19.63429077280307</v>
      </c>
      <c r="Z128" s="6"/>
      <c r="AA128" s="6"/>
      <c r="AB128" s="6">
        <f>$K$128*$V$128</f>
        <v>9641.3458714560002</v>
      </c>
      <c r="AC128" s="6">
        <f>$M$128*$W$128</f>
        <v>0</v>
      </c>
      <c r="AD128" s="6">
        <f>$O$128*$X$128</f>
        <v>0</v>
      </c>
      <c r="AE128" s="6">
        <f ca="1">$K$128*$Y$128</f>
        <v>12670.748880945885</v>
      </c>
      <c r="AF128" s="6">
        <f>$M$128*$Z$128</f>
        <v>0</v>
      </c>
      <c r="AG128" s="6">
        <f>$O$128*$AA$128</f>
        <v>0</v>
      </c>
    </row>
    <row r="129" spans="1:33" ht="11.25" customHeight="1" x14ac:dyDescent="0.25">
      <c r="A129" s="4" t="s">
        <v>21</v>
      </c>
      <c r="B129" s="4" t="s">
        <v>34</v>
      </c>
      <c r="C129" s="4" t="s">
        <v>35</v>
      </c>
      <c r="D129" s="4" t="s">
        <v>33</v>
      </c>
      <c r="E129" s="4" t="s">
        <v>25</v>
      </c>
      <c r="F129" s="4" t="s">
        <v>52</v>
      </c>
      <c r="G129" s="4" t="s">
        <v>25</v>
      </c>
      <c r="H129" s="4" t="s">
        <v>25</v>
      </c>
      <c r="I129" s="5">
        <v>44593</v>
      </c>
      <c r="J129" s="6">
        <v>1191</v>
      </c>
      <c r="K129" s="6">
        <v>665.26108613999997</v>
      </c>
      <c r="L129" s="6">
        <v>0</v>
      </c>
      <c r="M129" s="6">
        <v>0</v>
      </c>
      <c r="N129" s="6">
        <v>0</v>
      </c>
      <c r="O129" s="6">
        <v>0</v>
      </c>
      <c r="P129" s="6">
        <v>2</v>
      </c>
      <c r="Q129" s="4" t="s">
        <v>53</v>
      </c>
      <c r="R129" s="4">
        <v>0</v>
      </c>
      <c r="S129" s="6">
        <v>36</v>
      </c>
      <c r="T129" s="6">
        <v>0</v>
      </c>
      <c r="U129" s="6">
        <v>0</v>
      </c>
      <c r="V129" s="6">
        <f>IF(ISERROR(VLOOKUP($S$129,'TAR FIN'!$A$1:$O$85,15,0)),0,VLOOKUP($S$129,'TAR FIN'!$A$1:$O$85,15,0))</f>
        <v>14.94</v>
      </c>
      <c r="W129" s="6">
        <f>IF(ISERROR(VLOOKUP($T$129,'TAR FIN'!$A$1:$O$85,15,0)),0,VLOOKUP($T$129,'TAR FIN'!$A$1:$O$85,15,0))</f>
        <v>0</v>
      </c>
      <c r="X129" s="6">
        <f>IF(ISERROR(VLOOKUP($U$129,'TAR FIN'!$A$1:$O$85,15,0)),0,VLOOKUP($U$129,'TAR FIN'!$A$1:$O$85,15,0))</f>
        <v>0</v>
      </c>
      <c r="Y129" s="6">
        <f ca="1">('TUSD BE'!$AM$10+'TUSD BF'!$AM$10+'TUSD CVA'!$AM$10)*1</f>
        <v>19.63429077280307</v>
      </c>
      <c r="Z129" s="6"/>
      <c r="AA129" s="6"/>
      <c r="AB129" s="6">
        <f>$K$129*$V$129</f>
        <v>9939.0006269316</v>
      </c>
      <c r="AC129" s="6">
        <f>$M$129*$W$129</f>
        <v>0</v>
      </c>
      <c r="AD129" s="6">
        <f>$O$129*$X$129</f>
        <v>0</v>
      </c>
      <c r="AE129" s="6">
        <f ca="1">$K$129*$Y$129</f>
        <v>13061.929605103549</v>
      </c>
      <c r="AF129" s="6">
        <f>$M$129*$Z$129</f>
        <v>0</v>
      </c>
      <c r="AG129" s="6">
        <f>$O$129*$AA$129</f>
        <v>0</v>
      </c>
    </row>
    <row r="130" spans="1:33" ht="11.25" customHeight="1" x14ac:dyDescent="0.25">
      <c r="A130" s="4" t="s">
        <v>21</v>
      </c>
      <c r="B130" s="4" t="s">
        <v>34</v>
      </c>
      <c r="C130" s="4" t="s">
        <v>35</v>
      </c>
      <c r="D130" s="4" t="s">
        <v>33</v>
      </c>
      <c r="E130" s="4" t="s">
        <v>25</v>
      </c>
      <c r="F130" s="4" t="s">
        <v>52</v>
      </c>
      <c r="G130" s="4" t="s">
        <v>25</v>
      </c>
      <c r="H130" s="4" t="s">
        <v>25</v>
      </c>
      <c r="I130" s="5">
        <v>44621</v>
      </c>
      <c r="J130" s="6">
        <v>1174</v>
      </c>
      <c r="K130" s="6">
        <v>623.45041070000002</v>
      </c>
      <c r="L130" s="6">
        <v>0</v>
      </c>
      <c r="M130" s="6">
        <v>0</v>
      </c>
      <c r="N130" s="6">
        <v>0</v>
      </c>
      <c r="O130" s="6">
        <v>0</v>
      </c>
      <c r="P130" s="6">
        <v>2</v>
      </c>
      <c r="Q130" s="4" t="s">
        <v>53</v>
      </c>
      <c r="R130" s="4">
        <v>0</v>
      </c>
      <c r="S130" s="6">
        <v>36</v>
      </c>
      <c r="T130" s="6">
        <v>0</v>
      </c>
      <c r="U130" s="6">
        <v>0</v>
      </c>
      <c r="V130" s="6">
        <f>IF(ISERROR(VLOOKUP($S$130,'TAR FIN'!$A$1:$O$85,15,0)),0,VLOOKUP($S$130,'TAR FIN'!$A$1:$O$85,15,0))</f>
        <v>14.94</v>
      </c>
      <c r="W130" s="6">
        <f>IF(ISERROR(VLOOKUP($T$130,'TAR FIN'!$A$1:$O$85,15,0)),0,VLOOKUP($T$130,'TAR FIN'!$A$1:$O$85,15,0))</f>
        <v>0</v>
      </c>
      <c r="X130" s="6">
        <f>IF(ISERROR(VLOOKUP($U$130,'TAR FIN'!$A$1:$O$85,15,0)),0,VLOOKUP($U$130,'TAR FIN'!$A$1:$O$85,15,0))</f>
        <v>0</v>
      </c>
      <c r="Y130" s="6">
        <f ca="1">('TUSD BE'!$AM$10+'TUSD BF'!$AM$10+'TUSD CVA'!$AM$10)*1</f>
        <v>19.63429077280307</v>
      </c>
      <c r="Z130" s="6"/>
      <c r="AA130" s="6"/>
      <c r="AB130" s="6">
        <f>$K$130*$V$130</f>
        <v>9314.3491358579995</v>
      </c>
      <c r="AC130" s="6">
        <f>$M$130*$W$130</f>
        <v>0</v>
      </c>
      <c r="AD130" s="6">
        <f>$O$130*$X$130</f>
        <v>0</v>
      </c>
      <c r="AE130" s="6">
        <f ca="1">$K$130*$Y$130</f>
        <v>12241.006646107295</v>
      </c>
      <c r="AF130" s="6">
        <f>$M$130*$Z$130</f>
        <v>0</v>
      </c>
      <c r="AG130" s="6">
        <f>$O$130*$AA$130</f>
        <v>0</v>
      </c>
    </row>
    <row r="131" spans="1:33" ht="11.25" customHeight="1" x14ac:dyDescent="0.25">
      <c r="A131" s="4" t="s">
        <v>21</v>
      </c>
      <c r="B131" s="4" t="s">
        <v>34</v>
      </c>
      <c r="C131" s="4" t="s">
        <v>35</v>
      </c>
      <c r="D131" s="4" t="s">
        <v>33</v>
      </c>
      <c r="E131" s="4" t="s">
        <v>25</v>
      </c>
      <c r="F131" s="4" t="s">
        <v>52</v>
      </c>
      <c r="G131" s="4" t="s">
        <v>25</v>
      </c>
      <c r="H131" s="4" t="s">
        <v>25</v>
      </c>
      <c r="I131" s="5">
        <v>44652</v>
      </c>
      <c r="J131" s="6">
        <v>1200</v>
      </c>
      <c r="K131" s="6">
        <v>618.96823199999994</v>
      </c>
      <c r="L131" s="6">
        <v>0</v>
      </c>
      <c r="M131" s="6">
        <v>0</v>
      </c>
      <c r="N131" s="6">
        <v>0</v>
      </c>
      <c r="O131" s="6">
        <v>0</v>
      </c>
      <c r="P131" s="6">
        <v>2</v>
      </c>
      <c r="Q131" s="4" t="s">
        <v>53</v>
      </c>
      <c r="R131" s="4">
        <v>0</v>
      </c>
      <c r="S131" s="6">
        <v>36</v>
      </c>
      <c r="T131" s="6">
        <v>0</v>
      </c>
      <c r="U131" s="6">
        <v>0</v>
      </c>
      <c r="V131" s="6">
        <f>IF(ISERROR(VLOOKUP($S$131,'TAR FIN'!$A$1:$O$85,15,0)),0,VLOOKUP($S$131,'TAR FIN'!$A$1:$O$85,15,0))</f>
        <v>14.94</v>
      </c>
      <c r="W131" s="6">
        <f>IF(ISERROR(VLOOKUP($T$131,'TAR FIN'!$A$1:$O$85,15,0)),0,VLOOKUP($T$131,'TAR FIN'!$A$1:$O$85,15,0))</f>
        <v>0</v>
      </c>
      <c r="X131" s="6">
        <f>IF(ISERROR(VLOOKUP($U$131,'TAR FIN'!$A$1:$O$85,15,0)),0,VLOOKUP($U$131,'TAR FIN'!$A$1:$O$85,15,0))</f>
        <v>0</v>
      </c>
      <c r="Y131" s="6">
        <f ca="1">('TUSD BE'!$AM$10+'TUSD BF'!$AM$10+'TUSD CVA'!$AM$10)*1</f>
        <v>19.63429077280307</v>
      </c>
      <c r="Z131" s="6"/>
      <c r="AA131" s="6"/>
      <c r="AB131" s="6">
        <f>$K$131*$V$131</f>
        <v>9247.3853860799991</v>
      </c>
      <c r="AC131" s="6">
        <f>$M$131*$W$131</f>
        <v>0</v>
      </c>
      <c r="AD131" s="6">
        <f>$O$131*$X$131</f>
        <v>0</v>
      </c>
      <c r="AE131" s="6">
        <f ca="1">$K$131*$Y$131</f>
        <v>12153.002246215829</v>
      </c>
      <c r="AF131" s="6">
        <f>$M$131*$Z$131</f>
        <v>0</v>
      </c>
      <c r="AG131" s="6">
        <f>$O$131*$AA$131</f>
        <v>0</v>
      </c>
    </row>
    <row r="132" spans="1:33" ht="11.25" customHeight="1" x14ac:dyDescent="0.25">
      <c r="A132" s="4" t="s">
        <v>21</v>
      </c>
      <c r="B132" s="4" t="s">
        <v>34</v>
      </c>
      <c r="C132" s="4" t="s">
        <v>35</v>
      </c>
      <c r="D132" s="4" t="s">
        <v>33</v>
      </c>
      <c r="E132" s="4" t="s">
        <v>25</v>
      </c>
      <c r="F132" s="4" t="s">
        <v>52</v>
      </c>
      <c r="G132" s="4" t="s">
        <v>25</v>
      </c>
      <c r="H132" s="4" t="s">
        <v>25</v>
      </c>
      <c r="I132" s="5">
        <v>44682</v>
      </c>
      <c r="J132" s="6">
        <v>1200</v>
      </c>
      <c r="K132" s="6">
        <v>660</v>
      </c>
      <c r="L132" s="6">
        <v>0</v>
      </c>
      <c r="M132" s="6">
        <v>0</v>
      </c>
      <c r="N132" s="6">
        <v>0</v>
      </c>
      <c r="O132" s="6">
        <v>0</v>
      </c>
      <c r="P132" s="6">
        <v>2</v>
      </c>
      <c r="Q132" s="4" t="s">
        <v>53</v>
      </c>
      <c r="R132" s="4">
        <v>0</v>
      </c>
      <c r="S132" s="6">
        <v>36</v>
      </c>
      <c r="T132" s="6">
        <v>0</v>
      </c>
      <c r="U132" s="6">
        <v>0</v>
      </c>
      <c r="V132" s="6">
        <f>IF(ISERROR(VLOOKUP($S$132,'TAR FIN'!$A$1:$O$85,15,0)),0,VLOOKUP($S$132,'TAR FIN'!$A$1:$O$85,15,0))</f>
        <v>14.94</v>
      </c>
      <c r="W132" s="6">
        <f>IF(ISERROR(VLOOKUP($T$132,'TAR FIN'!$A$1:$O$85,15,0)),0,VLOOKUP($T$132,'TAR FIN'!$A$1:$O$85,15,0))</f>
        <v>0</v>
      </c>
      <c r="X132" s="6">
        <f>IF(ISERROR(VLOOKUP($U$132,'TAR FIN'!$A$1:$O$85,15,0)),0,VLOOKUP($U$132,'TAR FIN'!$A$1:$O$85,15,0))</f>
        <v>0</v>
      </c>
      <c r="Y132" s="6">
        <f ca="1">('TUSD BE'!$AM$10+'TUSD BF'!$AM$10+'TUSD CVA'!$AM$10)*1</f>
        <v>19.63429077280307</v>
      </c>
      <c r="Z132" s="6"/>
      <c r="AA132" s="6"/>
      <c r="AB132" s="6">
        <f>$K$132*$V$132</f>
        <v>9860.4</v>
      </c>
      <c r="AC132" s="6">
        <f>$M$132*$W$132</f>
        <v>0</v>
      </c>
      <c r="AD132" s="6">
        <f>$O$132*$X$132</f>
        <v>0</v>
      </c>
      <c r="AE132" s="6">
        <f ca="1">$K$132*$Y$132</f>
        <v>12958.631910050026</v>
      </c>
      <c r="AF132" s="6">
        <f>$M$132*$Z$132</f>
        <v>0</v>
      </c>
      <c r="AG132" s="6">
        <f>$O$132*$AA$132</f>
        <v>0</v>
      </c>
    </row>
    <row r="133" spans="1:33" ht="11.25" customHeight="1" x14ac:dyDescent="0.25">
      <c r="A133" s="4" t="s">
        <v>21</v>
      </c>
      <c r="B133" s="4" t="s">
        <v>34</v>
      </c>
      <c r="C133" s="4" t="s">
        <v>35</v>
      </c>
      <c r="D133" s="4" t="s">
        <v>33</v>
      </c>
      <c r="E133" s="4" t="s">
        <v>25</v>
      </c>
      <c r="F133" s="4" t="s">
        <v>52</v>
      </c>
      <c r="G133" s="4" t="s">
        <v>25</v>
      </c>
      <c r="H133" s="4" t="s">
        <v>25</v>
      </c>
      <c r="I133" s="5">
        <v>44713</v>
      </c>
      <c r="J133" s="6">
        <v>1200</v>
      </c>
      <c r="K133" s="6">
        <v>660</v>
      </c>
      <c r="L133" s="6">
        <v>0</v>
      </c>
      <c r="M133" s="6">
        <v>0</v>
      </c>
      <c r="N133" s="6">
        <v>0</v>
      </c>
      <c r="O133" s="6">
        <v>0</v>
      </c>
      <c r="P133" s="6">
        <v>2</v>
      </c>
      <c r="Q133" s="4" t="s">
        <v>53</v>
      </c>
      <c r="R133" s="4">
        <v>0</v>
      </c>
      <c r="S133" s="6">
        <v>36</v>
      </c>
      <c r="T133" s="6">
        <v>0</v>
      </c>
      <c r="U133" s="6">
        <v>0</v>
      </c>
      <c r="V133" s="6">
        <f>IF(ISERROR(VLOOKUP($S$133,'TAR FIN'!$A$1:$O$85,15,0)),0,VLOOKUP($S$133,'TAR FIN'!$A$1:$O$85,15,0))</f>
        <v>14.94</v>
      </c>
      <c r="W133" s="6">
        <f>IF(ISERROR(VLOOKUP($T$133,'TAR FIN'!$A$1:$O$85,15,0)),0,VLOOKUP($T$133,'TAR FIN'!$A$1:$O$85,15,0))</f>
        <v>0</v>
      </c>
      <c r="X133" s="6">
        <f>IF(ISERROR(VLOOKUP($U$133,'TAR FIN'!$A$1:$O$85,15,0)),0,VLOOKUP($U$133,'TAR FIN'!$A$1:$O$85,15,0))</f>
        <v>0</v>
      </c>
      <c r="Y133" s="6">
        <f ca="1">('TUSD BE'!$AM$10+'TUSD BF'!$AM$10+'TUSD CVA'!$AM$10)*1</f>
        <v>19.63429077280307</v>
      </c>
      <c r="Z133" s="6"/>
      <c r="AA133" s="6"/>
      <c r="AB133" s="6">
        <f>$K$133*$V$133</f>
        <v>9860.4</v>
      </c>
      <c r="AC133" s="6">
        <f>$M$133*$W$133</f>
        <v>0</v>
      </c>
      <c r="AD133" s="6">
        <f>$O$133*$X$133</f>
        <v>0</v>
      </c>
      <c r="AE133" s="6">
        <f ca="1">$K$133*$Y$133</f>
        <v>12958.631910050026</v>
      </c>
      <c r="AF133" s="6">
        <f>$M$133*$Z$133</f>
        <v>0</v>
      </c>
      <c r="AG133" s="6">
        <f>$O$133*$AA$133</f>
        <v>0</v>
      </c>
    </row>
    <row r="134" spans="1:33" ht="11.25" customHeight="1" x14ac:dyDescent="0.25">
      <c r="A134" s="4" t="s">
        <v>21</v>
      </c>
      <c r="B134" s="4" t="s">
        <v>34</v>
      </c>
      <c r="C134" s="4" t="s">
        <v>35</v>
      </c>
      <c r="D134" s="4" t="s">
        <v>33</v>
      </c>
      <c r="E134" s="4" t="s">
        <v>25</v>
      </c>
      <c r="F134" s="4" t="s">
        <v>52</v>
      </c>
      <c r="G134" s="4" t="s">
        <v>25</v>
      </c>
      <c r="H134" s="4" t="s">
        <v>36</v>
      </c>
      <c r="I134" s="5">
        <v>44378</v>
      </c>
      <c r="J134" s="6">
        <v>0</v>
      </c>
      <c r="K134" s="6">
        <v>0</v>
      </c>
      <c r="L134" s="6">
        <v>27.850999999999999</v>
      </c>
      <c r="M134" s="6">
        <v>15.163322376949999</v>
      </c>
      <c r="N134" s="6">
        <v>0</v>
      </c>
      <c r="O134" s="6">
        <v>0</v>
      </c>
      <c r="P134" s="6">
        <v>0</v>
      </c>
      <c r="Q134" s="4" t="s">
        <v>53</v>
      </c>
      <c r="R134" s="4">
        <v>0</v>
      </c>
      <c r="S134" s="6">
        <v>0</v>
      </c>
      <c r="T134" s="6">
        <v>15</v>
      </c>
      <c r="U134" s="6">
        <v>0</v>
      </c>
      <c r="V134" s="6">
        <f>IF(ISERROR(VLOOKUP($S$134,'TAR FIN'!$A$1:$O$85,15,0)),0,VLOOKUP($S$134,'TAR FIN'!$A$1:$O$85,15,0))</f>
        <v>0</v>
      </c>
      <c r="W134" s="6">
        <f>IF(ISERROR(VLOOKUP($T$134,'TAR FIN'!$A$1:$O$85,15,0)),0,VLOOKUP($T$134,'TAR FIN'!$A$1:$O$85,15,0))</f>
        <v>940.75</v>
      </c>
      <c r="X134" s="6">
        <f>IF(ISERROR(VLOOKUP($U$134,'TAR FIN'!$A$1:$O$85,15,0)),0,VLOOKUP($U$134,'TAR FIN'!$A$1:$O$85,15,0))</f>
        <v>0</v>
      </c>
      <c r="Y134" s="6"/>
      <c r="Z134" s="6">
        <f ca="1">('TUSD BE'!$AM$11+'TUSD BF'!$AM$11+'TUSD CVA'!$AM$11)*1</f>
        <v>966.5081601045739</v>
      </c>
      <c r="AA134" s="6"/>
      <c r="AB134" s="6">
        <f>$K$134*$V$134</f>
        <v>0</v>
      </c>
      <c r="AC134" s="6">
        <f>$M$134*$W$134</f>
        <v>14264.895526115712</v>
      </c>
      <c r="AD134" s="6">
        <f>$O$134*$X$134</f>
        <v>0</v>
      </c>
      <c r="AE134" s="6">
        <f>$K$134*$Y$134</f>
        <v>0</v>
      </c>
      <c r="AF134" s="6">
        <f ca="1">$M$134*$Z$134</f>
        <v>14655.474811618458</v>
      </c>
      <c r="AG134" s="6">
        <f>$O$134*$AA$134</f>
        <v>0</v>
      </c>
    </row>
    <row r="135" spans="1:33" ht="11.25" customHeight="1" x14ac:dyDescent="0.25">
      <c r="A135" s="4" t="s">
        <v>21</v>
      </c>
      <c r="B135" s="4" t="s">
        <v>34</v>
      </c>
      <c r="C135" s="4" t="s">
        <v>35</v>
      </c>
      <c r="D135" s="4" t="s">
        <v>33</v>
      </c>
      <c r="E135" s="4" t="s">
        <v>25</v>
      </c>
      <c r="F135" s="4" t="s">
        <v>52</v>
      </c>
      <c r="G135" s="4" t="s">
        <v>25</v>
      </c>
      <c r="H135" s="4" t="s">
        <v>36</v>
      </c>
      <c r="I135" s="5">
        <v>44409</v>
      </c>
      <c r="J135" s="6">
        <v>0</v>
      </c>
      <c r="K135" s="6">
        <v>0</v>
      </c>
      <c r="L135" s="6">
        <v>26.913</v>
      </c>
      <c r="M135" s="6">
        <v>14.617136581500001</v>
      </c>
      <c r="N135" s="6">
        <v>0</v>
      </c>
      <c r="O135" s="6">
        <v>0</v>
      </c>
      <c r="P135" s="6">
        <v>0</v>
      </c>
      <c r="Q135" s="4" t="s">
        <v>53</v>
      </c>
      <c r="R135" s="4">
        <v>0</v>
      </c>
      <c r="S135" s="6">
        <v>0</v>
      </c>
      <c r="T135" s="6">
        <v>15</v>
      </c>
      <c r="U135" s="6">
        <v>0</v>
      </c>
      <c r="V135" s="6">
        <f>IF(ISERROR(VLOOKUP($S$135,'TAR FIN'!$A$1:$O$85,15,0)),0,VLOOKUP($S$135,'TAR FIN'!$A$1:$O$85,15,0))</f>
        <v>0</v>
      </c>
      <c r="W135" s="6">
        <f>IF(ISERROR(VLOOKUP($T$135,'TAR FIN'!$A$1:$O$85,15,0)),0,VLOOKUP($T$135,'TAR FIN'!$A$1:$O$85,15,0))</f>
        <v>940.75</v>
      </c>
      <c r="X135" s="6">
        <f>IF(ISERROR(VLOOKUP($U$135,'TAR FIN'!$A$1:$O$85,15,0)),0,VLOOKUP($U$135,'TAR FIN'!$A$1:$O$85,15,0))</f>
        <v>0</v>
      </c>
      <c r="Y135" s="6"/>
      <c r="Z135" s="6">
        <f ca="1">('TUSD BE'!$AM$11+'TUSD BF'!$AM$11+'TUSD CVA'!$AM$11)*1</f>
        <v>966.5081601045739</v>
      </c>
      <c r="AA135" s="6"/>
      <c r="AB135" s="6">
        <f>$K$135*$V$135</f>
        <v>0</v>
      </c>
      <c r="AC135" s="6">
        <f>$M$135*$W$135</f>
        <v>13751.071239046125</v>
      </c>
      <c r="AD135" s="6">
        <f>$O$135*$X$135</f>
        <v>0</v>
      </c>
      <c r="AE135" s="6">
        <f>$K$135*$Y$135</f>
        <v>0</v>
      </c>
      <c r="AF135" s="6">
        <f ca="1">$M$135*$Z$135</f>
        <v>14127.581783382826</v>
      </c>
      <c r="AG135" s="6">
        <f>$O$135*$AA$135</f>
        <v>0</v>
      </c>
    </row>
    <row r="136" spans="1:33" ht="11.25" customHeight="1" x14ac:dyDescent="0.25">
      <c r="A136" s="4" t="s">
        <v>21</v>
      </c>
      <c r="B136" s="4" t="s">
        <v>34</v>
      </c>
      <c r="C136" s="4" t="s">
        <v>35</v>
      </c>
      <c r="D136" s="4" t="s">
        <v>33</v>
      </c>
      <c r="E136" s="4" t="s">
        <v>25</v>
      </c>
      <c r="F136" s="4" t="s">
        <v>52</v>
      </c>
      <c r="G136" s="4" t="s">
        <v>25</v>
      </c>
      <c r="H136" s="4" t="s">
        <v>36</v>
      </c>
      <c r="I136" s="5">
        <v>44440</v>
      </c>
      <c r="J136" s="6">
        <v>0</v>
      </c>
      <c r="K136" s="6">
        <v>0</v>
      </c>
      <c r="L136" s="6">
        <v>27.526</v>
      </c>
      <c r="M136" s="6">
        <v>14.99584054372</v>
      </c>
      <c r="N136" s="6">
        <v>0</v>
      </c>
      <c r="O136" s="6">
        <v>0</v>
      </c>
      <c r="P136" s="6">
        <v>0</v>
      </c>
      <c r="Q136" s="4" t="s">
        <v>53</v>
      </c>
      <c r="R136" s="4">
        <v>0</v>
      </c>
      <c r="S136" s="6">
        <v>0</v>
      </c>
      <c r="T136" s="6">
        <v>15</v>
      </c>
      <c r="U136" s="6">
        <v>0</v>
      </c>
      <c r="V136" s="6">
        <f>IF(ISERROR(VLOOKUP($S$136,'TAR FIN'!$A$1:$O$85,15,0)),0,VLOOKUP($S$136,'TAR FIN'!$A$1:$O$85,15,0))</f>
        <v>0</v>
      </c>
      <c r="W136" s="6">
        <f>IF(ISERROR(VLOOKUP($T$136,'TAR FIN'!$A$1:$O$85,15,0)),0,VLOOKUP($T$136,'TAR FIN'!$A$1:$O$85,15,0))</f>
        <v>940.75</v>
      </c>
      <c r="X136" s="6">
        <f>IF(ISERROR(VLOOKUP($U$136,'TAR FIN'!$A$1:$O$85,15,0)),0,VLOOKUP($U$136,'TAR FIN'!$A$1:$O$85,15,0))</f>
        <v>0</v>
      </c>
      <c r="Y136" s="6"/>
      <c r="Z136" s="6">
        <f ca="1">('TUSD BE'!$AM$11+'TUSD BF'!$AM$11+'TUSD CVA'!$AM$11)*1</f>
        <v>966.5081601045739</v>
      </c>
      <c r="AA136" s="6"/>
      <c r="AB136" s="6">
        <f>$K$136*$V$136</f>
        <v>0</v>
      </c>
      <c r="AC136" s="6">
        <f>$M$136*$W$136</f>
        <v>14107.33699150459</v>
      </c>
      <c r="AD136" s="6">
        <f>$O$136*$X$136</f>
        <v>0</v>
      </c>
      <c r="AE136" s="6">
        <f>$K$136*$Y$136</f>
        <v>0</v>
      </c>
      <c r="AF136" s="6">
        <f ca="1">$M$136*$Z$136</f>
        <v>14493.602253132391</v>
      </c>
      <c r="AG136" s="6">
        <f>$O$136*$AA$136</f>
        <v>0</v>
      </c>
    </row>
    <row r="137" spans="1:33" ht="11.25" customHeight="1" x14ac:dyDescent="0.25">
      <c r="A137" s="4" t="s">
        <v>21</v>
      </c>
      <c r="B137" s="4" t="s">
        <v>34</v>
      </c>
      <c r="C137" s="4" t="s">
        <v>35</v>
      </c>
      <c r="D137" s="4" t="s">
        <v>33</v>
      </c>
      <c r="E137" s="4" t="s">
        <v>25</v>
      </c>
      <c r="F137" s="4" t="s">
        <v>52</v>
      </c>
      <c r="G137" s="4" t="s">
        <v>25</v>
      </c>
      <c r="H137" s="4" t="s">
        <v>36</v>
      </c>
      <c r="I137" s="5">
        <v>44470</v>
      </c>
      <c r="J137" s="6">
        <v>0</v>
      </c>
      <c r="K137" s="6">
        <v>0</v>
      </c>
      <c r="L137" s="6">
        <v>27.867999999999999</v>
      </c>
      <c r="M137" s="6">
        <v>15.169931587320001</v>
      </c>
      <c r="N137" s="6">
        <v>0</v>
      </c>
      <c r="O137" s="6">
        <v>0</v>
      </c>
      <c r="P137" s="6">
        <v>0</v>
      </c>
      <c r="Q137" s="4" t="s">
        <v>53</v>
      </c>
      <c r="R137" s="4">
        <v>0</v>
      </c>
      <c r="S137" s="6">
        <v>0</v>
      </c>
      <c r="T137" s="6">
        <v>15</v>
      </c>
      <c r="U137" s="6">
        <v>0</v>
      </c>
      <c r="V137" s="6">
        <f>IF(ISERROR(VLOOKUP($S$137,'TAR FIN'!$A$1:$O$85,15,0)),0,VLOOKUP($S$137,'TAR FIN'!$A$1:$O$85,15,0))</f>
        <v>0</v>
      </c>
      <c r="W137" s="6">
        <f>IF(ISERROR(VLOOKUP($T$137,'TAR FIN'!$A$1:$O$85,15,0)),0,VLOOKUP($T$137,'TAR FIN'!$A$1:$O$85,15,0))</f>
        <v>940.75</v>
      </c>
      <c r="X137" s="6">
        <f>IF(ISERROR(VLOOKUP($U$137,'TAR FIN'!$A$1:$O$85,15,0)),0,VLOOKUP($U$137,'TAR FIN'!$A$1:$O$85,15,0))</f>
        <v>0</v>
      </c>
      <c r="Y137" s="6"/>
      <c r="Z137" s="6">
        <f ca="1">('TUSD BE'!$AM$11+'TUSD BF'!$AM$11+'TUSD CVA'!$AM$11)*1</f>
        <v>966.5081601045739</v>
      </c>
      <c r="AA137" s="6"/>
      <c r="AB137" s="6">
        <f>$K$137*$V$137</f>
        <v>0</v>
      </c>
      <c r="AC137" s="6">
        <f>$M$137*$W$137</f>
        <v>14271.113140771291</v>
      </c>
      <c r="AD137" s="6">
        <f>$O$137*$X$137</f>
        <v>0</v>
      </c>
      <c r="AE137" s="6">
        <f>$K$137*$Y$137</f>
        <v>0</v>
      </c>
      <c r="AF137" s="6">
        <f ca="1">$M$137*$Z$137</f>
        <v>14661.862667372912</v>
      </c>
      <c r="AG137" s="6">
        <f>$O$137*$AA$137</f>
        <v>0</v>
      </c>
    </row>
    <row r="138" spans="1:33" ht="11.25" customHeight="1" x14ac:dyDescent="0.25">
      <c r="A138" s="4" t="s">
        <v>21</v>
      </c>
      <c r="B138" s="4" t="s">
        <v>34</v>
      </c>
      <c r="C138" s="4" t="s">
        <v>35</v>
      </c>
      <c r="D138" s="4" t="s">
        <v>33</v>
      </c>
      <c r="E138" s="4" t="s">
        <v>25</v>
      </c>
      <c r="F138" s="4" t="s">
        <v>52</v>
      </c>
      <c r="G138" s="4" t="s">
        <v>25</v>
      </c>
      <c r="H138" s="4" t="s">
        <v>36</v>
      </c>
      <c r="I138" s="5">
        <v>44501</v>
      </c>
      <c r="J138" s="6">
        <v>0</v>
      </c>
      <c r="K138" s="6">
        <v>0</v>
      </c>
      <c r="L138" s="6">
        <v>28.105</v>
      </c>
      <c r="M138" s="6">
        <v>14.110991563900001</v>
      </c>
      <c r="N138" s="6">
        <v>0</v>
      </c>
      <c r="O138" s="6">
        <v>0</v>
      </c>
      <c r="P138" s="6">
        <v>0</v>
      </c>
      <c r="Q138" s="4" t="s">
        <v>53</v>
      </c>
      <c r="R138" s="4">
        <v>0</v>
      </c>
      <c r="S138" s="6">
        <v>0</v>
      </c>
      <c r="T138" s="6">
        <v>15</v>
      </c>
      <c r="U138" s="6">
        <v>0</v>
      </c>
      <c r="V138" s="6">
        <f>IF(ISERROR(VLOOKUP($S$138,'TAR FIN'!$A$1:$O$85,15,0)),0,VLOOKUP($S$138,'TAR FIN'!$A$1:$O$85,15,0))</f>
        <v>0</v>
      </c>
      <c r="W138" s="6">
        <f>IF(ISERROR(VLOOKUP($T$138,'TAR FIN'!$A$1:$O$85,15,0)),0,VLOOKUP($T$138,'TAR FIN'!$A$1:$O$85,15,0))</f>
        <v>940.75</v>
      </c>
      <c r="X138" s="6">
        <f>IF(ISERROR(VLOOKUP($U$138,'TAR FIN'!$A$1:$O$85,15,0)),0,VLOOKUP($U$138,'TAR FIN'!$A$1:$O$85,15,0))</f>
        <v>0</v>
      </c>
      <c r="Y138" s="6"/>
      <c r="Z138" s="6">
        <f ca="1">('TUSD BE'!$AM$11+'TUSD BF'!$AM$11+'TUSD CVA'!$AM$11)*1</f>
        <v>966.5081601045739</v>
      </c>
      <c r="AA138" s="6"/>
      <c r="AB138" s="6">
        <f>$K$138*$V$138</f>
        <v>0</v>
      </c>
      <c r="AC138" s="6">
        <f>$M$138*$W$138</f>
        <v>13274.915313738926</v>
      </c>
      <c r="AD138" s="6">
        <f>$O$138*$X$138</f>
        <v>0</v>
      </c>
      <c r="AE138" s="6">
        <f>$K$138*$Y$138</f>
        <v>0</v>
      </c>
      <c r="AF138" s="6">
        <f ca="1">$M$138*$Z$138</f>
        <v>13638.388493676153</v>
      </c>
      <c r="AG138" s="6">
        <f>$O$138*$AA$138</f>
        <v>0</v>
      </c>
    </row>
    <row r="139" spans="1:33" ht="11.25" customHeight="1" x14ac:dyDescent="0.25">
      <c r="A139" s="4" t="s">
        <v>21</v>
      </c>
      <c r="B139" s="4" t="s">
        <v>34</v>
      </c>
      <c r="C139" s="4" t="s">
        <v>35</v>
      </c>
      <c r="D139" s="4" t="s">
        <v>33</v>
      </c>
      <c r="E139" s="4" t="s">
        <v>25</v>
      </c>
      <c r="F139" s="4" t="s">
        <v>52</v>
      </c>
      <c r="G139" s="4" t="s">
        <v>25</v>
      </c>
      <c r="H139" s="4" t="s">
        <v>36</v>
      </c>
      <c r="I139" s="5">
        <v>44531</v>
      </c>
      <c r="J139" s="6">
        <v>0</v>
      </c>
      <c r="K139" s="6">
        <v>0</v>
      </c>
      <c r="L139" s="6">
        <v>18.141999999999999</v>
      </c>
      <c r="M139" s="6">
        <v>9.8499206017199992</v>
      </c>
      <c r="N139" s="6">
        <v>0</v>
      </c>
      <c r="O139" s="6">
        <v>0</v>
      </c>
      <c r="P139" s="6">
        <v>0</v>
      </c>
      <c r="Q139" s="4" t="s">
        <v>53</v>
      </c>
      <c r="R139" s="4">
        <v>0</v>
      </c>
      <c r="S139" s="6">
        <v>0</v>
      </c>
      <c r="T139" s="6">
        <v>15</v>
      </c>
      <c r="U139" s="6">
        <v>0</v>
      </c>
      <c r="V139" s="6">
        <f>IF(ISERROR(VLOOKUP($S$139,'TAR FIN'!$A$1:$O$85,15,0)),0,VLOOKUP($S$139,'TAR FIN'!$A$1:$O$85,15,0))</f>
        <v>0</v>
      </c>
      <c r="W139" s="6">
        <f>IF(ISERROR(VLOOKUP($T$139,'TAR FIN'!$A$1:$O$85,15,0)),0,VLOOKUP($T$139,'TAR FIN'!$A$1:$O$85,15,0))</f>
        <v>940.75</v>
      </c>
      <c r="X139" s="6">
        <f>IF(ISERROR(VLOOKUP($U$139,'TAR FIN'!$A$1:$O$85,15,0)),0,VLOOKUP($U$139,'TAR FIN'!$A$1:$O$85,15,0))</f>
        <v>0</v>
      </c>
      <c r="Y139" s="6"/>
      <c r="Z139" s="6">
        <f ca="1">('TUSD BE'!$AM$11+'TUSD BF'!$AM$11+'TUSD CVA'!$AM$11)*1</f>
        <v>966.5081601045739</v>
      </c>
      <c r="AA139" s="6"/>
      <c r="AB139" s="6">
        <f>$K$139*$V$139</f>
        <v>0</v>
      </c>
      <c r="AC139" s="6">
        <f>$M$139*$W$139</f>
        <v>9266.3128060680883</v>
      </c>
      <c r="AD139" s="6">
        <f>$O$139*$X$139</f>
        <v>0</v>
      </c>
      <c r="AE139" s="6">
        <f>$K$139*$Y$139</f>
        <v>0</v>
      </c>
      <c r="AF139" s="6">
        <f ca="1">$M$139*$Z$139</f>
        <v>9520.0286379445333</v>
      </c>
      <c r="AG139" s="6">
        <f>$O$139*$AA$139</f>
        <v>0</v>
      </c>
    </row>
    <row r="140" spans="1:33" ht="11.25" customHeight="1" x14ac:dyDescent="0.25">
      <c r="A140" s="4" t="s">
        <v>21</v>
      </c>
      <c r="B140" s="4" t="s">
        <v>34</v>
      </c>
      <c r="C140" s="4" t="s">
        <v>35</v>
      </c>
      <c r="D140" s="4" t="s">
        <v>33</v>
      </c>
      <c r="E140" s="4" t="s">
        <v>25</v>
      </c>
      <c r="F140" s="4" t="s">
        <v>52</v>
      </c>
      <c r="G140" s="4" t="s">
        <v>25</v>
      </c>
      <c r="H140" s="4" t="s">
        <v>36</v>
      </c>
      <c r="I140" s="5">
        <v>44562</v>
      </c>
      <c r="J140" s="6">
        <v>0</v>
      </c>
      <c r="K140" s="6">
        <v>0</v>
      </c>
      <c r="L140" s="6">
        <v>46.316000000000003</v>
      </c>
      <c r="M140" s="6">
        <v>27.48476568808</v>
      </c>
      <c r="N140" s="6">
        <v>0</v>
      </c>
      <c r="O140" s="6">
        <v>0</v>
      </c>
      <c r="P140" s="6">
        <v>0</v>
      </c>
      <c r="Q140" s="4" t="s">
        <v>53</v>
      </c>
      <c r="R140" s="4">
        <v>0</v>
      </c>
      <c r="S140" s="6">
        <v>0</v>
      </c>
      <c r="T140" s="6">
        <v>15</v>
      </c>
      <c r="U140" s="6">
        <v>0</v>
      </c>
      <c r="V140" s="6">
        <f>IF(ISERROR(VLOOKUP($S$140,'TAR FIN'!$A$1:$O$85,15,0)),0,VLOOKUP($S$140,'TAR FIN'!$A$1:$O$85,15,0))</f>
        <v>0</v>
      </c>
      <c r="W140" s="6">
        <f>IF(ISERROR(VLOOKUP($T$140,'TAR FIN'!$A$1:$O$85,15,0)),0,VLOOKUP($T$140,'TAR FIN'!$A$1:$O$85,15,0))</f>
        <v>940.75</v>
      </c>
      <c r="X140" s="6">
        <f>IF(ISERROR(VLOOKUP($U$140,'TAR FIN'!$A$1:$O$85,15,0)),0,VLOOKUP($U$140,'TAR FIN'!$A$1:$O$85,15,0))</f>
        <v>0</v>
      </c>
      <c r="Y140" s="6"/>
      <c r="Z140" s="6">
        <f ca="1">('TUSD BE'!$AM$11+'TUSD BF'!$AM$11+'TUSD CVA'!$AM$11)*1</f>
        <v>966.5081601045739</v>
      </c>
      <c r="AA140" s="6"/>
      <c r="AB140" s="6">
        <f>$K$140*$V$140</f>
        <v>0</v>
      </c>
      <c r="AC140" s="6">
        <f>$M$140*$W$140</f>
        <v>25856.293321061261</v>
      </c>
      <c r="AD140" s="6">
        <f>$O$140*$X$140</f>
        <v>0</v>
      </c>
      <c r="AE140" s="6">
        <f>$K$140*$Y$140</f>
        <v>0</v>
      </c>
      <c r="AF140" s="6">
        <f ca="1">$M$140*$Z$140</f>
        <v>26564.250316091522</v>
      </c>
      <c r="AG140" s="6">
        <f>$O$140*$AA$140</f>
        <v>0</v>
      </c>
    </row>
    <row r="141" spans="1:33" ht="11.25" customHeight="1" x14ac:dyDescent="0.25">
      <c r="A141" s="4" t="s">
        <v>21</v>
      </c>
      <c r="B141" s="4" t="s">
        <v>34</v>
      </c>
      <c r="C141" s="4" t="s">
        <v>35</v>
      </c>
      <c r="D141" s="4" t="s">
        <v>33</v>
      </c>
      <c r="E141" s="4" t="s">
        <v>25</v>
      </c>
      <c r="F141" s="4" t="s">
        <v>52</v>
      </c>
      <c r="G141" s="4" t="s">
        <v>25</v>
      </c>
      <c r="H141" s="4" t="s">
        <v>36</v>
      </c>
      <c r="I141" s="5">
        <v>44593</v>
      </c>
      <c r="J141" s="6">
        <v>0</v>
      </c>
      <c r="K141" s="6">
        <v>0</v>
      </c>
      <c r="L141" s="6">
        <v>41.395000000000003</v>
      </c>
      <c r="M141" s="6">
        <v>24.649826298250002</v>
      </c>
      <c r="N141" s="6">
        <v>0</v>
      </c>
      <c r="O141" s="6">
        <v>0</v>
      </c>
      <c r="P141" s="6">
        <v>0</v>
      </c>
      <c r="Q141" s="4" t="s">
        <v>53</v>
      </c>
      <c r="R141" s="4">
        <v>0</v>
      </c>
      <c r="S141" s="6">
        <v>0</v>
      </c>
      <c r="T141" s="6">
        <v>15</v>
      </c>
      <c r="U141" s="6">
        <v>0</v>
      </c>
      <c r="V141" s="6">
        <f>IF(ISERROR(VLOOKUP($S$141,'TAR FIN'!$A$1:$O$85,15,0)),0,VLOOKUP($S$141,'TAR FIN'!$A$1:$O$85,15,0))</f>
        <v>0</v>
      </c>
      <c r="W141" s="6">
        <f>IF(ISERROR(VLOOKUP($T$141,'TAR FIN'!$A$1:$O$85,15,0)),0,VLOOKUP($T$141,'TAR FIN'!$A$1:$O$85,15,0))</f>
        <v>940.75</v>
      </c>
      <c r="X141" s="6">
        <f>IF(ISERROR(VLOOKUP($U$141,'TAR FIN'!$A$1:$O$85,15,0)),0,VLOOKUP($U$141,'TAR FIN'!$A$1:$O$85,15,0))</f>
        <v>0</v>
      </c>
      <c r="Y141" s="6"/>
      <c r="Z141" s="6">
        <f ca="1">('TUSD BE'!$AM$11+'TUSD BF'!$AM$11+'TUSD CVA'!$AM$11)*1</f>
        <v>966.5081601045739</v>
      </c>
      <c r="AA141" s="6"/>
      <c r="AB141" s="6">
        <f>$K$141*$V$141</f>
        <v>0</v>
      </c>
      <c r="AC141" s="6">
        <f>$M$141*$W$141</f>
        <v>23189.324090078688</v>
      </c>
      <c r="AD141" s="6">
        <f>$O$141*$X$141</f>
        <v>0</v>
      </c>
      <c r="AE141" s="6">
        <f>$K$141*$Y$141</f>
        <v>0</v>
      </c>
      <c r="AF141" s="6">
        <f ca="1">$M$141*$Z$141</f>
        <v>23824.258262418949</v>
      </c>
      <c r="AG141" s="6">
        <f>$O$141*$AA$141</f>
        <v>0</v>
      </c>
    </row>
    <row r="142" spans="1:33" ht="11.25" customHeight="1" x14ac:dyDescent="0.25">
      <c r="A142" s="4" t="s">
        <v>21</v>
      </c>
      <c r="B142" s="4" t="s">
        <v>34</v>
      </c>
      <c r="C142" s="4" t="s">
        <v>35</v>
      </c>
      <c r="D142" s="4" t="s">
        <v>33</v>
      </c>
      <c r="E142" s="4" t="s">
        <v>25</v>
      </c>
      <c r="F142" s="4" t="s">
        <v>52</v>
      </c>
      <c r="G142" s="4" t="s">
        <v>25</v>
      </c>
      <c r="H142" s="4" t="s">
        <v>36</v>
      </c>
      <c r="I142" s="5">
        <v>44621</v>
      </c>
      <c r="J142" s="6">
        <v>0</v>
      </c>
      <c r="K142" s="6">
        <v>0</v>
      </c>
      <c r="L142" s="6">
        <v>46.118000000000002</v>
      </c>
      <c r="M142" s="6">
        <v>26.298977661439999</v>
      </c>
      <c r="N142" s="6">
        <v>0</v>
      </c>
      <c r="O142" s="6">
        <v>0</v>
      </c>
      <c r="P142" s="6">
        <v>0</v>
      </c>
      <c r="Q142" s="4" t="s">
        <v>53</v>
      </c>
      <c r="R142" s="4">
        <v>0</v>
      </c>
      <c r="S142" s="6">
        <v>0</v>
      </c>
      <c r="T142" s="6">
        <v>15</v>
      </c>
      <c r="U142" s="6">
        <v>0</v>
      </c>
      <c r="V142" s="6">
        <f>IF(ISERROR(VLOOKUP($S$142,'TAR FIN'!$A$1:$O$85,15,0)),0,VLOOKUP($S$142,'TAR FIN'!$A$1:$O$85,15,0))</f>
        <v>0</v>
      </c>
      <c r="W142" s="6">
        <f>IF(ISERROR(VLOOKUP($T$142,'TAR FIN'!$A$1:$O$85,15,0)),0,VLOOKUP($T$142,'TAR FIN'!$A$1:$O$85,15,0))</f>
        <v>940.75</v>
      </c>
      <c r="X142" s="6">
        <f>IF(ISERROR(VLOOKUP($U$142,'TAR FIN'!$A$1:$O$85,15,0)),0,VLOOKUP($U$142,'TAR FIN'!$A$1:$O$85,15,0))</f>
        <v>0</v>
      </c>
      <c r="Y142" s="6"/>
      <c r="Z142" s="6">
        <f ca="1">('TUSD BE'!$AM$11+'TUSD BF'!$AM$11+'TUSD CVA'!$AM$11)*1</f>
        <v>966.5081601045739</v>
      </c>
      <c r="AA142" s="6"/>
      <c r="AB142" s="6">
        <f>$K$142*$V$142</f>
        <v>0</v>
      </c>
      <c r="AC142" s="6">
        <f>$M$142*$W$142</f>
        <v>24740.763234999678</v>
      </c>
      <c r="AD142" s="6">
        <f>$O$142*$X$142</f>
        <v>0</v>
      </c>
      <c r="AE142" s="6">
        <f>$K$142*$Y$142</f>
        <v>0</v>
      </c>
      <c r="AF142" s="6">
        <f ca="1">$M$142*$Z$142</f>
        <v>25418.176512189664</v>
      </c>
      <c r="AG142" s="6">
        <f>$O$142*$AA$142</f>
        <v>0</v>
      </c>
    </row>
    <row r="143" spans="1:33" ht="11.25" customHeight="1" x14ac:dyDescent="0.25">
      <c r="A143" s="4" t="s">
        <v>21</v>
      </c>
      <c r="B143" s="4" t="s">
        <v>34</v>
      </c>
      <c r="C143" s="4" t="s">
        <v>35</v>
      </c>
      <c r="D143" s="4" t="s">
        <v>33</v>
      </c>
      <c r="E143" s="4" t="s">
        <v>25</v>
      </c>
      <c r="F143" s="4" t="s">
        <v>52</v>
      </c>
      <c r="G143" s="4" t="s">
        <v>25</v>
      </c>
      <c r="H143" s="4" t="s">
        <v>36</v>
      </c>
      <c r="I143" s="5">
        <v>44652</v>
      </c>
      <c r="J143" s="6">
        <v>0</v>
      </c>
      <c r="K143" s="6">
        <v>0</v>
      </c>
      <c r="L143" s="6">
        <v>36.996000000000002</v>
      </c>
      <c r="M143" s="6">
        <v>20.580397551600001</v>
      </c>
      <c r="N143" s="6">
        <v>0</v>
      </c>
      <c r="O143" s="6">
        <v>0</v>
      </c>
      <c r="P143" s="6">
        <v>0</v>
      </c>
      <c r="Q143" s="4" t="s">
        <v>53</v>
      </c>
      <c r="R143" s="4">
        <v>0</v>
      </c>
      <c r="S143" s="6">
        <v>0</v>
      </c>
      <c r="T143" s="6">
        <v>15</v>
      </c>
      <c r="U143" s="6">
        <v>0</v>
      </c>
      <c r="V143" s="6">
        <f>IF(ISERROR(VLOOKUP($S$143,'TAR FIN'!$A$1:$O$85,15,0)),0,VLOOKUP($S$143,'TAR FIN'!$A$1:$O$85,15,0))</f>
        <v>0</v>
      </c>
      <c r="W143" s="6">
        <f>IF(ISERROR(VLOOKUP($T$143,'TAR FIN'!$A$1:$O$85,15,0)),0,VLOOKUP($T$143,'TAR FIN'!$A$1:$O$85,15,0))</f>
        <v>940.75</v>
      </c>
      <c r="X143" s="6">
        <f>IF(ISERROR(VLOOKUP($U$143,'TAR FIN'!$A$1:$O$85,15,0)),0,VLOOKUP($U$143,'TAR FIN'!$A$1:$O$85,15,0))</f>
        <v>0</v>
      </c>
      <c r="Y143" s="6"/>
      <c r="Z143" s="6">
        <f ca="1">('TUSD BE'!$AM$11+'TUSD BF'!$AM$11+'TUSD CVA'!$AM$11)*1</f>
        <v>966.5081601045739</v>
      </c>
      <c r="AA143" s="6"/>
      <c r="AB143" s="6">
        <f>$K$143*$V$143</f>
        <v>0</v>
      </c>
      <c r="AC143" s="6">
        <f>$M$143*$W$143</f>
        <v>19361.008996667701</v>
      </c>
      <c r="AD143" s="6">
        <f>$O$143*$X$143</f>
        <v>0</v>
      </c>
      <c r="AE143" s="6">
        <f>$K$143*$Y$143</f>
        <v>0</v>
      </c>
      <c r="AF143" s="6">
        <f ca="1">$M$143*$Z$143</f>
        <v>19891.122171817595</v>
      </c>
      <c r="AG143" s="6">
        <f>$O$143*$AA$143</f>
        <v>0</v>
      </c>
    </row>
    <row r="144" spans="1:33" ht="11.25" customHeight="1" x14ac:dyDescent="0.25">
      <c r="A144" s="4" t="s">
        <v>21</v>
      </c>
      <c r="B144" s="4" t="s">
        <v>34</v>
      </c>
      <c r="C144" s="4" t="s">
        <v>35</v>
      </c>
      <c r="D144" s="4" t="s">
        <v>33</v>
      </c>
      <c r="E144" s="4" t="s">
        <v>25</v>
      </c>
      <c r="F144" s="4" t="s">
        <v>52</v>
      </c>
      <c r="G144" s="4" t="s">
        <v>25</v>
      </c>
      <c r="H144" s="4" t="s">
        <v>36</v>
      </c>
      <c r="I144" s="5">
        <v>44682</v>
      </c>
      <c r="J144" s="6">
        <v>0</v>
      </c>
      <c r="K144" s="6">
        <v>0</v>
      </c>
      <c r="L144" s="6">
        <v>42.427</v>
      </c>
      <c r="M144" s="6">
        <v>24.931020774659999</v>
      </c>
      <c r="N144" s="6">
        <v>0</v>
      </c>
      <c r="O144" s="6">
        <v>0</v>
      </c>
      <c r="P144" s="6">
        <v>0</v>
      </c>
      <c r="Q144" s="4" t="s">
        <v>53</v>
      </c>
      <c r="R144" s="4">
        <v>0</v>
      </c>
      <c r="S144" s="6">
        <v>0</v>
      </c>
      <c r="T144" s="6">
        <v>15</v>
      </c>
      <c r="U144" s="6">
        <v>0</v>
      </c>
      <c r="V144" s="6">
        <f>IF(ISERROR(VLOOKUP($S$144,'TAR FIN'!$A$1:$O$85,15,0)),0,VLOOKUP($S$144,'TAR FIN'!$A$1:$O$85,15,0))</f>
        <v>0</v>
      </c>
      <c r="W144" s="6">
        <f>IF(ISERROR(VLOOKUP($T$144,'TAR FIN'!$A$1:$O$85,15,0)),0,VLOOKUP($T$144,'TAR FIN'!$A$1:$O$85,15,0))</f>
        <v>940.75</v>
      </c>
      <c r="X144" s="6">
        <f>IF(ISERROR(VLOOKUP($U$144,'TAR FIN'!$A$1:$O$85,15,0)),0,VLOOKUP($U$144,'TAR FIN'!$A$1:$O$85,15,0))</f>
        <v>0</v>
      </c>
      <c r="Y144" s="6"/>
      <c r="Z144" s="6">
        <f ca="1">('TUSD BE'!$AM$11+'TUSD BF'!$AM$11+'TUSD CVA'!$AM$11)*1</f>
        <v>966.5081601045739</v>
      </c>
      <c r="AA144" s="6"/>
      <c r="AB144" s="6">
        <f>$K$144*$V$144</f>
        <v>0</v>
      </c>
      <c r="AC144" s="6">
        <f>$M$144*$W$144</f>
        <v>23453.857793761395</v>
      </c>
      <c r="AD144" s="6">
        <f>$O$144*$X$144</f>
        <v>0</v>
      </c>
      <c r="AE144" s="6">
        <f>$K$144*$Y$144</f>
        <v>0</v>
      </c>
      <c r="AF144" s="6">
        <f ca="1">$M$144*$Z$144</f>
        <v>24096.035018445546</v>
      </c>
      <c r="AG144" s="6">
        <f>$O$144*$AA$144</f>
        <v>0</v>
      </c>
    </row>
    <row r="145" spans="1:33" ht="11.25" customHeight="1" x14ac:dyDescent="0.25">
      <c r="A145" s="4" t="s">
        <v>21</v>
      </c>
      <c r="B145" s="4" t="s">
        <v>34</v>
      </c>
      <c r="C145" s="4" t="s">
        <v>35</v>
      </c>
      <c r="D145" s="4" t="s">
        <v>33</v>
      </c>
      <c r="E145" s="4" t="s">
        <v>25</v>
      </c>
      <c r="F145" s="4" t="s">
        <v>52</v>
      </c>
      <c r="G145" s="4" t="s">
        <v>25</v>
      </c>
      <c r="H145" s="4" t="s">
        <v>36</v>
      </c>
      <c r="I145" s="5">
        <v>44713</v>
      </c>
      <c r="J145" s="6">
        <v>0</v>
      </c>
      <c r="K145" s="6">
        <v>0</v>
      </c>
      <c r="L145" s="6">
        <v>42.43</v>
      </c>
      <c r="M145" s="6">
        <v>24.9327836394</v>
      </c>
      <c r="N145" s="6">
        <v>0</v>
      </c>
      <c r="O145" s="6">
        <v>0</v>
      </c>
      <c r="P145" s="6">
        <v>0</v>
      </c>
      <c r="Q145" s="4" t="s">
        <v>53</v>
      </c>
      <c r="R145" s="4">
        <v>0</v>
      </c>
      <c r="S145" s="6">
        <v>0</v>
      </c>
      <c r="T145" s="6">
        <v>15</v>
      </c>
      <c r="U145" s="6">
        <v>0</v>
      </c>
      <c r="V145" s="6">
        <f>IF(ISERROR(VLOOKUP($S$145,'TAR FIN'!$A$1:$O$85,15,0)),0,VLOOKUP($S$145,'TAR FIN'!$A$1:$O$85,15,0))</f>
        <v>0</v>
      </c>
      <c r="W145" s="6">
        <f>IF(ISERROR(VLOOKUP($T$145,'TAR FIN'!$A$1:$O$85,15,0)),0,VLOOKUP($T$145,'TAR FIN'!$A$1:$O$85,15,0))</f>
        <v>940.75</v>
      </c>
      <c r="X145" s="6">
        <f>IF(ISERROR(VLOOKUP($U$145,'TAR FIN'!$A$1:$O$85,15,0)),0,VLOOKUP($U$145,'TAR FIN'!$A$1:$O$85,15,0))</f>
        <v>0</v>
      </c>
      <c r="Y145" s="6"/>
      <c r="Z145" s="6">
        <f ca="1">('TUSD BE'!$AM$11+'TUSD BF'!$AM$11+'TUSD CVA'!$AM$11)*1</f>
        <v>966.5081601045739</v>
      </c>
      <c r="AA145" s="6"/>
      <c r="AB145" s="6">
        <f>$K$145*$V$145</f>
        <v>0</v>
      </c>
      <c r="AC145" s="6">
        <f>$M$145*$W$145</f>
        <v>23455.516208765552</v>
      </c>
      <c r="AD145" s="6">
        <f>$O$145*$X$145</f>
        <v>0</v>
      </c>
      <c r="AE145" s="6">
        <f>$K$145*$Y$145</f>
        <v>0</v>
      </c>
      <c r="AF145" s="6">
        <f ca="1">$M$145*$Z$145</f>
        <v>24097.738841601917</v>
      </c>
      <c r="AG145" s="6">
        <f>$O$145*$AA$145</f>
        <v>0</v>
      </c>
    </row>
    <row r="146" spans="1:33" ht="11.25" customHeight="1" x14ac:dyDescent="0.25">
      <c r="A146" s="4" t="s">
        <v>21</v>
      </c>
      <c r="B146" s="4" t="s">
        <v>34</v>
      </c>
      <c r="C146" s="4" t="s">
        <v>35</v>
      </c>
      <c r="D146" s="4" t="s">
        <v>33</v>
      </c>
      <c r="E146" s="4" t="s">
        <v>25</v>
      </c>
      <c r="F146" s="4" t="s">
        <v>25</v>
      </c>
      <c r="G146" s="4" t="s">
        <v>25</v>
      </c>
      <c r="H146" s="4" t="s">
        <v>37</v>
      </c>
      <c r="I146" s="5">
        <v>44378</v>
      </c>
      <c r="J146" s="6">
        <v>0</v>
      </c>
      <c r="K146" s="6">
        <v>0</v>
      </c>
      <c r="L146" s="6">
        <v>1832.672</v>
      </c>
      <c r="M146" s="6">
        <v>1832.672</v>
      </c>
      <c r="N146" s="6">
        <v>1832.672</v>
      </c>
      <c r="O146" s="6">
        <v>1832.672</v>
      </c>
      <c r="P146" s="6">
        <v>0</v>
      </c>
      <c r="Q146" s="4" t="s">
        <v>26</v>
      </c>
      <c r="R146" s="4">
        <v>0</v>
      </c>
      <c r="S146" s="6">
        <v>0</v>
      </c>
      <c r="T146" s="6">
        <v>13</v>
      </c>
      <c r="U146" s="6">
        <v>16</v>
      </c>
      <c r="V146" s="6">
        <f>IF(ISERROR(VLOOKUP($S$146,'TAR FIN'!$A$1:$O$85,15,0)),0,VLOOKUP($S$146,'TAR FIN'!$A$1:$O$85,15,0))</f>
        <v>0</v>
      </c>
      <c r="W146" s="6">
        <f>IF(ISERROR(VLOOKUP($T$146,'TAR FIN'!$A$1:$O$85,15,0)),0,VLOOKUP($T$146,'TAR FIN'!$A$1:$O$85,15,0))</f>
        <v>78.650000000000006</v>
      </c>
      <c r="X146" s="6">
        <f>IF(ISERROR(VLOOKUP($U$146,'TAR FIN'!$A$1:$O$85,15,0)),0,VLOOKUP($U$146,'TAR FIN'!$A$1:$O$85,15,0))</f>
        <v>229.87</v>
      </c>
      <c r="Y146" s="6"/>
      <c r="Z146" s="6">
        <f ca="1">('TUSD BE'!$AM$12+'TUSD BF'!$AM$12+'TUSD CVA'!$AM$12)*1</f>
        <v>114.48039155571371</v>
      </c>
      <c r="AA146" s="6">
        <f>('TE BE'!$AB$6+'TE BF'!$AB$6+'TE CVA'!$AB$6)*1</f>
        <v>216.60171770542672</v>
      </c>
      <c r="AB146" s="6">
        <f>$K$146*$V$146</f>
        <v>0</v>
      </c>
      <c r="AC146" s="6">
        <f>$M$146*$W$146</f>
        <v>144139.65280000001</v>
      </c>
      <c r="AD146" s="6">
        <f>$O$146*$X$146</f>
        <v>421276.31264000002</v>
      </c>
      <c r="AE146" s="6">
        <f>$K$146*$Y$146</f>
        <v>0</v>
      </c>
      <c r="AF146" s="6">
        <f ca="1">$M$146*$Z$146</f>
        <v>209805.00815319296</v>
      </c>
      <c r="AG146" s="6">
        <f>$O$146*$AA$146</f>
        <v>396959.9031906398</v>
      </c>
    </row>
    <row r="147" spans="1:33" ht="11.25" customHeight="1" x14ac:dyDescent="0.25">
      <c r="A147" s="4" t="s">
        <v>21</v>
      </c>
      <c r="B147" s="4" t="s">
        <v>34</v>
      </c>
      <c r="C147" s="4" t="s">
        <v>35</v>
      </c>
      <c r="D147" s="4" t="s">
        <v>33</v>
      </c>
      <c r="E147" s="4" t="s">
        <v>25</v>
      </c>
      <c r="F147" s="4" t="s">
        <v>25</v>
      </c>
      <c r="G147" s="4" t="s">
        <v>25</v>
      </c>
      <c r="H147" s="4" t="s">
        <v>37</v>
      </c>
      <c r="I147" s="5">
        <v>44409</v>
      </c>
      <c r="J147" s="6">
        <v>0</v>
      </c>
      <c r="K147" s="6">
        <v>0</v>
      </c>
      <c r="L147" s="6">
        <v>1881.9169999999999</v>
      </c>
      <c r="M147" s="6">
        <v>1881.9169999999999</v>
      </c>
      <c r="N147" s="6">
        <v>1881.9169999999999</v>
      </c>
      <c r="O147" s="6">
        <v>1881.9169999999999</v>
      </c>
      <c r="P147" s="6">
        <v>0</v>
      </c>
      <c r="Q147" s="4" t="s">
        <v>26</v>
      </c>
      <c r="R147" s="4">
        <v>0</v>
      </c>
      <c r="S147" s="6">
        <v>0</v>
      </c>
      <c r="T147" s="6">
        <v>13</v>
      </c>
      <c r="U147" s="6">
        <v>16</v>
      </c>
      <c r="V147" s="6">
        <f>IF(ISERROR(VLOOKUP($S$147,'TAR FIN'!$A$1:$O$85,15,0)),0,VLOOKUP($S$147,'TAR FIN'!$A$1:$O$85,15,0))</f>
        <v>0</v>
      </c>
      <c r="W147" s="6">
        <f>IF(ISERROR(VLOOKUP($T$147,'TAR FIN'!$A$1:$O$85,15,0)),0,VLOOKUP($T$147,'TAR FIN'!$A$1:$O$85,15,0))</f>
        <v>78.650000000000006</v>
      </c>
      <c r="X147" s="6">
        <f>IF(ISERROR(VLOOKUP($U$147,'TAR FIN'!$A$1:$O$85,15,0)),0,VLOOKUP($U$147,'TAR FIN'!$A$1:$O$85,15,0))</f>
        <v>229.87</v>
      </c>
      <c r="Y147" s="6"/>
      <c r="Z147" s="6">
        <f ca="1">('TUSD BE'!$AM$12+'TUSD BF'!$AM$12+'TUSD CVA'!$AM$12)*1</f>
        <v>114.48039155571371</v>
      </c>
      <c r="AA147" s="6">
        <f>('TE BE'!$AB$6+'TE BF'!$AB$6+'TE CVA'!$AB$6)*1</f>
        <v>216.60171770542672</v>
      </c>
      <c r="AB147" s="6">
        <f>$K$147*$V$147</f>
        <v>0</v>
      </c>
      <c r="AC147" s="6">
        <f>$M$147*$W$147</f>
        <v>148012.77205</v>
      </c>
      <c r="AD147" s="6">
        <f>$O$147*$X$147</f>
        <v>432596.26078999997</v>
      </c>
      <c r="AE147" s="6">
        <f>$K$147*$Y$147</f>
        <v>0</v>
      </c>
      <c r="AF147" s="6">
        <f ca="1">$M$147*$Z$147</f>
        <v>215442.59503535405</v>
      </c>
      <c r="AG147" s="6">
        <f>$O$147*$AA$147</f>
        <v>407626.4547790435</v>
      </c>
    </row>
    <row r="148" spans="1:33" ht="11.25" customHeight="1" x14ac:dyDescent="0.25">
      <c r="A148" s="4" t="s">
        <v>21</v>
      </c>
      <c r="B148" s="4" t="s">
        <v>34</v>
      </c>
      <c r="C148" s="4" t="s">
        <v>35</v>
      </c>
      <c r="D148" s="4" t="s">
        <v>33</v>
      </c>
      <c r="E148" s="4" t="s">
        <v>25</v>
      </c>
      <c r="F148" s="4" t="s">
        <v>25</v>
      </c>
      <c r="G148" s="4" t="s">
        <v>25</v>
      </c>
      <c r="H148" s="4" t="s">
        <v>37</v>
      </c>
      <c r="I148" s="5">
        <v>44440</v>
      </c>
      <c r="J148" s="6">
        <v>0</v>
      </c>
      <c r="K148" s="6">
        <v>0</v>
      </c>
      <c r="L148" s="6">
        <v>1820.164</v>
      </c>
      <c r="M148" s="6">
        <v>1820.164</v>
      </c>
      <c r="N148" s="6">
        <v>1820.164</v>
      </c>
      <c r="O148" s="6">
        <v>1820.164</v>
      </c>
      <c r="P148" s="6">
        <v>0</v>
      </c>
      <c r="Q148" s="4" t="s">
        <v>26</v>
      </c>
      <c r="R148" s="4">
        <v>0</v>
      </c>
      <c r="S148" s="6">
        <v>0</v>
      </c>
      <c r="T148" s="6">
        <v>13</v>
      </c>
      <c r="U148" s="6">
        <v>16</v>
      </c>
      <c r="V148" s="6">
        <f>IF(ISERROR(VLOOKUP($S$148,'TAR FIN'!$A$1:$O$85,15,0)),0,VLOOKUP($S$148,'TAR FIN'!$A$1:$O$85,15,0))</f>
        <v>0</v>
      </c>
      <c r="W148" s="6">
        <f>IF(ISERROR(VLOOKUP($T$148,'TAR FIN'!$A$1:$O$85,15,0)),0,VLOOKUP($T$148,'TAR FIN'!$A$1:$O$85,15,0))</f>
        <v>78.650000000000006</v>
      </c>
      <c r="X148" s="6">
        <f>IF(ISERROR(VLOOKUP($U$148,'TAR FIN'!$A$1:$O$85,15,0)),0,VLOOKUP($U$148,'TAR FIN'!$A$1:$O$85,15,0))</f>
        <v>229.87</v>
      </c>
      <c r="Y148" s="6"/>
      <c r="Z148" s="6">
        <f ca="1">('TUSD BE'!$AM$12+'TUSD BF'!$AM$12+'TUSD CVA'!$AM$12)*1</f>
        <v>114.48039155571371</v>
      </c>
      <c r="AA148" s="6">
        <f>('TE BE'!$AB$6+'TE BF'!$AB$6+'TE CVA'!$AB$6)*1</f>
        <v>216.60171770542672</v>
      </c>
      <c r="AB148" s="6">
        <f>$K$148*$V$148</f>
        <v>0</v>
      </c>
      <c r="AC148" s="6">
        <f>$M$148*$W$148</f>
        <v>143155.89860000001</v>
      </c>
      <c r="AD148" s="6">
        <f>$O$148*$X$148</f>
        <v>418401.09868</v>
      </c>
      <c r="AE148" s="6">
        <f>$K$148*$Y$148</f>
        <v>0</v>
      </c>
      <c r="AF148" s="6">
        <f ca="1">$M$148*$Z$148</f>
        <v>208373.08741561408</v>
      </c>
      <c r="AG148" s="6">
        <f>$O$148*$AA$148</f>
        <v>394250.64890558034</v>
      </c>
    </row>
    <row r="149" spans="1:33" ht="11.25" customHeight="1" x14ac:dyDescent="0.25">
      <c r="A149" s="4" t="s">
        <v>21</v>
      </c>
      <c r="B149" s="4" t="s">
        <v>34</v>
      </c>
      <c r="C149" s="4" t="s">
        <v>35</v>
      </c>
      <c r="D149" s="4" t="s">
        <v>33</v>
      </c>
      <c r="E149" s="4" t="s">
        <v>25</v>
      </c>
      <c r="F149" s="4" t="s">
        <v>25</v>
      </c>
      <c r="G149" s="4" t="s">
        <v>25</v>
      </c>
      <c r="H149" s="4" t="s">
        <v>37</v>
      </c>
      <c r="I149" s="5">
        <v>44470</v>
      </c>
      <c r="J149" s="6">
        <v>0</v>
      </c>
      <c r="K149" s="6">
        <v>0</v>
      </c>
      <c r="L149" s="6">
        <v>1922.569</v>
      </c>
      <c r="M149" s="6">
        <v>1922.569</v>
      </c>
      <c r="N149" s="6">
        <v>1922.569</v>
      </c>
      <c r="O149" s="6">
        <v>1922.569</v>
      </c>
      <c r="P149" s="6">
        <v>0</v>
      </c>
      <c r="Q149" s="4" t="s">
        <v>26</v>
      </c>
      <c r="R149" s="4">
        <v>0</v>
      </c>
      <c r="S149" s="6">
        <v>0</v>
      </c>
      <c r="T149" s="6">
        <v>13</v>
      </c>
      <c r="U149" s="6">
        <v>16</v>
      </c>
      <c r="V149" s="6">
        <f>IF(ISERROR(VLOOKUP($S$149,'TAR FIN'!$A$1:$O$85,15,0)),0,VLOOKUP($S$149,'TAR FIN'!$A$1:$O$85,15,0))</f>
        <v>0</v>
      </c>
      <c r="W149" s="6">
        <f>IF(ISERROR(VLOOKUP($T$149,'TAR FIN'!$A$1:$O$85,15,0)),0,VLOOKUP($T$149,'TAR FIN'!$A$1:$O$85,15,0))</f>
        <v>78.650000000000006</v>
      </c>
      <c r="X149" s="6">
        <f>IF(ISERROR(VLOOKUP($U$149,'TAR FIN'!$A$1:$O$85,15,0)),0,VLOOKUP($U$149,'TAR FIN'!$A$1:$O$85,15,0))</f>
        <v>229.87</v>
      </c>
      <c r="Y149" s="6"/>
      <c r="Z149" s="6">
        <f ca="1">('TUSD BE'!$AM$12+'TUSD BF'!$AM$12+'TUSD CVA'!$AM$12)*1</f>
        <v>114.48039155571371</v>
      </c>
      <c r="AA149" s="6">
        <f>('TE BE'!$AB$6+'TE BF'!$AB$6+'TE CVA'!$AB$6)*1</f>
        <v>216.60171770542672</v>
      </c>
      <c r="AB149" s="6">
        <f>$K$149*$V$149</f>
        <v>0</v>
      </c>
      <c r="AC149" s="6">
        <f>$M$149*$W$149</f>
        <v>151210.05185000002</v>
      </c>
      <c r="AD149" s="6">
        <f>$O$149*$X$149</f>
        <v>441940.93602999998</v>
      </c>
      <c r="AE149" s="6">
        <f>$K$149*$Y$149</f>
        <v>0</v>
      </c>
      <c r="AF149" s="6">
        <f ca="1">$M$149*$Z$149</f>
        <v>220096.45191287695</v>
      </c>
      <c r="AG149" s="6">
        <f>$O$149*$AA$149</f>
        <v>416431.74780720455</v>
      </c>
    </row>
    <row r="150" spans="1:33" ht="11.25" customHeight="1" x14ac:dyDescent="0.25">
      <c r="A150" s="4" t="s">
        <v>21</v>
      </c>
      <c r="B150" s="4" t="s">
        <v>34</v>
      </c>
      <c r="C150" s="4" t="s">
        <v>35</v>
      </c>
      <c r="D150" s="4" t="s">
        <v>33</v>
      </c>
      <c r="E150" s="4" t="s">
        <v>25</v>
      </c>
      <c r="F150" s="4" t="s">
        <v>25</v>
      </c>
      <c r="G150" s="4" t="s">
        <v>25</v>
      </c>
      <c r="H150" s="4" t="s">
        <v>37</v>
      </c>
      <c r="I150" s="5">
        <v>44501</v>
      </c>
      <c r="J150" s="6">
        <v>0</v>
      </c>
      <c r="K150" s="6">
        <v>0</v>
      </c>
      <c r="L150" s="6">
        <v>1873.943</v>
      </c>
      <c r="M150" s="6">
        <v>1873.943</v>
      </c>
      <c r="N150" s="6">
        <v>1873.943</v>
      </c>
      <c r="O150" s="6">
        <v>1873.943</v>
      </c>
      <c r="P150" s="6">
        <v>0</v>
      </c>
      <c r="Q150" s="4" t="s">
        <v>26</v>
      </c>
      <c r="R150" s="4">
        <v>0</v>
      </c>
      <c r="S150" s="6">
        <v>0</v>
      </c>
      <c r="T150" s="6">
        <v>13</v>
      </c>
      <c r="U150" s="6">
        <v>16</v>
      </c>
      <c r="V150" s="6">
        <f>IF(ISERROR(VLOOKUP($S$150,'TAR FIN'!$A$1:$O$85,15,0)),0,VLOOKUP($S$150,'TAR FIN'!$A$1:$O$85,15,0))</f>
        <v>0</v>
      </c>
      <c r="W150" s="6">
        <f>IF(ISERROR(VLOOKUP($T$150,'TAR FIN'!$A$1:$O$85,15,0)),0,VLOOKUP($T$150,'TAR FIN'!$A$1:$O$85,15,0))</f>
        <v>78.650000000000006</v>
      </c>
      <c r="X150" s="6">
        <f>IF(ISERROR(VLOOKUP($U$150,'TAR FIN'!$A$1:$O$85,15,0)),0,VLOOKUP($U$150,'TAR FIN'!$A$1:$O$85,15,0))</f>
        <v>229.87</v>
      </c>
      <c r="Y150" s="6"/>
      <c r="Z150" s="6">
        <f ca="1">('TUSD BE'!$AM$12+'TUSD BF'!$AM$12+'TUSD CVA'!$AM$12)*1</f>
        <v>114.48039155571371</v>
      </c>
      <c r="AA150" s="6">
        <f>('TE BE'!$AB$6+'TE BF'!$AB$6+'TE CVA'!$AB$6)*1</f>
        <v>216.60171770542672</v>
      </c>
      <c r="AB150" s="6">
        <f>$K$150*$V$150</f>
        <v>0</v>
      </c>
      <c r="AC150" s="6">
        <f>$M$150*$W$150</f>
        <v>147385.61695</v>
      </c>
      <c r="AD150" s="6">
        <f>$O$150*$X$150</f>
        <v>430763.27740999998</v>
      </c>
      <c r="AE150" s="6">
        <f>$K$150*$Y$150</f>
        <v>0</v>
      </c>
      <c r="AF150" s="6">
        <f ca="1">$M$150*$Z$150</f>
        <v>214529.72839308882</v>
      </c>
      <c r="AG150" s="6">
        <f>$O$150*$AA$150</f>
        <v>405899.27268206049</v>
      </c>
    </row>
    <row r="151" spans="1:33" ht="11.25" customHeight="1" x14ac:dyDescent="0.25">
      <c r="A151" s="4" t="s">
        <v>21</v>
      </c>
      <c r="B151" s="4" t="s">
        <v>34</v>
      </c>
      <c r="C151" s="4" t="s">
        <v>35</v>
      </c>
      <c r="D151" s="4" t="s">
        <v>33</v>
      </c>
      <c r="E151" s="4" t="s">
        <v>25</v>
      </c>
      <c r="F151" s="4" t="s">
        <v>25</v>
      </c>
      <c r="G151" s="4" t="s">
        <v>25</v>
      </c>
      <c r="H151" s="4" t="s">
        <v>37</v>
      </c>
      <c r="I151" s="5">
        <v>44531</v>
      </c>
      <c r="J151" s="6">
        <v>0</v>
      </c>
      <c r="K151" s="6">
        <v>0</v>
      </c>
      <c r="L151" s="6">
        <v>1865.4459999999999</v>
      </c>
      <c r="M151" s="6">
        <v>1865.4459999999999</v>
      </c>
      <c r="N151" s="6">
        <v>1865.4459999999999</v>
      </c>
      <c r="O151" s="6">
        <v>1865.4459999999999</v>
      </c>
      <c r="P151" s="6">
        <v>0</v>
      </c>
      <c r="Q151" s="4" t="s">
        <v>26</v>
      </c>
      <c r="R151" s="4">
        <v>0</v>
      </c>
      <c r="S151" s="6">
        <v>0</v>
      </c>
      <c r="T151" s="6">
        <v>13</v>
      </c>
      <c r="U151" s="6">
        <v>16</v>
      </c>
      <c r="V151" s="6">
        <f>IF(ISERROR(VLOOKUP($S$151,'TAR FIN'!$A$1:$O$85,15,0)),0,VLOOKUP($S$151,'TAR FIN'!$A$1:$O$85,15,0))</f>
        <v>0</v>
      </c>
      <c r="W151" s="6">
        <f>IF(ISERROR(VLOOKUP($T$151,'TAR FIN'!$A$1:$O$85,15,0)),0,VLOOKUP($T$151,'TAR FIN'!$A$1:$O$85,15,0))</f>
        <v>78.650000000000006</v>
      </c>
      <c r="X151" s="6">
        <f>IF(ISERROR(VLOOKUP($U$151,'TAR FIN'!$A$1:$O$85,15,0)),0,VLOOKUP($U$151,'TAR FIN'!$A$1:$O$85,15,0))</f>
        <v>229.87</v>
      </c>
      <c r="Y151" s="6"/>
      <c r="Z151" s="6">
        <f ca="1">('TUSD BE'!$AM$12+'TUSD BF'!$AM$12+'TUSD CVA'!$AM$12)*1</f>
        <v>114.48039155571371</v>
      </c>
      <c r="AA151" s="6">
        <f>('TE BE'!$AB$6+'TE BF'!$AB$6+'TE CVA'!$AB$6)*1</f>
        <v>216.60171770542672</v>
      </c>
      <c r="AB151" s="6">
        <f>$K$151*$V$151</f>
        <v>0</v>
      </c>
      <c r="AC151" s="6">
        <f>$M$151*$W$151</f>
        <v>146717.3279</v>
      </c>
      <c r="AD151" s="6">
        <f>$O$151*$X$151</f>
        <v>428810.07201999996</v>
      </c>
      <c r="AE151" s="6">
        <f>$K$151*$Y$151</f>
        <v>0</v>
      </c>
      <c r="AF151" s="6">
        <f ca="1">$M$151*$Z$151</f>
        <v>213556.9885060399</v>
      </c>
      <c r="AG151" s="6">
        <f>$O$151*$AA$151</f>
        <v>404058.80788671743</v>
      </c>
    </row>
    <row r="152" spans="1:33" ht="11.25" customHeight="1" x14ac:dyDescent="0.25">
      <c r="A152" s="4" t="s">
        <v>21</v>
      </c>
      <c r="B152" s="4" t="s">
        <v>34</v>
      </c>
      <c r="C152" s="4" t="s">
        <v>35</v>
      </c>
      <c r="D152" s="4" t="s">
        <v>33</v>
      </c>
      <c r="E152" s="4" t="s">
        <v>25</v>
      </c>
      <c r="F152" s="4" t="s">
        <v>25</v>
      </c>
      <c r="G152" s="4" t="s">
        <v>25</v>
      </c>
      <c r="H152" s="4" t="s">
        <v>37</v>
      </c>
      <c r="I152" s="5">
        <v>44562</v>
      </c>
      <c r="J152" s="6">
        <v>0</v>
      </c>
      <c r="K152" s="6">
        <v>0</v>
      </c>
      <c r="L152" s="6">
        <v>1800.578</v>
      </c>
      <c r="M152" s="6">
        <v>1800.578</v>
      </c>
      <c r="N152" s="6">
        <v>1800.578</v>
      </c>
      <c r="O152" s="6">
        <v>1800.578</v>
      </c>
      <c r="P152" s="6">
        <v>0</v>
      </c>
      <c r="Q152" s="4" t="s">
        <v>26</v>
      </c>
      <c r="R152" s="4">
        <v>0</v>
      </c>
      <c r="S152" s="6">
        <v>0</v>
      </c>
      <c r="T152" s="6">
        <v>13</v>
      </c>
      <c r="U152" s="6">
        <v>16</v>
      </c>
      <c r="V152" s="6">
        <f>IF(ISERROR(VLOOKUP($S$152,'TAR FIN'!$A$1:$O$85,15,0)),0,VLOOKUP($S$152,'TAR FIN'!$A$1:$O$85,15,0))</f>
        <v>0</v>
      </c>
      <c r="W152" s="6">
        <f>IF(ISERROR(VLOOKUP($T$152,'TAR FIN'!$A$1:$O$85,15,0)),0,VLOOKUP($T$152,'TAR FIN'!$A$1:$O$85,15,0))</f>
        <v>78.650000000000006</v>
      </c>
      <c r="X152" s="6">
        <f>IF(ISERROR(VLOOKUP($U$152,'TAR FIN'!$A$1:$O$85,15,0)),0,VLOOKUP($U$152,'TAR FIN'!$A$1:$O$85,15,0))</f>
        <v>229.87</v>
      </c>
      <c r="Y152" s="6"/>
      <c r="Z152" s="6">
        <f ca="1">('TUSD BE'!$AM$12+'TUSD BF'!$AM$12+'TUSD CVA'!$AM$12)*1</f>
        <v>114.48039155571371</v>
      </c>
      <c r="AA152" s="6">
        <f>('TE BE'!$AB$6+'TE BF'!$AB$6+'TE CVA'!$AB$6)*1</f>
        <v>216.60171770542672</v>
      </c>
      <c r="AB152" s="6">
        <f>$K$152*$V$152</f>
        <v>0</v>
      </c>
      <c r="AC152" s="6">
        <f>$M$152*$W$152</f>
        <v>141615.45970000001</v>
      </c>
      <c r="AD152" s="6">
        <f>$O$152*$X$152</f>
        <v>413898.86486000003</v>
      </c>
      <c r="AE152" s="6">
        <f>$K$152*$Y$152</f>
        <v>0</v>
      </c>
      <c r="AF152" s="6">
        <f ca="1">$M$152*$Z$152</f>
        <v>206130.87446660388</v>
      </c>
      <c r="AG152" s="6">
        <f>$O$152*$AA$152</f>
        <v>390008.28766260186</v>
      </c>
    </row>
    <row r="153" spans="1:33" ht="11.25" customHeight="1" x14ac:dyDescent="0.25">
      <c r="A153" s="4" t="s">
        <v>21</v>
      </c>
      <c r="B153" s="4" t="s">
        <v>34</v>
      </c>
      <c r="C153" s="4" t="s">
        <v>35</v>
      </c>
      <c r="D153" s="4" t="s">
        <v>33</v>
      </c>
      <c r="E153" s="4" t="s">
        <v>25</v>
      </c>
      <c r="F153" s="4" t="s">
        <v>25</v>
      </c>
      <c r="G153" s="4" t="s">
        <v>25</v>
      </c>
      <c r="H153" s="4" t="s">
        <v>37</v>
      </c>
      <c r="I153" s="5">
        <v>44593</v>
      </c>
      <c r="J153" s="6">
        <v>0</v>
      </c>
      <c r="K153" s="6">
        <v>0</v>
      </c>
      <c r="L153" s="6">
        <v>1468.173</v>
      </c>
      <c r="M153" s="6">
        <v>1468.173</v>
      </c>
      <c r="N153" s="6">
        <v>1468.173</v>
      </c>
      <c r="O153" s="6">
        <v>1468.173</v>
      </c>
      <c r="P153" s="6">
        <v>0</v>
      </c>
      <c r="Q153" s="4" t="s">
        <v>26</v>
      </c>
      <c r="R153" s="4">
        <v>0</v>
      </c>
      <c r="S153" s="6">
        <v>0</v>
      </c>
      <c r="T153" s="6">
        <v>13</v>
      </c>
      <c r="U153" s="6">
        <v>16</v>
      </c>
      <c r="V153" s="6">
        <f>IF(ISERROR(VLOOKUP($S$153,'TAR FIN'!$A$1:$O$85,15,0)),0,VLOOKUP($S$153,'TAR FIN'!$A$1:$O$85,15,0))</f>
        <v>0</v>
      </c>
      <c r="W153" s="6">
        <f>IF(ISERROR(VLOOKUP($T$153,'TAR FIN'!$A$1:$O$85,15,0)),0,VLOOKUP($T$153,'TAR FIN'!$A$1:$O$85,15,0))</f>
        <v>78.650000000000006</v>
      </c>
      <c r="X153" s="6">
        <f>IF(ISERROR(VLOOKUP($U$153,'TAR FIN'!$A$1:$O$85,15,0)),0,VLOOKUP($U$153,'TAR FIN'!$A$1:$O$85,15,0))</f>
        <v>229.87</v>
      </c>
      <c r="Y153" s="6"/>
      <c r="Z153" s="6">
        <f ca="1">('TUSD BE'!$AM$12+'TUSD BF'!$AM$12+'TUSD CVA'!$AM$12)*1</f>
        <v>114.48039155571371</v>
      </c>
      <c r="AA153" s="6">
        <f>('TE BE'!$AB$6+'TE BF'!$AB$6+'TE CVA'!$AB$6)*1</f>
        <v>216.60171770542672</v>
      </c>
      <c r="AB153" s="6">
        <f>$K$153*$V$153</f>
        <v>0</v>
      </c>
      <c r="AC153" s="6">
        <f>$M$153*$W$153</f>
        <v>115471.80645</v>
      </c>
      <c r="AD153" s="6">
        <f>$O$153*$X$153</f>
        <v>337488.92751000001</v>
      </c>
      <c r="AE153" s="6">
        <f>$K$153*$Y$153</f>
        <v>0</v>
      </c>
      <c r="AF153" s="6">
        <f ca="1">$M$153*$Z$153</f>
        <v>168077.01991152688</v>
      </c>
      <c r="AG153" s="6">
        <f>$O$153*$AA$153</f>
        <v>318008.79368872946</v>
      </c>
    </row>
    <row r="154" spans="1:33" ht="11.25" customHeight="1" x14ac:dyDescent="0.25">
      <c r="A154" s="4" t="s">
        <v>21</v>
      </c>
      <c r="B154" s="4" t="s">
        <v>34</v>
      </c>
      <c r="C154" s="4" t="s">
        <v>35</v>
      </c>
      <c r="D154" s="4" t="s">
        <v>33</v>
      </c>
      <c r="E154" s="4" t="s">
        <v>25</v>
      </c>
      <c r="F154" s="4" t="s">
        <v>25</v>
      </c>
      <c r="G154" s="4" t="s">
        <v>25</v>
      </c>
      <c r="H154" s="4" t="s">
        <v>37</v>
      </c>
      <c r="I154" s="5">
        <v>44621</v>
      </c>
      <c r="J154" s="6">
        <v>0</v>
      </c>
      <c r="K154" s="6">
        <v>0</v>
      </c>
      <c r="L154" s="6">
        <v>1524.0909999999999</v>
      </c>
      <c r="M154" s="6">
        <v>1524.0909999999999</v>
      </c>
      <c r="N154" s="6">
        <v>1524.0909999999999</v>
      </c>
      <c r="O154" s="6">
        <v>1524.0909999999999</v>
      </c>
      <c r="P154" s="6">
        <v>0</v>
      </c>
      <c r="Q154" s="4" t="s">
        <v>26</v>
      </c>
      <c r="R154" s="4">
        <v>0</v>
      </c>
      <c r="S154" s="6">
        <v>0</v>
      </c>
      <c r="T154" s="6">
        <v>13</v>
      </c>
      <c r="U154" s="6">
        <v>16</v>
      </c>
      <c r="V154" s="6">
        <f>IF(ISERROR(VLOOKUP($S$154,'TAR FIN'!$A$1:$O$85,15,0)),0,VLOOKUP($S$154,'TAR FIN'!$A$1:$O$85,15,0))</f>
        <v>0</v>
      </c>
      <c r="W154" s="6">
        <f>IF(ISERROR(VLOOKUP($T$154,'TAR FIN'!$A$1:$O$85,15,0)),0,VLOOKUP($T$154,'TAR FIN'!$A$1:$O$85,15,0))</f>
        <v>78.650000000000006</v>
      </c>
      <c r="X154" s="6">
        <f>IF(ISERROR(VLOOKUP($U$154,'TAR FIN'!$A$1:$O$85,15,0)),0,VLOOKUP($U$154,'TAR FIN'!$A$1:$O$85,15,0))</f>
        <v>229.87</v>
      </c>
      <c r="Y154" s="6"/>
      <c r="Z154" s="6">
        <f ca="1">('TUSD BE'!$AM$12+'TUSD BF'!$AM$12+'TUSD CVA'!$AM$12)*1</f>
        <v>114.48039155571371</v>
      </c>
      <c r="AA154" s="6">
        <f>('TE BE'!$AB$6+'TE BF'!$AB$6+'TE CVA'!$AB$6)*1</f>
        <v>216.60171770542672</v>
      </c>
      <c r="AB154" s="6">
        <f>$K$154*$V$154</f>
        <v>0</v>
      </c>
      <c r="AC154" s="6">
        <f>$M$154*$W$154</f>
        <v>119869.75715</v>
      </c>
      <c r="AD154" s="6">
        <f>$O$154*$X$154</f>
        <v>350342.79816999997</v>
      </c>
      <c r="AE154" s="6">
        <f>$K$154*$Y$154</f>
        <v>0</v>
      </c>
      <c r="AF154" s="6">
        <f ca="1">$M$154*$Z$154</f>
        <v>174478.53444653924</v>
      </c>
      <c r="AG154" s="6">
        <f>$O$154*$AA$154</f>
        <v>330120.72853938147</v>
      </c>
    </row>
    <row r="155" spans="1:33" ht="11.25" customHeight="1" x14ac:dyDescent="0.25">
      <c r="A155" s="4" t="s">
        <v>21</v>
      </c>
      <c r="B155" s="4" t="s">
        <v>34</v>
      </c>
      <c r="C155" s="4" t="s">
        <v>35</v>
      </c>
      <c r="D155" s="4" t="s">
        <v>33</v>
      </c>
      <c r="E155" s="4" t="s">
        <v>25</v>
      </c>
      <c r="F155" s="4" t="s">
        <v>25</v>
      </c>
      <c r="G155" s="4" t="s">
        <v>25</v>
      </c>
      <c r="H155" s="4" t="s">
        <v>37</v>
      </c>
      <c r="I155" s="5">
        <v>44652</v>
      </c>
      <c r="J155" s="6">
        <v>0</v>
      </c>
      <c r="K155" s="6">
        <v>0</v>
      </c>
      <c r="L155" s="6">
        <v>1579.4380000000001</v>
      </c>
      <c r="M155" s="6">
        <v>1579.4380000000001</v>
      </c>
      <c r="N155" s="6">
        <v>1579.4380000000001</v>
      </c>
      <c r="O155" s="6">
        <v>1579.4380000000001</v>
      </c>
      <c r="P155" s="6">
        <v>0</v>
      </c>
      <c r="Q155" s="4" t="s">
        <v>26</v>
      </c>
      <c r="R155" s="4">
        <v>0</v>
      </c>
      <c r="S155" s="6">
        <v>0</v>
      </c>
      <c r="T155" s="6">
        <v>13</v>
      </c>
      <c r="U155" s="6">
        <v>16</v>
      </c>
      <c r="V155" s="6">
        <f>IF(ISERROR(VLOOKUP($S$155,'TAR FIN'!$A$1:$O$85,15,0)),0,VLOOKUP($S$155,'TAR FIN'!$A$1:$O$85,15,0))</f>
        <v>0</v>
      </c>
      <c r="W155" s="6">
        <f>IF(ISERROR(VLOOKUP($T$155,'TAR FIN'!$A$1:$O$85,15,0)),0,VLOOKUP($T$155,'TAR FIN'!$A$1:$O$85,15,0))</f>
        <v>78.650000000000006</v>
      </c>
      <c r="X155" s="6">
        <f>IF(ISERROR(VLOOKUP($U$155,'TAR FIN'!$A$1:$O$85,15,0)),0,VLOOKUP($U$155,'TAR FIN'!$A$1:$O$85,15,0))</f>
        <v>229.87</v>
      </c>
      <c r="Y155" s="6"/>
      <c r="Z155" s="6">
        <f ca="1">('TUSD BE'!$AM$12+'TUSD BF'!$AM$12+'TUSD CVA'!$AM$12)*1</f>
        <v>114.48039155571371</v>
      </c>
      <c r="AA155" s="6">
        <f>('TE BE'!$AB$6+'TE BF'!$AB$6+'TE CVA'!$AB$6)*1</f>
        <v>216.60171770542672</v>
      </c>
      <c r="AB155" s="6">
        <f>$K$155*$V$155</f>
        <v>0</v>
      </c>
      <c r="AC155" s="6">
        <f>$M$155*$W$155</f>
        <v>124222.79870000001</v>
      </c>
      <c r="AD155" s="6">
        <f>$O$155*$X$155</f>
        <v>363065.41306000005</v>
      </c>
      <c r="AE155" s="6">
        <f>$K$155*$Y$155</f>
        <v>0</v>
      </c>
      <c r="AF155" s="6">
        <f ca="1">$M$155*$Z$155</f>
        <v>180814.68067797337</v>
      </c>
      <c r="AG155" s="6">
        <f>$O$155*$AA$155</f>
        <v>342108.98380922381</v>
      </c>
    </row>
    <row r="156" spans="1:33" ht="11.25" customHeight="1" x14ac:dyDescent="0.25">
      <c r="A156" s="4" t="s">
        <v>21</v>
      </c>
      <c r="B156" s="4" t="s">
        <v>34</v>
      </c>
      <c r="C156" s="4" t="s">
        <v>35</v>
      </c>
      <c r="D156" s="4" t="s">
        <v>33</v>
      </c>
      <c r="E156" s="4" t="s">
        <v>25</v>
      </c>
      <c r="F156" s="4" t="s">
        <v>25</v>
      </c>
      <c r="G156" s="4" t="s">
        <v>25</v>
      </c>
      <c r="H156" s="4" t="s">
        <v>37</v>
      </c>
      <c r="I156" s="5">
        <v>44682</v>
      </c>
      <c r="J156" s="6">
        <v>0</v>
      </c>
      <c r="K156" s="6">
        <v>0</v>
      </c>
      <c r="L156" s="6">
        <v>1475.4010000000001</v>
      </c>
      <c r="M156" s="6">
        <v>1475.4010000000001</v>
      </c>
      <c r="N156" s="6">
        <v>1475.4010000000001</v>
      </c>
      <c r="O156" s="6">
        <v>1475.4010000000001</v>
      </c>
      <c r="P156" s="6">
        <v>0</v>
      </c>
      <c r="Q156" s="4" t="s">
        <v>26</v>
      </c>
      <c r="R156" s="4">
        <v>0</v>
      </c>
      <c r="S156" s="6">
        <v>0</v>
      </c>
      <c r="T156" s="6">
        <v>13</v>
      </c>
      <c r="U156" s="6">
        <v>16</v>
      </c>
      <c r="V156" s="6">
        <f>IF(ISERROR(VLOOKUP($S$156,'TAR FIN'!$A$1:$O$85,15,0)),0,VLOOKUP($S$156,'TAR FIN'!$A$1:$O$85,15,0))</f>
        <v>0</v>
      </c>
      <c r="W156" s="6">
        <f>IF(ISERROR(VLOOKUP($T$156,'TAR FIN'!$A$1:$O$85,15,0)),0,VLOOKUP($T$156,'TAR FIN'!$A$1:$O$85,15,0))</f>
        <v>78.650000000000006</v>
      </c>
      <c r="X156" s="6">
        <f>IF(ISERROR(VLOOKUP($U$156,'TAR FIN'!$A$1:$O$85,15,0)),0,VLOOKUP($U$156,'TAR FIN'!$A$1:$O$85,15,0))</f>
        <v>229.87</v>
      </c>
      <c r="Y156" s="6"/>
      <c r="Z156" s="6">
        <f ca="1">('TUSD BE'!$AM$12+'TUSD BF'!$AM$12+'TUSD CVA'!$AM$12)*1</f>
        <v>114.48039155571371</v>
      </c>
      <c r="AA156" s="6">
        <f>('TE BE'!$AB$6+'TE BF'!$AB$6+'TE CVA'!$AB$6)*1</f>
        <v>216.60171770542672</v>
      </c>
      <c r="AB156" s="6">
        <f>$K$156*$V$156</f>
        <v>0</v>
      </c>
      <c r="AC156" s="6">
        <f>$M$156*$W$156</f>
        <v>116040.28865000002</v>
      </c>
      <c r="AD156" s="6">
        <f>$O$156*$X$156</f>
        <v>339150.42787000001</v>
      </c>
      <c r="AE156" s="6">
        <f>$K$156*$Y$156</f>
        <v>0</v>
      </c>
      <c r="AF156" s="6">
        <f ca="1">$M$156*$Z$156</f>
        <v>168904.48418169157</v>
      </c>
      <c r="AG156" s="6">
        <f>$O$156*$AA$156</f>
        <v>319574.39090430428</v>
      </c>
    </row>
    <row r="157" spans="1:33" ht="11.25" customHeight="1" x14ac:dyDescent="0.25">
      <c r="A157" s="4" t="s">
        <v>21</v>
      </c>
      <c r="B157" s="4" t="s">
        <v>34</v>
      </c>
      <c r="C157" s="4" t="s">
        <v>35</v>
      </c>
      <c r="D157" s="4" t="s">
        <v>33</v>
      </c>
      <c r="E157" s="4" t="s">
        <v>25</v>
      </c>
      <c r="F157" s="4" t="s">
        <v>25</v>
      </c>
      <c r="G157" s="4" t="s">
        <v>25</v>
      </c>
      <c r="H157" s="4" t="s">
        <v>37</v>
      </c>
      <c r="I157" s="5">
        <v>44713</v>
      </c>
      <c r="J157" s="6">
        <v>0</v>
      </c>
      <c r="K157" s="6">
        <v>0</v>
      </c>
      <c r="L157" s="6">
        <v>1476.998</v>
      </c>
      <c r="M157" s="6">
        <v>1476.998</v>
      </c>
      <c r="N157" s="6">
        <v>1476.998</v>
      </c>
      <c r="O157" s="6">
        <v>1476.998</v>
      </c>
      <c r="P157" s="6">
        <v>0</v>
      </c>
      <c r="Q157" s="4" t="s">
        <v>26</v>
      </c>
      <c r="R157" s="4">
        <v>0</v>
      </c>
      <c r="S157" s="6">
        <v>0</v>
      </c>
      <c r="T157" s="6">
        <v>13</v>
      </c>
      <c r="U157" s="6">
        <v>16</v>
      </c>
      <c r="V157" s="6">
        <f>IF(ISERROR(VLOOKUP($S$157,'TAR FIN'!$A$1:$O$85,15,0)),0,VLOOKUP($S$157,'TAR FIN'!$A$1:$O$85,15,0))</f>
        <v>0</v>
      </c>
      <c r="W157" s="6">
        <f>IF(ISERROR(VLOOKUP($T$157,'TAR FIN'!$A$1:$O$85,15,0)),0,VLOOKUP($T$157,'TAR FIN'!$A$1:$O$85,15,0))</f>
        <v>78.650000000000006</v>
      </c>
      <c r="X157" s="6">
        <f>IF(ISERROR(VLOOKUP($U$157,'TAR FIN'!$A$1:$O$85,15,0)),0,VLOOKUP($U$157,'TAR FIN'!$A$1:$O$85,15,0))</f>
        <v>229.87</v>
      </c>
      <c r="Y157" s="6"/>
      <c r="Z157" s="6">
        <f ca="1">('TUSD BE'!$AM$12+'TUSD BF'!$AM$12+'TUSD CVA'!$AM$12)*1</f>
        <v>114.48039155571371</v>
      </c>
      <c r="AA157" s="6">
        <f>('TE BE'!$AB$6+'TE BF'!$AB$6+'TE CVA'!$AB$6)*1</f>
        <v>216.60171770542672</v>
      </c>
      <c r="AB157" s="6">
        <f>$K$157*$V$157</f>
        <v>0</v>
      </c>
      <c r="AC157" s="6">
        <f>$M$157*$W$157</f>
        <v>116165.89270000001</v>
      </c>
      <c r="AD157" s="6">
        <f>$O$157*$X$157</f>
        <v>339517.53026000003</v>
      </c>
      <c r="AE157" s="6">
        <f>$K$157*$Y$157</f>
        <v>0</v>
      </c>
      <c r="AF157" s="6">
        <f ca="1">$M$157*$Z$157</f>
        <v>169087.30936700603</v>
      </c>
      <c r="AG157" s="6">
        <f>$O$157*$AA$157</f>
        <v>319920.30384747987</v>
      </c>
    </row>
    <row r="158" spans="1:33" ht="11.25" customHeight="1" x14ac:dyDescent="0.25">
      <c r="A158" s="4" t="s">
        <v>21</v>
      </c>
      <c r="B158" s="4" t="s">
        <v>34</v>
      </c>
      <c r="C158" s="4" t="s">
        <v>35</v>
      </c>
      <c r="D158" s="4" t="s">
        <v>33</v>
      </c>
      <c r="E158" s="4" t="s">
        <v>25</v>
      </c>
      <c r="F158" s="4" t="s">
        <v>25</v>
      </c>
      <c r="G158" s="4" t="s">
        <v>25</v>
      </c>
      <c r="H158" s="4" t="s">
        <v>25</v>
      </c>
      <c r="I158" s="5">
        <v>44378</v>
      </c>
      <c r="J158" s="6">
        <v>4799</v>
      </c>
      <c r="K158" s="6">
        <v>4799</v>
      </c>
      <c r="L158" s="6">
        <v>0</v>
      </c>
      <c r="M158" s="6">
        <v>0</v>
      </c>
      <c r="N158" s="6">
        <v>0</v>
      </c>
      <c r="O158" s="6">
        <v>0</v>
      </c>
      <c r="P158" s="6">
        <v>13</v>
      </c>
      <c r="Q158" s="4" t="s">
        <v>26</v>
      </c>
      <c r="R158" s="4">
        <v>0</v>
      </c>
      <c r="S158" s="6">
        <v>36</v>
      </c>
      <c r="T158" s="6">
        <v>0</v>
      </c>
      <c r="U158" s="6">
        <v>0</v>
      </c>
      <c r="V158" s="6">
        <f>IF(ISERROR(VLOOKUP($S$158,'TAR FIN'!$A$1:$O$85,15,0)),0,VLOOKUP($S$158,'TAR FIN'!$A$1:$O$85,15,0))</f>
        <v>14.94</v>
      </c>
      <c r="W158" s="6">
        <f>IF(ISERROR(VLOOKUP($T$158,'TAR FIN'!$A$1:$O$85,15,0)),0,VLOOKUP($T$158,'TAR FIN'!$A$1:$O$85,15,0))</f>
        <v>0</v>
      </c>
      <c r="X158" s="6">
        <f>IF(ISERROR(VLOOKUP($U$158,'TAR FIN'!$A$1:$O$85,15,0)),0,VLOOKUP($U$158,'TAR FIN'!$A$1:$O$85,15,0))</f>
        <v>0</v>
      </c>
      <c r="Y158" s="6">
        <f ca="1">('TUSD BE'!$AM$10+'TUSD BF'!$AM$10+'TUSD CVA'!$AM$10)*1</f>
        <v>19.63429077280307</v>
      </c>
      <c r="Z158" s="6"/>
      <c r="AA158" s="6"/>
      <c r="AB158" s="6">
        <f>$K$158*$V$158</f>
        <v>71697.06</v>
      </c>
      <c r="AC158" s="6">
        <f>$M$158*$W$158</f>
        <v>0</v>
      </c>
      <c r="AD158" s="6">
        <f>$O$158*$X$158</f>
        <v>0</v>
      </c>
      <c r="AE158" s="6">
        <f ca="1">$K$158*$Y$158</f>
        <v>94224.961418681924</v>
      </c>
      <c r="AF158" s="6">
        <f>$M$158*$Z$158</f>
        <v>0</v>
      </c>
      <c r="AG158" s="6">
        <f>$O$158*$AA$158</f>
        <v>0</v>
      </c>
    </row>
    <row r="159" spans="1:33" ht="11.25" customHeight="1" x14ac:dyDescent="0.25">
      <c r="A159" s="4" t="s">
        <v>21</v>
      </c>
      <c r="B159" s="4" t="s">
        <v>34</v>
      </c>
      <c r="C159" s="4" t="s">
        <v>35</v>
      </c>
      <c r="D159" s="4" t="s">
        <v>33</v>
      </c>
      <c r="E159" s="4" t="s">
        <v>25</v>
      </c>
      <c r="F159" s="4" t="s">
        <v>25</v>
      </c>
      <c r="G159" s="4" t="s">
        <v>25</v>
      </c>
      <c r="H159" s="4" t="s">
        <v>25</v>
      </c>
      <c r="I159" s="5">
        <v>44409</v>
      </c>
      <c r="J159" s="6">
        <v>4673</v>
      </c>
      <c r="K159" s="6">
        <v>4673</v>
      </c>
      <c r="L159" s="6">
        <v>0</v>
      </c>
      <c r="M159" s="6">
        <v>0</v>
      </c>
      <c r="N159" s="6">
        <v>0</v>
      </c>
      <c r="O159" s="6">
        <v>0</v>
      </c>
      <c r="P159" s="6">
        <v>13</v>
      </c>
      <c r="Q159" s="4" t="s">
        <v>26</v>
      </c>
      <c r="R159" s="4">
        <v>0</v>
      </c>
      <c r="S159" s="6">
        <v>36</v>
      </c>
      <c r="T159" s="6">
        <v>0</v>
      </c>
      <c r="U159" s="6">
        <v>0</v>
      </c>
      <c r="V159" s="6">
        <f>IF(ISERROR(VLOOKUP($S$159,'TAR FIN'!$A$1:$O$85,15,0)),0,VLOOKUP($S$159,'TAR FIN'!$A$1:$O$85,15,0))</f>
        <v>14.94</v>
      </c>
      <c r="W159" s="6">
        <f>IF(ISERROR(VLOOKUP($T$159,'TAR FIN'!$A$1:$O$85,15,0)),0,VLOOKUP($T$159,'TAR FIN'!$A$1:$O$85,15,0))</f>
        <v>0</v>
      </c>
      <c r="X159" s="6">
        <f>IF(ISERROR(VLOOKUP($U$159,'TAR FIN'!$A$1:$O$85,15,0)),0,VLOOKUP($U$159,'TAR FIN'!$A$1:$O$85,15,0))</f>
        <v>0</v>
      </c>
      <c r="Y159" s="6">
        <f ca="1">('TUSD BE'!$AM$10+'TUSD BF'!$AM$10+'TUSD CVA'!$AM$10)*1</f>
        <v>19.63429077280307</v>
      </c>
      <c r="Z159" s="6"/>
      <c r="AA159" s="6"/>
      <c r="AB159" s="6">
        <f>$K$159*$V$159</f>
        <v>69814.62</v>
      </c>
      <c r="AC159" s="6">
        <f>$M$159*$W$159</f>
        <v>0</v>
      </c>
      <c r="AD159" s="6">
        <f>$O$159*$X$159</f>
        <v>0</v>
      </c>
      <c r="AE159" s="6">
        <f ca="1">$K$159*$Y$159</f>
        <v>91751.040781308751</v>
      </c>
      <c r="AF159" s="6">
        <f>$M$159*$Z$159</f>
        <v>0</v>
      </c>
      <c r="AG159" s="6">
        <f>$O$159*$AA$159</f>
        <v>0</v>
      </c>
    </row>
    <row r="160" spans="1:33" ht="11.25" customHeight="1" x14ac:dyDescent="0.25">
      <c r="A160" s="4" t="s">
        <v>21</v>
      </c>
      <c r="B160" s="4" t="s">
        <v>34</v>
      </c>
      <c r="C160" s="4" t="s">
        <v>35</v>
      </c>
      <c r="D160" s="4" t="s">
        <v>33</v>
      </c>
      <c r="E160" s="4" t="s">
        <v>25</v>
      </c>
      <c r="F160" s="4" t="s">
        <v>25</v>
      </c>
      <c r="G160" s="4" t="s">
        <v>25</v>
      </c>
      <c r="H160" s="4" t="s">
        <v>25</v>
      </c>
      <c r="I160" s="5">
        <v>44440</v>
      </c>
      <c r="J160" s="6">
        <v>4708</v>
      </c>
      <c r="K160" s="6">
        <v>4708</v>
      </c>
      <c r="L160" s="6">
        <v>0</v>
      </c>
      <c r="M160" s="6">
        <v>0</v>
      </c>
      <c r="N160" s="6">
        <v>0</v>
      </c>
      <c r="O160" s="6">
        <v>0</v>
      </c>
      <c r="P160" s="6">
        <v>13</v>
      </c>
      <c r="Q160" s="4" t="s">
        <v>26</v>
      </c>
      <c r="R160" s="4">
        <v>0</v>
      </c>
      <c r="S160" s="6">
        <v>36</v>
      </c>
      <c r="T160" s="6">
        <v>0</v>
      </c>
      <c r="U160" s="6">
        <v>0</v>
      </c>
      <c r="V160" s="6">
        <f>IF(ISERROR(VLOOKUP($S$160,'TAR FIN'!$A$1:$O$85,15,0)),0,VLOOKUP($S$160,'TAR FIN'!$A$1:$O$85,15,0))</f>
        <v>14.94</v>
      </c>
      <c r="W160" s="6">
        <f>IF(ISERROR(VLOOKUP($T$160,'TAR FIN'!$A$1:$O$85,15,0)),0,VLOOKUP($T$160,'TAR FIN'!$A$1:$O$85,15,0))</f>
        <v>0</v>
      </c>
      <c r="X160" s="6">
        <f>IF(ISERROR(VLOOKUP($U$160,'TAR FIN'!$A$1:$O$85,15,0)),0,VLOOKUP($U$160,'TAR FIN'!$A$1:$O$85,15,0))</f>
        <v>0</v>
      </c>
      <c r="Y160" s="6">
        <f ca="1">('TUSD BE'!$AM$10+'TUSD BF'!$AM$10+'TUSD CVA'!$AM$10)*1</f>
        <v>19.63429077280307</v>
      </c>
      <c r="Z160" s="6"/>
      <c r="AA160" s="6"/>
      <c r="AB160" s="6">
        <f>$K$160*$V$160</f>
        <v>70337.52</v>
      </c>
      <c r="AC160" s="6">
        <f>$M$160*$W$160</f>
        <v>0</v>
      </c>
      <c r="AD160" s="6">
        <f>$O$160*$X$160</f>
        <v>0</v>
      </c>
      <c r="AE160" s="6">
        <f ca="1">$K$160*$Y$160</f>
        <v>92438.240958356851</v>
      </c>
      <c r="AF160" s="6">
        <f>$M$160*$Z$160</f>
        <v>0</v>
      </c>
      <c r="AG160" s="6">
        <f>$O$160*$AA$160</f>
        <v>0</v>
      </c>
    </row>
    <row r="161" spans="1:33" ht="11.25" customHeight="1" x14ac:dyDescent="0.25">
      <c r="A161" s="4" t="s">
        <v>21</v>
      </c>
      <c r="B161" s="4" t="s">
        <v>34</v>
      </c>
      <c r="C161" s="4" t="s">
        <v>35</v>
      </c>
      <c r="D161" s="4" t="s">
        <v>33</v>
      </c>
      <c r="E161" s="4" t="s">
        <v>25</v>
      </c>
      <c r="F161" s="4" t="s">
        <v>25</v>
      </c>
      <c r="G161" s="4" t="s">
        <v>25</v>
      </c>
      <c r="H161" s="4" t="s">
        <v>25</v>
      </c>
      <c r="I161" s="5">
        <v>44470</v>
      </c>
      <c r="J161" s="6">
        <v>4705</v>
      </c>
      <c r="K161" s="6">
        <v>4705</v>
      </c>
      <c r="L161" s="6">
        <v>0</v>
      </c>
      <c r="M161" s="6">
        <v>0</v>
      </c>
      <c r="N161" s="6">
        <v>0</v>
      </c>
      <c r="O161" s="6">
        <v>0</v>
      </c>
      <c r="P161" s="6">
        <v>13</v>
      </c>
      <c r="Q161" s="4" t="s">
        <v>26</v>
      </c>
      <c r="R161" s="4">
        <v>0</v>
      </c>
      <c r="S161" s="6">
        <v>36</v>
      </c>
      <c r="T161" s="6">
        <v>0</v>
      </c>
      <c r="U161" s="6">
        <v>0</v>
      </c>
      <c r="V161" s="6">
        <f>IF(ISERROR(VLOOKUP($S$161,'TAR FIN'!$A$1:$O$85,15,0)),0,VLOOKUP($S$161,'TAR FIN'!$A$1:$O$85,15,0))</f>
        <v>14.94</v>
      </c>
      <c r="W161" s="6">
        <f>IF(ISERROR(VLOOKUP($T$161,'TAR FIN'!$A$1:$O$85,15,0)),0,VLOOKUP($T$161,'TAR FIN'!$A$1:$O$85,15,0))</f>
        <v>0</v>
      </c>
      <c r="X161" s="6">
        <f>IF(ISERROR(VLOOKUP($U$161,'TAR FIN'!$A$1:$O$85,15,0)),0,VLOOKUP($U$161,'TAR FIN'!$A$1:$O$85,15,0))</f>
        <v>0</v>
      </c>
      <c r="Y161" s="6">
        <f ca="1">('TUSD BE'!$AM$10+'TUSD BF'!$AM$10+'TUSD CVA'!$AM$10)*1</f>
        <v>19.63429077280307</v>
      </c>
      <c r="Z161" s="6"/>
      <c r="AA161" s="6"/>
      <c r="AB161" s="6">
        <f>$K$161*$V$161</f>
        <v>70292.7</v>
      </c>
      <c r="AC161" s="6">
        <f>$M$161*$W$161</f>
        <v>0</v>
      </c>
      <c r="AD161" s="6">
        <f>$O$161*$X$161</f>
        <v>0</v>
      </c>
      <c r="AE161" s="6">
        <f ca="1">$K$161*$Y$161</f>
        <v>92379.33808603845</v>
      </c>
      <c r="AF161" s="6">
        <f>$M$161*$Z$161</f>
        <v>0</v>
      </c>
      <c r="AG161" s="6">
        <f>$O$161*$AA$161</f>
        <v>0</v>
      </c>
    </row>
    <row r="162" spans="1:33" ht="11.25" customHeight="1" x14ac:dyDescent="0.25">
      <c r="A162" s="4" t="s">
        <v>21</v>
      </c>
      <c r="B162" s="4" t="s">
        <v>34</v>
      </c>
      <c r="C162" s="4" t="s">
        <v>35</v>
      </c>
      <c r="D162" s="4" t="s">
        <v>33</v>
      </c>
      <c r="E162" s="4" t="s">
        <v>25</v>
      </c>
      <c r="F162" s="4" t="s">
        <v>25</v>
      </c>
      <c r="G162" s="4" t="s">
        <v>25</v>
      </c>
      <c r="H162" s="4" t="s">
        <v>25</v>
      </c>
      <c r="I162" s="5">
        <v>44501</v>
      </c>
      <c r="J162" s="6">
        <v>4703</v>
      </c>
      <c r="K162" s="6">
        <v>4703</v>
      </c>
      <c r="L162" s="6">
        <v>0</v>
      </c>
      <c r="M162" s="6">
        <v>0</v>
      </c>
      <c r="N162" s="6">
        <v>0</v>
      </c>
      <c r="O162" s="6">
        <v>0</v>
      </c>
      <c r="P162" s="6">
        <v>13</v>
      </c>
      <c r="Q162" s="4" t="s">
        <v>26</v>
      </c>
      <c r="R162" s="4">
        <v>0</v>
      </c>
      <c r="S162" s="6">
        <v>36</v>
      </c>
      <c r="T162" s="6">
        <v>0</v>
      </c>
      <c r="U162" s="6">
        <v>0</v>
      </c>
      <c r="V162" s="6">
        <f>IF(ISERROR(VLOOKUP($S$162,'TAR FIN'!$A$1:$O$85,15,0)),0,VLOOKUP($S$162,'TAR FIN'!$A$1:$O$85,15,0))</f>
        <v>14.94</v>
      </c>
      <c r="W162" s="6">
        <f>IF(ISERROR(VLOOKUP($T$162,'TAR FIN'!$A$1:$O$85,15,0)),0,VLOOKUP($T$162,'TAR FIN'!$A$1:$O$85,15,0))</f>
        <v>0</v>
      </c>
      <c r="X162" s="6">
        <f>IF(ISERROR(VLOOKUP($U$162,'TAR FIN'!$A$1:$O$85,15,0)),0,VLOOKUP($U$162,'TAR FIN'!$A$1:$O$85,15,0))</f>
        <v>0</v>
      </c>
      <c r="Y162" s="6">
        <f ca="1">('TUSD BE'!$AM$10+'TUSD BF'!$AM$10+'TUSD CVA'!$AM$10)*1</f>
        <v>19.63429077280307</v>
      </c>
      <c r="Z162" s="6"/>
      <c r="AA162" s="6"/>
      <c r="AB162" s="6">
        <f>$K$162*$V$162</f>
        <v>70262.819999999992</v>
      </c>
      <c r="AC162" s="6">
        <f>$M$162*$W$162</f>
        <v>0</v>
      </c>
      <c r="AD162" s="6">
        <f>$O$162*$X$162</f>
        <v>0</v>
      </c>
      <c r="AE162" s="6">
        <f ca="1">$K$162*$Y$162</f>
        <v>92340.069504492829</v>
      </c>
      <c r="AF162" s="6">
        <f>$M$162*$Z$162</f>
        <v>0</v>
      </c>
      <c r="AG162" s="6">
        <f>$O$162*$AA$162</f>
        <v>0</v>
      </c>
    </row>
    <row r="163" spans="1:33" ht="11.25" customHeight="1" x14ac:dyDescent="0.25">
      <c r="A163" s="4" t="s">
        <v>21</v>
      </c>
      <c r="B163" s="4" t="s">
        <v>34</v>
      </c>
      <c r="C163" s="4" t="s">
        <v>35</v>
      </c>
      <c r="D163" s="4" t="s">
        <v>33</v>
      </c>
      <c r="E163" s="4" t="s">
        <v>25</v>
      </c>
      <c r="F163" s="4" t="s">
        <v>25</v>
      </c>
      <c r="G163" s="4" t="s">
        <v>25</v>
      </c>
      <c r="H163" s="4" t="s">
        <v>25</v>
      </c>
      <c r="I163" s="5">
        <v>44531</v>
      </c>
      <c r="J163" s="6">
        <v>4706</v>
      </c>
      <c r="K163" s="6">
        <v>4706</v>
      </c>
      <c r="L163" s="6">
        <v>0</v>
      </c>
      <c r="M163" s="6">
        <v>0</v>
      </c>
      <c r="N163" s="6">
        <v>0</v>
      </c>
      <c r="O163" s="6">
        <v>0</v>
      </c>
      <c r="P163" s="6">
        <v>13</v>
      </c>
      <c r="Q163" s="4" t="s">
        <v>26</v>
      </c>
      <c r="R163" s="4">
        <v>0</v>
      </c>
      <c r="S163" s="6">
        <v>36</v>
      </c>
      <c r="T163" s="6">
        <v>0</v>
      </c>
      <c r="U163" s="6">
        <v>0</v>
      </c>
      <c r="V163" s="6">
        <f>IF(ISERROR(VLOOKUP($S$163,'TAR FIN'!$A$1:$O$85,15,0)),0,VLOOKUP($S$163,'TAR FIN'!$A$1:$O$85,15,0))</f>
        <v>14.94</v>
      </c>
      <c r="W163" s="6">
        <f>IF(ISERROR(VLOOKUP($T$163,'TAR FIN'!$A$1:$O$85,15,0)),0,VLOOKUP($T$163,'TAR FIN'!$A$1:$O$85,15,0))</f>
        <v>0</v>
      </c>
      <c r="X163" s="6">
        <f>IF(ISERROR(VLOOKUP($U$163,'TAR FIN'!$A$1:$O$85,15,0)),0,VLOOKUP($U$163,'TAR FIN'!$A$1:$O$85,15,0))</f>
        <v>0</v>
      </c>
      <c r="Y163" s="6">
        <f ca="1">('TUSD BE'!$AM$10+'TUSD BF'!$AM$10+'TUSD CVA'!$AM$10)*1</f>
        <v>19.63429077280307</v>
      </c>
      <c r="Z163" s="6"/>
      <c r="AA163" s="6"/>
      <c r="AB163" s="6">
        <f>$K$163*$V$163</f>
        <v>70307.64</v>
      </c>
      <c r="AC163" s="6">
        <f>$M$163*$W$163</f>
        <v>0</v>
      </c>
      <c r="AD163" s="6">
        <f>$O$163*$X$163</f>
        <v>0</v>
      </c>
      <c r="AE163" s="6">
        <f ca="1">$K$163*$Y$163</f>
        <v>92398.972376811245</v>
      </c>
      <c r="AF163" s="6">
        <f>$M$163*$Z$163</f>
        <v>0</v>
      </c>
      <c r="AG163" s="6">
        <f>$O$163*$AA$163</f>
        <v>0</v>
      </c>
    </row>
    <row r="164" spans="1:33" ht="11.25" customHeight="1" x14ac:dyDescent="0.25">
      <c r="A164" s="4" t="s">
        <v>21</v>
      </c>
      <c r="B164" s="4" t="s">
        <v>34</v>
      </c>
      <c r="C164" s="4" t="s">
        <v>35</v>
      </c>
      <c r="D164" s="4" t="s">
        <v>33</v>
      </c>
      <c r="E164" s="4" t="s">
        <v>25</v>
      </c>
      <c r="F164" s="4" t="s">
        <v>25</v>
      </c>
      <c r="G164" s="4" t="s">
        <v>25</v>
      </c>
      <c r="H164" s="4" t="s">
        <v>25</v>
      </c>
      <c r="I164" s="5">
        <v>44562</v>
      </c>
      <c r="J164" s="6">
        <v>4259</v>
      </c>
      <c r="K164" s="6">
        <v>4259</v>
      </c>
      <c r="L164" s="6">
        <v>0</v>
      </c>
      <c r="M164" s="6">
        <v>0</v>
      </c>
      <c r="N164" s="6">
        <v>0</v>
      </c>
      <c r="O164" s="6">
        <v>0</v>
      </c>
      <c r="P164" s="6">
        <v>12</v>
      </c>
      <c r="Q164" s="4" t="s">
        <v>26</v>
      </c>
      <c r="R164" s="4">
        <v>0</v>
      </c>
      <c r="S164" s="6">
        <v>36</v>
      </c>
      <c r="T164" s="6">
        <v>0</v>
      </c>
      <c r="U164" s="6">
        <v>0</v>
      </c>
      <c r="V164" s="6">
        <f>IF(ISERROR(VLOOKUP($S$164,'TAR FIN'!$A$1:$O$85,15,0)),0,VLOOKUP($S$164,'TAR FIN'!$A$1:$O$85,15,0))</f>
        <v>14.94</v>
      </c>
      <c r="W164" s="6">
        <f>IF(ISERROR(VLOOKUP($T$164,'TAR FIN'!$A$1:$O$85,15,0)),0,VLOOKUP($T$164,'TAR FIN'!$A$1:$O$85,15,0))</f>
        <v>0</v>
      </c>
      <c r="X164" s="6">
        <f>IF(ISERROR(VLOOKUP($U$164,'TAR FIN'!$A$1:$O$85,15,0)),0,VLOOKUP($U$164,'TAR FIN'!$A$1:$O$85,15,0))</f>
        <v>0</v>
      </c>
      <c r="Y164" s="6">
        <f ca="1">('TUSD BE'!$AM$10+'TUSD BF'!$AM$10+'TUSD CVA'!$AM$10)*1</f>
        <v>19.63429077280307</v>
      </c>
      <c r="Z164" s="6"/>
      <c r="AA164" s="6"/>
      <c r="AB164" s="6">
        <f>$K$164*$V$164</f>
        <v>63629.46</v>
      </c>
      <c r="AC164" s="6">
        <f>$M$164*$W$164</f>
        <v>0</v>
      </c>
      <c r="AD164" s="6">
        <f>$O$164*$X$164</f>
        <v>0</v>
      </c>
      <c r="AE164" s="6">
        <f ca="1">$K$164*$Y$164</f>
        <v>83622.444401368266</v>
      </c>
      <c r="AF164" s="6">
        <f>$M$164*$Z$164</f>
        <v>0</v>
      </c>
      <c r="AG164" s="6">
        <f>$O$164*$AA$164</f>
        <v>0</v>
      </c>
    </row>
    <row r="165" spans="1:33" ht="11.25" customHeight="1" x14ac:dyDescent="0.25">
      <c r="A165" s="4" t="s">
        <v>21</v>
      </c>
      <c r="B165" s="4" t="s">
        <v>34</v>
      </c>
      <c r="C165" s="4" t="s">
        <v>35</v>
      </c>
      <c r="D165" s="4" t="s">
        <v>33</v>
      </c>
      <c r="E165" s="4" t="s">
        <v>25</v>
      </c>
      <c r="F165" s="4" t="s">
        <v>25</v>
      </c>
      <c r="G165" s="4" t="s">
        <v>25</v>
      </c>
      <c r="H165" s="4" t="s">
        <v>25</v>
      </c>
      <c r="I165" s="5">
        <v>44593</v>
      </c>
      <c r="J165" s="6">
        <v>4233</v>
      </c>
      <c r="K165" s="6">
        <v>4233</v>
      </c>
      <c r="L165" s="6">
        <v>0</v>
      </c>
      <c r="M165" s="6">
        <v>0</v>
      </c>
      <c r="N165" s="6">
        <v>0</v>
      </c>
      <c r="O165" s="6">
        <v>0</v>
      </c>
      <c r="P165" s="6">
        <v>12</v>
      </c>
      <c r="Q165" s="4" t="s">
        <v>26</v>
      </c>
      <c r="R165" s="4">
        <v>0</v>
      </c>
      <c r="S165" s="6">
        <v>36</v>
      </c>
      <c r="T165" s="6">
        <v>0</v>
      </c>
      <c r="U165" s="6">
        <v>0</v>
      </c>
      <c r="V165" s="6">
        <f>IF(ISERROR(VLOOKUP($S$165,'TAR FIN'!$A$1:$O$85,15,0)),0,VLOOKUP($S$165,'TAR FIN'!$A$1:$O$85,15,0))</f>
        <v>14.94</v>
      </c>
      <c r="W165" s="6">
        <f>IF(ISERROR(VLOOKUP($T$165,'TAR FIN'!$A$1:$O$85,15,0)),0,VLOOKUP($T$165,'TAR FIN'!$A$1:$O$85,15,0))</f>
        <v>0</v>
      </c>
      <c r="X165" s="6">
        <f>IF(ISERROR(VLOOKUP($U$165,'TAR FIN'!$A$1:$O$85,15,0)),0,VLOOKUP($U$165,'TAR FIN'!$A$1:$O$85,15,0))</f>
        <v>0</v>
      </c>
      <c r="Y165" s="6">
        <f ca="1">('TUSD BE'!$AM$10+'TUSD BF'!$AM$10+'TUSD CVA'!$AM$10)*1</f>
        <v>19.63429077280307</v>
      </c>
      <c r="Z165" s="6"/>
      <c r="AA165" s="6"/>
      <c r="AB165" s="6">
        <f>$K$165*$V$165</f>
        <v>63241.02</v>
      </c>
      <c r="AC165" s="6">
        <f>$M$165*$W$165</f>
        <v>0</v>
      </c>
      <c r="AD165" s="6">
        <f>$O$165*$X$165</f>
        <v>0</v>
      </c>
      <c r="AE165" s="6">
        <f ca="1">$K$165*$Y$165</f>
        <v>83111.952841275401</v>
      </c>
      <c r="AF165" s="6">
        <f>$M$165*$Z$165</f>
        <v>0</v>
      </c>
      <c r="AG165" s="6">
        <f>$O$165*$AA$165</f>
        <v>0</v>
      </c>
    </row>
    <row r="166" spans="1:33" ht="11.25" customHeight="1" x14ac:dyDescent="0.25">
      <c r="A166" s="4" t="s">
        <v>21</v>
      </c>
      <c r="B166" s="4" t="s">
        <v>34</v>
      </c>
      <c r="C166" s="4" t="s">
        <v>35</v>
      </c>
      <c r="D166" s="4" t="s">
        <v>33</v>
      </c>
      <c r="E166" s="4" t="s">
        <v>25</v>
      </c>
      <c r="F166" s="4" t="s">
        <v>25</v>
      </c>
      <c r="G166" s="4" t="s">
        <v>25</v>
      </c>
      <c r="H166" s="4" t="s">
        <v>25</v>
      </c>
      <c r="I166" s="5">
        <v>44621</v>
      </c>
      <c r="J166" s="6">
        <v>4232</v>
      </c>
      <c r="K166" s="6">
        <v>4232</v>
      </c>
      <c r="L166" s="6">
        <v>0</v>
      </c>
      <c r="M166" s="6">
        <v>0</v>
      </c>
      <c r="N166" s="6">
        <v>0</v>
      </c>
      <c r="O166" s="6">
        <v>0</v>
      </c>
      <c r="P166" s="6">
        <v>12</v>
      </c>
      <c r="Q166" s="4" t="s">
        <v>26</v>
      </c>
      <c r="R166" s="4">
        <v>0</v>
      </c>
      <c r="S166" s="6">
        <v>36</v>
      </c>
      <c r="T166" s="6">
        <v>0</v>
      </c>
      <c r="U166" s="6">
        <v>0</v>
      </c>
      <c r="V166" s="6">
        <f>IF(ISERROR(VLOOKUP($S$166,'TAR FIN'!$A$1:$O$85,15,0)),0,VLOOKUP($S$166,'TAR FIN'!$A$1:$O$85,15,0))</f>
        <v>14.94</v>
      </c>
      <c r="W166" s="6">
        <f>IF(ISERROR(VLOOKUP($T$166,'TAR FIN'!$A$1:$O$85,15,0)),0,VLOOKUP($T$166,'TAR FIN'!$A$1:$O$85,15,0))</f>
        <v>0</v>
      </c>
      <c r="X166" s="6">
        <f>IF(ISERROR(VLOOKUP($U$166,'TAR FIN'!$A$1:$O$85,15,0)),0,VLOOKUP($U$166,'TAR FIN'!$A$1:$O$85,15,0))</f>
        <v>0</v>
      </c>
      <c r="Y166" s="6">
        <f ca="1">('TUSD BE'!$AM$10+'TUSD BF'!$AM$10+'TUSD CVA'!$AM$10)*1</f>
        <v>19.63429077280307</v>
      </c>
      <c r="Z166" s="6"/>
      <c r="AA166" s="6"/>
      <c r="AB166" s="6">
        <f>$K$166*$V$166</f>
        <v>63226.079999999994</v>
      </c>
      <c r="AC166" s="6">
        <f>$M$166*$W$166</f>
        <v>0</v>
      </c>
      <c r="AD166" s="6">
        <f>$O$166*$X$166</f>
        <v>0</v>
      </c>
      <c r="AE166" s="6">
        <f ca="1">$K$166*$Y$166</f>
        <v>83092.31855050259</v>
      </c>
      <c r="AF166" s="6">
        <f>$M$166*$Z$166</f>
        <v>0</v>
      </c>
      <c r="AG166" s="6">
        <f>$O$166*$AA$166</f>
        <v>0</v>
      </c>
    </row>
    <row r="167" spans="1:33" ht="11.25" customHeight="1" x14ac:dyDescent="0.25">
      <c r="A167" s="4" t="s">
        <v>21</v>
      </c>
      <c r="B167" s="4" t="s">
        <v>34</v>
      </c>
      <c r="C167" s="4" t="s">
        <v>35</v>
      </c>
      <c r="D167" s="4" t="s">
        <v>33</v>
      </c>
      <c r="E167" s="4" t="s">
        <v>25</v>
      </c>
      <c r="F167" s="4" t="s">
        <v>25</v>
      </c>
      <c r="G167" s="4" t="s">
        <v>25</v>
      </c>
      <c r="H167" s="4" t="s">
        <v>25</v>
      </c>
      <c r="I167" s="5">
        <v>44652</v>
      </c>
      <c r="J167" s="6">
        <v>4288</v>
      </c>
      <c r="K167" s="6">
        <v>4288</v>
      </c>
      <c r="L167" s="6">
        <v>0</v>
      </c>
      <c r="M167" s="6">
        <v>0</v>
      </c>
      <c r="N167" s="6">
        <v>0</v>
      </c>
      <c r="O167" s="6">
        <v>0</v>
      </c>
      <c r="P167" s="6">
        <v>12</v>
      </c>
      <c r="Q167" s="4" t="s">
        <v>26</v>
      </c>
      <c r="R167" s="4">
        <v>0</v>
      </c>
      <c r="S167" s="6">
        <v>36</v>
      </c>
      <c r="T167" s="6">
        <v>0</v>
      </c>
      <c r="U167" s="6">
        <v>0</v>
      </c>
      <c r="V167" s="6">
        <f>IF(ISERROR(VLOOKUP($S$167,'TAR FIN'!$A$1:$O$85,15,0)),0,VLOOKUP($S$167,'TAR FIN'!$A$1:$O$85,15,0))</f>
        <v>14.94</v>
      </c>
      <c r="W167" s="6">
        <f>IF(ISERROR(VLOOKUP($T$167,'TAR FIN'!$A$1:$O$85,15,0)),0,VLOOKUP($T$167,'TAR FIN'!$A$1:$O$85,15,0))</f>
        <v>0</v>
      </c>
      <c r="X167" s="6">
        <f>IF(ISERROR(VLOOKUP($U$167,'TAR FIN'!$A$1:$O$85,15,0)),0,VLOOKUP($U$167,'TAR FIN'!$A$1:$O$85,15,0))</f>
        <v>0</v>
      </c>
      <c r="Y167" s="6">
        <f ca="1">('TUSD BE'!$AM$10+'TUSD BF'!$AM$10+'TUSD CVA'!$AM$10)*1</f>
        <v>19.63429077280307</v>
      </c>
      <c r="Z167" s="6"/>
      <c r="AA167" s="6"/>
      <c r="AB167" s="6">
        <f>$K$167*$V$167</f>
        <v>64062.720000000001</v>
      </c>
      <c r="AC167" s="6">
        <f>$M$167*$W$167</f>
        <v>0</v>
      </c>
      <c r="AD167" s="6">
        <f>$O$167*$X$167</f>
        <v>0</v>
      </c>
      <c r="AE167" s="6">
        <f ca="1">$K$167*$Y$167</f>
        <v>84191.838833779562</v>
      </c>
      <c r="AF167" s="6">
        <f>$M$167*$Z$167</f>
        <v>0</v>
      </c>
      <c r="AG167" s="6">
        <f>$O$167*$AA$167</f>
        <v>0</v>
      </c>
    </row>
    <row r="168" spans="1:33" ht="11.25" customHeight="1" x14ac:dyDescent="0.25">
      <c r="A168" s="4" t="s">
        <v>21</v>
      </c>
      <c r="B168" s="4" t="s">
        <v>34</v>
      </c>
      <c r="C168" s="4" t="s">
        <v>35</v>
      </c>
      <c r="D168" s="4" t="s">
        <v>33</v>
      </c>
      <c r="E168" s="4" t="s">
        <v>25</v>
      </c>
      <c r="F168" s="4" t="s">
        <v>25</v>
      </c>
      <c r="G168" s="4" t="s">
        <v>25</v>
      </c>
      <c r="H168" s="4" t="s">
        <v>25</v>
      </c>
      <c r="I168" s="5">
        <v>44682</v>
      </c>
      <c r="J168" s="6">
        <v>4222</v>
      </c>
      <c r="K168" s="6">
        <v>4222</v>
      </c>
      <c r="L168" s="6">
        <v>0</v>
      </c>
      <c r="M168" s="6">
        <v>0</v>
      </c>
      <c r="N168" s="6">
        <v>0</v>
      </c>
      <c r="O168" s="6">
        <v>0</v>
      </c>
      <c r="P168" s="6">
        <v>12</v>
      </c>
      <c r="Q168" s="4" t="s">
        <v>26</v>
      </c>
      <c r="R168" s="4">
        <v>0</v>
      </c>
      <c r="S168" s="6">
        <v>36</v>
      </c>
      <c r="T168" s="6">
        <v>0</v>
      </c>
      <c r="U168" s="6">
        <v>0</v>
      </c>
      <c r="V168" s="6">
        <f>IF(ISERROR(VLOOKUP($S$168,'TAR FIN'!$A$1:$O$85,15,0)),0,VLOOKUP($S$168,'TAR FIN'!$A$1:$O$85,15,0))</f>
        <v>14.94</v>
      </c>
      <c r="W168" s="6">
        <f>IF(ISERROR(VLOOKUP($T$168,'TAR FIN'!$A$1:$O$85,15,0)),0,VLOOKUP($T$168,'TAR FIN'!$A$1:$O$85,15,0))</f>
        <v>0</v>
      </c>
      <c r="X168" s="6">
        <f>IF(ISERROR(VLOOKUP($U$168,'TAR FIN'!$A$1:$O$85,15,0)),0,VLOOKUP($U$168,'TAR FIN'!$A$1:$O$85,15,0))</f>
        <v>0</v>
      </c>
      <c r="Y168" s="6">
        <f ca="1">('TUSD BE'!$AM$10+'TUSD BF'!$AM$10+'TUSD CVA'!$AM$10)*1</f>
        <v>19.63429077280307</v>
      </c>
      <c r="Z168" s="6"/>
      <c r="AA168" s="6"/>
      <c r="AB168" s="6">
        <f>$K$168*$V$168</f>
        <v>63076.68</v>
      </c>
      <c r="AC168" s="6">
        <f>$M$168*$W$168</f>
        <v>0</v>
      </c>
      <c r="AD168" s="6">
        <f>$O$168*$X$168</f>
        <v>0</v>
      </c>
      <c r="AE168" s="6">
        <f ca="1">$K$168*$Y$168</f>
        <v>82895.97564277456</v>
      </c>
      <c r="AF168" s="6">
        <f>$M$168*$Z$168</f>
        <v>0</v>
      </c>
      <c r="AG168" s="6">
        <f>$O$168*$AA$168</f>
        <v>0</v>
      </c>
    </row>
    <row r="169" spans="1:33" ht="11.25" customHeight="1" x14ac:dyDescent="0.25">
      <c r="A169" s="4" t="s">
        <v>21</v>
      </c>
      <c r="B169" s="4" t="s">
        <v>34</v>
      </c>
      <c r="C169" s="4" t="s">
        <v>35</v>
      </c>
      <c r="D169" s="4" t="s">
        <v>33</v>
      </c>
      <c r="E169" s="4" t="s">
        <v>25</v>
      </c>
      <c r="F169" s="4" t="s">
        <v>25</v>
      </c>
      <c r="G169" s="4" t="s">
        <v>25</v>
      </c>
      <c r="H169" s="4" t="s">
        <v>25</v>
      </c>
      <c r="I169" s="5">
        <v>44713</v>
      </c>
      <c r="J169" s="6">
        <v>4278</v>
      </c>
      <c r="K169" s="6">
        <v>4278</v>
      </c>
      <c r="L169" s="6">
        <v>0</v>
      </c>
      <c r="M169" s="6">
        <v>0</v>
      </c>
      <c r="N169" s="6">
        <v>0</v>
      </c>
      <c r="O169" s="6">
        <v>0</v>
      </c>
      <c r="P169" s="6">
        <v>12</v>
      </c>
      <c r="Q169" s="4" t="s">
        <v>26</v>
      </c>
      <c r="R169" s="4">
        <v>0</v>
      </c>
      <c r="S169" s="6">
        <v>36</v>
      </c>
      <c r="T169" s="6">
        <v>0</v>
      </c>
      <c r="U169" s="6">
        <v>0</v>
      </c>
      <c r="V169" s="6">
        <f>IF(ISERROR(VLOOKUP($S$169,'TAR FIN'!$A$1:$O$85,15,0)),0,VLOOKUP($S$169,'TAR FIN'!$A$1:$O$85,15,0))</f>
        <v>14.94</v>
      </c>
      <c r="W169" s="6">
        <f>IF(ISERROR(VLOOKUP($T$169,'TAR FIN'!$A$1:$O$85,15,0)),0,VLOOKUP($T$169,'TAR FIN'!$A$1:$O$85,15,0))</f>
        <v>0</v>
      </c>
      <c r="X169" s="6">
        <f>IF(ISERROR(VLOOKUP($U$169,'TAR FIN'!$A$1:$O$85,15,0)),0,VLOOKUP($U$169,'TAR FIN'!$A$1:$O$85,15,0))</f>
        <v>0</v>
      </c>
      <c r="Y169" s="6">
        <f ca="1">('TUSD BE'!$AM$10+'TUSD BF'!$AM$10+'TUSD CVA'!$AM$10)*1</f>
        <v>19.63429077280307</v>
      </c>
      <c r="Z169" s="6"/>
      <c r="AA169" s="6"/>
      <c r="AB169" s="6">
        <f>$K$169*$V$169</f>
        <v>63913.32</v>
      </c>
      <c r="AC169" s="6">
        <f>$M$169*$W$169</f>
        <v>0</v>
      </c>
      <c r="AD169" s="6">
        <f>$O$169*$X$169</f>
        <v>0</v>
      </c>
      <c r="AE169" s="6">
        <f ca="1">$K$169*$Y$169</f>
        <v>83995.495926051532</v>
      </c>
      <c r="AF169" s="6">
        <f>$M$169*$Z$169</f>
        <v>0</v>
      </c>
      <c r="AG169" s="6">
        <f>$O$169*$AA$169</f>
        <v>0</v>
      </c>
    </row>
    <row r="170" spans="1:33" ht="11.25" customHeight="1" x14ac:dyDescent="0.25">
      <c r="A170" s="4" t="s">
        <v>21</v>
      </c>
      <c r="B170" s="4" t="s">
        <v>34</v>
      </c>
      <c r="C170" s="4" t="s">
        <v>35</v>
      </c>
      <c r="D170" s="4" t="s">
        <v>33</v>
      </c>
      <c r="E170" s="4" t="s">
        <v>25</v>
      </c>
      <c r="F170" s="4" t="s">
        <v>25</v>
      </c>
      <c r="G170" s="4" t="s">
        <v>25</v>
      </c>
      <c r="H170" s="4" t="s">
        <v>36</v>
      </c>
      <c r="I170" s="5">
        <v>44378</v>
      </c>
      <c r="J170" s="6">
        <v>0</v>
      </c>
      <c r="K170" s="6">
        <v>0</v>
      </c>
      <c r="L170" s="6">
        <v>170.327</v>
      </c>
      <c r="M170" s="6">
        <v>170.327</v>
      </c>
      <c r="N170" s="6">
        <v>170.327</v>
      </c>
      <c r="O170" s="6">
        <v>170.327</v>
      </c>
      <c r="P170" s="6">
        <v>0</v>
      </c>
      <c r="Q170" s="4" t="s">
        <v>26</v>
      </c>
      <c r="R170" s="4">
        <v>0</v>
      </c>
      <c r="S170" s="6">
        <v>0</v>
      </c>
      <c r="T170" s="6">
        <v>15</v>
      </c>
      <c r="U170" s="6">
        <v>9</v>
      </c>
      <c r="V170" s="6">
        <f>IF(ISERROR(VLOOKUP($S$170,'TAR FIN'!$A$1:$O$85,15,0)),0,VLOOKUP($S$170,'TAR FIN'!$A$1:$O$85,15,0))</f>
        <v>0</v>
      </c>
      <c r="W170" s="6">
        <f>IF(ISERROR(VLOOKUP($T$170,'TAR FIN'!$A$1:$O$85,15,0)),0,VLOOKUP($T$170,'TAR FIN'!$A$1:$O$85,15,0))</f>
        <v>940.75</v>
      </c>
      <c r="X170" s="6">
        <f>IF(ISERROR(VLOOKUP($U$170,'TAR FIN'!$A$1:$O$85,15,0)),0,VLOOKUP($U$170,'TAR FIN'!$A$1:$O$85,15,0))</f>
        <v>373.71</v>
      </c>
      <c r="Y170" s="6"/>
      <c r="Z170" s="6">
        <f ca="1">('TUSD BE'!$AM$11+'TUSD BF'!$AM$11+'TUSD CVA'!$AM$11)*1</f>
        <v>966.5081601045739</v>
      </c>
      <c r="AA170" s="6">
        <f>('TE BE'!$AB$5+'TE BF'!$AB$5+'TE CVA'!$AB$5)*1</f>
        <v>347.98834052804079</v>
      </c>
      <c r="AB170" s="6">
        <f>$K$170*$V$170</f>
        <v>0</v>
      </c>
      <c r="AC170" s="6">
        <f>$M$170*$W$170</f>
        <v>160235.12525000001</v>
      </c>
      <c r="AD170" s="6">
        <f>$O$170*$X$170</f>
        <v>63652.903169999998</v>
      </c>
      <c r="AE170" s="6">
        <f>$K$170*$Y$170</f>
        <v>0</v>
      </c>
      <c r="AF170" s="6">
        <f ca="1">$M$170*$Z$170</f>
        <v>164622.43538613175</v>
      </c>
      <c r="AG170" s="6">
        <f>$O$170*$AA$170</f>
        <v>59271.810077119604</v>
      </c>
    </row>
    <row r="171" spans="1:33" ht="11.25" customHeight="1" x14ac:dyDescent="0.25">
      <c r="A171" s="4" t="s">
        <v>21</v>
      </c>
      <c r="B171" s="4" t="s">
        <v>34</v>
      </c>
      <c r="C171" s="4" t="s">
        <v>35</v>
      </c>
      <c r="D171" s="4" t="s">
        <v>33</v>
      </c>
      <c r="E171" s="4" t="s">
        <v>25</v>
      </c>
      <c r="F171" s="4" t="s">
        <v>25</v>
      </c>
      <c r="G171" s="4" t="s">
        <v>25</v>
      </c>
      <c r="H171" s="4" t="s">
        <v>36</v>
      </c>
      <c r="I171" s="5">
        <v>44409</v>
      </c>
      <c r="J171" s="6">
        <v>0</v>
      </c>
      <c r="K171" s="6">
        <v>0</v>
      </c>
      <c r="L171" s="6">
        <v>176.798</v>
      </c>
      <c r="M171" s="6">
        <v>176.798</v>
      </c>
      <c r="N171" s="6">
        <v>176.798</v>
      </c>
      <c r="O171" s="6">
        <v>176.798</v>
      </c>
      <c r="P171" s="6">
        <v>0</v>
      </c>
      <c r="Q171" s="4" t="s">
        <v>26</v>
      </c>
      <c r="R171" s="4">
        <v>0</v>
      </c>
      <c r="S171" s="6">
        <v>0</v>
      </c>
      <c r="T171" s="6">
        <v>15</v>
      </c>
      <c r="U171" s="6">
        <v>9</v>
      </c>
      <c r="V171" s="6">
        <f>IF(ISERROR(VLOOKUP($S$171,'TAR FIN'!$A$1:$O$85,15,0)),0,VLOOKUP($S$171,'TAR FIN'!$A$1:$O$85,15,0))</f>
        <v>0</v>
      </c>
      <c r="W171" s="6">
        <f>IF(ISERROR(VLOOKUP($T$171,'TAR FIN'!$A$1:$O$85,15,0)),0,VLOOKUP($T$171,'TAR FIN'!$A$1:$O$85,15,0))</f>
        <v>940.75</v>
      </c>
      <c r="X171" s="6">
        <f>IF(ISERROR(VLOOKUP($U$171,'TAR FIN'!$A$1:$O$85,15,0)),0,VLOOKUP($U$171,'TAR FIN'!$A$1:$O$85,15,0))</f>
        <v>373.71</v>
      </c>
      <c r="Y171" s="6"/>
      <c r="Z171" s="6">
        <f ca="1">('TUSD BE'!$AM$11+'TUSD BF'!$AM$11+'TUSD CVA'!$AM$11)*1</f>
        <v>966.5081601045739</v>
      </c>
      <c r="AA171" s="6">
        <f>('TE BE'!$AB$5+'TE BF'!$AB$5+'TE CVA'!$AB$5)*1</f>
        <v>347.98834052804079</v>
      </c>
      <c r="AB171" s="6">
        <f>$K$171*$V$171</f>
        <v>0</v>
      </c>
      <c r="AC171" s="6">
        <f>$M$171*$W$171</f>
        <v>166322.71849999999</v>
      </c>
      <c r="AD171" s="6">
        <f>$O$171*$X$171</f>
        <v>66071.18058</v>
      </c>
      <c r="AE171" s="6">
        <f>$K$171*$Y$171</f>
        <v>0</v>
      </c>
      <c r="AF171" s="6">
        <f ca="1">$M$171*$Z$171</f>
        <v>170876.70969016847</v>
      </c>
      <c r="AG171" s="6">
        <f>$O$171*$AA$171</f>
        <v>61523.642628676556</v>
      </c>
    </row>
    <row r="172" spans="1:33" ht="11.25" customHeight="1" x14ac:dyDescent="0.25">
      <c r="A172" s="4" t="s">
        <v>21</v>
      </c>
      <c r="B172" s="4" t="s">
        <v>34</v>
      </c>
      <c r="C172" s="4" t="s">
        <v>35</v>
      </c>
      <c r="D172" s="4" t="s">
        <v>33</v>
      </c>
      <c r="E172" s="4" t="s">
        <v>25</v>
      </c>
      <c r="F172" s="4" t="s">
        <v>25</v>
      </c>
      <c r="G172" s="4" t="s">
        <v>25</v>
      </c>
      <c r="H172" s="4" t="s">
        <v>36</v>
      </c>
      <c r="I172" s="5">
        <v>44440</v>
      </c>
      <c r="J172" s="6">
        <v>0</v>
      </c>
      <c r="K172" s="6">
        <v>0</v>
      </c>
      <c r="L172" s="6">
        <v>166.45699999999999</v>
      </c>
      <c r="M172" s="6">
        <v>166.45699999999999</v>
      </c>
      <c r="N172" s="6">
        <v>166.45699999999999</v>
      </c>
      <c r="O172" s="6">
        <v>166.45699999999999</v>
      </c>
      <c r="P172" s="6">
        <v>0</v>
      </c>
      <c r="Q172" s="4" t="s">
        <v>26</v>
      </c>
      <c r="R172" s="4">
        <v>0</v>
      </c>
      <c r="S172" s="6">
        <v>0</v>
      </c>
      <c r="T172" s="6">
        <v>15</v>
      </c>
      <c r="U172" s="6">
        <v>9</v>
      </c>
      <c r="V172" s="6">
        <f>IF(ISERROR(VLOOKUP($S$172,'TAR FIN'!$A$1:$O$85,15,0)),0,VLOOKUP($S$172,'TAR FIN'!$A$1:$O$85,15,0))</f>
        <v>0</v>
      </c>
      <c r="W172" s="6">
        <f>IF(ISERROR(VLOOKUP($T$172,'TAR FIN'!$A$1:$O$85,15,0)),0,VLOOKUP($T$172,'TAR FIN'!$A$1:$O$85,15,0))</f>
        <v>940.75</v>
      </c>
      <c r="X172" s="6">
        <f>IF(ISERROR(VLOOKUP($U$172,'TAR FIN'!$A$1:$O$85,15,0)),0,VLOOKUP($U$172,'TAR FIN'!$A$1:$O$85,15,0))</f>
        <v>373.71</v>
      </c>
      <c r="Y172" s="6"/>
      <c r="Z172" s="6">
        <f ca="1">('TUSD BE'!$AM$11+'TUSD BF'!$AM$11+'TUSD CVA'!$AM$11)*1</f>
        <v>966.5081601045739</v>
      </c>
      <c r="AA172" s="6">
        <f>('TE BE'!$AB$5+'TE BF'!$AB$5+'TE CVA'!$AB$5)*1</f>
        <v>347.98834052804079</v>
      </c>
      <c r="AB172" s="6">
        <f>$K$172*$V$172</f>
        <v>0</v>
      </c>
      <c r="AC172" s="6">
        <f>$M$172*$W$172</f>
        <v>156594.42275</v>
      </c>
      <c r="AD172" s="6">
        <f>$O$172*$X$172</f>
        <v>62206.645469999996</v>
      </c>
      <c r="AE172" s="6">
        <f>$K$172*$Y$172</f>
        <v>0</v>
      </c>
      <c r="AF172" s="6">
        <f ca="1">$M$172*$Z$172</f>
        <v>160882.04880652705</v>
      </c>
      <c r="AG172" s="6">
        <f>$O$172*$AA$172</f>
        <v>57925.095199276082</v>
      </c>
    </row>
    <row r="173" spans="1:33" ht="11.25" customHeight="1" x14ac:dyDescent="0.25">
      <c r="A173" s="4" t="s">
        <v>21</v>
      </c>
      <c r="B173" s="4" t="s">
        <v>34</v>
      </c>
      <c r="C173" s="4" t="s">
        <v>35</v>
      </c>
      <c r="D173" s="4" t="s">
        <v>33</v>
      </c>
      <c r="E173" s="4" t="s">
        <v>25</v>
      </c>
      <c r="F173" s="4" t="s">
        <v>25</v>
      </c>
      <c r="G173" s="4" t="s">
        <v>25</v>
      </c>
      <c r="H173" s="4" t="s">
        <v>36</v>
      </c>
      <c r="I173" s="5">
        <v>44470</v>
      </c>
      <c r="J173" s="6">
        <v>0</v>
      </c>
      <c r="K173" s="6">
        <v>0</v>
      </c>
      <c r="L173" s="6">
        <v>168.898</v>
      </c>
      <c r="M173" s="6">
        <v>168.898</v>
      </c>
      <c r="N173" s="6">
        <v>168.898</v>
      </c>
      <c r="O173" s="6">
        <v>168.898</v>
      </c>
      <c r="P173" s="6">
        <v>0</v>
      </c>
      <c r="Q173" s="4" t="s">
        <v>26</v>
      </c>
      <c r="R173" s="4">
        <v>0</v>
      </c>
      <c r="S173" s="6">
        <v>0</v>
      </c>
      <c r="T173" s="6">
        <v>15</v>
      </c>
      <c r="U173" s="6">
        <v>9</v>
      </c>
      <c r="V173" s="6">
        <f>IF(ISERROR(VLOOKUP($S$173,'TAR FIN'!$A$1:$O$85,15,0)),0,VLOOKUP($S$173,'TAR FIN'!$A$1:$O$85,15,0))</f>
        <v>0</v>
      </c>
      <c r="W173" s="6">
        <f>IF(ISERROR(VLOOKUP($T$173,'TAR FIN'!$A$1:$O$85,15,0)),0,VLOOKUP($T$173,'TAR FIN'!$A$1:$O$85,15,0))</f>
        <v>940.75</v>
      </c>
      <c r="X173" s="6">
        <f>IF(ISERROR(VLOOKUP($U$173,'TAR FIN'!$A$1:$O$85,15,0)),0,VLOOKUP($U$173,'TAR FIN'!$A$1:$O$85,15,0))</f>
        <v>373.71</v>
      </c>
      <c r="Y173" s="6"/>
      <c r="Z173" s="6">
        <f ca="1">('TUSD BE'!$AM$11+'TUSD BF'!$AM$11+'TUSD CVA'!$AM$11)*1</f>
        <v>966.5081601045739</v>
      </c>
      <c r="AA173" s="6">
        <f>('TE BE'!$AB$5+'TE BF'!$AB$5+'TE CVA'!$AB$5)*1</f>
        <v>347.98834052804079</v>
      </c>
      <c r="AB173" s="6">
        <f>$K$173*$V$173</f>
        <v>0</v>
      </c>
      <c r="AC173" s="6">
        <f>$M$173*$W$173</f>
        <v>158890.7935</v>
      </c>
      <c r="AD173" s="6">
        <f>$O$173*$X$173</f>
        <v>63118.871579999992</v>
      </c>
      <c r="AE173" s="6">
        <f>$K$173*$Y$173</f>
        <v>0</v>
      </c>
      <c r="AF173" s="6">
        <f ca="1">$M$173*$Z$173</f>
        <v>163241.29522534233</v>
      </c>
      <c r="AG173" s="6">
        <f>$O$173*$AA$173</f>
        <v>58774.534738505034</v>
      </c>
    </row>
    <row r="174" spans="1:33" ht="11.25" customHeight="1" x14ac:dyDescent="0.25">
      <c r="A174" s="4" t="s">
        <v>21</v>
      </c>
      <c r="B174" s="4" t="s">
        <v>34</v>
      </c>
      <c r="C174" s="4" t="s">
        <v>35</v>
      </c>
      <c r="D174" s="4" t="s">
        <v>33</v>
      </c>
      <c r="E174" s="4" t="s">
        <v>25</v>
      </c>
      <c r="F174" s="4" t="s">
        <v>25</v>
      </c>
      <c r="G174" s="4" t="s">
        <v>25</v>
      </c>
      <c r="H174" s="4" t="s">
        <v>36</v>
      </c>
      <c r="I174" s="5">
        <v>44501</v>
      </c>
      <c r="J174" s="6">
        <v>0</v>
      </c>
      <c r="K174" s="6">
        <v>0</v>
      </c>
      <c r="L174" s="6">
        <v>166.696</v>
      </c>
      <c r="M174" s="6">
        <v>166.696</v>
      </c>
      <c r="N174" s="6">
        <v>166.696</v>
      </c>
      <c r="O174" s="6">
        <v>166.696</v>
      </c>
      <c r="P174" s="6">
        <v>0</v>
      </c>
      <c r="Q174" s="4" t="s">
        <v>26</v>
      </c>
      <c r="R174" s="4">
        <v>0</v>
      </c>
      <c r="S174" s="6">
        <v>0</v>
      </c>
      <c r="T174" s="6">
        <v>15</v>
      </c>
      <c r="U174" s="6">
        <v>9</v>
      </c>
      <c r="V174" s="6">
        <f>IF(ISERROR(VLOOKUP($S$174,'TAR FIN'!$A$1:$O$85,15,0)),0,VLOOKUP($S$174,'TAR FIN'!$A$1:$O$85,15,0))</f>
        <v>0</v>
      </c>
      <c r="W174" s="6">
        <f>IF(ISERROR(VLOOKUP($T$174,'TAR FIN'!$A$1:$O$85,15,0)),0,VLOOKUP($T$174,'TAR FIN'!$A$1:$O$85,15,0))</f>
        <v>940.75</v>
      </c>
      <c r="X174" s="6">
        <f>IF(ISERROR(VLOOKUP($U$174,'TAR FIN'!$A$1:$O$85,15,0)),0,VLOOKUP($U$174,'TAR FIN'!$A$1:$O$85,15,0))</f>
        <v>373.71</v>
      </c>
      <c r="Y174" s="6"/>
      <c r="Z174" s="6">
        <f ca="1">('TUSD BE'!$AM$11+'TUSD BF'!$AM$11+'TUSD CVA'!$AM$11)*1</f>
        <v>966.5081601045739</v>
      </c>
      <c r="AA174" s="6">
        <f>('TE BE'!$AB$5+'TE BF'!$AB$5+'TE CVA'!$AB$5)*1</f>
        <v>347.98834052804079</v>
      </c>
      <c r="AB174" s="6">
        <f>$K$174*$V$174</f>
        <v>0</v>
      </c>
      <c r="AC174" s="6">
        <f>$M$174*$W$174</f>
        <v>156819.26199999999</v>
      </c>
      <c r="AD174" s="6">
        <f>$O$174*$X$174</f>
        <v>62295.962159999995</v>
      </c>
      <c r="AE174" s="6">
        <f>$K$174*$Y$174</f>
        <v>0</v>
      </c>
      <c r="AF174" s="6">
        <f ca="1">$M$174*$Z$174</f>
        <v>161113.04425679205</v>
      </c>
      <c r="AG174" s="6">
        <f>$O$174*$AA$174</f>
        <v>58008.264412662291</v>
      </c>
    </row>
    <row r="175" spans="1:33" ht="11.25" customHeight="1" x14ac:dyDescent="0.25">
      <c r="A175" s="4" t="s">
        <v>21</v>
      </c>
      <c r="B175" s="4" t="s">
        <v>34</v>
      </c>
      <c r="C175" s="4" t="s">
        <v>35</v>
      </c>
      <c r="D175" s="4" t="s">
        <v>33</v>
      </c>
      <c r="E175" s="4" t="s">
        <v>25</v>
      </c>
      <c r="F175" s="4" t="s">
        <v>25</v>
      </c>
      <c r="G175" s="4" t="s">
        <v>25</v>
      </c>
      <c r="H175" s="4" t="s">
        <v>36</v>
      </c>
      <c r="I175" s="5">
        <v>44531</v>
      </c>
      <c r="J175" s="6">
        <v>0</v>
      </c>
      <c r="K175" s="6">
        <v>0</v>
      </c>
      <c r="L175" s="6">
        <v>185.05600000000001</v>
      </c>
      <c r="M175" s="6">
        <v>185.05600000000001</v>
      </c>
      <c r="N175" s="6">
        <v>185.05600000000001</v>
      </c>
      <c r="O175" s="6">
        <v>185.05600000000001</v>
      </c>
      <c r="P175" s="6">
        <v>0</v>
      </c>
      <c r="Q175" s="4" t="s">
        <v>26</v>
      </c>
      <c r="R175" s="4">
        <v>0</v>
      </c>
      <c r="S175" s="6">
        <v>0</v>
      </c>
      <c r="T175" s="6">
        <v>15</v>
      </c>
      <c r="U175" s="6">
        <v>9</v>
      </c>
      <c r="V175" s="6">
        <f>IF(ISERROR(VLOOKUP($S$175,'TAR FIN'!$A$1:$O$85,15,0)),0,VLOOKUP($S$175,'TAR FIN'!$A$1:$O$85,15,0))</f>
        <v>0</v>
      </c>
      <c r="W175" s="6">
        <f>IF(ISERROR(VLOOKUP($T$175,'TAR FIN'!$A$1:$O$85,15,0)),0,VLOOKUP($T$175,'TAR FIN'!$A$1:$O$85,15,0))</f>
        <v>940.75</v>
      </c>
      <c r="X175" s="6">
        <f>IF(ISERROR(VLOOKUP($U$175,'TAR FIN'!$A$1:$O$85,15,0)),0,VLOOKUP($U$175,'TAR FIN'!$A$1:$O$85,15,0))</f>
        <v>373.71</v>
      </c>
      <c r="Y175" s="6"/>
      <c r="Z175" s="6">
        <f ca="1">('TUSD BE'!$AM$11+'TUSD BF'!$AM$11+'TUSD CVA'!$AM$11)*1</f>
        <v>966.5081601045739</v>
      </c>
      <c r="AA175" s="6">
        <f>('TE BE'!$AB$5+'TE BF'!$AB$5+'TE CVA'!$AB$5)*1</f>
        <v>347.98834052804079</v>
      </c>
      <c r="AB175" s="6">
        <f>$K$175*$V$175</f>
        <v>0</v>
      </c>
      <c r="AC175" s="6">
        <f>$M$175*$W$175</f>
        <v>174091.432</v>
      </c>
      <c r="AD175" s="6">
        <f>$O$175*$X$175</f>
        <v>69157.277759999997</v>
      </c>
      <c r="AE175" s="6">
        <f>$K$175*$Y$175</f>
        <v>0</v>
      </c>
      <c r="AF175" s="6">
        <f ca="1">$M$175*$Z$175</f>
        <v>178858.13407631204</v>
      </c>
      <c r="AG175" s="6">
        <f>$O$175*$AA$175</f>
        <v>64397.330344757123</v>
      </c>
    </row>
    <row r="176" spans="1:33" ht="11.25" customHeight="1" x14ac:dyDescent="0.25">
      <c r="A176" s="4" t="s">
        <v>21</v>
      </c>
      <c r="B176" s="4" t="s">
        <v>34</v>
      </c>
      <c r="C176" s="4" t="s">
        <v>35</v>
      </c>
      <c r="D176" s="4" t="s">
        <v>33</v>
      </c>
      <c r="E176" s="4" t="s">
        <v>25</v>
      </c>
      <c r="F176" s="4" t="s">
        <v>25</v>
      </c>
      <c r="G176" s="4" t="s">
        <v>25</v>
      </c>
      <c r="H176" s="4" t="s">
        <v>36</v>
      </c>
      <c r="I176" s="5">
        <v>44562</v>
      </c>
      <c r="J176" s="6">
        <v>0</v>
      </c>
      <c r="K176" s="6">
        <v>0</v>
      </c>
      <c r="L176" s="6">
        <v>165.161</v>
      </c>
      <c r="M176" s="6">
        <v>165.161</v>
      </c>
      <c r="N176" s="6">
        <v>165.161</v>
      </c>
      <c r="O176" s="6">
        <v>165.161</v>
      </c>
      <c r="P176" s="6">
        <v>0</v>
      </c>
      <c r="Q176" s="4" t="s">
        <v>26</v>
      </c>
      <c r="R176" s="4">
        <v>0</v>
      </c>
      <c r="S176" s="6">
        <v>0</v>
      </c>
      <c r="T176" s="6">
        <v>15</v>
      </c>
      <c r="U176" s="6">
        <v>9</v>
      </c>
      <c r="V176" s="6">
        <f>IF(ISERROR(VLOOKUP($S$176,'TAR FIN'!$A$1:$O$85,15,0)),0,VLOOKUP($S$176,'TAR FIN'!$A$1:$O$85,15,0))</f>
        <v>0</v>
      </c>
      <c r="W176" s="6">
        <f>IF(ISERROR(VLOOKUP($T$176,'TAR FIN'!$A$1:$O$85,15,0)),0,VLOOKUP($T$176,'TAR FIN'!$A$1:$O$85,15,0))</f>
        <v>940.75</v>
      </c>
      <c r="X176" s="6">
        <f>IF(ISERROR(VLOOKUP($U$176,'TAR FIN'!$A$1:$O$85,15,0)),0,VLOOKUP($U$176,'TAR FIN'!$A$1:$O$85,15,0))</f>
        <v>373.71</v>
      </c>
      <c r="Y176" s="6"/>
      <c r="Z176" s="6">
        <f ca="1">('TUSD BE'!$AM$11+'TUSD BF'!$AM$11+'TUSD CVA'!$AM$11)*1</f>
        <v>966.5081601045739</v>
      </c>
      <c r="AA176" s="6">
        <f>('TE BE'!$AB$5+'TE BF'!$AB$5+'TE CVA'!$AB$5)*1</f>
        <v>347.98834052804079</v>
      </c>
      <c r="AB176" s="6">
        <f>$K$176*$V$176</f>
        <v>0</v>
      </c>
      <c r="AC176" s="6">
        <f>$M$176*$W$176</f>
        <v>155375.21075</v>
      </c>
      <c r="AD176" s="6">
        <f>$O$176*$X$176</f>
        <v>61722.317309999999</v>
      </c>
      <c r="AE176" s="6">
        <f>$K$176*$Y$176</f>
        <v>0</v>
      </c>
      <c r="AF176" s="6">
        <f ca="1">$M$176*$Z$176</f>
        <v>159629.45423103153</v>
      </c>
      <c r="AG176" s="6">
        <f>$O$176*$AA$176</f>
        <v>57474.102309951748</v>
      </c>
    </row>
    <row r="177" spans="1:33" ht="11.25" customHeight="1" x14ac:dyDescent="0.25">
      <c r="A177" s="4" t="s">
        <v>21</v>
      </c>
      <c r="B177" s="4" t="s">
        <v>34</v>
      </c>
      <c r="C177" s="4" t="s">
        <v>35</v>
      </c>
      <c r="D177" s="4" t="s">
        <v>33</v>
      </c>
      <c r="E177" s="4" t="s">
        <v>25</v>
      </c>
      <c r="F177" s="4" t="s">
        <v>25</v>
      </c>
      <c r="G177" s="4" t="s">
        <v>25</v>
      </c>
      <c r="H177" s="4" t="s">
        <v>36</v>
      </c>
      <c r="I177" s="5">
        <v>44593</v>
      </c>
      <c r="J177" s="6">
        <v>0</v>
      </c>
      <c r="K177" s="6">
        <v>0</v>
      </c>
      <c r="L177" s="6">
        <v>144.17699999999999</v>
      </c>
      <c r="M177" s="6">
        <v>144.17699999999999</v>
      </c>
      <c r="N177" s="6">
        <v>144.17699999999999</v>
      </c>
      <c r="O177" s="6">
        <v>144.17699999999999</v>
      </c>
      <c r="P177" s="6">
        <v>0</v>
      </c>
      <c r="Q177" s="4" t="s">
        <v>26</v>
      </c>
      <c r="R177" s="4">
        <v>0</v>
      </c>
      <c r="S177" s="6">
        <v>0</v>
      </c>
      <c r="T177" s="6">
        <v>15</v>
      </c>
      <c r="U177" s="6">
        <v>9</v>
      </c>
      <c r="V177" s="6">
        <f>IF(ISERROR(VLOOKUP($S$177,'TAR FIN'!$A$1:$O$85,15,0)),0,VLOOKUP($S$177,'TAR FIN'!$A$1:$O$85,15,0))</f>
        <v>0</v>
      </c>
      <c r="W177" s="6">
        <f>IF(ISERROR(VLOOKUP($T$177,'TAR FIN'!$A$1:$O$85,15,0)),0,VLOOKUP($T$177,'TAR FIN'!$A$1:$O$85,15,0))</f>
        <v>940.75</v>
      </c>
      <c r="X177" s="6">
        <f>IF(ISERROR(VLOOKUP($U$177,'TAR FIN'!$A$1:$O$85,15,0)),0,VLOOKUP($U$177,'TAR FIN'!$A$1:$O$85,15,0))</f>
        <v>373.71</v>
      </c>
      <c r="Y177" s="6"/>
      <c r="Z177" s="6">
        <f ca="1">('TUSD BE'!$AM$11+'TUSD BF'!$AM$11+'TUSD CVA'!$AM$11)*1</f>
        <v>966.5081601045739</v>
      </c>
      <c r="AA177" s="6">
        <f>('TE BE'!$AB$5+'TE BF'!$AB$5+'TE CVA'!$AB$5)*1</f>
        <v>347.98834052804079</v>
      </c>
      <c r="AB177" s="6">
        <f>$K$177*$V$177</f>
        <v>0</v>
      </c>
      <c r="AC177" s="6">
        <f>$M$177*$W$177</f>
        <v>135634.51274999999</v>
      </c>
      <c r="AD177" s="6">
        <f>$O$177*$X$177</f>
        <v>53880.386669999993</v>
      </c>
      <c r="AE177" s="6">
        <f>$K$177*$Y$177</f>
        <v>0</v>
      </c>
      <c r="AF177" s="6">
        <f ca="1">$M$177*$Z$177</f>
        <v>139348.24699939715</v>
      </c>
      <c r="AG177" s="6">
        <f>$O$177*$AA$177</f>
        <v>50171.914972311337</v>
      </c>
    </row>
    <row r="178" spans="1:33" ht="11.25" customHeight="1" x14ac:dyDescent="0.25">
      <c r="A178" s="4" t="s">
        <v>21</v>
      </c>
      <c r="B178" s="4" t="s">
        <v>34</v>
      </c>
      <c r="C178" s="4" t="s">
        <v>35</v>
      </c>
      <c r="D178" s="4" t="s">
        <v>33</v>
      </c>
      <c r="E178" s="4" t="s">
        <v>25</v>
      </c>
      <c r="F178" s="4" t="s">
        <v>25</v>
      </c>
      <c r="G178" s="4" t="s">
        <v>25</v>
      </c>
      <c r="H178" s="4" t="s">
        <v>36</v>
      </c>
      <c r="I178" s="5">
        <v>44621</v>
      </c>
      <c r="J178" s="6">
        <v>0</v>
      </c>
      <c r="K178" s="6">
        <v>0</v>
      </c>
      <c r="L178" s="6">
        <v>145.80099999999999</v>
      </c>
      <c r="M178" s="6">
        <v>145.80099999999999</v>
      </c>
      <c r="N178" s="6">
        <v>145.80099999999999</v>
      </c>
      <c r="O178" s="6">
        <v>145.80099999999999</v>
      </c>
      <c r="P178" s="6">
        <v>0</v>
      </c>
      <c r="Q178" s="4" t="s">
        <v>26</v>
      </c>
      <c r="R178" s="4">
        <v>0</v>
      </c>
      <c r="S178" s="6">
        <v>0</v>
      </c>
      <c r="T178" s="6">
        <v>15</v>
      </c>
      <c r="U178" s="6">
        <v>9</v>
      </c>
      <c r="V178" s="6">
        <f>IF(ISERROR(VLOOKUP($S$178,'TAR FIN'!$A$1:$O$85,15,0)),0,VLOOKUP($S$178,'TAR FIN'!$A$1:$O$85,15,0))</f>
        <v>0</v>
      </c>
      <c r="W178" s="6">
        <f>IF(ISERROR(VLOOKUP($T$178,'TAR FIN'!$A$1:$O$85,15,0)),0,VLOOKUP($T$178,'TAR FIN'!$A$1:$O$85,15,0))</f>
        <v>940.75</v>
      </c>
      <c r="X178" s="6">
        <f>IF(ISERROR(VLOOKUP($U$178,'TAR FIN'!$A$1:$O$85,15,0)),0,VLOOKUP($U$178,'TAR FIN'!$A$1:$O$85,15,0))</f>
        <v>373.71</v>
      </c>
      <c r="Y178" s="6"/>
      <c r="Z178" s="6">
        <f ca="1">('TUSD BE'!$AM$11+'TUSD BF'!$AM$11+'TUSD CVA'!$AM$11)*1</f>
        <v>966.5081601045739</v>
      </c>
      <c r="AA178" s="6">
        <f>('TE BE'!$AB$5+'TE BF'!$AB$5+'TE CVA'!$AB$5)*1</f>
        <v>347.98834052804079</v>
      </c>
      <c r="AB178" s="6">
        <f>$K$178*$V$178</f>
        <v>0</v>
      </c>
      <c r="AC178" s="6">
        <f>$M$178*$W$178</f>
        <v>137162.29074999999</v>
      </c>
      <c r="AD178" s="6">
        <f>$O$178*$X$178</f>
        <v>54487.29170999999</v>
      </c>
      <c r="AE178" s="6">
        <f>$K$178*$Y$178</f>
        <v>0</v>
      </c>
      <c r="AF178" s="6">
        <f ca="1">$M$178*$Z$178</f>
        <v>140917.85625140698</v>
      </c>
      <c r="AG178" s="6">
        <f>$O$178*$AA$178</f>
        <v>50737.048037328874</v>
      </c>
    </row>
    <row r="179" spans="1:33" ht="11.25" customHeight="1" x14ac:dyDescent="0.25">
      <c r="A179" s="4" t="s">
        <v>21</v>
      </c>
      <c r="B179" s="4" t="s">
        <v>34</v>
      </c>
      <c r="C179" s="4" t="s">
        <v>35</v>
      </c>
      <c r="D179" s="4" t="s">
        <v>33</v>
      </c>
      <c r="E179" s="4" t="s">
        <v>25</v>
      </c>
      <c r="F179" s="4" t="s">
        <v>25</v>
      </c>
      <c r="G179" s="4" t="s">
        <v>25</v>
      </c>
      <c r="H179" s="4" t="s">
        <v>36</v>
      </c>
      <c r="I179" s="5">
        <v>44652</v>
      </c>
      <c r="J179" s="6">
        <v>0</v>
      </c>
      <c r="K179" s="6">
        <v>0</v>
      </c>
      <c r="L179" s="6">
        <v>136.58600000000001</v>
      </c>
      <c r="M179" s="6">
        <v>136.58600000000001</v>
      </c>
      <c r="N179" s="6">
        <v>136.58600000000001</v>
      </c>
      <c r="O179" s="6">
        <v>136.58600000000001</v>
      </c>
      <c r="P179" s="6">
        <v>0</v>
      </c>
      <c r="Q179" s="4" t="s">
        <v>26</v>
      </c>
      <c r="R179" s="4">
        <v>0</v>
      </c>
      <c r="S179" s="6">
        <v>0</v>
      </c>
      <c r="T179" s="6">
        <v>15</v>
      </c>
      <c r="U179" s="6">
        <v>9</v>
      </c>
      <c r="V179" s="6">
        <f>IF(ISERROR(VLOOKUP($S$179,'TAR FIN'!$A$1:$O$85,15,0)),0,VLOOKUP($S$179,'TAR FIN'!$A$1:$O$85,15,0))</f>
        <v>0</v>
      </c>
      <c r="W179" s="6">
        <f>IF(ISERROR(VLOOKUP($T$179,'TAR FIN'!$A$1:$O$85,15,0)),0,VLOOKUP($T$179,'TAR FIN'!$A$1:$O$85,15,0))</f>
        <v>940.75</v>
      </c>
      <c r="X179" s="6">
        <f>IF(ISERROR(VLOOKUP($U$179,'TAR FIN'!$A$1:$O$85,15,0)),0,VLOOKUP($U$179,'TAR FIN'!$A$1:$O$85,15,0))</f>
        <v>373.71</v>
      </c>
      <c r="Y179" s="6"/>
      <c r="Z179" s="6">
        <f ca="1">('TUSD BE'!$AM$11+'TUSD BF'!$AM$11+'TUSD CVA'!$AM$11)*1</f>
        <v>966.5081601045739</v>
      </c>
      <c r="AA179" s="6">
        <f>('TE BE'!$AB$5+'TE BF'!$AB$5+'TE CVA'!$AB$5)*1</f>
        <v>347.98834052804079</v>
      </c>
      <c r="AB179" s="6">
        <f>$K$179*$V$179</f>
        <v>0</v>
      </c>
      <c r="AC179" s="6">
        <f>$M$179*$W$179</f>
        <v>128493.27950000002</v>
      </c>
      <c r="AD179" s="6">
        <f>$O$179*$X$179</f>
        <v>51043.554060000002</v>
      </c>
      <c r="AE179" s="6">
        <f>$K$179*$Y$179</f>
        <v>0</v>
      </c>
      <c r="AF179" s="6">
        <f ca="1">$M$179*$Z$179</f>
        <v>132011.48355604336</v>
      </c>
      <c r="AG179" s="6">
        <f>$O$179*$AA$179</f>
        <v>47530.335479362984</v>
      </c>
    </row>
    <row r="180" spans="1:33" ht="11.25" customHeight="1" x14ac:dyDescent="0.25">
      <c r="A180" s="4" t="s">
        <v>21</v>
      </c>
      <c r="B180" s="4" t="s">
        <v>34</v>
      </c>
      <c r="C180" s="4" t="s">
        <v>35</v>
      </c>
      <c r="D180" s="4" t="s">
        <v>33</v>
      </c>
      <c r="E180" s="4" t="s">
        <v>25</v>
      </c>
      <c r="F180" s="4" t="s">
        <v>25</v>
      </c>
      <c r="G180" s="4" t="s">
        <v>25</v>
      </c>
      <c r="H180" s="4" t="s">
        <v>36</v>
      </c>
      <c r="I180" s="5">
        <v>44682</v>
      </c>
      <c r="J180" s="6">
        <v>0</v>
      </c>
      <c r="K180" s="6">
        <v>0</v>
      </c>
      <c r="L180" s="6">
        <v>141.852</v>
      </c>
      <c r="M180" s="6">
        <v>141.852</v>
      </c>
      <c r="N180" s="6">
        <v>141.852</v>
      </c>
      <c r="O180" s="6">
        <v>141.852</v>
      </c>
      <c r="P180" s="6">
        <v>0</v>
      </c>
      <c r="Q180" s="4" t="s">
        <v>26</v>
      </c>
      <c r="R180" s="4">
        <v>0</v>
      </c>
      <c r="S180" s="6">
        <v>0</v>
      </c>
      <c r="T180" s="6">
        <v>15</v>
      </c>
      <c r="U180" s="6">
        <v>9</v>
      </c>
      <c r="V180" s="6">
        <f>IF(ISERROR(VLOOKUP($S$180,'TAR FIN'!$A$1:$O$85,15,0)),0,VLOOKUP($S$180,'TAR FIN'!$A$1:$O$85,15,0))</f>
        <v>0</v>
      </c>
      <c r="W180" s="6">
        <f>IF(ISERROR(VLOOKUP($T$180,'TAR FIN'!$A$1:$O$85,15,0)),0,VLOOKUP($T$180,'TAR FIN'!$A$1:$O$85,15,0))</f>
        <v>940.75</v>
      </c>
      <c r="X180" s="6">
        <f>IF(ISERROR(VLOOKUP($U$180,'TAR FIN'!$A$1:$O$85,15,0)),0,VLOOKUP($U$180,'TAR FIN'!$A$1:$O$85,15,0))</f>
        <v>373.71</v>
      </c>
      <c r="Y180" s="6"/>
      <c r="Z180" s="6">
        <f ca="1">('TUSD BE'!$AM$11+'TUSD BF'!$AM$11+'TUSD CVA'!$AM$11)*1</f>
        <v>966.5081601045739</v>
      </c>
      <c r="AA180" s="6">
        <f>('TE BE'!$AB$5+'TE BF'!$AB$5+'TE CVA'!$AB$5)*1</f>
        <v>347.98834052804079</v>
      </c>
      <c r="AB180" s="6">
        <f>$K$180*$V$180</f>
        <v>0</v>
      </c>
      <c r="AC180" s="6">
        <f>$M$180*$W$180</f>
        <v>133447.269</v>
      </c>
      <c r="AD180" s="6">
        <f>$O$180*$X$180</f>
        <v>53011.510920000001</v>
      </c>
      <c r="AE180" s="6">
        <f>$K$180*$Y$180</f>
        <v>0</v>
      </c>
      <c r="AF180" s="6">
        <f ca="1">$M$180*$Z$180</f>
        <v>137101.11552715403</v>
      </c>
      <c r="AG180" s="6">
        <f>$O$180*$AA$180</f>
        <v>49362.842080583643</v>
      </c>
    </row>
    <row r="181" spans="1:33" ht="11.25" customHeight="1" x14ac:dyDescent="0.25">
      <c r="A181" s="4" t="s">
        <v>21</v>
      </c>
      <c r="B181" s="4" t="s">
        <v>34</v>
      </c>
      <c r="C181" s="4" t="s">
        <v>35</v>
      </c>
      <c r="D181" s="4" t="s">
        <v>33</v>
      </c>
      <c r="E181" s="4" t="s">
        <v>25</v>
      </c>
      <c r="F181" s="4" t="s">
        <v>25</v>
      </c>
      <c r="G181" s="4" t="s">
        <v>25</v>
      </c>
      <c r="H181" s="4" t="s">
        <v>36</v>
      </c>
      <c r="I181" s="5">
        <v>44713</v>
      </c>
      <c r="J181" s="6">
        <v>0</v>
      </c>
      <c r="K181" s="6">
        <v>0</v>
      </c>
      <c r="L181" s="6">
        <v>133.19300000000001</v>
      </c>
      <c r="M181" s="6">
        <v>133.19300000000001</v>
      </c>
      <c r="N181" s="6">
        <v>133.19300000000001</v>
      </c>
      <c r="O181" s="6">
        <v>133.19300000000001</v>
      </c>
      <c r="P181" s="6">
        <v>0</v>
      </c>
      <c r="Q181" s="4" t="s">
        <v>26</v>
      </c>
      <c r="R181" s="4">
        <v>0</v>
      </c>
      <c r="S181" s="6">
        <v>0</v>
      </c>
      <c r="T181" s="6">
        <v>15</v>
      </c>
      <c r="U181" s="6">
        <v>9</v>
      </c>
      <c r="V181" s="6">
        <f>IF(ISERROR(VLOOKUP($S$181,'TAR FIN'!$A$1:$O$85,15,0)),0,VLOOKUP($S$181,'TAR FIN'!$A$1:$O$85,15,0))</f>
        <v>0</v>
      </c>
      <c r="W181" s="6">
        <f>IF(ISERROR(VLOOKUP($T$181,'TAR FIN'!$A$1:$O$85,15,0)),0,VLOOKUP($T$181,'TAR FIN'!$A$1:$O$85,15,0))</f>
        <v>940.75</v>
      </c>
      <c r="X181" s="6">
        <f>IF(ISERROR(VLOOKUP($U$181,'TAR FIN'!$A$1:$O$85,15,0)),0,VLOOKUP($U$181,'TAR FIN'!$A$1:$O$85,15,0))</f>
        <v>373.71</v>
      </c>
      <c r="Y181" s="6"/>
      <c r="Z181" s="6">
        <f ca="1">('TUSD BE'!$AM$11+'TUSD BF'!$AM$11+'TUSD CVA'!$AM$11)*1</f>
        <v>966.5081601045739</v>
      </c>
      <c r="AA181" s="6">
        <f>('TE BE'!$AB$5+'TE BF'!$AB$5+'TE CVA'!$AB$5)*1</f>
        <v>347.98834052804079</v>
      </c>
      <c r="AB181" s="6">
        <f>$K$181*$V$181</f>
        <v>0</v>
      </c>
      <c r="AC181" s="6">
        <f>$M$181*$W$181</f>
        <v>125301.31475000001</v>
      </c>
      <c r="AD181" s="6">
        <f>$O$181*$X$181</f>
        <v>49775.55603</v>
      </c>
      <c r="AE181" s="6">
        <f>$K$181*$Y$181</f>
        <v>0</v>
      </c>
      <c r="AF181" s="6">
        <f ca="1">$M$181*$Z$181</f>
        <v>128732.12136880853</v>
      </c>
      <c r="AG181" s="6">
        <f>$O$181*$AA$181</f>
        <v>46349.611039951342</v>
      </c>
    </row>
    <row r="182" spans="1:33" ht="11.25" customHeight="1" x14ac:dyDescent="0.25">
      <c r="A182" s="4" t="s">
        <v>21</v>
      </c>
      <c r="B182" s="4" t="s">
        <v>34</v>
      </c>
      <c r="C182" s="4" t="s">
        <v>35</v>
      </c>
      <c r="D182" s="4" t="s">
        <v>41</v>
      </c>
      <c r="E182" s="4" t="s">
        <v>25</v>
      </c>
      <c r="F182" s="4" t="s">
        <v>25</v>
      </c>
      <c r="G182" s="4" t="s">
        <v>25</v>
      </c>
      <c r="H182" s="4" t="s">
        <v>37</v>
      </c>
      <c r="I182" s="5">
        <v>44378</v>
      </c>
      <c r="J182" s="6">
        <v>0</v>
      </c>
      <c r="K182" s="6">
        <v>0</v>
      </c>
      <c r="L182" s="6">
        <v>21.629000000000001</v>
      </c>
      <c r="M182" s="6">
        <v>21.629000000000001</v>
      </c>
      <c r="N182" s="6">
        <v>21.629000000000001</v>
      </c>
      <c r="O182" s="6">
        <v>21.629000000000001</v>
      </c>
      <c r="P182" s="6">
        <v>0</v>
      </c>
      <c r="Q182" s="4" t="s">
        <v>26</v>
      </c>
      <c r="R182" s="4">
        <v>0</v>
      </c>
      <c r="S182" s="6">
        <v>0</v>
      </c>
      <c r="T182" s="6">
        <v>13</v>
      </c>
      <c r="U182" s="6">
        <v>16</v>
      </c>
      <c r="V182" s="6">
        <f>IF(ISERROR(VLOOKUP($S$182,'TAR FIN'!$A$1:$O$85,15,0)),0,VLOOKUP($S$182,'TAR FIN'!$A$1:$O$85,15,0))</f>
        <v>0</v>
      </c>
      <c r="W182" s="6">
        <f>IF(ISERROR(VLOOKUP($T$182,'TAR FIN'!$A$1:$O$85,15,0)),0,VLOOKUP($T$182,'TAR FIN'!$A$1:$O$85,15,0))</f>
        <v>78.650000000000006</v>
      </c>
      <c r="X182" s="6">
        <f>IF(ISERROR(VLOOKUP($U$182,'TAR FIN'!$A$1:$O$85,15,0)),0,VLOOKUP($U$182,'TAR FIN'!$A$1:$O$85,15,0))</f>
        <v>229.87</v>
      </c>
      <c r="Y182" s="6"/>
      <c r="Z182" s="6">
        <f ca="1">('TUSD BE'!$AM$12+'TUSD BF'!$AM$12+'TUSD CVA'!$AM$12)*1</f>
        <v>114.48039155571371</v>
      </c>
      <c r="AA182" s="6">
        <f>('TE BE'!$AB$6+'TE BF'!$AB$6+'TE CVA'!$AB$6)*1</f>
        <v>216.60171770542672</v>
      </c>
      <c r="AB182" s="6">
        <f>$K$182*$V$182</f>
        <v>0</v>
      </c>
      <c r="AC182" s="6">
        <f>$M$182*$W$182</f>
        <v>1701.1208500000002</v>
      </c>
      <c r="AD182" s="6">
        <f>$O$182*$X$182</f>
        <v>4971.8582300000007</v>
      </c>
      <c r="AE182" s="6">
        <f>$K$182*$Y$182</f>
        <v>0</v>
      </c>
      <c r="AF182" s="6">
        <f ca="1">$M$182*$Z$182</f>
        <v>2476.0963889585319</v>
      </c>
      <c r="AG182" s="6">
        <f>$O$182*$AA$182</f>
        <v>4684.8785522506751</v>
      </c>
    </row>
    <row r="183" spans="1:33" ht="11.25" customHeight="1" x14ac:dyDescent="0.25">
      <c r="A183" s="4" t="s">
        <v>21</v>
      </c>
      <c r="B183" s="4" t="s">
        <v>34</v>
      </c>
      <c r="C183" s="4" t="s">
        <v>35</v>
      </c>
      <c r="D183" s="4" t="s">
        <v>41</v>
      </c>
      <c r="E183" s="4" t="s">
        <v>25</v>
      </c>
      <c r="F183" s="4" t="s">
        <v>25</v>
      </c>
      <c r="G183" s="4" t="s">
        <v>25</v>
      </c>
      <c r="H183" s="4" t="s">
        <v>37</v>
      </c>
      <c r="I183" s="5">
        <v>44409</v>
      </c>
      <c r="J183" s="6">
        <v>0</v>
      </c>
      <c r="K183" s="6">
        <v>0</v>
      </c>
      <c r="L183" s="6">
        <v>16.440000000000001</v>
      </c>
      <c r="M183" s="6">
        <v>16.440000000000001</v>
      </c>
      <c r="N183" s="6">
        <v>16.440000000000001</v>
      </c>
      <c r="O183" s="6">
        <v>16.440000000000001</v>
      </c>
      <c r="P183" s="6">
        <v>0</v>
      </c>
      <c r="Q183" s="4" t="s">
        <v>26</v>
      </c>
      <c r="R183" s="4">
        <v>0</v>
      </c>
      <c r="S183" s="6">
        <v>0</v>
      </c>
      <c r="T183" s="6">
        <v>13</v>
      </c>
      <c r="U183" s="6">
        <v>16</v>
      </c>
      <c r="V183" s="6">
        <f>IF(ISERROR(VLOOKUP($S$183,'TAR FIN'!$A$1:$O$85,15,0)),0,VLOOKUP($S$183,'TAR FIN'!$A$1:$O$85,15,0))</f>
        <v>0</v>
      </c>
      <c r="W183" s="6">
        <f>IF(ISERROR(VLOOKUP($T$183,'TAR FIN'!$A$1:$O$85,15,0)),0,VLOOKUP($T$183,'TAR FIN'!$A$1:$O$85,15,0))</f>
        <v>78.650000000000006</v>
      </c>
      <c r="X183" s="6">
        <f>IF(ISERROR(VLOOKUP($U$183,'TAR FIN'!$A$1:$O$85,15,0)),0,VLOOKUP($U$183,'TAR FIN'!$A$1:$O$85,15,0))</f>
        <v>229.87</v>
      </c>
      <c r="Y183" s="6"/>
      <c r="Z183" s="6">
        <f ca="1">('TUSD BE'!$AM$12+'TUSD BF'!$AM$12+'TUSD CVA'!$AM$12)*1</f>
        <v>114.48039155571371</v>
      </c>
      <c r="AA183" s="6">
        <f>('TE BE'!$AB$6+'TE BF'!$AB$6+'TE CVA'!$AB$6)*1</f>
        <v>216.60171770542672</v>
      </c>
      <c r="AB183" s="6">
        <f>$K$183*$V$183</f>
        <v>0</v>
      </c>
      <c r="AC183" s="6">
        <f>$M$183*$W$183</f>
        <v>1293.0060000000001</v>
      </c>
      <c r="AD183" s="6">
        <f>$O$183*$X$183</f>
        <v>3779.0628000000002</v>
      </c>
      <c r="AE183" s="6">
        <f>$K$183*$Y$183</f>
        <v>0</v>
      </c>
      <c r="AF183" s="6">
        <f ca="1">$M$183*$Z$183</f>
        <v>1882.0576371759335</v>
      </c>
      <c r="AG183" s="6">
        <f>$O$183*$AA$183</f>
        <v>3560.9322390772154</v>
      </c>
    </row>
    <row r="184" spans="1:33" ht="11.25" customHeight="1" x14ac:dyDescent="0.25">
      <c r="A184" s="4" t="s">
        <v>21</v>
      </c>
      <c r="B184" s="4" t="s">
        <v>34</v>
      </c>
      <c r="C184" s="4" t="s">
        <v>35</v>
      </c>
      <c r="D184" s="4" t="s">
        <v>41</v>
      </c>
      <c r="E184" s="4" t="s">
        <v>25</v>
      </c>
      <c r="F184" s="4" t="s">
        <v>25</v>
      </c>
      <c r="G184" s="4" t="s">
        <v>25</v>
      </c>
      <c r="H184" s="4" t="s">
        <v>37</v>
      </c>
      <c r="I184" s="5">
        <v>44440</v>
      </c>
      <c r="J184" s="6">
        <v>0</v>
      </c>
      <c r="K184" s="6">
        <v>0</v>
      </c>
      <c r="L184" s="6">
        <v>13.742000000000001</v>
      </c>
      <c r="M184" s="6">
        <v>13.742000000000001</v>
      </c>
      <c r="N184" s="6">
        <v>13.742000000000001</v>
      </c>
      <c r="O184" s="6">
        <v>13.742000000000001</v>
      </c>
      <c r="P184" s="6">
        <v>0</v>
      </c>
      <c r="Q184" s="4" t="s">
        <v>26</v>
      </c>
      <c r="R184" s="4">
        <v>0</v>
      </c>
      <c r="S184" s="6">
        <v>0</v>
      </c>
      <c r="T184" s="6">
        <v>13</v>
      </c>
      <c r="U184" s="6">
        <v>16</v>
      </c>
      <c r="V184" s="6">
        <f>IF(ISERROR(VLOOKUP($S$184,'TAR FIN'!$A$1:$O$85,15,0)),0,VLOOKUP($S$184,'TAR FIN'!$A$1:$O$85,15,0))</f>
        <v>0</v>
      </c>
      <c r="W184" s="6">
        <f>IF(ISERROR(VLOOKUP($T$184,'TAR FIN'!$A$1:$O$85,15,0)),0,VLOOKUP($T$184,'TAR FIN'!$A$1:$O$85,15,0))</f>
        <v>78.650000000000006</v>
      </c>
      <c r="X184" s="6">
        <f>IF(ISERROR(VLOOKUP($U$184,'TAR FIN'!$A$1:$O$85,15,0)),0,VLOOKUP($U$184,'TAR FIN'!$A$1:$O$85,15,0))</f>
        <v>229.87</v>
      </c>
      <c r="Y184" s="6"/>
      <c r="Z184" s="6">
        <f ca="1">('TUSD BE'!$AM$12+'TUSD BF'!$AM$12+'TUSD CVA'!$AM$12)*1</f>
        <v>114.48039155571371</v>
      </c>
      <c r="AA184" s="6">
        <f>('TE BE'!$AB$6+'TE BF'!$AB$6+'TE CVA'!$AB$6)*1</f>
        <v>216.60171770542672</v>
      </c>
      <c r="AB184" s="6">
        <f>$K$184*$V$184</f>
        <v>0</v>
      </c>
      <c r="AC184" s="6">
        <f>$M$184*$W$184</f>
        <v>1080.8083000000001</v>
      </c>
      <c r="AD184" s="6">
        <f>$O$184*$X$184</f>
        <v>3158.87354</v>
      </c>
      <c r="AE184" s="6">
        <f>$K$184*$Y$184</f>
        <v>0</v>
      </c>
      <c r="AF184" s="6">
        <f ca="1">$M$184*$Z$184</f>
        <v>1573.1895407586178</v>
      </c>
      <c r="AG184" s="6">
        <f>$O$184*$AA$184</f>
        <v>2976.5408047079741</v>
      </c>
    </row>
    <row r="185" spans="1:33" ht="11.25" customHeight="1" x14ac:dyDescent="0.25">
      <c r="A185" s="4" t="s">
        <v>21</v>
      </c>
      <c r="B185" s="4" t="s">
        <v>34</v>
      </c>
      <c r="C185" s="4" t="s">
        <v>35</v>
      </c>
      <c r="D185" s="4" t="s">
        <v>41</v>
      </c>
      <c r="E185" s="4" t="s">
        <v>25</v>
      </c>
      <c r="F185" s="4" t="s">
        <v>25</v>
      </c>
      <c r="G185" s="4" t="s">
        <v>25</v>
      </c>
      <c r="H185" s="4" t="s">
        <v>37</v>
      </c>
      <c r="I185" s="5">
        <v>44470</v>
      </c>
      <c r="J185" s="6">
        <v>0</v>
      </c>
      <c r="K185" s="6">
        <v>0</v>
      </c>
      <c r="L185" s="6">
        <v>13.641</v>
      </c>
      <c r="M185" s="6">
        <v>13.641</v>
      </c>
      <c r="N185" s="6">
        <v>13.641</v>
      </c>
      <c r="O185" s="6">
        <v>13.641</v>
      </c>
      <c r="P185" s="6">
        <v>0</v>
      </c>
      <c r="Q185" s="4" t="s">
        <v>26</v>
      </c>
      <c r="R185" s="4">
        <v>0</v>
      </c>
      <c r="S185" s="6">
        <v>0</v>
      </c>
      <c r="T185" s="6">
        <v>13</v>
      </c>
      <c r="U185" s="6">
        <v>16</v>
      </c>
      <c r="V185" s="6">
        <f>IF(ISERROR(VLOOKUP($S$185,'TAR FIN'!$A$1:$O$85,15,0)),0,VLOOKUP($S$185,'TAR FIN'!$A$1:$O$85,15,0))</f>
        <v>0</v>
      </c>
      <c r="W185" s="6">
        <f>IF(ISERROR(VLOOKUP($T$185,'TAR FIN'!$A$1:$O$85,15,0)),0,VLOOKUP($T$185,'TAR FIN'!$A$1:$O$85,15,0))</f>
        <v>78.650000000000006</v>
      </c>
      <c r="X185" s="6">
        <f>IF(ISERROR(VLOOKUP($U$185,'TAR FIN'!$A$1:$O$85,15,0)),0,VLOOKUP($U$185,'TAR FIN'!$A$1:$O$85,15,0))</f>
        <v>229.87</v>
      </c>
      <c r="Y185" s="6"/>
      <c r="Z185" s="6">
        <f ca="1">('TUSD BE'!$AM$12+'TUSD BF'!$AM$12+'TUSD CVA'!$AM$12)*1</f>
        <v>114.48039155571371</v>
      </c>
      <c r="AA185" s="6">
        <f>('TE BE'!$AB$6+'TE BF'!$AB$6+'TE CVA'!$AB$6)*1</f>
        <v>216.60171770542672</v>
      </c>
      <c r="AB185" s="6">
        <f>$K$185*$V$185</f>
        <v>0</v>
      </c>
      <c r="AC185" s="6">
        <f>$M$185*$W$185</f>
        <v>1072.86465</v>
      </c>
      <c r="AD185" s="6">
        <f>$O$185*$X$185</f>
        <v>3135.6566699999998</v>
      </c>
      <c r="AE185" s="6">
        <f>$K$185*$Y$185</f>
        <v>0</v>
      </c>
      <c r="AF185" s="6">
        <f ca="1">$M$185*$Z$185</f>
        <v>1561.6270212114907</v>
      </c>
      <c r="AG185" s="6">
        <f>$O$185*$AA$185</f>
        <v>2954.664031219726</v>
      </c>
    </row>
    <row r="186" spans="1:33" ht="11.25" customHeight="1" x14ac:dyDescent="0.25">
      <c r="A186" s="4" t="s">
        <v>21</v>
      </c>
      <c r="B186" s="4" t="s">
        <v>34</v>
      </c>
      <c r="C186" s="4" t="s">
        <v>35</v>
      </c>
      <c r="D186" s="4" t="s">
        <v>41</v>
      </c>
      <c r="E186" s="4" t="s">
        <v>25</v>
      </c>
      <c r="F186" s="4" t="s">
        <v>25</v>
      </c>
      <c r="G186" s="4" t="s">
        <v>25</v>
      </c>
      <c r="H186" s="4" t="s">
        <v>37</v>
      </c>
      <c r="I186" s="5">
        <v>44501</v>
      </c>
      <c r="J186" s="6">
        <v>0</v>
      </c>
      <c r="K186" s="6">
        <v>0</v>
      </c>
      <c r="L186" s="6">
        <v>19.138999999999999</v>
      </c>
      <c r="M186" s="6">
        <v>19.138999999999999</v>
      </c>
      <c r="N186" s="6">
        <v>19.138999999999999</v>
      </c>
      <c r="O186" s="6">
        <v>19.138999999999999</v>
      </c>
      <c r="P186" s="6">
        <v>0</v>
      </c>
      <c r="Q186" s="4" t="s">
        <v>26</v>
      </c>
      <c r="R186" s="4">
        <v>0</v>
      </c>
      <c r="S186" s="6">
        <v>0</v>
      </c>
      <c r="T186" s="6">
        <v>13</v>
      </c>
      <c r="U186" s="6">
        <v>16</v>
      </c>
      <c r="V186" s="6">
        <f>IF(ISERROR(VLOOKUP($S$186,'TAR FIN'!$A$1:$O$85,15,0)),0,VLOOKUP($S$186,'TAR FIN'!$A$1:$O$85,15,0))</f>
        <v>0</v>
      </c>
      <c r="W186" s="6">
        <f>IF(ISERROR(VLOOKUP($T$186,'TAR FIN'!$A$1:$O$85,15,0)),0,VLOOKUP($T$186,'TAR FIN'!$A$1:$O$85,15,0))</f>
        <v>78.650000000000006</v>
      </c>
      <c r="X186" s="6">
        <f>IF(ISERROR(VLOOKUP($U$186,'TAR FIN'!$A$1:$O$85,15,0)),0,VLOOKUP($U$186,'TAR FIN'!$A$1:$O$85,15,0))</f>
        <v>229.87</v>
      </c>
      <c r="Y186" s="6"/>
      <c r="Z186" s="6">
        <f ca="1">('TUSD BE'!$AM$12+'TUSD BF'!$AM$12+'TUSD CVA'!$AM$12)*1</f>
        <v>114.48039155571371</v>
      </c>
      <c r="AA186" s="6">
        <f>('TE BE'!$AB$6+'TE BF'!$AB$6+'TE CVA'!$AB$6)*1</f>
        <v>216.60171770542672</v>
      </c>
      <c r="AB186" s="6">
        <f>$K$186*$V$186</f>
        <v>0</v>
      </c>
      <c r="AC186" s="6">
        <f>$M$186*$W$186</f>
        <v>1505.28235</v>
      </c>
      <c r="AD186" s="6">
        <f>$O$186*$X$186</f>
        <v>4399.4819299999999</v>
      </c>
      <c r="AE186" s="6">
        <f>$K$186*$Y$186</f>
        <v>0</v>
      </c>
      <c r="AF186" s="6">
        <f ca="1">$M$186*$Z$186</f>
        <v>2191.0402139848047</v>
      </c>
      <c r="AG186" s="6">
        <f>$O$186*$AA$186</f>
        <v>4145.5402751641623</v>
      </c>
    </row>
    <row r="187" spans="1:33" ht="11.25" customHeight="1" x14ac:dyDescent="0.25">
      <c r="A187" s="4" t="s">
        <v>21</v>
      </c>
      <c r="B187" s="4" t="s">
        <v>34</v>
      </c>
      <c r="C187" s="4" t="s">
        <v>35</v>
      </c>
      <c r="D187" s="4" t="s">
        <v>41</v>
      </c>
      <c r="E187" s="4" t="s">
        <v>25</v>
      </c>
      <c r="F187" s="4" t="s">
        <v>25</v>
      </c>
      <c r="G187" s="4" t="s">
        <v>25</v>
      </c>
      <c r="H187" s="4" t="s">
        <v>37</v>
      </c>
      <c r="I187" s="5">
        <v>44531</v>
      </c>
      <c r="J187" s="6">
        <v>0</v>
      </c>
      <c r="K187" s="6">
        <v>0</v>
      </c>
      <c r="L187" s="6">
        <v>23.221</v>
      </c>
      <c r="M187" s="6">
        <v>23.221</v>
      </c>
      <c r="N187" s="6">
        <v>23.221</v>
      </c>
      <c r="O187" s="6">
        <v>23.221</v>
      </c>
      <c r="P187" s="6">
        <v>0</v>
      </c>
      <c r="Q187" s="4" t="s">
        <v>26</v>
      </c>
      <c r="R187" s="4">
        <v>0</v>
      </c>
      <c r="S187" s="6">
        <v>0</v>
      </c>
      <c r="T187" s="6">
        <v>13</v>
      </c>
      <c r="U187" s="6">
        <v>16</v>
      </c>
      <c r="V187" s="6">
        <f>IF(ISERROR(VLOOKUP($S$187,'TAR FIN'!$A$1:$O$85,15,0)),0,VLOOKUP($S$187,'TAR FIN'!$A$1:$O$85,15,0))</f>
        <v>0</v>
      </c>
      <c r="W187" s="6">
        <f>IF(ISERROR(VLOOKUP($T$187,'TAR FIN'!$A$1:$O$85,15,0)),0,VLOOKUP($T$187,'TAR FIN'!$A$1:$O$85,15,0))</f>
        <v>78.650000000000006</v>
      </c>
      <c r="X187" s="6">
        <f>IF(ISERROR(VLOOKUP($U$187,'TAR FIN'!$A$1:$O$85,15,0)),0,VLOOKUP($U$187,'TAR FIN'!$A$1:$O$85,15,0))</f>
        <v>229.87</v>
      </c>
      <c r="Y187" s="6"/>
      <c r="Z187" s="6">
        <f ca="1">('TUSD BE'!$AM$12+'TUSD BF'!$AM$12+'TUSD CVA'!$AM$12)*1</f>
        <v>114.48039155571371</v>
      </c>
      <c r="AA187" s="6">
        <f>('TE BE'!$AB$6+'TE BF'!$AB$6+'TE CVA'!$AB$6)*1</f>
        <v>216.60171770542672</v>
      </c>
      <c r="AB187" s="6">
        <f>$K$187*$V$187</f>
        <v>0</v>
      </c>
      <c r="AC187" s="6">
        <f>$M$187*$W$187</f>
        <v>1826.3316500000001</v>
      </c>
      <c r="AD187" s="6">
        <f>$O$187*$X$187</f>
        <v>5337.8112700000001</v>
      </c>
      <c r="AE187" s="6">
        <f>$K$187*$Y$187</f>
        <v>0</v>
      </c>
      <c r="AF187" s="6">
        <f ca="1">$M$187*$Z$187</f>
        <v>2658.3491723152279</v>
      </c>
      <c r="AG187" s="6">
        <f>$O$187*$AA$187</f>
        <v>5029.7084868377142</v>
      </c>
    </row>
    <row r="188" spans="1:33" ht="11.25" customHeight="1" x14ac:dyDescent="0.25">
      <c r="A188" s="4" t="s">
        <v>21</v>
      </c>
      <c r="B188" s="4" t="s">
        <v>34</v>
      </c>
      <c r="C188" s="4" t="s">
        <v>35</v>
      </c>
      <c r="D188" s="4" t="s">
        <v>41</v>
      </c>
      <c r="E188" s="4" t="s">
        <v>25</v>
      </c>
      <c r="F188" s="4" t="s">
        <v>25</v>
      </c>
      <c r="G188" s="4" t="s">
        <v>25</v>
      </c>
      <c r="H188" s="4" t="s">
        <v>37</v>
      </c>
      <c r="I188" s="5">
        <v>44562</v>
      </c>
      <c r="J188" s="6">
        <v>0</v>
      </c>
      <c r="K188" s="6">
        <v>0</v>
      </c>
      <c r="L188" s="6">
        <v>21.416</v>
      </c>
      <c r="M188" s="6">
        <v>21.416</v>
      </c>
      <c r="N188" s="6">
        <v>21.416</v>
      </c>
      <c r="O188" s="6">
        <v>21.416</v>
      </c>
      <c r="P188" s="6">
        <v>0</v>
      </c>
      <c r="Q188" s="4" t="s">
        <v>26</v>
      </c>
      <c r="R188" s="4">
        <v>0</v>
      </c>
      <c r="S188" s="6">
        <v>0</v>
      </c>
      <c r="T188" s="6">
        <v>13</v>
      </c>
      <c r="U188" s="6">
        <v>16</v>
      </c>
      <c r="V188" s="6">
        <f>IF(ISERROR(VLOOKUP($S$188,'TAR FIN'!$A$1:$O$85,15,0)),0,VLOOKUP($S$188,'TAR FIN'!$A$1:$O$85,15,0))</f>
        <v>0</v>
      </c>
      <c r="W188" s="6">
        <f>IF(ISERROR(VLOOKUP($T$188,'TAR FIN'!$A$1:$O$85,15,0)),0,VLOOKUP($T$188,'TAR FIN'!$A$1:$O$85,15,0))</f>
        <v>78.650000000000006</v>
      </c>
      <c r="X188" s="6">
        <f>IF(ISERROR(VLOOKUP($U$188,'TAR FIN'!$A$1:$O$85,15,0)),0,VLOOKUP($U$188,'TAR FIN'!$A$1:$O$85,15,0))</f>
        <v>229.87</v>
      </c>
      <c r="Y188" s="6"/>
      <c r="Z188" s="6">
        <f ca="1">('TUSD BE'!$AM$12+'TUSD BF'!$AM$12+'TUSD CVA'!$AM$12)*1</f>
        <v>114.48039155571371</v>
      </c>
      <c r="AA188" s="6">
        <f>('TE BE'!$AB$6+'TE BF'!$AB$6+'TE CVA'!$AB$6)*1</f>
        <v>216.60171770542672</v>
      </c>
      <c r="AB188" s="6">
        <f>$K$188*$V$188</f>
        <v>0</v>
      </c>
      <c r="AC188" s="6">
        <f>$M$188*$W$188</f>
        <v>1684.3684000000001</v>
      </c>
      <c r="AD188" s="6">
        <f>$O$188*$X$188</f>
        <v>4922.8959199999999</v>
      </c>
      <c r="AE188" s="6">
        <f>$K$188*$Y$188</f>
        <v>0</v>
      </c>
      <c r="AF188" s="6">
        <f ca="1">$M$188*$Z$188</f>
        <v>2451.7120655571648</v>
      </c>
      <c r="AG188" s="6">
        <f>$O$188*$AA$188</f>
        <v>4638.7423863794183</v>
      </c>
    </row>
    <row r="189" spans="1:33" ht="11.25" customHeight="1" x14ac:dyDescent="0.25">
      <c r="A189" s="4" t="s">
        <v>21</v>
      </c>
      <c r="B189" s="4" t="s">
        <v>34</v>
      </c>
      <c r="C189" s="4" t="s">
        <v>35</v>
      </c>
      <c r="D189" s="4" t="s">
        <v>41</v>
      </c>
      <c r="E189" s="4" t="s">
        <v>25</v>
      </c>
      <c r="F189" s="4" t="s">
        <v>25</v>
      </c>
      <c r="G189" s="4" t="s">
        <v>25</v>
      </c>
      <c r="H189" s="4" t="s">
        <v>37</v>
      </c>
      <c r="I189" s="5">
        <v>44593</v>
      </c>
      <c r="J189" s="6">
        <v>0</v>
      </c>
      <c r="K189" s="6">
        <v>0</v>
      </c>
      <c r="L189" s="6">
        <v>17.783000000000001</v>
      </c>
      <c r="M189" s="6">
        <v>17.783000000000001</v>
      </c>
      <c r="N189" s="6">
        <v>17.783000000000001</v>
      </c>
      <c r="O189" s="6">
        <v>17.783000000000001</v>
      </c>
      <c r="P189" s="6">
        <v>0</v>
      </c>
      <c r="Q189" s="4" t="s">
        <v>26</v>
      </c>
      <c r="R189" s="4">
        <v>0</v>
      </c>
      <c r="S189" s="6">
        <v>0</v>
      </c>
      <c r="T189" s="6">
        <v>13</v>
      </c>
      <c r="U189" s="6">
        <v>16</v>
      </c>
      <c r="V189" s="6">
        <f>IF(ISERROR(VLOOKUP($S$189,'TAR FIN'!$A$1:$O$85,15,0)),0,VLOOKUP($S$189,'TAR FIN'!$A$1:$O$85,15,0))</f>
        <v>0</v>
      </c>
      <c r="W189" s="6">
        <f>IF(ISERROR(VLOOKUP($T$189,'TAR FIN'!$A$1:$O$85,15,0)),0,VLOOKUP($T$189,'TAR FIN'!$A$1:$O$85,15,0))</f>
        <v>78.650000000000006</v>
      </c>
      <c r="X189" s="6">
        <f>IF(ISERROR(VLOOKUP($U$189,'TAR FIN'!$A$1:$O$85,15,0)),0,VLOOKUP($U$189,'TAR FIN'!$A$1:$O$85,15,0))</f>
        <v>229.87</v>
      </c>
      <c r="Y189" s="6"/>
      <c r="Z189" s="6">
        <f ca="1">('TUSD BE'!$AM$12+'TUSD BF'!$AM$12+'TUSD CVA'!$AM$12)*1</f>
        <v>114.48039155571371</v>
      </c>
      <c r="AA189" s="6">
        <f>('TE BE'!$AB$6+'TE BF'!$AB$6+'TE CVA'!$AB$6)*1</f>
        <v>216.60171770542672</v>
      </c>
      <c r="AB189" s="6">
        <f>$K$189*$V$189</f>
        <v>0</v>
      </c>
      <c r="AC189" s="6">
        <f>$M$189*$W$189</f>
        <v>1398.6329500000002</v>
      </c>
      <c r="AD189" s="6">
        <f>$O$189*$X$189</f>
        <v>4087.7782100000004</v>
      </c>
      <c r="AE189" s="6">
        <f>$K$189*$Y$189</f>
        <v>0</v>
      </c>
      <c r="AF189" s="6">
        <f ca="1">$M$189*$Z$189</f>
        <v>2035.804803035257</v>
      </c>
      <c r="AG189" s="6">
        <f>$O$189*$AA$189</f>
        <v>3851.8283459556037</v>
      </c>
    </row>
    <row r="190" spans="1:33" ht="11.25" customHeight="1" x14ac:dyDescent="0.25">
      <c r="A190" s="4" t="s">
        <v>21</v>
      </c>
      <c r="B190" s="4" t="s">
        <v>34</v>
      </c>
      <c r="C190" s="4" t="s">
        <v>35</v>
      </c>
      <c r="D190" s="4" t="s">
        <v>41</v>
      </c>
      <c r="E190" s="4" t="s">
        <v>25</v>
      </c>
      <c r="F190" s="4" t="s">
        <v>25</v>
      </c>
      <c r="G190" s="4" t="s">
        <v>25</v>
      </c>
      <c r="H190" s="4" t="s">
        <v>37</v>
      </c>
      <c r="I190" s="5">
        <v>44621</v>
      </c>
      <c r="J190" s="6">
        <v>0</v>
      </c>
      <c r="K190" s="6">
        <v>0</v>
      </c>
      <c r="L190" s="6">
        <v>21.353000000000002</v>
      </c>
      <c r="M190" s="6">
        <v>21.353000000000002</v>
      </c>
      <c r="N190" s="6">
        <v>21.353000000000002</v>
      </c>
      <c r="O190" s="6">
        <v>21.353000000000002</v>
      </c>
      <c r="P190" s="6">
        <v>0</v>
      </c>
      <c r="Q190" s="4" t="s">
        <v>26</v>
      </c>
      <c r="R190" s="4">
        <v>0</v>
      </c>
      <c r="S190" s="6">
        <v>0</v>
      </c>
      <c r="T190" s="6">
        <v>13</v>
      </c>
      <c r="U190" s="6">
        <v>16</v>
      </c>
      <c r="V190" s="6">
        <f>IF(ISERROR(VLOOKUP($S$190,'TAR FIN'!$A$1:$O$85,15,0)),0,VLOOKUP($S$190,'TAR FIN'!$A$1:$O$85,15,0))</f>
        <v>0</v>
      </c>
      <c r="W190" s="6">
        <f>IF(ISERROR(VLOOKUP($T$190,'TAR FIN'!$A$1:$O$85,15,0)),0,VLOOKUP($T$190,'TAR FIN'!$A$1:$O$85,15,0))</f>
        <v>78.650000000000006</v>
      </c>
      <c r="X190" s="6">
        <f>IF(ISERROR(VLOOKUP($U$190,'TAR FIN'!$A$1:$O$85,15,0)),0,VLOOKUP($U$190,'TAR FIN'!$A$1:$O$85,15,0))</f>
        <v>229.87</v>
      </c>
      <c r="Y190" s="6"/>
      <c r="Z190" s="6">
        <f ca="1">('TUSD BE'!$AM$12+'TUSD BF'!$AM$12+'TUSD CVA'!$AM$12)*1</f>
        <v>114.48039155571371</v>
      </c>
      <c r="AA190" s="6">
        <f>('TE BE'!$AB$6+'TE BF'!$AB$6+'TE CVA'!$AB$6)*1</f>
        <v>216.60171770542672</v>
      </c>
      <c r="AB190" s="6">
        <f>$K$190*$V$190</f>
        <v>0</v>
      </c>
      <c r="AC190" s="6">
        <f>$M$190*$W$190</f>
        <v>1679.4134500000002</v>
      </c>
      <c r="AD190" s="6">
        <f>$O$190*$X$190</f>
        <v>4908.4141100000006</v>
      </c>
      <c r="AE190" s="6">
        <f>$K$190*$Y$190</f>
        <v>0</v>
      </c>
      <c r="AF190" s="6">
        <f ca="1">$M$190*$Z$190</f>
        <v>2444.4998008891548</v>
      </c>
      <c r="AG190" s="6">
        <f>$O$190*$AA$190</f>
        <v>4625.0964781639768</v>
      </c>
    </row>
    <row r="191" spans="1:33" ht="11.25" customHeight="1" x14ac:dyDescent="0.25">
      <c r="A191" s="4" t="s">
        <v>21</v>
      </c>
      <c r="B191" s="4" t="s">
        <v>34</v>
      </c>
      <c r="C191" s="4" t="s">
        <v>35</v>
      </c>
      <c r="D191" s="4" t="s">
        <v>41</v>
      </c>
      <c r="E191" s="4" t="s">
        <v>25</v>
      </c>
      <c r="F191" s="4" t="s">
        <v>25</v>
      </c>
      <c r="G191" s="4" t="s">
        <v>25</v>
      </c>
      <c r="H191" s="4" t="s">
        <v>37</v>
      </c>
      <c r="I191" s="5">
        <v>44652</v>
      </c>
      <c r="J191" s="6">
        <v>0</v>
      </c>
      <c r="K191" s="6">
        <v>0</v>
      </c>
      <c r="L191" s="6">
        <v>13.961</v>
      </c>
      <c r="M191" s="6">
        <v>13.961</v>
      </c>
      <c r="N191" s="6">
        <v>13.961</v>
      </c>
      <c r="O191" s="6">
        <v>13.961</v>
      </c>
      <c r="P191" s="6">
        <v>0</v>
      </c>
      <c r="Q191" s="4" t="s">
        <v>26</v>
      </c>
      <c r="R191" s="4">
        <v>0</v>
      </c>
      <c r="S191" s="6">
        <v>0</v>
      </c>
      <c r="T191" s="6">
        <v>13</v>
      </c>
      <c r="U191" s="6">
        <v>16</v>
      </c>
      <c r="V191" s="6">
        <f>IF(ISERROR(VLOOKUP($S$191,'TAR FIN'!$A$1:$O$85,15,0)),0,VLOOKUP($S$191,'TAR FIN'!$A$1:$O$85,15,0))</f>
        <v>0</v>
      </c>
      <c r="W191" s="6">
        <f>IF(ISERROR(VLOOKUP($T$191,'TAR FIN'!$A$1:$O$85,15,0)),0,VLOOKUP($T$191,'TAR FIN'!$A$1:$O$85,15,0))</f>
        <v>78.650000000000006</v>
      </c>
      <c r="X191" s="6">
        <f>IF(ISERROR(VLOOKUP($U$191,'TAR FIN'!$A$1:$O$85,15,0)),0,VLOOKUP($U$191,'TAR FIN'!$A$1:$O$85,15,0))</f>
        <v>229.87</v>
      </c>
      <c r="Y191" s="6"/>
      <c r="Z191" s="6">
        <f ca="1">('TUSD BE'!$AM$12+'TUSD BF'!$AM$12+'TUSD CVA'!$AM$12)*1</f>
        <v>114.48039155571371</v>
      </c>
      <c r="AA191" s="6">
        <f>('TE BE'!$AB$6+'TE BF'!$AB$6+'TE CVA'!$AB$6)*1</f>
        <v>216.60171770542672</v>
      </c>
      <c r="AB191" s="6">
        <f>$K$191*$V$191</f>
        <v>0</v>
      </c>
      <c r="AC191" s="6">
        <f>$M$191*$W$191</f>
        <v>1098.0326500000001</v>
      </c>
      <c r="AD191" s="6">
        <f>$O$191*$X$191</f>
        <v>3209.2150700000002</v>
      </c>
      <c r="AE191" s="6">
        <f>$K$191*$Y$191</f>
        <v>0</v>
      </c>
      <c r="AF191" s="6">
        <f ca="1">$M$191*$Z$191</f>
        <v>1598.2607465093192</v>
      </c>
      <c r="AG191" s="6">
        <f>$O$191*$AA$191</f>
        <v>3023.9765808854627</v>
      </c>
    </row>
    <row r="192" spans="1:33" ht="11.25" customHeight="1" x14ac:dyDescent="0.25">
      <c r="A192" s="4" t="s">
        <v>21</v>
      </c>
      <c r="B192" s="4" t="s">
        <v>34</v>
      </c>
      <c r="C192" s="4" t="s">
        <v>35</v>
      </c>
      <c r="D192" s="4" t="s">
        <v>41</v>
      </c>
      <c r="E192" s="4" t="s">
        <v>25</v>
      </c>
      <c r="F192" s="4" t="s">
        <v>25</v>
      </c>
      <c r="G192" s="4" t="s">
        <v>25</v>
      </c>
      <c r="H192" s="4" t="s">
        <v>37</v>
      </c>
      <c r="I192" s="5">
        <v>44682</v>
      </c>
      <c r="J192" s="6">
        <v>0</v>
      </c>
      <c r="K192" s="6">
        <v>0</v>
      </c>
      <c r="L192" s="6">
        <v>19.73</v>
      </c>
      <c r="M192" s="6">
        <v>19.73</v>
      </c>
      <c r="N192" s="6">
        <v>19.73</v>
      </c>
      <c r="O192" s="6">
        <v>19.73</v>
      </c>
      <c r="P192" s="6">
        <v>0</v>
      </c>
      <c r="Q192" s="4" t="s">
        <v>26</v>
      </c>
      <c r="R192" s="4">
        <v>0</v>
      </c>
      <c r="S192" s="6">
        <v>0</v>
      </c>
      <c r="T192" s="6">
        <v>13</v>
      </c>
      <c r="U192" s="6">
        <v>16</v>
      </c>
      <c r="V192" s="6">
        <f>IF(ISERROR(VLOOKUP($S$192,'TAR FIN'!$A$1:$O$85,15,0)),0,VLOOKUP($S$192,'TAR FIN'!$A$1:$O$85,15,0))</f>
        <v>0</v>
      </c>
      <c r="W192" s="6">
        <f>IF(ISERROR(VLOOKUP($T$192,'TAR FIN'!$A$1:$O$85,15,0)),0,VLOOKUP($T$192,'TAR FIN'!$A$1:$O$85,15,0))</f>
        <v>78.650000000000006</v>
      </c>
      <c r="X192" s="6">
        <f>IF(ISERROR(VLOOKUP($U$192,'TAR FIN'!$A$1:$O$85,15,0)),0,VLOOKUP($U$192,'TAR FIN'!$A$1:$O$85,15,0))</f>
        <v>229.87</v>
      </c>
      <c r="Y192" s="6"/>
      <c r="Z192" s="6">
        <f ca="1">('TUSD BE'!$AM$12+'TUSD BF'!$AM$12+'TUSD CVA'!$AM$12)*1</f>
        <v>114.48039155571371</v>
      </c>
      <c r="AA192" s="6">
        <f>('TE BE'!$AB$6+'TE BF'!$AB$6+'TE CVA'!$AB$6)*1</f>
        <v>216.60171770542672</v>
      </c>
      <c r="AB192" s="6">
        <f>$K$192*$V$192</f>
        <v>0</v>
      </c>
      <c r="AC192" s="6">
        <f>$M$192*$W$192</f>
        <v>1551.7645000000002</v>
      </c>
      <c r="AD192" s="6">
        <f>$O$192*$X$192</f>
        <v>4535.3351000000002</v>
      </c>
      <c r="AE192" s="6">
        <f>$K$192*$Y$192</f>
        <v>0</v>
      </c>
      <c r="AF192" s="6">
        <f ca="1">$M$192*$Z$192</f>
        <v>2258.6981253942317</v>
      </c>
      <c r="AG192" s="6">
        <f>$O$192*$AA$192</f>
        <v>4273.551890328069</v>
      </c>
    </row>
    <row r="193" spans="1:33" ht="11.25" customHeight="1" x14ac:dyDescent="0.25">
      <c r="A193" s="4" t="s">
        <v>21</v>
      </c>
      <c r="B193" s="4" t="s">
        <v>34</v>
      </c>
      <c r="C193" s="4" t="s">
        <v>35</v>
      </c>
      <c r="D193" s="4" t="s">
        <v>41</v>
      </c>
      <c r="E193" s="4" t="s">
        <v>25</v>
      </c>
      <c r="F193" s="4" t="s">
        <v>25</v>
      </c>
      <c r="G193" s="4" t="s">
        <v>25</v>
      </c>
      <c r="H193" s="4" t="s">
        <v>37</v>
      </c>
      <c r="I193" s="5">
        <v>44713</v>
      </c>
      <c r="J193" s="6">
        <v>0</v>
      </c>
      <c r="K193" s="6">
        <v>0</v>
      </c>
      <c r="L193" s="6">
        <v>22.042999999999999</v>
      </c>
      <c r="M193" s="6">
        <v>22.042999999999999</v>
      </c>
      <c r="N193" s="6">
        <v>22.042999999999999</v>
      </c>
      <c r="O193" s="6">
        <v>22.042999999999999</v>
      </c>
      <c r="P193" s="6">
        <v>0</v>
      </c>
      <c r="Q193" s="4" t="s">
        <v>26</v>
      </c>
      <c r="R193" s="4">
        <v>0</v>
      </c>
      <c r="S193" s="6">
        <v>0</v>
      </c>
      <c r="T193" s="6">
        <v>13</v>
      </c>
      <c r="U193" s="6">
        <v>16</v>
      </c>
      <c r="V193" s="6">
        <f>IF(ISERROR(VLOOKUP($S$193,'TAR FIN'!$A$1:$O$85,15,0)),0,VLOOKUP($S$193,'TAR FIN'!$A$1:$O$85,15,0))</f>
        <v>0</v>
      </c>
      <c r="W193" s="6">
        <f>IF(ISERROR(VLOOKUP($T$193,'TAR FIN'!$A$1:$O$85,15,0)),0,VLOOKUP($T$193,'TAR FIN'!$A$1:$O$85,15,0))</f>
        <v>78.650000000000006</v>
      </c>
      <c r="X193" s="6">
        <f>IF(ISERROR(VLOOKUP($U$193,'TAR FIN'!$A$1:$O$85,15,0)),0,VLOOKUP($U$193,'TAR FIN'!$A$1:$O$85,15,0))</f>
        <v>229.87</v>
      </c>
      <c r="Y193" s="6"/>
      <c r="Z193" s="6">
        <f ca="1">('TUSD BE'!$AM$12+'TUSD BF'!$AM$12+'TUSD CVA'!$AM$12)*1</f>
        <v>114.48039155571371</v>
      </c>
      <c r="AA193" s="6">
        <f>('TE BE'!$AB$6+'TE BF'!$AB$6+'TE CVA'!$AB$6)*1</f>
        <v>216.60171770542672</v>
      </c>
      <c r="AB193" s="6">
        <f>$K$193*$V$193</f>
        <v>0</v>
      </c>
      <c r="AC193" s="6">
        <f>$M$193*$W$193</f>
        <v>1733.6819500000001</v>
      </c>
      <c r="AD193" s="6">
        <f>$O$193*$X$193</f>
        <v>5067.02441</v>
      </c>
      <c r="AE193" s="6">
        <f>$K$193*$Y$193</f>
        <v>0</v>
      </c>
      <c r="AF193" s="6">
        <f ca="1">$M$193*$Z$193</f>
        <v>2523.4912710625972</v>
      </c>
      <c r="AG193" s="6">
        <f>$O$193*$AA$193</f>
        <v>4774.551663380721</v>
      </c>
    </row>
    <row r="194" spans="1:33" ht="11.25" customHeight="1" x14ac:dyDescent="0.25">
      <c r="A194" s="4" t="s">
        <v>21</v>
      </c>
      <c r="B194" s="4" t="s">
        <v>34</v>
      </c>
      <c r="C194" s="4" t="s">
        <v>35</v>
      </c>
      <c r="D194" s="4" t="s">
        <v>41</v>
      </c>
      <c r="E194" s="4" t="s">
        <v>25</v>
      </c>
      <c r="F194" s="4" t="s">
        <v>25</v>
      </c>
      <c r="G194" s="4" t="s">
        <v>25</v>
      </c>
      <c r="H194" s="4" t="s">
        <v>25</v>
      </c>
      <c r="I194" s="5">
        <v>44378</v>
      </c>
      <c r="J194" s="6">
        <v>368</v>
      </c>
      <c r="K194" s="6">
        <v>368</v>
      </c>
      <c r="L194" s="6">
        <v>0</v>
      </c>
      <c r="M194" s="6">
        <v>0</v>
      </c>
      <c r="N194" s="6">
        <v>0</v>
      </c>
      <c r="O194" s="6">
        <v>0</v>
      </c>
      <c r="P194" s="6">
        <v>4</v>
      </c>
      <c r="Q194" s="4" t="s">
        <v>26</v>
      </c>
      <c r="R194" s="4">
        <v>0</v>
      </c>
      <c r="S194" s="6">
        <v>36</v>
      </c>
      <c r="T194" s="6">
        <v>0</v>
      </c>
      <c r="U194" s="6">
        <v>0</v>
      </c>
      <c r="V194" s="6">
        <f>IF(ISERROR(VLOOKUP($S$194,'TAR FIN'!$A$1:$O$85,15,0)),0,VLOOKUP($S$194,'TAR FIN'!$A$1:$O$85,15,0))</f>
        <v>14.94</v>
      </c>
      <c r="W194" s="6">
        <f>IF(ISERROR(VLOOKUP($T$194,'TAR FIN'!$A$1:$O$85,15,0)),0,VLOOKUP($T$194,'TAR FIN'!$A$1:$O$85,15,0))</f>
        <v>0</v>
      </c>
      <c r="X194" s="6">
        <f>IF(ISERROR(VLOOKUP($U$194,'TAR FIN'!$A$1:$O$85,15,0)),0,VLOOKUP($U$194,'TAR FIN'!$A$1:$O$85,15,0))</f>
        <v>0</v>
      </c>
      <c r="Y194" s="6">
        <f ca="1">('TUSD BE'!$AM$10+'TUSD BF'!$AM$10+'TUSD CVA'!$AM$10)*1</f>
        <v>19.63429077280307</v>
      </c>
      <c r="Z194" s="6"/>
      <c r="AA194" s="6"/>
      <c r="AB194" s="6">
        <f>$K$194*$V$194</f>
        <v>5497.92</v>
      </c>
      <c r="AC194" s="6">
        <f>$M$194*$W$194</f>
        <v>0</v>
      </c>
      <c r="AD194" s="6">
        <f>$O$194*$X$194</f>
        <v>0</v>
      </c>
      <c r="AE194" s="6">
        <f ca="1">$K$194*$Y$194</f>
        <v>7225.4190043915296</v>
      </c>
      <c r="AF194" s="6">
        <f>$M$194*$Z$194</f>
        <v>0</v>
      </c>
      <c r="AG194" s="6">
        <f>$O$194*$AA$194</f>
        <v>0</v>
      </c>
    </row>
    <row r="195" spans="1:33" ht="11.25" customHeight="1" x14ac:dyDescent="0.25">
      <c r="A195" s="4" t="s">
        <v>21</v>
      </c>
      <c r="B195" s="4" t="s">
        <v>34</v>
      </c>
      <c r="C195" s="4" t="s">
        <v>35</v>
      </c>
      <c r="D195" s="4" t="s">
        <v>41</v>
      </c>
      <c r="E195" s="4" t="s">
        <v>25</v>
      </c>
      <c r="F195" s="4" t="s">
        <v>25</v>
      </c>
      <c r="G195" s="4" t="s">
        <v>25</v>
      </c>
      <c r="H195" s="4" t="s">
        <v>25</v>
      </c>
      <c r="I195" s="5">
        <v>44409</v>
      </c>
      <c r="J195" s="6">
        <v>361</v>
      </c>
      <c r="K195" s="6">
        <v>361</v>
      </c>
      <c r="L195" s="6">
        <v>0</v>
      </c>
      <c r="M195" s="6">
        <v>0</v>
      </c>
      <c r="N195" s="6">
        <v>0</v>
      </c>
      <c r="O195" s="6">
        <v>0</v>
      </c>
      <c r="P195" s="6">
        <v>4</v>
      </c>
      <c r="Q195" s="4" t="s">
        <v>26</v>
      </c>
      <c r="R195" s="4">
        <v>0</v>
      </c>
      <c r="S195" s="6">
        <v>36</v>
      </c>
      <c r="T195" s="6">
        <v>0</v>
      </c>
      <c r="U195" s="6">
        <v>0</v>
      </c>
      <c r="V195" s="6">
        <f>IF(ISERROR(VLOOKUP($S$195,'TAR FIN'!$A$1:$O$85,15,0)),0,VLOOKUP($S$195,'TAR FIN'!$A$1:$O$85,15,0))</f>
        <v>14.94</v>
      </c>
      <c r="W195" s="6">
        <f>IF(ISERROR(VLOOKUP($T$195,'TAR FIN'!$A$1:$O$85,15,0)),0,VLOOKUP($T$195,'TAR FIN'!$A$1:$O$85,15,0))</f>
        <v>0</v>
      </c>
      <c r="X195" s="6">
        <f>IF(ISERROR(VLOOKUP($U$195,'TAR FIN'!$A$1:$O$85,15,0)),0,VLOOKUP($U$195,'TAR FIN'!$A$1:$O$85,15,0))</f>
        <v>0</v>
      </c>
      <c r="Y195" s="6">
        <f ca="1">('TUSD BE'!$AM$10+'TUSD BF'!$AM$10+'TUSD CVA'!$AM$10)*1</f>
        <v>19.63429077280307</v>
      </c>
      <c r="Z195" s="6"/>
      <c r="AA195" s="6"/>
      <c r="AB195" s="6">
        <f>$K$195*$V$195</f>
        <v>5393.34</v>
      </c>
      <c r="AC195" s="6">
        <f>$M$195*$W$195</f>
        <v>0</v>
      </c>
      <c r="AD195" s="6">
        <f>$O$195*$X$195</f>
        <v>0</v>
      </c>
      <c r="AE195" s="6">
        <f ca="1">$K$195*$Y$195</f>
        <v>7087.9789689819081</v>
      </c>
      <c r="AF195" s="6">
        <f>$M$195*$Z$195</f>
        <v>0</v>
      </c>
      <c r="AG195" s="6">
        <f>$O$195*$AA$195</f>
        <v>0</v>
      </c>
    </row>
    <row r="196" spans="1:33" ht="11.25" customHeight="1" x14ac:dyDescent="0.25">
      <c r="A196" s="4" t="s">
        <v>21</v>
      </c>
      <c r="B196" s="4" t="s">
        <v>34</v>
      </c>
      <c r="C196" s="4" t="s">
        <v>35</v>
      </c>
      <c r="D196" s="4" t="s">
        <v>41</v>
      </c>
      <c r="E196" s="4" t="s">
        <v>25</v>
      </c>
      <c r="F196" s="4" t="s">
        <v>25</v>
      </c>
      <c r="G196" s="4" t="s">
        <v>25</v>
      </c>
      <c r="H196" s="4" t="s">
        <v>25</v>
      </c>
      <c r="I196" s="5">
        <v>44440</v>
      </c>
      <c r="J196" s="6">
        <v>353</v>
      </c>
      <c r="K196" s="6">
        <v>353</v>
      </c>
      <c r="L196" s="6">
        <v>0</v>
      </c>
      <c r="M196" s="6">
        <v>0</v>
      </c>
      <c r="N196" s="6">
        <v>0</v>
      </c>
      <c r="O196" s="6">
        <v>0</v>
      </c>
      <c r="P196" s="6">
        <v>4</v>
      </c>
      <c r="Q196" s="4" t="s">
        <v>26</v>
      </c>
      <c r="R196" s="4">
        <v>0</v>
      </c>
      <c r="S196" s="6">
        <v>36</v>
      </c>
      <c r="T196" s="6">
        <v>0</v>
      </c>
      <c r="U196" s="6">
        <v>0</v>
      </c>
      <c r="V196" s="6">
        <f>IF(ISERROR(VLOOKUP($S$196,'TAR FIN'!$A$1:$O$85,15,0)),0,VLOOKUP($S$196,'TAR FIN'!$A$1:$O$85,15,0))</f>
        <v>14.94</v>
      </c>
      <c r="W196" s="6">
        <f>IF(ISERROR(VLOOKUP($T$196,'TAR FIN'!$A$1:$O$85,15,0)),0,VLOOKUP($T$196,'TAR FIN'!$A$1:$O$85,15,0))</f>
        <v>0</v>
      </c>
      <c r="X196" s="6">
        <f>IF(ISERROR(VLOOKUP($U$196,'TAR FIN'!$A$1:$O$85,15,0)),0,VLOOKUP($U$196,'TAR FIN'!$A$1:$O$85,15,0))</f>
        <v>0</v>
      </c>
      <c r="Y196" s="6">
        <f ca="1">('TUSD BE'!$AM$10+'TUSD BF'!$AM$10+'TUSD CVA'!$AM$10)*1</f>
        <v>19.63429077280307</v>
      </c>
      <c r="Z196" s="6"/>
      <c r="AA196" s="6"/>
      <c r="AB196" s="6">
        <f>$K$196*$V$196</f>
        <v>5273.82</v>
      </c>
      <c r="AC196" s="6">
        <f>$M$196*$W$196</f>
        <v>0</v>
      </c>
      <c r="AD196" s="6">
        <f>$O$196*$X$196</f>
        <v>0</v>
      </c>
      <c r="AE196" s="6">
        <f ca="1">$K$196*$Y$196</f>
        <v>6930.9046427994836</v>
      </c>
      <c r="AF196" s="6">
        <f>$M$196*$Z$196</f>
        <v>0</v>
      </c>
      <c r="AG196" s="6">
        <f>$O$196*$AA$196</f>
        <v>0</v>
      </c>
    </row>
    <row r="197" spans="1:33" ht="11.25" customHeight="1" x14ac:dyDescent="0.25">
      <c r="A197" s="4" t="s">
        <v>21</v>
      </c>
      <c r="B197" s="4" t="s">
        <v>34</v>
      </c>
      <c r="C197" s="4" t="s">
        <v>35</v>
      </c>
      <c r="D197" s="4" t="s">
        <v>41</v>
      </c>
      <c r="E197" s="4" t="s">
        <v>25</v>
      </c>
      <c r="F197" s="4" t="s">
        <v>25</v>
      </c>
      <c r="G197" s="4" t="s">
        <v>25</v>
      </c>
      <c r="H197" s="4" t="s">
        <v>25</v>
      </c>
      <c r="I197" s="5">
        <v>44470</v>
      </c>
      <c r="J197" s="6">
        <v>353</v>
      </c>
      <c r="K197" s="6">
        <v>353</v>
      </c>
      <c r="L197" s="6">
        <v>0</v>
      </c>
      <c r="M197" s="6">
        <v>0</v>
      </c>
      <c r="N197" s="6">
        <v>0</v>
      </c>
      <c r="O197" s="6">
        <v>0</v>
      </c>
      <c r="P197" s="6">
        <v>4</v>
      </c>
      <c r="Q197" s="4" t="s">
        <v>26</v>
      </c>
      <c r="R197" s="4">
        <v>0</v>
      </c>
      <c r="S197" s="6">
        <v>36</v>
      </c>
      <c r="T197" s="6">
        <v>0</v>
      </c>
      <c r="U197" s="6">
        <v>0</v>
      </c>
      <c r="V197" s="6">
        <f>IF(ISERROR(VLOOKUP($S$197,'TAR FIN'!$A$1:$O$85,15,0)),0,VLOOKUP($S$197,'TAR FIN'!$A$1:$O$85,15,0))</f>
        <v>14.94</v>
      </c>
      <c r="W197" s="6">
        <f>IF(ISERROR(VLOOKUP($T$197,'TAR FIN'!$A$1:$O$85,15,0)),0,VLOOKUP($T$197,'TAR FIN'!$A$1:$O$85,15,0))</f>
        <v>0</v>
      </c>
      <c r="X197" s="6">
        <f>IF(ISERROR(VLOOKUP($U$197,'TAR FIN'!$A$1:$O$85,15,0)),0,VLOOKUP($U$197,'TAR FIN'!$A$1:$O$85,15,0))</f>
        <v>0</v>
      </c>
      <c r="Y197" s="6">
        <f ca="1">('TUSD BE'!$AM$10+'TUSD BF'!$AM$10+'TUSD CVA'!$AM$10)*1</f>
        <v>19.63429077280307</v>
      </c>
      <c r="Z197" s="6"/>
      <c r="AA197" s="6"/>
      <c r="AB197" s="6">
        <f>$K$197*$V$197</f>
        <v>5273.82</v>
      </c>
      <c r="AC197" s="6">
        <f>$M$197*$W$197</f>
        <v>0</v>
      </c>
      <c r="AD197" s="6">
        <f>$O$197*$X$197</f>
        <v>0</v>
      </c>
      <c r="AE197" s="6">
        <f ca="1">$K$197*$Y$197</f>
        <v>6930.9046427994836</v>
      </c>
      <c r="AF197" s="6">
        <f>$M$197*$Z$197</f>
        <v>0</v>
      </c>
      <c r="AG197" s="6">
        <f>$O$197*$AA$197</f>
        <v>0</v>
      </c>
    </row>
    <row r="198" spans="1:33" ht="11.25" customHeight="1" x14ac:dyDescent="0.25">
      <c r="A198" s="4" t="s">
        <v>21</v>
      </c>
      <c r="B198" s="4" t="s">
        <v>34</v>
      </c>
      <c r="C198" s="4" t="s">
        <v>35</v>
      </c>
      <c r="D198" s="4" t="s">
        <v>41</v>
      </c>
      <c r="E198" s="4" t="s">
        <v>25</v>
      </c>
      <c r="F198" s="4" t="s">
        <v>25</v>
      </c>
      <c r="G198" s="4" t="s">
        <v>25</v>
      </c>
      <c r="H198" s="4" t="s">
        <v>25</v>
      </c>
      <c r="I198" s="5">
        <v>44501</v>
      </c>
      <c r="J198" s="6">
        <v>354</v>
      </c>
      <c r="K198" s="6">
        <v>354</v>
      </c>
      <c r="L198" s="6">
        <v>0</v>
      </c>
      <c r="M198" s="6">
        <v>0</v>
      </c>
      <c r="N198" s="6">
        <v>0</v>
      </c>
      <c r="O198" s="6">
        <v>0</v>
      </c>
      <c r="P198" s="6">
        <v>4</v>
      </c>
      <c r="Q198" s="4" t="s">
        <v>26</v>
      </c>
      <c r="R198" s="4">
        <v>0</v>
      </c>
      <c r="S198" s="6">
        <v>36</v>
      </c>
      <c r="T198" s="6">
        <v>0</v>
      </c>
      <c r="U198" s="6">
        <v>0</v>
      </c>
      <c r="V198" s="6">
        <f>IF(ISERROR(VLOOKUP($S$198,'TAR FIN'!$A$1:$O$85,15,0)),0,VLOOKUP($S$198,'TAR FIN'!$A$1:$O$85,15,0))</f>
        <v>14.94</v>
      </c>
      <c r="W198" s="6">
        <f>IF(ISERROR(VLOOKUP($T$198,'TAR FIN'!$A$1:$O$85,15,0)),0,VLOOKUP($T$198,'TAR FIN'!$A$1:$O$85,15,0))</f>
        <v>0</v>
      </c>
      <c r="X198" s="6">
        <f>IF(ISERROR(VLOOKUP($U$198,'TAR FIN'!$A$1:$O$85,15,0)),0,VLOOKUP($U$198,'TAR FIN'!$A$1:$O$85,15,0))</f>
        <v>0</v>
      </c>
      <c r="Y198" s="6">
        <f ca="1">('TUSD BE'!$AM$10+'TUSD BF'!$AM$10+'TUSD CVA'!$AM$10)*1</f>
        <v>19.63429077280307</v>
      </c>
      <c r="Z198" s="6"/>
      <c r="AA198" s="6"/>
      <c r="AB198" s="6">
        <f>$K$198*$V$198</f>
        <v>5288.76</v>
      </c>
      <c r="AC198" s="6">
        <f>$M$198*$W$198</f>
        <v>0</v>
      </c>
      <c r="AD198" s="6">
        <f>$O$198*$X$198</f>
        <v>0</v>
      </c>
      <c r="AE198" s="6">
        <f ca="1">$K$198*$Y$198</f>
        <v>6950.5389335722866</v>
      </c>
      <c r="AF198" s="6">
        <f>$M$198*$Z$198</f>
        <v>0</v>
      </c>
      <c r="AG198" s="6">
        <f>$O$198*$AA$198</f>
        <v>0</v>
      </c>
    </row>
    <row r="199" spans="1:33" ht="11.25" customHeight="1" x14ac:dyDescent="0.25">
      <c r="A199" s="4" t="s">
        <v>21</v>
      </c>
      <c r="B199" s="4" t="s">
        <v>34</v>
      </c>
      <c r="C199" s="4" t="s">
        <v>35</v>
      </c>
      <c r="D199" s="4" t="s">
        <v>41</v>
      </c>
      <c r="E199" s="4" t="s">
        <v>25</v>
      </c>
      <c r="F199" s="4" t="s">
        <v>25</v>
      </c>
      <c r="G199" s="4" t="s">
        <v>25</v>
      </c>
      <c r="H199" s="4" t="s">
        <v>25</v>
      </c>
      <c r="I199" s="5">
        <v>44531</v>
      </c>
      <c r="J199" s="6">
        <v>360</v>
      </c>
      <c r="K199" s="6">
        <v>360</v>
      </c>
      <c r="L199" s="6">
        <v>0</v>
      </c>
      <c r="M199" s="6">
        <v>0</v>
      </c>
      <c r="N199" s="6">
        <v>0</v>
      </c>
      <c r="O199" s="6">
        <v>0</v>
      </c>
      <c r="P199" s="6">
        <v>4</v>
      </c>
      <c r="Q199" s="4" t="s">
        <v>26</v>
      </c>
      <c r="R199" s="4">
        <v>0</v>
      </c>
      <c r="S199" s="6">
        <v>36</v>
      </c>
      <c r="T199" s="6">
        <v>0</v>
      </c>
      <c r="U199" s="6">
        <v>0</v>
      </c>
      <c r="V199" s="6">
        <f>IF(ISERROR(VLOOKUP($S$199,'TAR FIN'!$A$1:$O$85,15,0)),0,VLOOKUP($S$199,'TAR FIN'!$A$1:$O$85,15,0))</f>
        <v>14.94</v>
      </c>
      <c r="W199" s="6">
        <f>IF(ISERROR(VLOOKUP($T$199,'TAR FIN'!$A$1:$O$85,15,0)),0,VLOOKUP($T$199,'TAR FIN'!$A$1:$O$85,15,0))</f>
        <v>0</v>
      </c>
      <c r="X199" s="6">
        <f>IF(ISERROR(VLOOKUP($U$199,'TAR FIN'!$A$1:$O$85,15,0)),0,VLOOKUP($U$199,'TAR FIN'!$A$1:$O$85,15,0))</f>
        <v>0</v>
      </c>
      <c r="Y199" s="6">
        <f ca="1">('TUSD BE'!$AM$10+'TUSD BF'!$AM$10+'TUSD CVA'!$AM$10)*1</f>
        <v>19.63429077280307</v>
      </c>
      <c r="Z199" s="6"/>
      <c r="AA199" s="6"/>
      <c r="AB199" s="6">
        <f>$K$199*$V$199</f>
        <v>5378.4</v>
      </c>
      <c r="AC199" s="6">
        <f>$M$199*$W$199</f>
        <v>0</v>
      </c>
      <c r="AD199" s="6">
        <f>$O$199*$X$199</f>
        <v>0</v>
      </c>
      <c r="AE199" s="6">
        <f ca="1">$K$199*$Y$199</f>
        <v>7068.344678209105</v>
      </c>
      <c r="AF199" s="6">
        <f>$M$199*$Z$199</f>
        <v>0</v>
      </c>
      <c r="AG199" s="6">
        <f>$O$199*$AA$199</f>
        <v>0</v>
      </c>
    </row>
    <row r="200" spans="1:33" ht="11.25" customHeight="1" x14ac:dyDescent="0.25">
      <c r="A200" s="4" t="s">
        <v>21</v>
      </c>
      <c r="B200" s="4" t="s">
        <v>34</v>
      </c>
      <c r="C200" s="4" t="s">
        <v>35</v>
      </c>
      <c r="D200" s="4" t="s">
        <v>41</v>
      </c>
      <c r="E200" s="4" t="s">
        <v>25</v>
      </c>
      <c r="F200" s="4" t="s">
        <v>25</v>
      </c>
      <c r="G200" s="4" t="s">
        <v>25</v>
      </c>
      <c r="H200" s="4" t="s">
        <v>25</v>
      </c>
      <c r="I200" s="5">
        <v>44562</v>
      </c>
      <c r="J200" s="6">
        <v>364</v>
      </c>
      <c r="K200" s="6">
        <v>364</v>
      </c>
      <c r="L200" s="6">
        <v>0</v>
      </c>
      <c r="M200" s="6">
        <v>0</v>
      </c>
      <c r="N200" s="6">
        <v>0</v>
      </c>
      <c r="O200" s="6">
        <v>0</v>
      </c>
      <c r="P200" s="6">
        <v>4</v>
      </c>
      <c r="Q200" s="4" t="s">
        <v>26</v>
      </c>
      <c r="R200" s="4">
        <v>0</v>
      </c>
      <c r="S200" s="6">
        <v>36</v>
      </c>
      <c r="T200" s="6">
        <v>0</v>
      </c>
      <c r="U200" s="6">
        <v>0</v>
      </c>
      <c r="V200" s="6">
        <f>IF(ISERROR(VLOOKUP($S$200,'TAR FIN'!$A$1:$O$85,15,0)),0,VLOOKUP($S$200,'TAR FIN'!$A$1:$O$85,15,0))</f>
        <v>14.94</v>
      </c>
      <c r="W200" s="6">
        <f>IF(ISERROR(VLOOKUP($T$200,'TAR FIN'!$A$1:$O$85,15,0)),0,VLOOKUP($T$200,'TAR FIN'!$A$1:$O$85,15,0))</f>
        <v>0</v>
      </c>
      <c r="X200" s="6">
        <f>IF(ISERROR(VLOOKUP($U$200,'TAR FIN'!$A$1:$O$85,15,0)),0,VLOOKUP($U$200,'TAR FIN'!$A$1:$O$85,15,0))</f>
        <v>0</v>
      </c>
      <c r="Y200" s="6">
        <f ca="1">('TUSD BE'!$AM$10+'TUSD BF'!$AM$10+'TUSD CVA'!$AM$10)*1</f>
        <v>19.63429077280307</v>
      </c>
      <c r="Z200" s="6"/>
      <c r="AA200" s="6"/>
      <c r="AB200" s="6">
        <f>$K$200*$V$200</f>
        <v>5438.16</v>
      </c>
      <c r="AC200" s="6">
        <f>$M$200*$W$200</f>
        <v>0</v>
      </c>
      <c r="AD200" s="6">
        <f>$O$200*$X$200</f>
        <v>0</v>
      </c>
      <c r="AE200" s="6">
        <f ca="1">$K$200*$Y$200</f>
        <v>7146.8818413003173</v>
      </c>
      <c r="AF200" s="6">
        <f>$M$200*$Z$200</f>
        <v>0</v>
      </c>
      <c r="AG200" s="6">
        <f>$O$200*$AA$200</f>
        <v>0</v>
      </c>
    </row>
    <row r="201" spans="1:33" ht="11.25" customHeight="1" x14ac:dyDescent="0.25">
      <c r="A201" s="4" t="s">
        <v>21</v>
      </c>
      <c r="B201" s="4" t="s">
        <v>34</v>
      </c>
      <c r="C201" s="4" t="s">
        <v>35</v>
      </c>
      <c r="D201" s="4" t="s">
        <v>41</v>
      </c>
      <c r="E201" s="4" t="s">
        <v>25</v>
      </c>
      <c r="F201" s="4" t="s">
        <v>25</v>
      </c>
      <c r="G201" s="4" t="s">
        <v>25</v>
      </c>
      <c r="H201" s="4" t="s">
        <v>25</v>
      </c>
      <c r="I201" s="5">
        <v>44593</v>
      </c>
      <c r="J201" s="6">
        <v>353</v>
      </c>
      <c r="K201" s="6">
        <v>353</v>
      </c>
      <c r="L201" s="6">
        <v>0</v>
      </c>
      <c r="M201" s="6">
        <v>0</v>
      </c>
      <c r="N201" s="6">
        <v>0</v>
      </c>
      <c r="O201" s="6">
        <v>0</v>
      </c>
      <c r="P201" s="6">
        <v>4</v>
      </c>
      <c r="Q201" s="4" t="s">
        <v>26</v>
      </c>
      <c r="R201" s="4">
        <v>0</v>
      </c>
      <c r="S201" s="6">
        <v>36</v>
      </c>
      <c r="T201" s="6">
        <v>0</v>
      </c>
      <c r="U201" s="6">
        <v>0</v>
      </c>
      <c r="V201" s="6">
        <f>IF(ISERROR(VLOOKUP($S$201,'TAR FIN'!$A$1:$O$85,15,0)),0,VLOOKUP($S$201,'TAR FIN'!$A$1:$O$85,15,0))</f>
        <v>14.94</v>
      </c>
      <c r="W201" s="6">
        <f>IF(ISERROR(VLOOKUP($T$201,'TAR FIN'!$A$1:$O$85,15,0)),0,VLOOKUP($T$201,'TAR FIN'!$A$1:$O$85,15,0))</f>
        <v>0</v>
      </c>
      <c r="X201" s="6">
        <f>IF(ISERROR(VLOOKUP($U$201,'TAR FIN'!$A$1:$O$85,15,0)),0,VLOOKUP($U$201,'TAR FIN'!$A$1:$O$85,15,0))</f>
        <v>0</v>
      </c>
      <c r="Y201" s="6">
        <f ca="1">('TUSD BE'!$AM$10+'TUSD BF'!$AM$10+'TUSD CVA'!$AM$10)*1</f>
        <v>19.63429077280307</v>
      </c>
      <c r="Z201" s="6"/>
      <c r="AA201" s="6"/>
      <c r="AB201" s="6">
        <f>$K$201*$V$201</f>
        <v>5273.82</v>
      </c>
      <c r="AC201" s="6">
        <f>$M$201*$W$201</f>
        <v>0</v>
      </c>
      <c r="AD201" s="6">
        <f>$O$201*$X$201</f>
        <v>0</v>
      </c>
      <c r="AE201" s="6">
        <f ca="1">$K$201*$Y$201</f>
        <v>6930.9046427994836</v>
      </c>
      <c r="AF201" s="6">
        <f>$M$201*$Z$201</f>
        <v>0</v>
      </c>
      <c r="AG201" s="6">
        <f>$O$201*$AA$201</f>
        <v>0</v>
      </c>
    </row>
    <row r="202" spans="1:33" ht="11.25" customHeight="1" x14ac:dyDescent="0.25">
      <c r="A202" s="4" t="s">
        <v>21</v>
      </c>
      <c r="B202" s="4" t="s">
        <v>34</v>
      </c>
      <c r="C202" s="4" t="s">
        <v>35</v>
      </c>
      <c r="D202" s="4" t="s">
        <v>41</v>
      </c>
      <c r="E202" s="4" t="s">
        <v>25</v>
      </c>
      <c r="F202" s="4" t="s">
        <v>25</v>
      </c>
      <c r="G202" s="4" t="s">
        <v>25</v>
      </c>
      <c r="H202" s="4" t="s">
        <v>25</v>
      </c>
      <c r="I202" s="5">
        <v>44621</v>
      </c>
      <c r="J202" s="6">
        <v>356</v>
      </c>
      <c r="K202" s="6">
        <v>356</v>
      </c>
      <c r="L202" s="6">
        <v>0</v>
      </c>
      <c r="M202" s="6">
        <v>0</v>
      </c>
      <c r="N202" s="6">
        <v>0</v>
      </c>
      <c r="O202" s="6">
        <v>0</v>
      </c>
      <c r="P202" s="6">
        <v>4</v>
      </c>
      <c r="Q202" s="4" t="s">
        <v>26</v>
      </c>
      <c r="R202" s="4">
        <v>0</v>
      </c>
      <c r="S202" s="6">
        <v>36</v>
      </c>
      <c r="T202" s="6">
        <v>0</v>
      </c>
      <c r="U202" s="6">
        <v>0</v>
      </c>
      <c r="V202" s="6">
        <f>IF(ISERROR(VLOOKUP($S$202,'TAR FIN'!$A$1:$O$85,15,0)),0,VLOOKUP($S$202,'TAR FIN'!$A$1:$O$85,15,0))</f>
        <v>14.94</v>
      </c>
      <c r="W202" s="6">
        <f>IF(ISERROR(VLOOKUP($T$202,'TAR FIN'!$A$1:$O$85,15,0)),0,VLOOKUP($T$202,'TAR FIN'!$A$1:$O$85,15,0))</f>
        <v>0</v>
      </c>
      <c r="X202" s="6">
        <f>IF(ISERROR(VLOOKUP($U$202,'TAR FIN'!$A$1:$O$85,15,0)),0,VLOOKUP($U$202,'TAR FIN'!$A$1:$O$85,15,0))</f>
        <v>0</v>
      </c>
      <c r="Y202" s="6">
        <f ca="1">('TUSD BE'!$AM$10+'TUSD BF'!$AM$10+'TUSD CVA'!$AM$10)*1</f>
        <v>19.63429077280307</v>
      </c>
      <c r="Z202" s="6"/>
      <c r="AA202" s="6"/>
      <c r="AB202" s="6">
        <f>$K$202*$V$202</f>
        <v>5318.6399999999994</v>
      </c>
      <c r="AC202" s="6">
        <f>$M$202*$W$202</f>
        <v>0</v>
      </c>
      <c r="AD202" s="6">
        <f>$O$202*$X$202</f>
        <v>0</v>
      </c>
      <c r="AE202" s="6">
        <f ca="1">$K$202*$Y$202</f>
        <v>6989.8075151178928</v>
      </c>
      <c r="AF202" s="6">
        <f>$M$202*$Z$202</f>
        <v>0</v>
      </c>
      <c r="AG202" s="6">
        <f>$O$202*$AA$202</f>
        <v>0</v>
      </c>
    </row>
    <row r="203" spans="1:33" ht="11.25" customHeight="1" x14ac:dyDescent="0.25">
      <c r="A203" s="4" t="s">
        <v>21</v>
      </c>
      <c r="B203" s="4" t="s">
        <v>34</v>
      </c>
      <c r="C203" s="4" t="s">
        <v>35</v>
      </c>
      <c r="D203" s="4" t="s">
        <v>41</v>
      </c>
      <c r="E203" s="4" t="s">
        <v>25</v>
      </c>
      <c r="F203" s="4" t="s">
        <v>25</v>
      </c>
      <c r="G203" s="4" t="s">
        <v>25</v>
      </c>
      <c r="H203" s="4" t="s">
        <v>25</v>
      </c>
      <c r="I203" s="5">
        <v>44652</v>
      </c>
      <c r="J203" s="6">
        <v>353</v>
      </c>
      <c r="K203" s="6">
        <v>353</v>
      </c>
      <c r="L203" s="6">
        <v>0</v>
      </c>
      <c r="M203" s="6">
        <v>0</v>
      </c>
      <c r="N203" s="6">
        <v>0</v>
      </c>
      <c r="O203" s="6">
        <v>0</v>
      </c>
      <c r="P203" s="6">
        <v>4</v>
      </c>
      <c r="Q203" s="4" t="s">
        <v>26</v>
      </c>
      <c r="R203" s="4">
        <v>0</v>
      </c>
      <c r="S203" s="6">
        <v>36</v>
      </c>
      <c r="T203" s="6">
        <v>0</v>
      </c>
      <c r="U203" s="6">
        <v>0</v>
      </c>
      <c r="V203" s="6">
        <f>IF(ISERROR(VLOOKUP($S$203,'TAR FIN'!$A$1:$O$85,15,0)),0,VLOOKUP($S$203,'TAR FIN'!$A$1:$O$85,15,0))</f>
        <v>14.94</v>
      </c>
      <c r="W203" s="6">
        <f>IF(ISERROR(VLOOKUP($T$203,'TAR FIN'!$A$1:$O$85,15,0)),0,VLOOKUP($T$203,'TAR FIN'!$A$1:$O$85,15,0))</f>
        <v>0</v>
      </c>
      <c r="X203" s="6">
        <f>IF(ISERROR(VLOOKUP($U$203,'TAR FIN'!$A$1:$O$85,15,0)),0,VLOOKUP($U$203,'TAR FIN'!$A$1:$O$85,15,0))</f>
        <v>0</v>
      </c>
      <c r="Y203" s="6">
        <f ca="1">('TUSD BE'!$AM$10+'TUSD BF'!$AM$10+'TUSD CVA'!$AM$10)*1</f>
        <v>19.63429077280307</v>
      </c>
      <c r="Z203" s="6"/>
      <c r="AA203" s="6"/>
      <c r="AB203" s="6">
        <f>$K$203*$V$203</f>
        <v>5273.82</v>
      </c>
      <c r="AC203" s="6">
        <f>$M$203*$W$203</f>
        <v>0</v>
      </c>
      <c r="AD203" s="6">
        <f>$O$203*$X$203</f>
        <v>0</v>
      </c>
      <c r="AE203" s="6">
        <f ca="1">$K$203*$Y$203</f>
        <v>6930.9046427994836</v>
      </c>
      <c r="AF203" s="6">
        <f>$M$203*$Z$203</f>
        <v>0</v>
      </c>
      <c r="AG203" s="6">
        <f>$O$203*$AA$203</f>
        <v>0</v>
      </c>
    </row>
    <row r="204" spans="1:33" ht="11.25" customHeight="1" x14ac:dyDescent="0.25">
      <c r="A204" s="4" t="s">
        <v>21</v>
      </c>
      <c r="B204" s="4" t="s">
        <v>34</v>
      </c>
      <c r="C204" s="4" t="s">
        <v>35</v>
      </c>
      <c r="D204" s="4" t="s">
        <v>41</v>
      </c>
      <c r="E204" s="4" t="s">
        <v>25</v>
      </c>
      <c r="F204" s="4" t="s">
        <v>25</v>
      </c>
      <c r="G204" s="4" t="s">
        <v>25</v>
      </c>
      <c r="H204" s="4" t="s">
        <v>25</v>
      </c>
      <c r="I204" s="5">
        <v>44682</v>
      </c>
      <c r="J204" s="6">
        <v>354</v>
      </c>
      <c r="K204" s="6">
        <v>354</v>
      </c>
      <c r="L204" s="6">
        <v>0</v>
      </c>
      <c r="M204" s="6">
        <v>0</v>
      </c>
      <c r="N204" s="6">
        <v>0</v>
      </c>
      <c r="O204" s="6">
        <v>0</v>
      </c>
      <c r="P204" s="6">
        <v>4</v>
      </c>
      <c r="Q204" s="4" t="s">
        <v>26</v>
      </c>
      <c r="R204" s="4">
        <v>0</v>
      </c>
      <c r="S204" s="6">
        <v>36</v>
      </c>
      <c r="T204" s="6">
        <v>0</v>
      </c>
      <c r="U204" s="6">
        <v>0</v>
      </c>
      <c r="V204" s="6">
        <f>IF(ISERROR(VLOOKUP($S$204,'TAR FIN'!$A$1:$O$85,15,0)),0,VLOOKUP($S$204,'TAR FIN'!$A$1:$O$85,15,0))</f>
        <v>14.94</v>
      </c>
      <c r="W204" s="6">
        <f>IF(ISERROR(VLOOKUP($T$204,'TAR FIN'!$A$1:$O$85,15,0)),0,VLOOKUP($T$204,'TAR FIN'!$A$1:$O$85,15,0))</f>
        <v>0</v>
      </c>
      <c r="X204" s="6">
        <f>IF(ISERROR(VLOOKUP($U$204,'TAR FIN'!$A$1:$O$85,15,0)),0,VLOOKUP($U$204,'TAR FIN'!$A$1:$O$85,15,0))</f>
        <v>0</v>
      </c>
      <c r="Y204" s="6">
        <f ca="1">('TUSD BE'!$AM$10+'TUSD BF'!$AM$10+'TUSD CVA'!$AM$10)*1</f>
        <v>19.63429077280307</v>
      </c>
      <c r="Z204" s="6"/>
      <c r="AA204" s="6"/>
      <c r="AB204" s="6">
        <f>$K$204*$V$204</f>
        <v>5288.76</v>
      </c>
      <c r="AC204" s="6">
        <f>$M$204*$W$204</f>
        <v>0</v>
      </c>
      <c r="AD204" s="6">
        <f>$O$204*$X$204</f>
        <v>0</v>
      </c>
      <c r="AE204" s="6">
        <f ca="1">$K$204*$Y$204</f>
        <v>6950.5389335722866</v>
      </c>
      <c r="AF204" s="6">
        <f>$M$204*$Z$204</f>
        <v>0</v>
      </c>
      <c r="AG204" s="6">
        <f>$O$204*$AA$204</f>
        <v>0</v>
      </c>
    </row>
    <row r="205" spans="1:33" ht="11.25" customHeight="1" x14ac:dyDescent="0.25">
      <c r="A205" s="4" t="s">
        <v>21</v>
      </c>
      <c r="B205" s="4" t="s">
        <v>34</v>
      </c>
      <c r="C205" s="4" t="s">
        <v>35</v>
      </c>
      <c r="D205" s="4" t="s">
        <v>41</v>
      </c>
      <c r="E205" s="4" t="s">
        <v>25</v>
      </c>
      <c r="F205" s="4" t="s">
        <v>25</v>
      </c>
      <c r="G205" s="4" t="s">
        <v>25</v>
      </c>
      <c r="H205" s="4" t="s">
        <v>25</v>
      </c>
      <c r="I205" s="5">
        <v>44713</v>
      </c>
      <c r="J205" s="6">
        <v>361</v>
      </c>
      <c r="K205" s="6">
        <v>361</v>
      </c>
      <c r="L205" s="6">
        <v>0</v>
      </c>
      <c r="M205" s="6">
        <v>0</v>
      </c>
      <c r="N205" s="6">
        <v>0</v>
      </c>
      <c r="O205" s="6">
        <v>0</v>
      </c>
      <c r="P205" s="6">
        <v>4</v>
      </c>
      <c r="Q205" s="4" t="s">
        <v>26</v>
      </c>
      <c r="R205" s="4">
        <v>0</v>
      </c>
      <c r="S205" s="6">
        <v>36</v>
      </c>
      <c r="T205" s="6">
        <v>0</v>
      </c>
      <c r="U205" s="6">
        <v>0</v>
      </c>
      <c r="V205" s="6">
        <f>IF(ISERROR(VLOOKUP($S$205,'TAR FIN'!$A$1:$O$85,15,0)),0,VLOOKUP($S$205,'TAR FIN'!$A$1:$O$85,15,0))</f>
        <v>14.94</v>
      </c>
      <c r="W205" s="6">
        <f>IF(ISERROR(VLOOKUP($T$205,'TAR FIN'!$A$1:$O$85,15,0)),0,VLOOKUP($T$205,'TAR FIN'!$A$1:$O$85,15,0))</f>
        <v>0</v>
      </c>
      <c r="X205" s="6">
        <f>IF(ISERROR(VLOOKUP($U$205,'TAR FIN'!$A$1:$O$85,15,0)),0,VLOOKUP($U$205,'TAR FIN'!$A$1:$O$85,15,0))</f>
        <v>0</v>
      </c>
      <c r="Y205" s="6">
        <f ca="1">('TUSD BE'!$AM$10+'TUSD BF'!$AM$10+'TUSD CVA'!$AM$10)*1</f>
        <v>19.63429077280307</v>
      </c>
      <c r="Z205" s="6"/>
      <c r="AA205" s="6"/>
      <c r="AB205" s="6">
        <f>$K$205*$V$205</f>
        <v>5393.34</v>
      </c>
      <c r="AC205" s="6">
        <f>$M$205*$W$205</f>
        <v>0</v>
      </c>
      <c r="AD205" s="6">
        <f>$O$205*$X$205</f>
        <v>0</v>
      </c>
      <c r="AE205" s="6">
        <f ca="1">$K$205*$Y$205</f>
        <v>7087.9789689819081</v>
      </c>
      <c r="AF205" s="6">
        <f>$M$205*$Z$205</f>
        <v>0</v>
      </c>
      <c r="AG205" s="6">
        <f>$O$205*$AA$205</f>
        <v>0</v>
      </c>
    </row>
    <row r="206" spans="1:33" ht="11.25" customHeight="1" x14ac:dyDescent="0.25">
      <c r="A206" s="4" t="s">
        <v>21</v>
      </c>
      <c r="B206" s="4" t="s">
        <v>34</v>
      </c>
      <c r="C206" s="4" t="s">
        <v>35</v>
      </c>
      <c r="D206" s="4" t="s">
        <v>41</v>
      </c>
      <c r="E206" s="4" t="s">
        <v>25</v>
      </c>
      <c r="F206" s="4" t="s">
        <v>25</v>
      </c>
      <c r="G206" s="4" t="s">
        <v>25</v>
      </c>
      <c r="H206" s="4" t="s">
        <v>36</v>
      </c>
      <c r="I206" s="5">
        <v>44378</v>
      </c>
      <c r="J206" s="6">
        <v>0</v>
      </c>
      <c r="K206" s="6">
        <v>0</v>
      </c>
      <c r="L206" s="6">
        <v>0.93799999999999994</v>
      </c>
      <c r="M206" s="6">
        <v>0.93799999999999994</v>
      </c>
      <c r="N206" s="6">
        <v>0.93799999999999994</v>
      </c>
      <c r="O206" s="6">
        <v>0.93799999999999994</v>
      </c>
      <c r="P206" s="6">
        <v>0</v>
      </c>
      <c r="Q206" s="4" t="s">
        <v>26</v>
      </c>
      <c r="R206" s="4">
        <v>0</v>
      </c>
      <c r="S206" s="6">
        <v>0</v>
      </c>
      <c r="T206" s="6">
        <v>15</v>
      </c>
      <c r="U206" s="6">
        <v>9</v>
      </c>
      <c r="V206" s="6">
        <f>IF(ISERROR(VLOOKUP($S$206,'TAR FIN'!$A$1:$O$85,15,0)),0,VLOOKUP($S$206,'TAR FIN'!$A$1:$O$85,15,0))</f>
        <v>0</v>
      </c>
      <c r="W206" s="6">
        <f>IF(ISERROR(VLOOKUP($T$206,'TAR FIN'!$A$1:$O$85,15,0)),0,VLOOKUP($T$206,'TAR FIN'!$A$1:$O$85,15,0))</f>
        <v>940.75</v>
      </c>
      <c r="X206" s="6">
        <f>IF(ISERROR(VLOOKUP($U$206,'TAR FIN'!$A$1:$O$85,15,0)),0,VLOOKUP($U$206,'TAR FIN'!$A$1:$O$85,15,0))</f>
        <v>373.71</v>
      </c>
      <c r="Y206" s="6"/>
      <c r="Z206" s="6">
        <f ca="1">('TUSD BE'!$AM$11+'TUSD BF'!$AM$11+'TUSD CVA'!$AM$11)*1</f>
        <v>966.5081601045739</v>
      </c>
      <c r="AA206" s="6">
        <f>('TE BE'!$AB$5+'TE BF'!$AB$5+'TE CVA'!$AB$5)*1</f>
        <v>347.98834052804079</v>
      </c>
      <c r="AB206" s="6">
        <f>$K$206*$V$206</f>
        <v>0</v>
      </c>
      <c r="AC206" s="6">
        <f>$M$206*$W$206</f>
        <v>882.42349999999999</v>
      </c>
      <c r="AD206" s="6">
        <f>$O$206*$X$206</f>
        <v>350.53997999999996</v>
      </c>
      <c r="AE206" s="6">
        <f>$K$206*$Y$206</f>
        <v>0</v>
      </c>
      <c r="AF206" s="6">
        <f ca="1">$M$206*$Z$206</f>
        <v>906.58465417809032</v>
      </c>
      <c r="AG206" s="6">
        <f>$O$206*$AA$206</f>
        <v>326.41306341530225</v>
      </c>
    </row>
    <row r="207" spans="1:33" ht="11.25" customHeight="1" x14ac:dyDescent="0.25">
      <c r="A207" s="4" t="s">
        <v>21</v>
      </c>
      <c r="B207" s="4" t="s">
        <v>34</v>
      </c>
      <c r="C207" s="4" t="s">
        <v>35</v>
      </c>
      <c r="D207" s="4" t="s">
        <v>41</v>
      </c>
      <c r="E207" s="4" t="s">
        <v>25</v>
      </c>
      <c r="F207" s="4" t="s">
        <v>25</v>
      </c>
      <c r="G207" s="4" t="s">
        <v>25</v>
      </c>
      <c r="H207" s="4" t="s">
        <v>36</v>
      </c>
      <c r="I207" s="5">
        <v>44409</v>
      </c>
      <c r="J207" s="6">
        <v>0</v>
      </c>
      <c r="K207" s="6">
        <v>0</v>
      </c>
      <c r="L207" s="6">
        <v>0.749</v>
      </c>
      <c r="M207" s="6">
        <v>0.749</v>
      </c>
      <c r="N207" s="6">
        <v>0.749</v>
      </c>
      <c r="O207" s="6">
        <v>0.749</v>
      </c>
      <c r="P207" s="6">
        <v>0</v>
      </c>
      <c r="Q207" s="4" t="s">
        <v>26</v>
      </c>
      <c r="R207" s="4">
        <v>0</v>
      </c>
      <c r="S207" s="6">
        <v>0</v>
      </c>
      <c r="T207" s="6">
        <v>15</v>
      </c>
      <c r="U207" s="6">
        <v>9</v>
      </c>
      <c r="V207" s="6">
        <f>IF(ISERROR(VLOOKUP($S$207,'TAR FIN'!$A$1:$O$85,15,0)),0,VLOOKUP($S$207,'TAR FIN'!$A$1:$O$85,15,0))</f>
        <v>0</v>
      </c>
      <c r="W207" s="6">
        <f>IF(ISERROR(VLOOKUP($T$207,'TAR FIN'!$A$1:$O$85,15,0)),0,VLOOKUP($T$207,'TAR FIN'!$A$1:$O$85,15,0))</f>
        <v>940.75</v>
      </c>
      <c r="X207" s="6">
        <f>IF(ISERROR(VLOOKUP($U$207,'TAR FIN'!$A$1:$O$85,15,0)),0,VLOOKUP($U$207,'TAR FIN'!$A$1:$O$85,15,0))</f>
        <v>373.71</v>
      </c>
      <c r="Y207" s="6"/>
      <c r="Z207" s="6">
        <f ca="1">('TUSD BE'!$AM$11+'TUSD BF'!$AM$11+'TUSD CVA'!$AM$11)*1</f>
        <v>966.5081601045739</v>
      </c>
      <c r="AA207" s="6">
        <f>('TE BE'!$AB$5+'TE BF'!$AB$5+'TE CVA'!$AB$5)*1</f>
        <v>347.98834052804079</v>
      </c>
      <c r="AB207" s="6">
        <f>$K$207*$V$207</f>
        <v>0</v>
      </c>
      <c r="AC207" s="6">
        <f>$M$207*$W$207</f>
        <v>704.62175000000002</v>
      </c>
      <c r="AD207" s="6">
        <f>$O$207*$X$207</f>
        <v>279.90879000000001</v>
      </c>
      <c r="AE207" s="6">
        <f>$K$207*$Y$207</f>
        <v>0</v>
      </c>
      <c r="AF207" s="6">
        <f ca="1">$M$207*$Z$207</f>
        <v>723.91461191832582</v>
      </c>
      <c r="AG207" s="6">
        <f>$O$207*$AA$207</f>
        <v>260.64326705550258</v>
      </c>
    </row>
    <row r="208" spans="1:33" ht="11.25" customHeight="1" x14ac:dyDescent="0.25">
      <c r="A208" s="4" t="s">
        <v>21</v>
      </c>
      <c r="B208" s="4" t="s">
        <v>34</v>
      </c>
      <c r="C208" s="4" t="s">
        <v>35</v>
      </c>
      <c r="D208" s="4" t="s">
        <v>41</v>
      </c>
      <c r="E208" s="4" t="s">
        <v>25</v>
      </c>
      <c r="F208" s="4" t="s">
        <v>25</v>
      </c>
      <c r="G208" s="4" t="s">
        <v>25</v>
      </c>
      <c r="H208" s="4" t="s">
        <v>36</v>
      </c>
      <c r="I208" s="5">
        <v>44440</v>
      </c>
      <c r="J208" s="6">
        <v>0</v>
      </c>
      <c r="K208" s="6">
        <v>0</v>
      </c>
      <c r="L208" s="6">
        <v>0.73899999999999999</v>
      </c>
      <c r="M208" s="6">
        <v>0.73899999999999999</v>
      </c>
      <c r="N208" s="6">
        <v>0.73899999999999999</v>
      </c>
      <c r="O208" s="6">
        <v>0.73899999999999999</v>
      </c>
      <c r="P208" s="6">
        <v>0</v>
      </c>
      <c r="Q208" s="4" t="s">
        <v>26</v>
      </c>
      <c r="R208" s="4">
        <v>0</v>
      </c>
      <c r="S208" s="6">
        <v>0</v>
      </c>
      <c r="T208" s="6">
        <v>15</v>
      </c>
      <c r="U208" s="6">
        <v>9</v>
      </c>
      <c r="V208" s="6">
        <f>IF(ISERROR(VLOOKUP($S$208,'TAR FIN'!$A$1:$O$85,15,0)),0,VLOOKUP($S$208,'TAR FIN'!$A$1:$O$85,15,0))</f>
        <v>0</v>
      </c>
      <c r="W208" s="6">
        <f>IF(ISERROR(VLOOKUP($T$208,'TAR FIN'!$A$1:$O$85,15,0)),0,VLOOKUP($T$208,'TAR FIN'!$A$1:$O$85,15,0))</f>
        <v>940.75</v>
      </c>
      <c r="X208" s="6">
        <f>IF(ISERROR(VLOOKUP($U$208,'TAR FIN'!$A$1:$O$85,15,0)),0,VLOOKUP($U$208,'TAR FIN'!$A$1:$O$85,15,0))</f>
        <v>373.71</v>
      </c>
      <c r="Y208" s="6"/>
      <c r="Z208" s="6">
        <f ca="1">('TUSD BE'!$AM$11+'TUSD BF'!$AM$11+'TUSD CVA'!$AM$11)*1</f>
        <v>966.5081601045739</v>
      </c>
      <c r="AA208" s="6">
        <f>('TE BE'!$AB$5+'TE BF'!$AB$5+'TE CVA'!$AB$5)*1</f>
        <v>347.98834052804079</v>
      </c>
      <c r="AB208" s="6">
        <f>$K$208*$V$208</f>
        <v>0</v>
      </c>
      <c r="AC208" s="6">
        <f>$M$208*$W$208</f>
        <v>695.21424999999999</v>
      </c>
      <c r="AD208" s="6">
        <f>$O$208*$X$208</f>
        <v>276.17168999999996</v>
      </c>
      <c r="AE208" s="6">
        <f>$K$208*$Y$208</f>
        <v>0</v>
      </c>
      <c r="AF208" s="6">
        <f ca="1">$M$208*$Z$208</f>
        <v>714.24953031728012</v>
      </c>
      <c r="AG208" s="6">
        <f>$O$208*$AA$208</f>
        <v>257.16338365022216</v>
      </c>
    </row>
    <row r="209" spans="1:33" ht="11.25" customHeight="1" x14ac:dyDescent="0.25">
      <c r="A209" s="4" t="s">
        <v>21</v>
      </c>
      <c r="B209" s="4" t="s">
        <v>34</v>
      </c>
      <c r="C209" s="4" t="s">
        <v>35</v>
      </c>
      <c r="D209" s="4" t="s">
        <v>41</v>
      </c>
      <c r="E209" s="4" t="s">
        <v>25</v>
      </c>
      <c r="F209" s="4" t="s">
        <v>25</v>
      </c>
      <c r="G209" s="4" t="s">
        <v>25</v>
      </c>
      <c r="H209" s="4" t="s">
        <v>36</v>
      </c>
      <c r="I209" s="5">
        <v>44470</v>
      </c>
      <c r="J209" s="6">
        <v>0</v>
      </c>
      <c r="K209" s="6">
        <v>0</v>
      </c>
      <c r="L209" s="6">
        <v>0.70899999999999996</v>
      </c>
      <c r="M209" s="6">
        <v>0.70899999999999996</v>
      </c>
      <c r="N209" s="6">
        <v>0.70899999999999996</v>
      </c>
      <c r="O209" s="6">
        <v>0.70899999999999996</v>
      </c>
      <c r="P209" s="6">
        <v>0</v>
      </c>
      <c r="Q209" s="4" t="s">
        <v>26</v>
      </c>
      <c r="R209" s="4">
        <v>0</v>
      </c>
      <c r="S209" s="6">
        <v>0</v>
      </c>
      <c r="T209" s="6">
        <v>15</v>
      </c>
      <c r="U209" s="6">
        <v>9</v>
      </c>
      <c r="V209" s="6">
        <f>IF(ISERROR(VLOOKUP($S$209,'TAR FIN'!$A$1:$O$85,15,0)),0,VLOOKUP($S$209,'TAR FIN'!$A$1:$O$85,15,0))</f>
        <v>0</v>
      </c>
      <c r="W209" s="6">
        <f>IF(ISERROR(VLOOKUP($T$209,'TAR FIN'!$A$1:$O$85,15,0)),0,VLOOKUP($T$209,'TAR FIN'!$A$1:$O$85,15,0))</f>
        <v>940.75</v>
      </c>
      <c r="X209" s="6">
        <f>IF(ISERROR(VLOOKUP($U$209,'TAR FIN'!$A$1:$O$85,15,0)),0,VLOOKUP($U$209,'TAR FIN'!$A$1:$O$85,15,0))</f>
        <v>373.71</v>
      </c>
      <c r="Y209" s="6"/>
      <c r="Z209" s="6">
        <f ca="1">('TUSD BE'!$AM$11+'TUSD BF'!$AM$11+'TUSD CVA'!$AM$11)*1</f>
        <v>966.5081601045739</v>
      </c>
      <c r="AA209" s="6">
        <f>('TE BE'!$AB$5+'TE BF'!$AB$5+'TE CVA'!$AB$5)*1</f>
        <v>347.98834052804079</v>
      </c>
      <c r="AB209" s="6">
        <f>$K$209*$V$209</f>
        <v>0</v>
      </c>
      <c r="AC209" s="6">
        <f>$M$209*$W$209</f>
        <v>666.99174999999991</v>
      </c>
      <c r="AD209" s="6">
        <f>$O$209*$X$209</f>
        <v>264.96038999999996</v>
      </c>
      <c r="AE209" s="6">
        <f>$K$209*$Y$209</f>
        <v>0</v>
      </c>
      <c r="AF209" s="6">
        <f ca="1">$M$209*$Z$209</f>
        <v>685.25428551414291</v>
      </c>
      <c r="AG209" s="6">
        <f>$O$209*$AA$209</f>
        <v>246.7237334343809</v>
      </c>
    </row>
    <row r="210" spans="1:33" ht="11.25" customHeight="1" x14ac:dyDescent="0.25">
      <c r="A210" s="4" t="s">
        <v>21</v>
      </c>
      <c r="B210" s="4" t="s">
        <v>34</v>
      </c>
      <c r="C210" s="4" t="s">
        <v>35</v>
      </c>
      <c r="D210" s="4" t="s">
        <v>41</v>
      </c>
      <c r="E210" s="4" t="s">
        <v>25</v>
      </c>
      <c r="F210" s="4" t="s">
        <v>25</v>
      </c>
      <c r="G210" s="4" t="s">
        <v>25</v>
      </c>
      <c r="H210" s="4" t="s">
        <v>36</v>
      </c>
      <c r="I210" s="5">
        <v>44501</v>
      </c>
      <c r="J210" s="6">
        <v>0</v>
      </c>
      <c r="K210" s="6">
        <v>0</v>
      </c>
      <c r="L210" s="6">
        <v>0.81100000000000005</v>
      </c>
      <c r="M210" s="6">
        <v>0.81100000000000005</v>
      </c>
      <c r="N210" s="6">
        <v>0.81100000000000005</v>
      </c>
      <c r="O210" s="6">
        <v>0.81100000000000005</v>
      </c>
      <c r="P210" s="6">
        <v>0</v>
      </c>
      <c r="Q210" s="4" t="s">
        <v>26</v>
      </c>
      <c r="R210" s="4">
        <v>0</v>
      </c>
      <c r="S210" s="6">
        <v>0</v>
      </c>
      <c r="T210" s="6">
        <v>15</v>
      </c>
      <c r="U210" s="6">
        <v>9</v>
      </c>
      <c r="V210" s="6">
        <f>IF(ISERROR(VLOOKUP($S$210,'TAR FIN'!$A$1:$O$85,15,0)),0,VLOOKUP($S$210,'TAR FIN'!$A$1:$O$85,15,0))</f>
        <v>0</v>
      </c>
      <c r="W210" s="6">
        <f>IF(ISERROR(VLOOKUP($T$210,'TAR FIN'!$A$1:$O$85,15,0)),0,VLOOKUP($T$210,'TAR FIN'!$A$1:$O$85,15,0))</f>
        <v>940.75</v>
      </c>
      <c r="X210" s="6">
        <f>IF(ISERROR(VLOOKUP($U$210,'TAR FIN'!$A$1:$O$85,15,0)),0,VLOOKUP($U$210,'TAR FIN'!$A$1:$O$85,15,0))</f>
        <v>373.71</v>
      </c>
      <c r="Y210" s="6"/>
      <c r="Z210" s="6">
        <f ca="1">('TUSD BE'!$AM$11+'TUSD BF'!$AM$11+'TUSD CVA'!$AM$11)*1</f>
        <v>966.5081601045739</v>
      </c>
      <c r="AA210" s="6">
        <f>('TE BE'!$AB$5+'TE BF'!$AB$5+'TE CVA'!$AB$5)*1</f>
        <v>347.98834052804079</v>
      </c>
      <c r="AB210" s="6">
        <f>$K$210*$V$210</f>
        <v>0</v>
      </c>
      <c r="AC210" s="6">
        <f>$M$210*$W$210</f>
        <v>762.94825000000003</v>
      </c>
      <c r="AD210" s="6">
        <f>$O$210*$X$210</f>
        <v>303.07880999999998</v>
      </c>
      <c r="AE210" s="6">
        <f>$K$210*$Y$210</f>
        <v>0</v>
      </c>
      <c r="AF210" s="6">
        <f ca="1">$M$210*$Z$210</f>
        <v>783.83811784480952</v>
      </c>
      <c r="AG210" s="6">
        <f>$O$210*$AA$210</f>
        <v>282.21854416824112</v>
      </c>
    </row>
    <row r="211" spans="1:33" ht="11.25" customHeight="1" x14ac:dyDescent="0.25">
      <c r="A211" s="4" t="s">
        <v>21</v>
      </c>
      <c r="B211" s="4" t="s">
        <v>34</v>
      </c>
      <c r="C211" s="4" t="s">
        <v>35</v>
      </c>
      <c r="D211" s="4" t="s">
        <v>41</v>
      </c>
      <c r="E211" s="4" t="s">
        <v>25</v>
      </c>
      <c r="F211" s="4" t="s">
        <v>25</v>
      </c>
      <c r="G211" s="4" t="s">
        <v>25</v>
      </c>
      <c r="H211" s="4" t="s">
        <v>36</v>
      </c>
      <c r="I211" s="5">
        <v>44531</v>
      </c>
      <c r="J211" s="6">
        <v>0</v>
      </c>
      <c r="K211" s="6">
        <v>0</v>
      </c>
      <c r="L211" s="6">
        <v>0.92800000000000005</v>
      </c>
      <c r="M211" s="6">
        <v>0.92800000000000005</v>
      </c>
      <c r="N211" s="6">
        <v>0.92800000000000005</v>
      </c>
      <c r="O211" s="6">
        <v>0.92800000000000005</v>
      </c>
      <c r="P211" s="6">
        <v>0</v>
      </c>
      <c r="Q211" s="4" t="s">
        <v>26</v>
      </c>
      <c r="R211" s="4">
        <v>0</v>
      </c>
      <c r="S211" s="6">
        <v>0</v>
      </c>
      <c r="T211" s="6">
        <v>15</v>
      </c>
      <c r="U211" s="6">
        <v>9</v>
      </c>
      <c r="V211" s="6">
        <f>IF(ISERROR(VLOOKUP($S$211,'TAR FIN'!$A$1:$O$85,15,0)),0,VLOOKUP($S$211,'TAR FIN'!$A$1:$O$85,15,0))</f>
        <v>0</v>
      </c>
      <c r="W211" s="6">
        <f>IF(ISERROR(VLOOKUP($T$211,'TAR FIN'!$A$1:$O$85,15,0)),0,VLOOKUP($T$211,'TAR FIN'!$A$1:$O$85,15,0))</f>
        <v>940.75</v>
      </c>
      <c r="X211" s="6">
        <f>IF(ISERROR(VLOOKUP($U$211,'TAR FIN'!$A$1:$O$85,15,0)),0,VLOOKUP($U$211,'TAR FIN'!$A$1:$O$85,15,0))</f>
        <v>373.71</v>
      </c>
      <c r="Y211" s="6"/>
      <c r="Z211" s="6">
        <f ca="1">('TUSD BE'!$AM$11+'TUSD BF'!$AM$11+'TUSD CVA'!$AM$11)*1</f>
        <v>966.5081601045739</v>
      </c>
      <c r="AA211" s="6">
        <f>('TE BE'!$AB$5+'TE BF'!$AB$5+'TE CVA'!$AB$5)*1</f>
        <v>347.98834052804079</v>
      </c>
      <c r="AB211" s="6">
        <f>$K$211*$V$211</f>
        <v>0</v>
      </c>
      <c r="AC211" s="6">
        <f>$M$211*$W$211</f>
        <v>873.01600000000008</v>
      </c>
      <c r="AD211" s="6">
        <f>$O$211*$X$211</f>
        <v>346.80288000000002</v>
      </c>
      <c r="AE211" s="6">
        <f>$K$211*$Y$211</f>
        <v>0</v>
      </c>
      <c r="AF211" s="6">
        <f ca="1">$M$211*$Z$211</f>
        <v>896.91957257704462</v>
      </c>
      <c r="AG211" s="6">
        <f>$O$211*$AA$211</f>
        <v>322.93318001002189</v>
      </c>
    </row>
    <row r="212" spans="1:33" ht="11.25" customHeight="1" x14ac:dyDescent="0.25">
      <c r="A212" s="4" t="s">
        <v>21</v>
      </c>
      <c r="B212" s="4" t="s">
        <v>34</v>
      </c>
      <c r="C212" s="4" t="s">
        <v>35</v>
      </c>
      <c r="D212" s="4" t="s">
        <v>41</v>
      </c>
      <c r="E212" s="4" t="s">
        <v>25</v>
      </c>
      <c r="F212" s="4" t="s">
        <v>25</v>
      </c>
      <c r="G212" s="4" t="s">
        <v>25</v>
      </c>
      <c r="H212" s="4" t="s">
        <v>36</v>
      </c>
      <c r="I212" s="5">
        <v>44562</v>
      </c>
      <c r="J212" s="6">
        <v>0</v>
      </c>
      <c r="K212" s="6">
        <v>0</v>
      </c>
      <c r="L212" s="6">
        <v>0.92500000000000004</v>
      </c>
      <c r="M212" s="6">
        <v>0.92500000000000004</v>
      </c>
      <c r="N212" s="6">
        <v>0.92500000000000004</v>
      </c>
      <c r="O212" s="6">
        <v>0.92500000000000004</v>
      </c>
      <c r="P212" s="6">
        <v>0</v>
      </c>
      <c r="Q212" s="4" t="s">
        <v>26</v>
      </c>
      <c r="R212" s="4">
        <v>0</v>
      </c>
      <c r="S212" s="6">
        <v>0</v>
      </c>
      <c r="T212" s="6">
        <v>15</v>
      </c>
      <c r="U212" s="6">
        <v>9</v>
      </c>
      <c r="V212" s="6">
        <f>IF(ISERROR(VLOOKUP($S$212,'TAR FIN'!$A$1:$O$85,15,0)),0,VLOOKUP($S$212,'TAR FIN'!$A$1:$O$85,15,0))</f>
        <v>0</v>
      </c>
      <c r="W212" s="6">
        <f>IF(ISERROR(VLOOKUP($T$212,'TAR FIN'!$A$1:$O$85,15,0)),0,VLOOKUP($T$212,'TAR FIN'!$A$1:$O$85,15,0))</f>
        <v>940.75</v>
      </c>
      <c r="X212" s="6">
        <f>IF(ISERROR(VLOOKUP($U$212,'TAR FIN'!$A$1:$O$85,15,0)),0,VLOOKUP($U$212,'TAR FIN'!$A$1:$O$85,15,0))</f>
        <v>373.71</v>
      </c>
      <c r="Y212" s="6"/>
      <c r="Z212" s="6">
        <f ca="1">('TUSD BE'!$AM$11+'TUSD BF'!$AM$11+'TUSD CVA'!$AM$11)*1</f>
        <v>966.5081601045739</v>
      </c>
      <c r="AA212" s="6">
        <f>('TE BE'!$AB$5+'TE BF'!$AB$5+'TE CVA'!$AB$5)*1</f>
        <v>347.98834052804079</v>
      </c>
      <c r="AB212" s="6">
        <f>$K$212*$V$212</f>
        <v>0</v>
      </c>
      <c r="AC212" s="6">
        <f>$M$212*$W$212</f>
        <v>870.19375000000002</v>
      </c>
      <c r="AD212" s="6">
        <f>$O$212*$X$212</f>
        <v>345.68175000000002</v>
      </c>
      <c r="AE212" s="6">
        <f>$K$212*$Y$212</f>
        <v>0</v>
      </c>
      <c r="AF212" s="6">
        <f ca="1">$M$212*$Z$212</f>
        <v>894.02004809673087</v>
      </c>
      <c r="AG212" s="6">
        <f>$O$212*$AA$212</f>
        <v>321.88921498843774</v>
      </c>
    </row>
    <row r="213" spans="1:33" ht="11.25" customHeight="1" x14ac:dyDescent="0.25">
      <c r="A213" s="4" t="s">
        <v>21</v>
      </c>
      <c r="B213" s="4" t="s">
        <v>34</v>
      </c>
      <c r="C213" s="4" t="s">
        <v>35</v>
      </c>
      <c r="D213" s="4" t="s">
        <v>41</v>
      </c>
      <c r="E213" s="4" t="s">
        <v>25</v>
      </c>
      <c r="F213" s="4" t="s">
        <v>25</v>
      </c>
      <c r="G213" s="4" t="s">
        <v>25</v>
      </c>
      <c r="H213" s="4" t="s">
        <v>36</v>
      </c>
      <c r="I213" s="5">
        <v>44593</v>
      </c>
      <c r="J213" s="6">
        <v>0</v>
      </c>
      <c r="K213" s="6">
        <v>0</v>
      </c>
      <c r="L213" s="6">
        <v>0.86499999999999999</v>
      </c>
      <c r="M213" s="6">
        <v>0.86499999999999999</v>
      </c>
      <c r="N213" s="6">
        <v>0.86499999999999999</v>
      </c>
      <c r="O213" s="6">
        <v>0.86499999999999999</v>
      </c>
      <c r="P213" s="6">
        <v>0</v>
      </c>
      <c r="Q213" s="4" t="s">
        <v>26</v>
      </c>
      <c r="R213" s="4">
        <v>0</v>
      </c>
      <c r="S213" s="6">
        <v>0</v>
      </c>
      <c r="T213" s="6">
        <v>15</v>
      </c>
      <c r="U213" s="6">
        <v>9</v>
      </c>
      <c r="V213" s="6">
        <f>IF(ISERROR(VLOOKUP($S$213,'TAR FIN'!$A$1:$O$85,15,0)),0,VLOOKUP($S$213,'TAR FIN'!$A$1:$O$85,15,0))</f>
        <v>0</v>
      </c>
      <c r="W213" s="6">
        <f>IF(ISERROR(VLOOKUP($T$213,'TAR FIN'!$A$1:$O$85,15,0)),0,VLOOKUP($T$213,'TAR FIN'!$A$1:$O$85,15,0))</f>
        <v>940.75</v>
      </c>
      <c r="X213" s="6">
        <f>IF(ISERROR(VLOOKUP($U$213,'TAR FIN'!$A$1:$O$85,15,0)),0,VLOOKUP($U$213,'TAR FIN'!$A$1:$O$85,15,0))</f>
        <v>373.71</v>
      </c>
      <c r="Y213" s="6"/>
      <c r="Z213" s="6">
        <f ca="1">('TUSD BE'!$AM$11+'TUSD BF'!$AM$11+'TUSD CVA'!$AM$11)*1</f>
        <v>966.5081601045739</v>
      </c>
      <c r="AA213" s="6">
        <f>('TE BE'!$AB$5+'TE BF'!$AB$5+'TE CVA'!$AB$5)*1</f>
        <v>347.98834052804079</v>
      </c>
      <c r="AB213" s="6">
        <f>$K$213*$V$213</f>
        <v>0</v>
      </c>
      <c r="AC213" s="6">
        <f>$M$213*$W$213</f>
        <v>813.74874999999997</v>
      </c>
      <c r="AD213" s="6">
        <f>$O$213*$X$213</f>
        <v>323.25914999999998</v>
      </c>
      <c r="AE213" s="6">
        <f>$K$213*$Y$213</f>
        <v>0</v>
      </c>
      <c r="AF213" s="6">
        <f ca="1">$M$213*$Z$213</f>
        <v>836.02955849045645</v>
      </c>
      <c r="AG213" s="6">
        <f>$O$213*$AA$213</f>
        <v>301.00991455675529</v>
      </c>
    </row>
    <row r="214" spans="1:33" ht="11.25" customHeight="1" x14ac:dyDescent="0.25">
      <c r="A214" s="4" t="s">
        <v>21</v>
      </c>
      <c r="B214" s="4" t="s">
        <v>34</v>
      </c>
      <c r="C214" s="4" t="s">
        <v>35</v>
      </c>
      <c r="D214" s="4" t="s">
        <v>41</v>
      </c>
      <c r="E214" s="4" t="s">
        <v>25</v>
      </c>
      <c r="F214" s="4" t="s">
        <v>25</v>
      </c>
      <c r="G214" s="4" t="s">
        <v>25</v>
      </c>
      <c r="H214" s="4" t="s">
        <v>36</v>
      </c>
      <c r="I214" s="5">
        <v>44621</v>
      </c>
      <c r="J214" s="6">
        <v>0</v>
      </c>
      <c r="K214" s="6">
        <v>0</v>
      </c>
      <c r="L214" s="6">
        <v>0.878</v>
      </c>
      <c r="M214" s="6">
        <v>0.878</v>
      </c>
      <c r="N214" s="6">
        <v>0.878</v>
      </c>
      <c r="O214" s="6">
        <v>0.878</v>
      </c>
      <c r="P214" s="6">
        <v>0</v>
      </c>
      <c r="Q214" s="4" t="s">
        <v>26</v>
      </c>
      <c r="R214" s="4">
        <v>0</v>
      </c>
      <c r="S214" s="6">
        <v>0</v>
      </c>
      <c r="T214" s="6">
        <v>15</v>
      </c>
      <c r="U214" s="6">
        <v>9</v>
      </c>
      <c r="V214" s="6">
        <f>IF(ISERROR(VLOOKUP($S$214,'TAR FIN'!$A$1:$O$85,15,0)),0,VLOOKUP($S$214,'TAR FIN'!$A$1:$O$85,15,0))</f>
        <v>0</v>
      </c>
      <c r="W214" s="6">
        <f>IF(ISERROR(VLOOKUP($T$214,'TAR FIN'!$A$1:$O$85,15,0)),0,VLOOKUP($T$214,'TAR FIN'!$A$1:$O$85,15,0))</f>
        <v>940.75</v>
      </c>
      <c r="X214" s="6">
        <f>IF(ISERROR(VLOOKUP($U$214,'TAR FIN'!$A$1:$O$85,15,0)),0,VLOOKUP($U$214,'TAR FIN'!$A$1:$O$85,15,0))</f>
        <v>373.71</v>
      </c>
      <c r="Y214" s="6"/>
      <c r="Z214" s="6">
        <f ca="1">('TUSD BE'!$AM$11+'TUSD BF'!$AM$11+'TUSD CVA'!$AM$11)*1</f>
        <v>966.5081601045739</v>
      </c>
      <c r="AA214" s="6">
        <f>('TE BE'!$AB$5+'TE BF'!$AB$5+'TE CVA'!$AB$5)*1</f>
        <v>347.98834052804079</v>
      </c>
      <c r="AB214" s="6">
        <f>$K$214*$V$214</f>
        <v>0</v>
      </c>
      <c r="AC214" s="6">
        <f>$M$214*$W$214</f>
        <v>825.97850000000005</v>
      </c>
      <c r="AD214" s="6">
        <f>$O$214*$X$214</f>
        <v>328.11737999999997</v>
      </c>
      <c r="AE214" s="6">
        <f>$K$214*$Y$214</f>
        <v>0</v>
      </c>
      <c r="AF214" s="6">
        <f ca="1">$M$214*$Z$214</f>
        <v>848.5941645718159</v>
      </c>
      <c r="AG214" s="6">
        <f>$O$214*$AA$214</f>
        <v>305.53376298361979</v>
      </c>
    </row>
    <row r="215" spans="1:33" ht="11.25" customHeight="1" x14ac:dyDescent="0.25">
      <c r="A215" s="4" t="s">
        <v>21</v>
      </c>
      <c r="B215" s="4" t="s">
        <v>34</v>
      </c>
      <c r="C215" s="4" t="s">
        <v>35</v>
      </c>
      <c r="D215" s="4" t="s">
        <v>41</v>
      </c>
      <c r="E215" s="4" t="s">
        <v>25</v>
      </c>
      <c r="F215" s="4" t="s">
        <v>25</v>
      </c>
      <c r="G215" s="4" t="s">
        <v>25</v>
      </c>
      <c r="H215" s="4" t="s">
        <v>36</v>
      </c>
      <c r="I215" s="5">
        <v>44652</v>
      </c>
      <c r="J215" s="6">
        <v>0</v>
      </c>
      <c r="K215" s="6">
        <v>0</v>
      </c>
      <c r="L215" s="6">
        <v>0.67500000000000004</v>
      </c>
      <c r="M215" s="6">
        <v>0.67500000000000004</v>
      </c>
      <c r="N215" s="6">
        <v>0.67500000000000004</v>
      </c>
      <c r="O215" s="6">
        <v>0.67500000000000004</v>
      </c>
      <c r="P215" s="6">
        <v>0</v>
      </c>
      <c r="Q215" s="4" t="s">
        <v>26</v>
      </c>
      <c r="R215" s="4">
        <v>0</v>
      </c>
      <c r="S215" s="6">
        <v>0</v>
      </c>
      <c r="T215" s="6">
        <v>15</v>
      </c>
      <c r="U215" s="6">
        <v>9</v>
      </c>
      <c r="V215" s="6">
        <f>IF(ISERROR(VLOOKUP($S$215,'TAR FIN'!$A$1:$O$85,15,0)),0,VLOOKUP($S$215,'TAR FIN'!$A$1:$O$85,15,0))</f>
        <v>0</v>
      </c>
      <c r="W215" s="6">
        <f>IF(ISERROR(VLOOKUP($T$215,'TAR FIN'!$A$1:$O$85,15,0)),0,VLOOKUP($T$215,'TAR FIN'!$A$1:$O$85,15,0))</f>
        <v>940.75</v>
      </c>
      <c r="X215" s="6">
        <f>IF(ISERROR(VLOOKUP($U$215,'TAR FIN'!$A$1:$O$85,15,0)),0,VLOOKUP($U$215,'TAR FIN'!$A$1:$O$85,15,0))</f>
        <v>373.71</v>
      </c>
      <c r="Y215" s="6"/>
      <c r="Z215" s="6">
        <f ca="1">('TUSD BE'!$AM$11+'TUSD BF'!$AM$11+'TUSD CVA'!$AM$11)*1</f>
        <v>966.5081601045739</v>
      </c>
      <c r="AA215" s="6">
        <f>('TE BE'!$AB$5+'TE BF'!$AB$5+'TE CVA'!$AB$5)*1</f>
        <v>347.98834052804079</v>
      </c>
      <c r="AB215" s="6">
        <f>$K$215*$V$215</f>
        <v>0</v>
      </c>
      <c r="AC215" s="6">
        <f>$M$215*$W$215</f>
        <v>635.00625000000002</v>
      </c>
      <c r="AD215" s="6">
        <f>$O$215*$X$215</f>
        <v>252.25425000000001</v>
      </c>
      <c r="AE215" s="6">
        <f>$K$215*$Y$215</f>
        <v>0</v>
      </c>
      <c r="AF215" s="6">
        <f ca="1">$M$215*$Z$215</f>
        <v>652.39300807058748</v>
      </c>
      <c r="AG215" s="6">
        <f>$O$215*$AA$215</f>
        <v>234.89212985642754</v>
      </c>
    </row>
    <row r="216" spans="1:33" ht="11.25" customHeight="1" x14ac:dyDescent="0.25">
      <c r="A216" s="4" t="s">
        <v>21</v>
      </c>
      <c r="B216" s="4" t="s">
        <v>34</v>
      </c>
      <c r="C216" s="4" t="s">
        <v>35</v>
      </c>
      <c r="D216" s="4" t="s">
        <v>41</v>
      </c>
      <c r="E216" s="4" t="s">
        <v>25</v>
      </c>
      <c r="F216" s="4" t="s">
        <v>25</v>
      </c>
      <c r="G216" s="4" t="s">
        <v>25</v>
      </c>
      <c r="H216" s="4" t="s">
        <v>36</v>
      </c>
      <c r="I216" s="5">
        <v>44682</v>
      </c>
      <c r="J216" s="6">
        <v>0</v>
      </c>
      <c r="K216" s="6">
        <v>0</v>
      </c>
      <c r="L216" s="6">
        <v>0.82899999999999996</v>
      </c>
      <c r="M216" s="6">
        <v>0.82899999999999996</v>
      </c>
      <c r="N216" s="6">
        <v>0.82899999999999996</v>
      </c>
      <c r="O216" s="6">
        <v>0.82899999999999996</v>
      </c>
      <c r="P216" s="6">
        <v>0</v>
      </c>
      <c r="Q216" s="4" t="s">
        <v>26</v>
      </c>
      <c r="R216" s="4">
        <v>0</v>
      </c>
      <c r="S216" s="6">
        <v>0</v>
      </c>
      <c r="T216" s="6">
        <v>15</v>
      </c>
      <c r="U216" s="6">
        <v>9</v>
      </c>
      <c r="V216" s="6">
        <f>IF(ISERROR(VLOOKUP($S$216,'TAR FIN'!$A$1:$O$85,15,0)),0,VLOOKUP($S$216,'TAR FIN'!$A$1:$O$85,15,0))</f>
        <v>0</v>
      </c>
      <c r="W216" s="6">
        <f>IF(ISERROR(VLOOKUP($T$216,'TAR FIN'!$A$1:$O$85,15,0)),0,VLOOKUP($T$216,'TAR FIN'!$A$1:$O$85,15,0))</f>
        <v>940.75</v>
      </c>
      <c r="X216" s="6">
        <f>IF(ISERROR(VLOOKUP($U$216,'TAR FIN'!$A$1:$O$85,15,0)),0,VLOOKUP($U$216,'TAR FIN'!$A$1:$O$85,15,0))</f>
        <v>373.71</v>
      </c>
      <c r="Y216" s="6"/>
      <c r="Z216" s="6">
        <f ca="1">('TUSD BE'!$AM$11+'TUSD BF'!$AM$11+'TUSD CVA'!$AM$11)*1</f>
        <v>966.5081601045739</v>
      </c>
      <c r="AA216" s="6">
        <f>('TE BE'!$AB$5+'TE BF'!$AB$5+'TE CVA'!$AB$5)*1</f>
        <v>347.98834052804079</v>
      </c>
      <c r="AB216" s="6">
        <f>$K$216*$V$216</f>
        <v>0</v>
      </c>
      <c r="AC216" s="6">
        <f>$M$216*$W$216</f>
        <v>779.88175000000001</v>
      </c>
      <c r="AD216" s="6">
        <f>$O$216*$X$216</f>
        <v>309.80559</v>
      </c>
      <c r="AE216" s="6">
        <f>$K$216*$Y$216</f>
        <v>0</v>
      </c>
      <c r="AF216" s="6">
        <f ca="1">$M$216*$Z$216</f>
        <v>801.23526472669175</v>
      </c>
      <c r="AG216" s="6">
        <f>$O$216*$AA$216</f>
        <v>288.48233429774581</v>
      </c>
    </row>
    <row r="217" spans="1:33" ht="11.25" customHeight="1" x14ac:dyDescent="0.25">
      <c r="A217" s="4" t="s">
        <v>21</v>
      </c>
      <c r="B217" s="4" t="s">
        <v>34</v>
      </c>
      <c r="C217" s="4" t="s">
        <v>35</v>
      </c>
      <c r="D217" s="4" t="s">
        <v>41</v>
      </c>
      <c r="E217" s="4" t="s">
        <v>25</v>
      </c>
      <c r="F217" s="4" t="s">
        <v>25</v>
      </c>
      <c r="G217" s="4" t="s">
        <v>25</v>
      </c>
      <c r="H217" s="4" t="s">
        <v>36</v>
      </c>
      <c r="I217" s="5">
        <v>44713</v>
      </c>
      <c r="J217" s="6">
        <v>0</v>
      </c>
      <c r="K217" s="6">
        <v>0</v>
      </c>
      <c r="L217" s="6">
        <v>0.91500000000000004</v>
      </c>
      <c r="M217" s="6">
        <v>0.91500000000000004</v>
      </c>
      <c r="N217" s="6">
        <v>0.91500000000000004</v>
      </c>
      <c r="O217" s="6">
        <v>0.91500000000000004</v>
      </c>
      <c r="P217" s="6">
        <v>0</v>
      </c>
      <c r="Q217" s="4" t="s">
        <v>26</v>
      </c>
      <c r="R217" s="4">
        <v>0</v>
      </c>
      <c r="S217" s="6">
        <v>0</v>
      </c>
      <c r="T217" s="6">
        <v>15</v>
      </c>
      <c r="U217" s="6">
        <v>9</v>
      </c>
      <c r="V217" s="6">
        <f>IF(ISERROR(VLOOKUP($S$217,'TAR FIN'!$A$1:$O$85,15,0)),0,VLOOKUP($S$217,'TAR FIN'!$A$1:$O$85,15,0))</f>
        <v>0</v>
      </c>
      <c r="W217" s="6">
        <f>IF(ISERROR(VLOOKUP($T$217,'TAR FIN'!$A$1:$O$85,15,0)),0,VLOOKUP($T$217,'TAR FIN'!$A$1:$O$85,15,0))</f>
        <v>940.75</v>
      </c>
      <c r="X217" s="6">
        <f>IF(ISERROR(VLOOKUP($U$217,'TAR FIN'!$A$1:$O$85,15,0)),0,VLOOKUP($U$217,'TAR FIN'!$A$1:$O$85,15,0))</f>
        <v>373.71</v>
      </c>
      <c r="Y217" s="6"/>
      <c r="Z217" s="6">
        <f ca="1">('TUSD BE'!$AM$11+'TUSD BF'!$AM$11+'TUSD CVA'!$AM$11)*1</f>
        <v>966.5081601045739</v>
      </c>
      <c r="AA217" s="6">
        <f>('TE BE'!$AB$5+'TE BF'!$AB$5+'TE CVA'!$AB$5)*1</f>
        <v>347.98834052804079</v>
      </c>
      <c r="AB217" s="6">
        <f>$K$217*$V$217</f>
        <v>0</v>
      </c>
      <c r="AC217" s="6">
        <f>$M$217*$W$217</f>
        <v>860.78625</v>
      </c>
      <c r="AD217" s="6">
        <f>$O$217*$X$217</f>
        <v>341.94464999999997</v>
      </c>
      <c r="AE217" s="6">
        <f>$K$217*$Y$217</f>
        <v>0</v>
      </c>
      <c r="AF217" s="6">
        <f ca="1">$M$217*$Z$217</f>
        <v>884.35496649568518</v>
      </c>
      <c r="AG217" s="6">
        <f>$O$217*$AA$217</f>
        <v>318.40933158315732</v>
      </c>
    </row>
    <row r="218" spans="1:33" ht="11.25" customHeight="1" x14ac:dyDescent="0.25">
      <c r="A218" s="4" t="s">
        <v>27</v>
      </c>
      <c r="B218" s="4" t="s">
        <v>34</v>
      </c>
      <c r="C218" s="4" t="s">
        <v>35</v>
      </c>
      <c r="D218" s="4" t="s">
        <v>40</v>
      </c>
      <c r="E218" s="4" t="s">
        <v>25</v>
      </c>
      <c r="F218" s="4" t="s">
        <v>25</v>
      </c>
      <c r="G218" s="4" t="s">
        <v>25</v>
      </c>
      <c r="H218" s="4" t="s">
        <v>37</v>
      </c>
      <c r="I218" s="5">
        <v>44652</v>
      </c>
      <c r="J218" s="6">
        <v>0</v>
      </c>
      <c r="K218" s="65">
        <v>0</v>
      </c>
      <c r="L218" s="6">
        <v>10.224</v>
      </c>
      <c r="M218" s="65">
        <v>10.224</v>
      </c>
      <c r="N218" s="6">
        <v>10.224</v>
      </c>
      <c r="O218" s="65">
        <v>10.224</v>
      </c>
      <c r="P218" s="6">
        <v>0</v>
      </c>
      <c r="Q218" s="4" t="s">
        <v>26</v>
      </c>
      <c r="R218" s="4">
        <v>0</v>
      </c>
      <c r="S218" s="6">
        <v>0</v>
      </c>
      <c r="T218" s="6">
        <v>13</v>
      </c>
      <c r="U218" s="6">
        <v>16</v>
      </c>
      <c r="V218" s="65">
        <f>IF(ISERROR(VLOOKUP($S$218,'TAR FIN'!$A$1:$O$85,15,0)),0,VLOOKUP($S$218,'TAR FIN'!$A$1:$O$85,15,0))</f>
        <v>0</v>
      </c>
      <c r="W218" s="65">
        <f>IF(ISERROR(VLOOKUP($T$218,'TAR FIN'!$A$1:$O$85,15,0)),0,VLOOKUP($T$218,'TAR FIN'!$A$1:$O$85,15,0))*(1-0.04)</f>
        <v>75.504000000000005</v>
      </c>
      <c r="X218" s="65">
        <f>IF(ISERROR(VLOOKUP($U$218,'TAR FIN'!$A$1:$O$85,15,0)),0,VLOOKUP($U$218,'TAR FIN'!$A$1:$O$85,15,0))*(1-0.04)</f>
        <v>220.67519999999999</v>
      </c>
      <c r="Y218" s="65"/>
      <c r="Z218" s="65">
        <f ca="1">('TUSD BE'!$AM$12+'TUSD BF'!$AM$12+'TUSD CVA'!$AM$12)*1*(1-0.02)</f>
        <v>112.19078372459943</v>
      </c>
      <c r="AA218" s="65">
        <f>('TE BE'!$AB$6+'TE BF'!$AB$6+'TE CVA'!$AB$6)*1*(1-0.02)</f>
        <v>212.26968335131818</v>
      </c>
      <c r="AB218" s="6">
        <f>$K$218*$V$218</f>
        <v>0</v>
      </c>
      <c r="AC218" s="6">
        <f>$M$218*$W$218</f>
        <v>771.95289600000001</v>
      </c>
      <c r="AD218" s="6">
        <f>$O$218*$X$218</f>
        <v>2256.1832448</v>
      </c>
      <c r="AE218" s="6">
        <f>$K$218*$Y$218</f>
        <v>0</v>
      </c>
      <c r="AF218" s="6">
        <f ca="1">$M$218*$Z$218</f>
        <v>1147.0385728003046</v>
      </c>
      <c r="AG218" s="6">
        <f>$O$218*$AA$218</f>
        <v>2170.2452425838769</v>
      </c>
    </row>
    <row r="219" spans="1:33" ht="11.25" customHeight="1" x14ac:dyDescent="0.25">
      <c r="A219" s="4" t="s">
        <v>27</v>
      </c>
      <c r="B219" s="4" t="s">
        <v>34</v>
      </c>
      <c r="C219" s="4" t="s">
        <v>35</v>
      </c>
      <c r="D219" s="4" t="s">
        <v>40</v>
      </c>
      <c r="E219" s="4" t="s">
        <v>25</v>
      </c>
      <c r="F219" s="4" t="s">
        <v>25</v>
      </c>
      <c r="G219" s="4" t="s">
        <v>25</v>
      </c>
      <c r="H219" s="4" t="s">
        <v>37</v>
      </c>
      <c r="I219" s="5">
        <v>44682</v>
      </c>
      <c r="J219" s="6">
        <v>0</v>
      </c>
      <c r="K219" s="65">
        <v>0</v>
      </c>
      <c r="L219" s="6">
        <v>6.71</v>
      </c>
      <c r="M219" s="65">
        <v>6.71</v>
      </c>
      <c r="N219" s="6">
        <v>6.71</v>
      </c>
      <c r="O219" s="65">
        <v>6.71</v>
      </c>
      <c r="P219" s="6">
        <v>0</v>
      </c>
      <c r="Q219" s="4" t="s">
        <v>26</v>
      </c>
      <c r="R219" s="4">
        <v>0</v>
      </c>
      <c r="S219" s="6">
        <v>0</v>
      </c>
      <c r="T219" s="6">
        <v>13</v>
      </c>
      <c r="U219" s="6">
        <v>16</v>
      </c>
      <c r="V219" s="65">
        <f>IF(ISERROR(VLOOKUP($S$219,'TAR FIN'!$A$1:$O$85,15,0)),0,VLOOKUP($S$219,'TAR FIN'!$A$1:$O$85,15,0))</f>
        <v>0</v>
      </c>
      <c r="W219" s="65">
        <f>IF(ISERROR(VLOOKUP($T$219,'TAR FIN'!$A$1:$O$85,15,0)),0,VLOOKUP($T$219,'TAR FIN'!$A$1:$O$85,15,0))*(1-0.04)</f>
        <v>75.504000000000005</v>
      </c>
      <c r="X219" s="65">
        <f>IF(ISERROR(VLOOKUP($U$219,'TAR FIN'!$A$1:$O$85,15,0)),0,VLOOKUP($U$219,'TAR FIN'!$A$1:$O$85,15,0))*(1-0.04)</f>
        <v>220.67519999999999</v>
      </c>
      <c r="Y219" s="65"/>
      <c r="Z219" s="65">
        <f ca="1">('TUSD BE'!$AM$12+'TUSD BF'!$AM$12+'TUSD CVA'!$AM$12)*1*(1-0.02)</f>
        <v>112.19078372459943</v>
      </c>
      <c r="AA219" s="65">
        <f>('TE BE'!$AB$6+'TE BF'!$AB$6+'TE CVA'!$AB$6)*1*(1-0.02)</f>
        <v>212.26968335131818</v>
      </c>
      <c r="AB219" s="6">
        <f>$K$219*$V$219</f>
        <v>0</v>
      </c>
      <c r="AC219" s="6">
        <f>$M$219*$W$219</f>
        <v>506.63184000000001</v>
      </c>
      <c r="AD219" s="6">
        <f>$O$219*$X$219</f>
        <v>1480.7305919999999</v>
      </c>
      <c r="AE219" s="6">
        <f>$K$219*$Y$219</f>
        <v>0</v>
      </c>
      <c r="AF219" s="6">
        <f ca="1">$M$219*$Z$219</f>
        <v>752.80015879206212</v>
      </c>
      <c r="AG219" s="6">
        <f>$O$219*$AA$219</f>
        <v>1424.3295752873451</v>
      </c>
    </row>
    <row r="220" spans="1:33" ht="11.25" customHeight="1" x14ac:dyDescent="0.25">
      <c r="A220" s="4" t="s">
        <v>27</v>
      </c>
      <c r="B220" s="4" t="s">
        <v>34</v>
      </c>
      <c r="C220" s="4" t="s">
        <v>35</v>
      </c>
      <c r="D220" s="4" t="s">
        <v>40</v>
      </c>
      <c r="E220" s="4" t="s">
        <v>25</v>
      </c>
      <c r="F220" s="4" t="s">
        <v>25</v>
      </c>
      <c r="G220" s="4" t="s">
        <v>25</v>
      </c>
      <c r="H220" s="4" t="s">
        <v>37</v>
      </c>
      <c r="I220" s="5">
        <v>44713</v>
      </c>
      <c r="J220" s="6">
        <v>0</v>
      </c>
      <c r="K220" s="65">
        <v>0</v>
      </c>
      <c r="L220" s="6">
        <v>2.5089999999999999</v>
      </c>
      <c r="M220" s="65">
        <v>2.5089999999999999</v>
      </c>
      <c r="N220" s="6">
        <v>2.5089999999999999</v>
      </c>
      <c r="O220" s="65">
        <v>2.5089999999999999</v>
      </c>
      <c r="P220" s="6">
        <v>0</v>
      </c>
      <c r="Q220" s="4" t="s">
        <v>26</v>
      </c>
      <c r="R220" s="4">
        <v>0</v>
      </c>
      <c r="S220" s="6">
        <v>0</v>
      </c>
      <c r="T220" s="6">
        <v>13</v>
      </c>
      <c r="U220" s="6">
        <v>16</v>
      </c>
      <c r="V220" s="65">
        <f>IF(ISERROR(VLOOKUP($S$220,'TAR FIN'!$A$1:$O$85,15,0)),0,VLOOKUP($S$220,'TAR FIN'!$A$1:$O$85,15,0))</f>
        <v>0</v>
      </c>
      <c r="W220" s="65">
        <f>IF(ISERROR(VLOOKUP($T$220,'TAR FIN'!$A$1:$O$85,15,0)),0,VLOOKUP($T$220,'TAR FIN'!$A$1:$O$85,15,0))*(1-0.04)</f>
        <v>75.504000000000005</v>
      </c>
      <c r="X220" s="65">
        <f>IF(ISERROR(VLOOKUP($U$220,'TAR FIN'!$A$1:$O$85,15,0)),0,VLOOKUP($U$220,'TAR FIN'!$A$1:$O$85,15,0))*(1-0.04)</f>
        <v>220.67519999999999</v>
      </c>
      <c r="Y220" s="65"/>
      <c r="Z220" s="65">
        <f ca="1">('TUSD BE'!$AM$12+'TUSD BF'!$AM$12+'TUSD CVA'!$AM$12)*1*(1-0.02)</f>
        <v>112.19078372459943</v>
      </c>
      <c r="AA220" s="65">
        <f>('TE BE'!$AB$6+'TE BF'!$AB$6+'TE CVA'!$AB$6)*1*(1-0.02)</f>
        <v>212.26968335131818</v>
      </c>
      <c r="AB220" s="6">
        <f>$K$220*$V$220</f>
        <v>0</v>
      </c>
      <c r="AC220" s="6">
        <f>$M$220*$W$220</f>
        <v>189.439536</v>
      </c>
      <c r="AD220" s="6">
        <f>$O$220*$X$220</f>
        <v>553.67407679999997</v>
      </c>
      <c r="AE220" s="6">
        <f>$K$220*$Y$220</f>
        <v>0</v>
      </c>
      <c r="AF220" s="6">
        <f ca="1">$M$220*$Z$220</f>
        <v>281.48667636501995</v>
      </c>
      <c r="AG220" s="6">
        <f>$O$220*$AA$220</f>
        <v>532.58463552845728</v>
      </c>
    </row>
    <row r="221" spans="1:33" ht="11.25" customHeight="1" x14ac:dyDescent="0.25">
      <c r="A221" s="4" t="s">
        <v>27</v>
      </c>
      <c r="B221" s="4" t="s">
        <v>34</v>
      </c>
      <c r="C221" s="4" t="s">
        <v>35</v>
      </c>
      <c r="D221" s="4" t="s">
        <v>40</v>
      </c>
      <c r="E221" s="4" t="s">
        <v>25</v>
      </c>
      <c r="F221" s="4" t="s">
        <v>25</v>
      </c>
      <c r="G221" s="4" t="s">
        <v>25</v>
      </c>
      <c r="H221" s="4" t="s">
        <v>25</v>
      </c>
      <c r="I221" s="5">
        <v>44378</v>
      </c>
      <c r="J221" s="6">
        <v>100</v>
      </c>
      <c r="K221" s="65">
        <v>100</v>
      </c>
      <c r="L221" s="6">
        <v>0</v>
      </c>
      <c r="M221" s="65">
        <v>0</v>
      </c>
      <c r="N221" s="6">
        <v>0</v>
      </c>
      <c r="O221" s="65">
        <v>0</v>
      </c>
      <c r="P221" s="6">
        <v>1</v>
      </c>
      <c r="Q221" s="4" t="s">
        <v>26</v>
      </c>
      <c r="R221" s="4">
        <v>0</v>
      </c>
      <c r="S221" s="6">
        <v>36</v>
      </c>
      <c r="T221" s="6">
        <v>0</v>
      </c>
      <c r="U221" s="6">
        <v>0</v>
      </c>
      <c r="V221" s="65">
        <f>IF(ISERROR(VLOOKUP($S$221,'TAR FIN'!$A$1:$O$85,15,0)),0,VLOOKUP($S$221,'TAR FIN'!$A$1:$O$85,15,0))*(1-0.04)</f>
        <v>14.3424</v>
      </c>
      <c r="W221" s="65">
        <f>IF(ISERROR(VLOOKUP($T$221,'TAR FIN'!$A$1:$O$85,15,0)),0,VLOOKUP($T$221,'TAR FIN'!$A$1:$O$85,15,0))</f>
        <v>0</v>
      </c>
      <c r="X221" s="65">
        <f>IF(ISERROR(VLOOKUP($U$221,'TAR FIN'!$A$1:$O$85,15,0)),0,VLOOKUP($U$221,'TAR FIN'!$A$1:$O$85,15,0))</f>
        <v>0</v>
      </c>
      <c r="Y221" s="65">
        <f ca="1">('TUSD BE'!$AM$10+'TUSD BF'!$AM$10+'TUSD CVA'!$AM$10)*1*(1-0.02)</f>
        <v>19.241604957347008</v>
      </c>
      <c r="Z221" s="65"/>
      <c r="AA221" s="65"/>
      <c r="AB221" s="6">
        <f>$K$221*$V$221</f>
        <v>1434.24</v>
      </c>
      <c r="AC221" s="6">
        <f>$M$221*$W$221</f>
        <v>0</v>
      </c>
      <c r="AD221" s="6">
        <f>$O$221*$X$221</f>
        <v>0</v>
      </c>
      <c r="AE221" s="6">
        <f ca="1">$K$221*$Y$221</f>
        <v>1924.1604957347008</v>
      </c>
      <c r="AF221" s="6">
        <f>$M$221*$Z$221</f>
        <v>0</v>
      </c>
      <c r="AG221" s="6">
        <f>$O$221*$AA$221</f>
        <v>0</v>
      </c>
    </row>
    <row r="222" spans="1:33" ht="11.25" customHeight="1" x14ac:dyDescent="0.25">
      <c r="A222" s="4" t="s">
        <v>27</v>
      </c>
      <c r="B222" s="4" t="s">
        <v>34</v>
      </c>
      <c r="C222" s="4" t="s">
        <v>35</v>
      </c>
      <c r="D222" s="4" t="s">
        <v>40</v>
      </c>
      <c r="E222" s="4" t="s">
        <v>25</v>
      </c>
      <c r="F222" s="4" t="s">
        <v>25</v>
      </c>
      <c r="G222" s="4" t="s">
        <v>25</v>
      </c>
      <c r="H222" s="4" t="s">
        <v>25</v>
      </c>
      <c r="I222" s="5">
        <v>44409</v>
      </c>
      <c r="J222" s="6">
        <v>100</v>
      </c>
      <c r="K222" s="65">
        <v>100</v>
      </c>
      <c r="L222" s="6">
        <v>0</v>
      </c>
      <c r="M222" s="65">
        <v>0</v>
      </c>
      <c r="N222" s="6">
        <v>0</v>
      </c>
      <c r="O222" s="65">
        <v>0</v>
      </c>
      <c r="P222" s="6">
        <v>1</v>
      </c>
      <c r="Q222" s="4" t="s">
        <v>26</v>
      </c>
      <c r="R222" s="4">
        <v>0</v>
      </c>
      <c r="S222" s="6">
        <v>36</v>
      </c>
      <c r="T222" s="6">
        <v>0</v>
      </c>
      <c r="U222" s="6">
        <v>0</v>
      </c>
      <c r="V222" s="65">
        <f>IF(ISERROR(VLOOKUP($S$222,'TAR FIN'!$A$1:$O$85,15,0)),0,VLOOKUP($S$222,'TAR FIN'!$A$1:$O$85,15,0))*(1-0.04)</f>
        <v>14.3424</v>
      </c>
      <c r="W222" s="65">
        <f>IF(ISERROR(VLOOKUP($T$222,'TAR FIN'!$A$1:$O$85,15,0)),0,VLOOKUP($T$222,'TAR FIN'!$A$1:$O$85,15,0))</f>
        <v>0</v>
      </c>
      <c r="X222" s="65">
        <f>IF(ISERROR(VLOOKUP($U$222,'TAR FIN'!$A$1:$O$85,15,0)),0,VLOOKUP($U$222,'TAR FIN'!$A$1:$O$85,15,0))</f>
        <v>0</v>
      </c>
      <c r="Y222" s="65">
        <f ca="1">('TUSD BE'!$AM$10+'TUSD BF'!$AM$10+'TUSD CVA'!$AM$10)*1*(1-0.02)</f>
        <v>19.241604957347008</v>
      </c>
      <c r="Z222" s="65"/>
      <c r="AA222" s="65"/>
      <c r="AB222" s="6">
        <f>$K$222*$V$222</f>
        <v>1434.24</v>
      </c>
      <c r="AC222" s="6">
        <f>$M$222*$W$222</f>
        <v>0</v>
      </c>
      <c r="AD222" s="6">
        <f>$O$222*$X$222</f>
        <v>0</v>
      </c>
      <c r="AE222" s="6">
        <f ca="1">$K$222*$Y$222</f>
        <v>1924.1604957347008</v>
      </c>
      <c r="AF222" s="6">
        <f>$M$222*$Z$222</f>
        <v>0</v>
      </c>
      <c r="AG222" s="6">
        <f>$O$222*$AA$222</f>
        <v>0</v>
      </c>
    </row>
    <row r="223" spans="1:33" ht="11.25" customHeight="1" x14ac:dyDescent="0.25">
      <c r="A223" s="4" t="s">
        <v>27</v>
      </c>
      <c r="B223" s="4" t="s">
        <v>34</v>
      </c>
      <c r="C223" s="4" t="s">
        <v>35</v>
      </c>
      <c r="D223" s="4" t="s">
        <v>40</v>
      </c>
      <c r="E223" s="4" t="s">
        <v>25</v>
      </c>
      <c r="F223" s="4" t="s">
        <v>25</v>
      </c>
      <c r="G223" s="4" t="s">
        <v>25</v>
      </c>
      <c r="H223" s="4" t="s">
        <v>25</v>
      </c>
      <c r="I223" s="5">
        <v>44440</v>
      </c>
      <c r="J223" s="6">
        <v>100</v>
      </c>
      <c r="K223" s="65">
        <v>100</v>
      </c>
      <c r="L223" s="6">
        <v>0</v>
      </c>
      <c r="M223" s="65">
        <v>0</v>
      </c>
      <c r="N223" s="6">
        <v>0</v>
      </c>
      <c r="O223" s="65">
        <v>0</v>
      </c>
      <c r="P223" s="6">
        <v>1</v>
      </c>
      <c r="Q223" s="4" t="s">
        <v>26</v>
      </c>
      <c r="R223" s="4">
        <v>0</v>
      </c>
      <c r="S223" s="6">
        <v>36</v>
      </c>
      <c r="T223" s="6">
        <v>0</v>
      </c>
      <c r="U223" s="6">
        <v>0</v>
      </c>
      <c r="V223" s="65">
        <f>IF(ISERROR(VLOOKUP($S$223,'TAR FIN'!$A$1:$O$85,15,0)),0,VLOOKUP($S$223,'TAR FIN'!$A$1:$O$85,15,0))*(1-0.04)</f>
        <v>14.3424</v>
      </c>
      <c r="W223" s="65">
        <f>IF(ISERROR(VLOOKUP($T$223,'TAR FIN'!$A$1:$O$85,15,0)),0,VLOOKUP($T$223,'TAR FIN'!$A$1:$O$85,15,0))</f>
        <v>0</v>
      </c>
      <c r="X223" s="65">
        <f>IF(ISERROR(VLOOKUP($U$223,'TAR FIN'!$A$1:$O$85,15,0)),0,VLOOKUP($U$223,'TAR FIN'!$A$1:$O$85,15,0))</f>
        <v>0</v>
      </c>
      <c r="Y223" s="65">
        <f ca="1">('TUSD BE'!$AM$10+'TUSD BF'!$AM$10+'TUSD CVA'!$AM$10)*1*(1-0.02)</f>
        <v>19.241604957347008</v>
      </c>
      <c r="Z223" s="65"/>
      <c r="AA223" s="65"/>
      <c r="AB223" s="6">
        <f>$K$223*$V$223</f>
        <v>1434.24</v>
      </c>
      <c r="AC223" s="6">
        <f>$M$223*$W$223</f>
        <v>0</v>
      </c>
      <c r="AD223" s="6">
        <f>$O$223*$X$223</f>
        <v>0</v>
      </c>
      <c r="AE223" s="6">
        <f ca="1">$K$223*$Y$223</f>
        <v>1924.1604957347008</v>
      </c>
      <c r="AF223" s="6">
        <f>$M$223*$Z$223</f>
        <v>0</v>
      </c>
      <c r="AG223" s="6">
        <f>$O$223*$AA$223</f>
        <v>0</v>
      </c>
    </row>
    <row r="224" spans="1:33" ht="11.25" customHeight="1" x14ac:dyDescent="0.25">
      <c r="A224" s="4" t="s">
        <v>27</v>
      </c>
      <c r="B224" s="4" t="s">
        <v>34</v>
      </c>
      <c r="C224" s="4" t="s">
        <v>35</v>
      </c>
      <c r="D224" s="4" t="s">
        <v>40</v>
      </c>
      <c r="E224" s="4" t="s">
        <v>25</v>
      </c>
      <c r="F224" s="4" t="s">
        <v>25</v>
      </c>
      <c r="G224" s="4" t="s">
        <v>25</v>
      </c>
      <c r="H224" s="4" t="s">
        <v>25</v>
      </c>
      <c r="I224" s="5">
        <v>44470</v>
      </c>
      <c r="J224" s="6">
        <v>100</v>
      </c>
      <c r="K224" s="65">
        <v>100</v>
      </c>
      <c r="L224" s="6">
        <v>0</v>
      </c>
      <c r="M224" s="65">
        <v>0</v>
      </c>
      <c r="N224" s="6">
        <v>0</v>
      </c>
      <c r="O224" s="65">
        <v>0</v>
      </c>
      <c r="P224" s="6">
        <v>1</v>
      </c>
      <c r="Q224" s="4" t="s">
        <v>26</v>
      </c>
      <c r="R224" s="4">
        <v>0</v>
      </c>
      <c r="S224" s="6">
        <v>36</v>
      </c>
      <c r="T224" s="6">
        <v>0</v>
      </c>
      <c r="U224" s="6">
        <v>0</v>
      </c>
      <c r="V224" s="65">
        <f>IF(ISERROR(VLOOKUP($S$224,'TAR FIN'!$A$1:$O$85,15,0)),0,VLOOKUP($S$224,'TAR FIN'!$A$1:$O$85,15,0))*(1-0.04)</f>
        <v>14.3424</v>
      </c>
      <c r="W224" s="65">
        <f>IF(ISERROR(VLOOKUP($T$224,'TAR FIN'!$A$1:$O$85,15,0)),0,VLOOKUP($T$224,'TAR FIN'!$A$1:$O$85,15,0))</f>
        <v>0</v>
      </c>
      <c r="X224" s="65">
        <f>IF(ISERROR(VLOOKUP($U$224,'TAR FIN'!$A$1:$O$85,15,0)),0,VLOOKUP($U$224,'TAR FIN'!$A$1:$O$85,15,0))</f>
        <v>0</v>
      </c>
      <c r="Y224" s="65">
        <f ca="1">('TUSD BE'!$AM$10+'TUSD BF'!$AM$10+'TUSD CVA'!$AM$10)*1*(1-0.02)</f>
        <v>19.241604957347008</v>
      </c>
      <c r="Z224" s="65"/>
      <c r="AA224" s="65"/>
      <c r="AB224" s="6">
        <f>$K$224*$V$224</f>
        <v>1434.24</v>
      </c>
      <c r="AC224" s="6">
        <f>$M$224*$W$224</f>
        <v>0</v>
      </c>
      <c r="AD224" s="6">
        <f>$O$224*$X$224</f>
        <v>0</v>
      </c>
      <c r="AE224" s="6">
        <f ca="1">$K$224*$Y$224</f>
        <v>1924.1604957347008</v>
      </c>
      <c r="AF224" s="6">
        <f>$M$224*$Z$224</f>
        <v>0</v>
      </c>
      <c r="AG224" s="6">
        <f>$O$224*$AA$224</f>
        <v>0</v>
      </c>
    </row>
    <row r="225" spans="1:33" ht="11.25" customHeight="1" x14ac:dyDescent="0.25">
      <c r="A225" s="4" t="s">
        <v>27</v>
      </c>
      <c r="B225" s="4" t="s">
        <v>34</v>
      </c>
      <c r="C225" s="4" t="s">
        <v>35</v>
      </c>
      <c r="D225" s="4" t="s">
        <v>40</v>
      </c>
      <c r="E225" s="4" t="s">
        <v>25</v>
      </c>
      <c r="F225" s="4" t="s">
        <v>25</v>
      </c>
      <c r="G225" s="4" t="s">
        <v>25</v>
      </c>
      <c r="H225" s="4" t="s">
        <v>25</v>
      </c>
      <c r="I225" s="5">
        <v>44501</v>
      </c>
      <c r="J225" s="6">
        <v>100</v>
      </c>
      <c r="K225" s="65">
        <v>100</v>
      </c>
      <c r="L225" s="6">
        <v>0</v>
      </c>
      <c r="M225" s="65">
        <v>0</v>
      </c>
      <c r="N225" s="6">
        <v>0</v>
      </c>
      <c r="O225" s="65">
        <v>0</v>
      </c>
      <c r="P225" s="6">
        <v>1</v>
      </c>
      <c r="Q225" s="4" t="s">
        <v>26</v>
      </c>
      <c r="R225" s="4">
        <v>0</v>
      </c>
      <c r="S225" s="6">
        <v>36</v>
      </c>
      <c r="T225" s="6">
        <v>0</v>
      </c>
      <c r="U225" s="6">
        <v>0</v>
      </c>
      <c r="V225" s="65">
        <f>IF(ISERROR(VLOOKUP($S$225,'TAR FIN'!$A$1:$O$85,15,0)),0,VLOOKUP($S$225,'TAR FIN'!$A$1:$O$85,15,0))*(1-0.04)</f>
        <v>14.3424</v>
      </c>
      <c r="W225" s="65">
        <f>IF(ISERROR(VLOOKUP($T$225,'TAR FIN'!$A$1:$O$85,15,0)),0,VLOOKUP($T$225,'TAR FIN'!$A$1:$O$85,15,0))</f>
        <v>0</v>
      </c>
      <c r="X225" s="65">
        <f>IF(ISERROR(VLOOKUP($U$225,'TAR FIN'!$A$1:$O$85,15,0)),0,VLOOKUP($U$225,'TAR FIN'!$A$1:$O$85,15,0))</f>
        <v>0</v>
      </c>
      <c r="Y225" s="65">
        <f ca="1">('TUSD BE'!$AM$10+'TUSD BF'!$AM$10+'TUSD CVA'!$AM$10)*1*(1-0.02)</f>
        <v>19.241604957347008</v>
      </c>
      <c r="Z225" s="65"/>
      <c r="AA225" s="65"/>
      <c r="AB225" s="6">
        <f>$K$225*$V$225</f>
        <v>1434.24</v>
      </c>
      <c r="AC225" s="6">
        <f>$M$225*$W$225</f>
        <v>0</v>
      </c>
      <c r="AD225" s="6">
        <f>$O$225*$X$225</f>
        <v>0</v>
      </c>
      <c r="AE225" s="6">
        <f ca="1">$K$225*$Y$225</f>
        <v>1924.1604957347008</v>
      </c>
      <c r="AF225" s="6">
        <f>$M$225*$Z$225</f>
        <v>0</v>
      </c>
      <c r="AG225" s="6">
        <f>$O$225*$AA$225</f>
        <v>0</v>
      </c>
    </row>
    <row r="226" spans="1:33" ht="11.25" customHeight="1" x14ac:dyDescent="0.25">
      <c r="A226" s="4" t="s">
        <v>27</v>
      </c>
      <c r="B226" s="4" t="s">
        <v>34</v>
      </c>
      <c r="C226" s="4" t="s">
        <v>35</v>
      </c>
      <c r="D226" s="4" t="s">
        <v>40</v>
      </c>
      <c r="E226" s="4" t="s">
        <v>25</v>
      </c>
      <c r="F226" s="4" t="s">
        <v>25</v>
      </c>
      <c r="G226" s="4" t="s">
        <v>25</v>
      </c>
      <c r="H226" s="4" t="s">
        <v>25</v>
      </c>
      <c r="I226" s="5">
        <v>44531</v>
      </c>
      <c r="J226" s="6">
        <v>126</v>
      </c>
      <c r="K226" s="65">
        <v>126</v>
      </c>
      <c r="L226" s="6">
        <v>0</v>
      </c>
      <c r="M226" s="65">
        <v>0</v>
      </c>
      <c r="N226" s="6">
        <v>0</v>
      </c>
      <c r="O226" s="65">
        <v>0</v>
      </c>
      <c r="P226" s="6">
        <v>1</v>
      </c>
      <c r="Q226" s="4" t="s">
        <v>26</v>
      </c>
      <c r="R226" s="4">
        <v>0</v>
      </c>
      <c r="S226" s="6">
        <v>36</v>
      </c>
      <c r="T226" s="6">
        <v>0</v>
      </c>
      <c r="U226" s="6">
        <v>0</v>
      </c>
      <c r="V226" s="65">
        <f>IF(ISERROR(VLOOKUP($S$226,'TAR FIN'!$A$1:$O$85,15,0)),0,VLOOKUP($S$226,'TAR FIN'!$A$1:$O$85,15,0))*(1-0.04)</f>
        <v>14.3424</v>
      </c>
      <c r="W226" s="65">
        <f>IF(ISERROR(VLOOKUP($T$226,'TAR FIN'!$A$1:$O$85,15,0)),0,VLOOKUP($T$226,'TAR FIN'!$A$1:$O$85,15,0))</f>
        <v>0</v>
      </c>
      <c r="X226" s="65">
        <f>IF(ISERROR(VLOOKUP($U$226,'TAR FIN'!$A$1:$O$85,15,0)),0,VLOOKUP($U$226,'TAR FIN'!$A$1:$O$85,15,0))</f>
        <v>0</v>
      </c>
      <c r="Y226" s="65">
        <f ca="1">('TUSD BE'!$AM$10+'TUSD BF'!$AM$10+'TUSD CVA'!$AM$10)*1*(1-0.02)</f>
        <v>19.241604957347008</v>
      </c>
      <c r="Z226" s="65"/>
      <c r="AA226" s="65"/>
      <c r="AB226" s="6">
        <f>$K$226*$V$226</f>
        <v>1807.1424</v>
      </c>
      <c r="AC226" s="6">
        <f>$M$226*$W$226</f>
        <v>0</v>
      </c>
      <c r="AD226" s="6">
        <f>$O$226*$X$226</f>
        <v>0</v>
      </c>
      <c r="AE226" s="6">
        <f ca="1">$K$226*$Y$226</f>
        <v>2424.4422246257232</v>
      </c>
      <c r="AF226" s="6">
        <f>$M$226*$Z$226</f>
        <v>0</v>
      </c>
      <c r="AG226" s="6">
        <f>$O$226*$AA$226</f>
        <v>0</v>
      </c>
    </row>
    <row r="227" spans="1:33" ht="11.25" customHeight="1" x14ac:dyDescent="0.25">
      <c r="A227" s="4" t="s">
        <v>27</v>
      </c>
      <c r="B227" s="4" t="s">
        <v>34</v>
      </c>
      <c r="C227" s="4" t="s">
        <v>35</v>
      </c>
      <c r="D227" s="4" t="s">
        <v>40</v>
      </c>
      <c r="E227" s="4" t="s">
        <v>25</v>
      </c>
      <c r="F227" s="4" t="s">
        <v>25</v>
      </c>
      <c r="G227" s="4" t="s">
        <v>25</v>
      </c>
      <c r="H227" s="4" t="s">
        <v>25</v>
      </c>
      <c r="I227" s="5">
        <v>44562</v>
      </c>
      <c r="J227" s="6">
        <v>100</v>
      </c>
      <c r="K227" s="65">
        <v>100</v>
      </c>
      <c r="L227" s="6">
        <v>0</v>
      </c>
      <c r="M227" s="65">
        <v>0</v>
      </c>
      <c r="N227" s="6">
        <v>0</v>
      </c>
      <c r="O227" s="65">
        <v>0</v>
      </c>
      <c r="P227" s="6">
        <v>1</v>
      </c>
      <c r="Q227" s="4" t="s">
        <v>26</v>
      </c>
      <c r="R227" s="4">
        <v>0</v>
      </c>
      <c r="S227" s="6">
        <v>36</v>
      </c>
      <c r="T227" s="6">
        <v>0</v>
      </c>
      <c r="U227" s="6">
        <v>0</v>
      </c>
      <c r="V227" s="65">
        <f>IF(ISERROR(VLOOKUP($S$227,'TAR FIN'!$A$1:$O$85,15,0)),0,VLOOKUP($S$227,'TAR FIN'!$A$1:$O$85,15,0))*(1-0.04)</f>
        <v>14.3424</v>
      </c>
      <c r="W227" s="65">
        <f>IF(ISERROR(VLOOKUP($T$227,'TAR FIN'!$A$1:$O$85,15,0)),0,VLOOKUP($T$227,'TAR FIN'!$A$1:$O$85,15,0))</f>
        <v>0</v>
      </c>
      <c r="X227" s="65">
        <f>IF(ISERROR(VLOOKUP($U$227,'TAR FIN'!$A$1:$O$85,15,0)),0,VLOOKUP($U$227,'TAR FIN'!$A$1:$O$85,15,0))</f>
        <v>0</v>
      </c>
      <c r="Y227" s="65">
        <f ca="1">('TUSD BE'!$AM$10+'TUSD BF'!$AM$10+'TUSD CVA'!$AM$10)*1*(1-0.02)</f>
        <v>19.241604957347008</v>
      </c>
      <c r="Z227" s="65"/>
      <c r="AA227" s="65"/>
      <c r="AB227" s="6">
        <f>$K$227*$V$227</f>
        <v>1434.24</v>
      </c>
      <c r="AC227" s="6">
        <f>$M$227*$W$227</f>
        <v>0</v>
      </c>
      <c r="AD227" s="6">
        <f>$O$227*$X$227</f>
        <v>0</v>
      </c>
      <c r="AE227" s="6">
        <f ca="1">$K$227*$Y$227</f>
        <v>1924.1604957347008</v>
      </c>
      <c r="AF227" s="6">
        <f>$M$227*$Z$227</f>
        <v>0</v>
      </c>
      <c r="AG227" s="6">
        <f>$O$227*$AA$227</f>
        <v>0</v>
      </c>
    </row>
    <row r="228" spans="1:33" ht="11.25" customHeight="1" x14ac:dyDescent="0.25">
      <c r="A228" s="4" t="s">
        <v>27</v>
      </c>
      <c r="B228" s="4" t="s">
        <v>34</v>
      </c>
      <c r="C228" s="4" t="s">
        <v>35</v>
      </c>
      <c r="D228" s="4" t="s">
        <v>40</v>
      </c>
      <c r="E228" s="4" t="s">
        <v>25</v>
      </c>
      <c r="F228" s="4" t="s">
        <v>25</v>
      </c>
      <c r="G228" s="4" t="s">
        <v>25</v>
      </c>
      <c r="H228" s="4" t="s">
        <v>25</v>
      </c>
      <c r="I228" s="5">
        <v>44593</v>
      </c>
      <c r="J228" s="6">
        <v>139</v>
      </c>
      <c r="K228" s="65">
        <v>139</v>
      </c>
      <c r="L228" s="6">
        <v>0</v>
      </c>
      <c r="M228" s="65">
        <v>0</v>
      </c>
      <c r="N228" s="6">
        <v>0</v>
      </c>
      <c r="O228" s="65">
        <v>0</v>
      </c>
      <c r="P228" s="6">
        <v>1</v>
      </c>
      <c r="Q228" s="4" t="s">
        <v>26</v>
      </c>
      <c r="R228" s="4">
        <v>0</v>
      </c>
      <c r="S228" s="6">
        <v>36</v>
      </c>
      <c r="T228" s="6">
        <v>0</v>
      </c>
      <c r="U228" s="6">
        <v>0</v>
      </c>
      <c r="V228" s="65">
        <f>IF(ISERROR(VLOOKUP($S$228,'TAR FIN'!$A$1:$O$85,15,0)),0,VLOOKUP($S$228,'TAR FIN'!$A$1:$O$85,15,0))*(1-0.04)</f>
        <v>14.3424</v>
      </c>
      <c r="W228" s="65">
        <f>IF(ISERROR(VLOOKUP($T$228,'TAR FIN'!$A$1:$O$85,15,0)),0,VLOOKUP($T$228,'TAR FIN'!$A$1:$O$85,15,0))</f>
        <v>0</v>
      </c>
      <c r="X228" s="65">
        <f>IF(ISERROR(VLOOKUP($U$228,'TAR FIN'!$A$1:$O$85,15,0)),0,VLOOKUP($U$228,'TAR FIN'!$A$1:$O$85,15,0))</f>
        <v>0</v>
      </c>
      <c r="Y228" s="65">
        <f ca="1">('TUSD BE'!$AM$10+'TUSD BF'!$AM$10+'TUSD CVA'!$AM$10)*1*(1-0.02)</f>
        <v>19.241604957347008</v>
      </c>
      <c r="Z228" s="65"/>
      <c r="AA228" s="65"/>
      <c r="AB228" s="6">
        <f>$K$228*$V$228</f>
        <v>1993.5935999999999</v>
      </c>
      <c r="AC228" s="6">
        <f>$M$228*$W$228</f>
        <v>0</v>
      </c>
      <c r="AD228" s="6">
        <f>$O$228*$X$228</f>
        <v>0</v>
      </c>
      <c r="AE228" s="6">
        <f ca="1">$K$228*$Y$228</f>
        <v>2674.5830890712341</v>
      </c>
      <c r="AF228" s="6">
        <f>$M$228*$Z$228</f>
        <v>0</v>
      </c>
      <c r="AG228" s="6">
        <f>$O$228*$AA$228</f>
        <v>0</v>
      </c>
    </row>
    <row r="229" spans="1:33" ht="11.25" customHeight="1" x14ac:dyDescent="0.25">
      <c r="A229" s="4" t="s">
        <v>27</v>
      </c>
      <c r="B229" s="4" t="s">
        <v>34</v>
      </c>
      <c r="C229" s="4" t="s">
        <v>35</v>
      </c>
      <c r="D229" s="4" t="s">
        <v>40</v>
      </c>
      <c r="E229" s="4" t="s">
        <v>25</v>
      </c>
      <c r="F229" s="4" t="s">
        <v>25</v>
      </c>
      <c r="G229" s="4" t="s">
        <v>25</v>
      </c>
      <c r="H229" s="4" t="s">
        <v>25</v>
      </c>
      <c r="I229" s="5">
        <v>44621</v>
      </c>
      <c r="J229" s="6">
        <v>189</v>
      </c>
      <c r="K229" s="65">
        <v>189</v>
      </c>
      <c r="L229" s="6">
        <v>0</v>
      </c>
      <c r="M229" s="65">
        <v>0</v>
      </c>
      <c r="N229" s="6">
        <v>0</v>
      </c>
      <c r="O229" s="65">
        <v>0</v>
      </c>
      <c r="P229" s="6">
        <v>1</v>
      </c>
      <c r="Q229" s="4" t="s">
        <v>26</v>
      </c>
      <c r="R229" s="4">
        <v>0</v>
      </c>
      <c r="S229" s="6">
        <v>36</v>
      </c>
      <c r="T229" s="6">
        <v>0</v>
      </c>
      <c r="U229" s="6">
        <v>0</v>
      </c>
      <c r="V229" s="65">
        <f>IF(ISERROR(VLOOKUP($S$229,'TAR FIN'!$A$1:$O$85,15,0)),0,VLOOKUP($S$229,'TAR FIN'!$A$1:$O$85,15,0))*(1-0.04)</f>
        <v>14.3424</v>
      </c>
      <c r="W229" s="65">
        <f>IF(ISERROR(VLOOKUP($T$229,'TAR FIN'!$A$1:$O$85,15,0)),0,VLOOKUP($T$229,'TAR FIN'!$A$1:$O$85,15,0))</f>
        <v>0</v>
      </c>
      <c r="X229" s="65">
        <f>IF(ISERROR(VLOOKUP($U$229,'TAR FIN'!$A$1:$O$85,15,0)),0,VLOOKUP($U$229,'TAR FIN'!$A$1:$O$85,15,0))</f>
        <v>0</v>
      </c>
      <c r="Y229" s="65">
        <f ca="1">('TUSD BE'!$AM$10+'TUSD BF'!$AM$10+'TUSD CVA'!$AM$10)*1*(1-0.02)</f>
        <v>19.241604957347008</v>
      </c>
      <c r="Z229" s="65"/>
      <c r="AA229" s="65"/>
      <c r="AB229" s="6">
        <f>$K$229*$V$229</f>
        <v>2710.7136</v>
      </c>
      <c r="AC229" s="6">
        <f>$M$229*$W$229</f>
        <v>0</v>
      </c>
      <c r="AD229" s="6">
        <f>$O$229*$X$229</f>
        <v>0</v>
      </c>
      <c r="AE229" s="6">
        <f ca="1">$K$229*$Y$229</f>
        <v>3636.6633369385845</v>
      </c>
      <c r="AF229" s="6">
        <f>$M$229*$Z$229</f>
        <v>0</v>
      </c>
      <c r="AG229" s="6">
        <f>$O$229*$AA$229</f>
        <v>0</v>
      </c>
    </row>
    <row r="230" spans="1:33" ht="11.25" customHeight="1" x14ac:dyDescent="0.25">
      <c r="A230" s="4" t="s">
        <v>27</v>
      </c>
      <c r="B230" s="4" t="s">
        <v>34</v>
      </c>
      <c r="C230" s="4" t="s">
        <v>35</v>
      </c>
      <c r="D230" s="4" t="s">
        <v>40</v>
      </c>
      <c r="E230" s="4" t="s">
        <v>25</v>
      </c>
      <c r="F230" s="4" t="s">
        <v>25</v>
      </c>
      <c r="G230" s="4" t="s">
        <v>25</v>
      </c>
      <c r="H230" s="4" t="s">
        <v>25</v>
      </c>
      <c r="I230" s="5">
        <v>44652</v>
      </c>
      <c r="J230" s="6">
        <v>211</v>
      </c>
      <c r="K230" s="65">
        <v>211</v>
      </c>
      <c r="L230" s="6">
        <v>0</v>
      </c>
      <c r="M230" s="65">
        <v>0</v>
      </c>
      <c r="N230" s="6">
        <v>0</v>
      </c>
      <c r="O230" s="65">
        <v>0</v>
      </c>
      <c r="P230" s="6">
        <v>1</v>
      </c>
      <c r="Q230" s="4" t="s">
        <v>26</v>
      </c>
      <c r="R230" s="4">
        <v>0</v>
      </c>
      <c r="S230" s="6">
        <v>36</v>
      </c>
      <c r="T230" s="6">
        <v>0</v>
      </c>
      <c r="U230" s="6">
        <v>0</v>
      </c>
      <c r="V230" s="65">
        <f>IF(ISERROR(VLOOKUP($S$230,'TAR FIN'!$A$1:$O$85,15,0)),0,VLOOKUP($S$230,'TAR FIN'!$A$1:$O$85,15,0))*(1-0.04)</f>
        <v>14.3424</v>
      </c>
      <c r="W230" s="65">
        <f>IF(ISERROR(VLOOKUP($T$230,'TAR FIN'!$A$1:$O$85,15,0)),0,VLOOKUP($T$230,'TAR FIN'!$A$1:$O$85,15,0))</f>
        <v>0</v>
      </c>
      <c r="X230" s="65">
        <f>IF(ISERROR(VLOOKUP($U$230,'TAR FIN'!$A$1:$O$85,15,0)),0,VLOOKUP($U$230,'TAR FIN'!$A$1:$O$85,15,0))</f>
        <v>0</v>
      </c>
      <c r="Y230" s="65">
        <f ca="1">('TUSD BE'!$AM$10+'TUSD BF'!$AM$10+'TUSD CVA'!$AM$10)*1*(1-0.02)</f>
        <v>19.241604957347008</v>
      </c>
      <c r="Z230" s="65"/>
      <c r="AA230" s="65"/>
      <c r="AB230" s="6">
        <f>$K$230*$V$230</f>
        <v>3026.2464</v>
      </c>
      <c r="AC230" s="6">
        <f>$M$230*$W$230</f>
        <v>0</v>
      </c>
      <c r="AD230" s="6">
        <f>$O$230*$X$230</f>
        <v>0</v>
      </c>
      <c r="AE230" s="6">
        <f ca="1">$K$230*$Y$230</f>
        <v>4059.9786460002188</v>
      </c>
      <c r="AF230" s="6">
        <f>$M$230*$Z$230</f>
        <v>0</v>
      </c>
      <c r="AG230" s="6">
        <f>$O$230*$AA$230</f>
        <v>0</v>
      </c>
    </row>
    <row r="231" spans="1:33" ht="11.25" customHeight="1" x14ac:dyDescent="0.25">
      <c r="A231" s="4" t="s">
        <v>27</v>
      </c>
      <c r="B231" s="4" t="s">
        <v>34</v>
      </c>
      <c r="C231" s="4" t="s">
        <v>35</v>
      </c>
      <c r="D231" s="4" t="s">
        <v>40</v>
      </c>
      <c r="E231" s="4" t="s">
        <v>25</v>
      </c>
      <c r="F231" s="4" t="s">
        <v>25</v>
      </c>
      <c r="G231" s="4" t="s">
        <v>25</v>
      </c>
      <c r="H231" s="4" t="s">
        <v>25</v>
      </c>
      <c r="I231" s="5">
        <v>44682</v>
      </c>
      <c r="J231" s="6">
        <v>186</v>
      </c>
      <c r="K231" s="65">
        <v>186</v>
      </c>
      <c r="L231" s="6">
        <v>0</v>
      </c>
      <c r="M231" s="65">
        <v>0</v>
      </c>
      <c r="N231" s="6">
        <v>0</v>
      </c>
      <c r="O231" s="65">
        <v>0</v>
      </c>
      <c r="P231" s="6">
        <v>1</v>
      </c>
      <c r="Q231" s="4" t="s">
        <v>26</v>
      </c>
      <c r="R231" s="4">
        <v>0</v>
      </c>
      <c r="S231" s="6">
        <v>36</v>
      </c>
      <c r="T231" s="6">
        <v>0</v>
      </c>
      <c r="U231" s="6">
        <v>0</v>
      </c>
      <c r="V231" s="65">
        <f>IF(ISERROR(VLOOKUP($S$231,'TAR FIN'!$A$1:$O$85,15,0)),0,VLOOKUP($S$231,'TAR FIN'!$A$1:$O$85,15,0))*(1-0.04)</f>
        <v>14.3424</v>
      </c>
      <c r="W231" s="65">
        <f>IF(ISERROR(VLOOKUP($T$231,'TAR FIN'!$A$1:$O$85,15,0)),0,VLOOKUP($T$231,'TAR FIN'!$A$1:$O$85,15,0))</f>
        <v>0</v>
      </c>
      <c r="X231" s="65">
        <f>IF(ISERROR(VLOOKUP($U$231,'TAR FIN'!$A$1:$O$85,15,0)),0,VLOOKUP($U$231,'TAR FIN'!$A$1:$O$85,15,0))</f>
        <v>0</v>
      </c>
      <c r="Y231" s="65">
        <f ca="1">('TUSD BE'!$AM$10+'TUSD BF'!$AM$10+'TUSD CVA'!$AM$10)*1*(1-0.02)</f>
        <v>19.241604957347008</v>
      </c>
      <c r="Z231" s="65"/>
      <c r="AA231" s="65"/>
      <c r="AB231" s="6">
        <f>$K$231*$V$231</f>
        <v>2667.6864</v>
      </c>
      <c r="AC231" s="6">
        <f>$M$231*$W$231</f>
        <v>0</v>
      </c>
      <c r="AD231" s="6">
        <f>$O$231*$X$231</f>
        <v>0</v>
      </c>
      <c r="AE231" s="6">
        <f ca="1">$K$231*$Y$231</f>
        <v>3578.9385220665436</v>
      </c>
      <c r="AF231" s="6">
        <f>$M$231*$Z$231</f>
        <v>0</v>
      </c>
      <c r="AG231" s="6">
        <f>$O$231*$AA$231</f>
        <v>0</v>
      </c>
    </row>
    <row r="232" spans="1:33" ht="11.25" customHeight="1" x14ac:dyDescent="0.25">
      <c r="A232" s="4" t="s">
        <v>27</v>
      </c>
      <c r="B232" s="4" t="s">
        <v>34</v>
      </c>
      <c r="C232" s="4" t="s">
        <v>35</v>
      </c>
      <c r="D232" s="4" t="s">
        <v>40</v>
      </c>
      <c r="E232" s="4" t="s">
        <v>25</v>
      </c>
      <c r="F232" s="4" t="s">
        <v>25</v>
      </c>
      <c r="G232" s="4" t="s">
        <v>25</v>
      </c>
      <c r="H232" s="4" t="s">
        <v>25</v>
      </c>
      <c r="I232" s="5">
        <v>44713</v>
      </c>
      <c r="J232" s="6">
        <v>155</v>
      </c>
      <c r="K232" s="65">
        <v>155</v>
      </c>
      <c r="L232" s="6">
        <v>0</v>
      </c>
      <c r="M232" s="65">
        <v>0</v>
      </c>
      <c r="N232" s="6">
        <v>0</v>
      </c>
      <c r="O232" s="65">
        <v>0</v>
      </c>
      <c r="P232" s="6">
        <v>1</v>
      </c>
      <c r="Q232" s="4" t="s">
        <v>26</v>
      </c>
      <c r="R232" s="4">
        <v>0</v>
      </c>
      <c r="S232" s="6">
        <v>36</v>
      </c>
      <c r="T232" s="6">
        <v>0</v>
      </c>
      <c r="U232" s="6">
        <v>0</v>
      </c>
      <c r="V232" s="65">
        <f>IF(ISERROR(VLOOKUP($S$232,'TAR FIN'!$A$1:$O$85,15,0)),0,VLOOKUP($S$232,'TAR FIN'!$A$1:$O$85,15,0))*(1-0.04)</f>
        <v>14.3424</v>
      </c>
      <c r="W232" s="65">
        <f>IF(ISERROR(VLOOKUP($T$232,'TAR FIN'!$A$1:$O$85,15,0)),0,VLOOKUP($T$232,'TAR FIN'!$A$1:$O$85,15,0))</f>
        <v>0</v>
      </c>
      <c r="X232" s="65">
        <f>IF(ISERROR(VLOOKUP($U$232,'TAR FIN'!$A$1:$O$85,15,0)),0,VLOOKUP($U$232,'TAR FIN'!$A$1:$O$85,15,0))</f>
        <v>0</v>
      </c>
      <c r="Y232" s="65">
        <f ca="1">('TUSD BE'!$AM$10+'TUSD BF'!$AM$10+'TUSD CVA'!$AM$10)*1*(1-0.02)</f>
        <v>19.241604957347008</v>
      </c>
      <c r="Z232" s="65"/>
      <c r="AA232" s="65"/>
      <c r="AB232" s="6">
        <f>$K$232*$V$232</f>
        <v>2223.0720000000001</v>
      </c>
      <c r="AC232" s="6">
        <f>$M$232*$W$232</f>
        <v>0</v>
      </c>
      <c r="AD232" s="6">
        <f>$O$232*$X$232</f>
        <v>0</v>
      </c>
      <c r="AE232" s="6">
        <f ca="1">$K$232*$Y$232</f>
        <v>2982.448768388786</v>
      </c>
      <c r="AF232" s="6">
        <f>$M$232*$Z$232</f>
        <v>0</v>
      </c>
      <c r="AG232" s="6">
        <f>$O$232*$AA$232</f>
        <v>0</v>
      </c>
    </row>
    <row r="233" spans="1:33" ht="11.25" customHeight="1" x14ac:dyDescent="0.25">
      <c r="A233" s="4" t="s">
        <v>27</v>
      </c>
      <c r="B233" s="4" t="s">
        <v>34</v>
      </c>
      <c r="C233" s="4" t="s">
        <v>35</v>
      </c>
      <c r="D233" s="4" t="s">
        <v>40</v>
      </c>
      <c r="E233" s="4" t="s">
        <v>25</v>
      </c>
      <c r="F233" s="4" t="s">
        <v>25</v>
      </c>
      <c r="G233" s="4" t="s">
        <v>25</v>
      </c>
      <c r="H233" s="4" t="s">
        <v>36</v>
      </c>
      <c r="I233" s="5">
        <v>44652</v>
      </c>
      <c r="J233" s="6">
        <v>0</v>
      </c>
      <c r="K233" s="65">
        <v>0</v>
      </c>
      <c r="L233" s="6">
        <v>1.532</v>
      </c>
      <c r="M233" s="65">
        <v>1.532</v>
      </c>
      <c r="N233" s="6">
        <v>1.532</v>
      </c>
      <c r="O233" s="65">
        <v>1.532</v>
      </c>
      <c r="P233" s="6">
        <v>0</v>
      </c>
      <c r="Q233" s="4" t="s">
        <v>26</v>
      </c>
      <c r="R233" s="4">
        <v>0</v>
      </c>
      <c r="S233" s="6">
        <v>0</v>
      </c>
      <c r="T233" s="6">
        <v>15</v>
      </c>
      <c r="U233" s="6">
        <v>9</v>
      </c>
      <c r="V233" s="65">
        <f>IF(ISERROR(VLOOKUP($S$233,'TAR FIN'!$A$1:$O$85,15,0)),0,VLOOKUP($S$233,'TAR FIN'!$A$1:$O$85,15,0))</f>
        <v>0</v>
      </c>
      <c r="W233" s="65">
        <f>IF(ISERROR(VLOOKUP($T$233,'TAR FIN'!$A$1:$O$85,15,0)),0,VLOOKUP($T$233,'TAR FIN'!$A$1:$O$85,15,0))*(1-0.04)</f>
        <v>903.12</v>
      </c>
      <c r="X233" s="65">
        <f>IF(ISERROR(VLOOKUP($U$233,'TAR FIN'!$A$1:$O$85,15,0)),0,VLOOKUP($U$233,'TAR FIN'!$A$1:$O$85,15,0))*(1-0.04)</f>
        <v>358.76159999999999</v>
      </c>
      <c r="Y233" s="65"/>
      <c r="Z233" s="65">
        <f ca="1">('TUSD BE'!$AM$11+'TUSD BF'!$AM$11+'TUSD CVA'!$AM$11)*1*(1-0.02)</f>
        <v>947.17799690248239</v>
      </c>
      <c r="AA233" s="65">
        <f>('TE BE'!$AB$5+'TE BF'!$AB$5+'TE CVA'!$AB$5)*1*(1-0.02)</f>
        <v>341.02857371747996</v>
      </c>
      <c r="AB233" s="6">
        <f>$K$233*$V$233</f>
        <v>0</v>
      </c>
      <c r="AC233" s="6">
        <f>$M$233*$W$233</f>
        <v>1383.5798400000001</v>
      </c>
      <c r="AD233" s="6">
        <f>$O$233*$X$233</f>
        <v>549.62277119999999</v>
      </c>
      <c r="AE233" s="6">
        <f>$K$233*$Y$233</f>
        <v>0</v>
      </c>
      <c r="AF233" s="6">
        <f ca="1">$M$233*$Z$233</f>
        <v>1451.076691254603</v>
      </c>
      <c r="AG233" s="6">
        <f>$O$233*$AA$233</f>
        <v>522.45577493517931</v>
      </c>
    </row>
    <row r="234" spans="1:33" ht="11.25" customHeight="1" x14ac:dyDescent="0.25">
      <c r="A234" s="4" t="s">
        <v>27</v>
      </c>
      <c r="B234" s="4" t="s">
        <v>34</v>
      </c>
      <c r="C234" s="4" t="s">
        <v>35</v>
      </c>
      <c r="D234" s="4" t="s">
        <v>40</v>
      </c>
      <c r="E234" s="4" t="s">
        <v>25</v>
      </c>
      <c r="F234" s="4" t="s">
        <v>25</v>
      </c>
      <c r="G234" s="4" t="s">
        <v>25</v>
      </c>
      <c r="H234" s="4" t="s">
        <v>36</v>
      </c>
      <c r="I234" s="5">
        <v>44682</v>
      </c>
      <c r="J234" s="6">
        <v>0</v>
      </c>
      <c r="K234" s="65">
        <v>0</v>
      </c>
      <c r="L234" s="6">
        <v>0.49099999999999999</v>
      </c>
      <c r="M234" s="65">
        <v>0.49099999999999999</v>
      </c>
      <c r="N234" s="6">
        <v>0.49099999999999999</v>
      </c>
      <c r="O234" s="65">
        <v>0.49099999999999999</v>
      </c>
      <c r="P234" s="6">
        <v>0</v>
      </c>
      <c r="Q234" s="4" t="s">
        <v>26</v>
      </c>
      <c r="R234" s="4">
        <v>0</v>
      </c>
      <c r="S234" s="6">
        <v>0</v>
      </c>
      <c r="T234" s="6">
        <v>15</v>
      </c>
      <c r="U234" s="6">
        <v>9</v>
      </c>
      <c r="V234" s="65">
        <f>IF(ISERROR(VLOOKUP($S$234,'TAR FIN'!$A$1:$O$85,15,0)),0,VLOOKUP($S$234,'TAR FIN'!$A$1:$O$85,15,0))</f>
        <v>0</v>
      </c>
      <c r="W234" s="65">
        <f>IF(ISERROR(VLOOKUP($T$234,'TAR FIN'!$A$1:$O$85,15,0)),0,VLOOKUP($T$234,'TAR FIN'!$A$1:$O$85,15,0))*(1-0.04)</f>
        <v>903.12</v>
      </c>
      <c r="X234" s="65">
        <f>IF(ISERROR(VLOOKUP($U$234,'TAR FIN'!$A$1:$O$85,15,0)),0,VLOOKUP($U$234,'TAR FIN'!$A$1:$O$85,15,0))*(1-0.04)</f>
        <v>358.76159999999999</v>
      </c>
      <c r="Y234" s="65"/>
      <c r="Z234" s="65">
        <f ca="1">('TUSD BE'!$AM$11+'TUSD BF'!$AM$11+'TUSD CVA'!$AM$11)*1*(1-0.02)</f>
        <v>947.17799690248239</v>
      </c>
      <c r="AA234" s="65">
        <f>('TE BE'!$AB$5+'TE BF'!$AB$5+'TE CVA'!$AB$5)*1*(1-0.02)</f>
        <v>341.02857371747996</v>
      </c>
      <c r="AB234" s="6">
        <f>$K$234*$V$234</f>
        <v>0</v>
      </c>
      <c r="AC234" s="6">
        <f>$M$234*$W$234</f>
        <v>443.43191999999999</v>
      </c>
      <c r="AD234" s="6">
        <f>$O$234*$X$234</f>
        <v>176.1519456</v>
      </c>
      <c r="AE234" s="6">
        <f>$K$234*$Y$234</f>
        <v>0</v>
      </c>
      <c r="AF234" s="6">
        <f ca="1">$M$234*$Z$234</f>
        <v>465.06439647911884</v>
      </c>
      <c r="AG234" s="6">
        <f>$O$234*$AA$234</f>
        <v>167.44502969528267</v>
      </c>
    </row>
    <row r="235" spans="1:33" ht="11.25" customHeight="1" x14ac:dyDescent="0.25">
      <c r="A235" s="4" t="s">
        <v>27</v>
      </c>
      <c r="B235" s="4" t="s">
        <v>34</v>
      </c>
      <c r="C235" s="4" t="s">
        <v>35</v>
      </c>
      <c r="D235" s="4" t="s">
        <v>40</v>
      </c>
      <c r="E235" s="4" t="s">
        <v>25</v>
      </c>
      <c r="F235" s="4" t="s">
        <v>25</v>
      </c>
      <c r="G235" s="4" t="s">
        <v>25</v>
      </c>
      <c r="H235" s="4" t="s">
        <v>36</v>
      </c>
      <c r="I235" s="5">
        <v>44713</v>
      </c>
      <c r="J235" s="6">
        <v>0</v>
      </c>
      <c r="K235" s="65">
        <v>0</v>
      </c>
      <c r="L235" s="6">
        <v>0.42299999999999999</v>
      </c>
      <c r="M235" s="65">
        <v>0.42299999999999999</v>
      </c>
      <c r="N235" s="6">
        <v>0.42299999999999999</v>
      </c>
      <c r="O235" s="65">
        <v>0.42299999999999999</v>
      </c>
      <c r="P235" s="6">
        <v>0</v>
      </c>
      <c r="Q235" s="4" t="s">
        <v>26</v>
      </c>
      <c r="R235" s="4">
        <v>0</v>
      </c>
      <c r="S235" s="6">
        <v>0</v>
      </c>
      <c r="T235" s="6">
        <v>15</v>
      </c>
      <c r="U235" s="6">
        <v>9</v>
      </c>
      <c r="V235" s="65">
        <f>IF(ISERROR(VLOOKUP($S$235,'TAR FIN'!$A$1:$O$85,15,0)),0,VLOOKUP($S$235,'TAR FIN'!$A$1:$O$85,15,0))</f>
        <v>0</v>
      </c>
      <c r="W235" s="65">
        <f>IF(ISERROR(VLOOKUP($T$235,'TAR FIN'!$A$1:$O$85,15,0)),0,VLOOKUP($T$235,'TAR FIN'!$A$1:$O$85,15,0))*(1-0.04)</f>
        <v>903.12</v>
      </c>
      <c r="X235" s="65">
        <f>IF(ISERROR(VLOOKUP($U$235,'TAR FIN'!$A$1:$O$85,15,0)),0,VLOOKUP($U$235,'TAR FIN'!$A$1:$O$85,15,0))*(1-0.04)</f>
        <v>358.76159999999999</v>
      </c>
      <c r="Y235" s="65"/>
      <c r="Z235" s="65">
        <f ca="1">('TUSD BE'!$AM$11+'TUSD BF'!$AM$11+'TUSD CVA'!$AM$11)*1*(1-0.02)</f>
        <v>947.17799690248239</v>
      </c>
      <c r="AA235" s="65">
        <f>('TE BE'!$AB$5+'TE BF'!$AB$5+'TE CVA'!$AB$5)*1*(1-0.02)</f>
        <v>341.02857371747996</v>
      </c>
      <c r="AB235" s="6">
        <f>$K$235*$V$235</f>
        <v>0</v>
      </c>
      <c r="AC235" s="6">
        <f>$M$235*$W$235</f>
        <v>382.01975999999996</v>
      </c>
      <c r="AD235" s="6">
        <f>$O$235*$X$235</f>
        <v>151.75615679999999</v>
      </c>
      <c r="AE235" s="6">
        <f>$K$235*$Y$235</f>
        <v>0</v>
      </c>
      <c r="AF235" s="6">
        <f ca="1">$M$235*$Z$235</f>
        <v>400.65629268975005</v>
      </c>
      <c r="AG235" s="6">
        <f>$O$235*$AA$235</f>
        <v>144.25508668249401</v>
      </c>
    </row>
    <row r="236" spans="1:33" ht="11.25" customHeight="1" x14ac:dyDescent="0.25">
      <c r="A236" s="4" t="s">
        <v>21</v>
      </c>
      <c r="B236" s="4" t="s">
        <v>22</v>
      </c>
      <c r="C236" s="4" t="s">
        <v>23</v>
      </c>
      <c r="D236" s="4" t="s">
        <v>24</v>
      </c>
      <c r="E236" s="4" t="s">
        <v>24</v>
      </c>
      <c r="F236" s="4" t="s">
        <v>25</v>
      </c>
      <c r="G236" s="4" t="s">
        <v>25</v>
      </c>
      <c r="H236" s="4" t="s">
        <v>25</v>
      </c>
      <c r="I236" s="5">
        <v>44378</v>
      </c>
      <c r="J236" s="6">
        <v>0</v>
      </c>
      <c r="K236" s="6">
        <v>0</v>
      </c>
      <c r="L236" s="6">
        <v>1892.0740000000001</v>
      </c>
      <c r="M236" s="6">
        <v>1892.0740000000001</v>
      </c>
      <c r="N236" s="6">
        <v>1892.0740000000001</v>
      </c>
      <c r="O236" s="6">
        <v>1892.0740000000001</v>
      </c>
      <c r="P236" s="6">
        <v>9963</v>
      </c>
      <c r="Q236" s="4" t="s">
        <v>26</v>
      </c>
      <c r="R236" s="4">
        <v>0</v>
      </c>
      <c r="S236" s="6">
        <v>0</v>
      </c>
      <c r="T236" s="6">
        <v>21</v>
      </c>
      <c r="U236" s="6">
        <v>7</v>
      </c>
      <c r="V236" s="6">
        <f>IF(ISERROR(VLOOKUP($S$236,'TAR FIN'!$A$1:$O$85,15,0)),0,VLOOKUP($S$236,'TAR FIN'!$A$1:$O$85,15,0))</f>
        <v>0</v>
      </c>
      <c r="W236" s="6">
        <f>IF(ISERROR(VLOOKUP($T$236,'TAR FIN'!$A$1:$O$85,15,0)),0,VLOOKUP($T$236,'TAR FIN'!$A$1:$O$85,15,0))</f>
        <v>333.15</v>
      </c>
      <c r="X236" s="6">
        <f>IF(ISERROR(VLOOKUP($U$236,'TAR FIN'!$A$1:$O$85,15,0)),0,VLOOKUP($U$236,'TAR FIN'!$A$1:$O$85,15,0))</f>
        <v>241.85</v>
      </c>
      <c r="Y236" s="6"/>
      <c r="Z236" s="6">
        <f ca="1">('TUSD BE'!$AM$20+'TUSD BF'!$AM$20+'TUSD CVA'!$AM$20)*1</f>
        <v>376.13343594836397</v>
      </c>
      <c r="AA236" s="6">
        <f>('TE BE'!$AB$11+'TE BF'!$AB$11+'TE CVA'!$AB$11)*1</f>
        <v>227.55060294064452</v>
      </c>
      <c r="AB236" s="6">
        <f>$K$236*$V$236</f>
        <v>0</v>
      </c>
      <c r="AC236" s="6">
        <f>$M$236*$W$236</f>
        <v>630344.45309999993</v>
      </c>
      <c r="AD236" s="6">
        <f>$O$236*$X$236</f>
        <v>457598.0969</v>
      </c>
      <c r="AE236" s="6">
        <f>$K$236*$Y$236</f>
        <v>0</v>
      </c>
      <c r="AF236" s="6">
        <f ca="1">$M$236*$Z$236</f>
        <v>711672.29468856484</v>
      </c>
      <c r="AG236" s="6">
        <f>$O$236*$AA$236</f>
        <v>430542.57950831705</v>
      </c>
    </row>
    <row r="237" spans="1:33" ht="11.25" customHeight="1" x14ac:dyDescent="0.25">
      <c r="A237" s="4" t="s">
        <v>27</v>
      </c>
      <c r="B237" s="4" t="s">
        <v>22</v>
      </c>
      <c r="C237" s="4" t="s">
        <v>23</v>
      </c>
      <c r="D237" s="4" t="s">
        <v>24</v>
      </c>
      <c r="E237" s="4" t="s">
        <v>24</v>
      </c>
      <c r="F237" s="4" t="s">
        <v>25</v>
      </c>
      <c r="G237" s="4" t="s">
        <v>25</v>
      </c>
      <c r="H237" s="4" t="s">
        <v>25</v>
      </c>
      <c r="I237" s="5">
        <v>44378</v>
      </c>
      <c r="J237" s="6">
        <v>0</v>
      </c>
      <c r="K237" s="6">
        <v>0</v>
      </c>
      <c r="L237" s="6">
        <v>20.032</v>
      </c>
      <c r="M237" s="6">
        <v>20.032</v>
      </c>
      <c r="N237" s="6">
        <v>20.032</v>
      </c>
      <c r="O237" s="6">
        <v>20.032</v>
      </c>
      <c r="P237" s="6">
        <v>148</v>
      </c>
      <c r="Q237" s="4" t="s">
        <v>26</v>
      </c>
      <c r="R237" s="4">
        <v>0</v>
      </c>
      <c r="S237" s="6">
        <v>0</v>
      </c>
      <c r="T237" s="6">
        <v>21</v>
      </c>
      <c r="U237" s="6">
        <v>7</v>
      </c>
      <c r="V237" s="6">
        <f>IF(ISERROR(VLOOKUP($S$237,'TAR FIN'!$A$1:$O$85,15,0)),0,VLOOKUP($S$237,'TAR FIN'!$A$1:$O$85,15,0))</f>
        <v>0</v>
      </c>
      <c r="W237" s="6">
        <f>IF(ISERROR(VLOOKUP($T$237,'TAR FIN'!$A$1:$O$85,15,0)),0,VLOOKUP($T$237,'TAR FIN'!$A$1:$O$85,15,0))</f>
        <v>333.15</v>
      </c>
      <c r="X237" s="6">
        <f>IF(ISERROR(VLOOKUP($U$237,'TAR FIN'!$A$1:$O$85,15,0)),0,VLOOKUP($U$237,'TAR FIN'!$A$1:$O$85,15,0))</f>
        <v>241.85</v>
      </c>
      <c r="Y237" s="6"/>
      <c r="Z237" s="6">
        <f ca="1">('TUSD BE'!$AM$20+'TUSD BF'!$AM$20+'TUSD CVA'!$AM$20)*1</f>
        <v>376.13343594836397</v>
      </c>
      <c r="AA237" s="6">
        <f>('TE BE'!$AB$11+'TE BF'!$AB$11+'TE CVA'!$AB$11)*1</f>
        <v>227.55060294064452</v>
      </c>
      <c r="AB237" s="6">
        <f>$K$237*$V$237</f>
        <v>0</v>
      </c>
      <c r="AC237" s="6">
        <f>$M$237*$W$237</f>
        <v>6673.6607999999997</v>
      </c>
      <c r="AD237" s="6">
        <f>$O$237*$X$237</f>
        <v>4844.7392</v>
      </c>
      <c r="AE237" s="6">
        <f>$K$237*$Y$237</f>
        <v>0</v>
      </c>
      <c r="AF237" s="6">
        <f ca="1">$M$237*$Z$237</f>
        <v>7534.7049889176269</v>
      </c>
      <c r="AG237" s="6">
        <f>$O$237*$AA$237</f>
        <v>4558.2936781069911</v>
      </c>
    </row>
    <row r="238" spans="1:33" ht="11.25" customHeight="1" x14ac:dyDescent="0.25">
      <c r="A238" s="4" t="s">
        <v>21</v>
      </c>
      <c r="B238" s="4" t="s">
        <v>22</v>
      </c>
      <c r="C238" s="4" t="s">
        <v>23</v>
      </c>
      <c r="D238" s="4" t="s">
        <v>24</v>
      </c>
      <c r="E238" s="4" t="s">
        <v>24</v>
      </c>
      <c r="F238" s="4" t="s">
        <v>25</v>
      </c>
      <c r="G238" s="4" t="s">
        <v>25</v>
      </c>
      <c r="H238" s="4" t="s">
        <v>25</v>
      </c>
      <c r="I238" s="5">
        <v>44409</v>
      </c>
      <c r="J238" s="6">
        <v>0</v>
      </c>
      <c r="K238" s="6">
        <v>0</v>
      </c>
      <c r="L238" s="6">
        <v>1795.481</v>
      </c>
      <c r="M238" s="6">
        <v>1795.481</v>
      </c>
      <c r="N238" s="6">
        <v>1795.481</v>
      </c>
      <c r="O238" s="6">
        <v>1795.481</v>
      </c>
      <c r="P238" s="6">
        <v>9953</v>
      </c>
      <c r="Q238" s="4" t="s">
        <v>26</v>
      </c>
      <c r="R238" s="4">
        <v>0</v>
      </c>
      <c r="S238" s="6">
        <v>0</v>
      </c>
      <c r="T238" s="6">
        <v>21</v>
      </c>
      <c r="U238" s="6">
        <v>7</v>
      </c>
      <c r="V238" s="6">
        <f>IF(ISERROR(VLOOKUP($S$238,'TAR FIN'!$A$1:$O$85,15,0)),0,VLOOKUP($S$238,'TAR FIN'!$A$1:$O$85,15,0))</f>
        <v>0</v>
      </c>
      <c r="W238" s="6">
        <f>IF(ISERROR(VLOOKUP($T$238,'TAR FIN'!$A$1:$O$85,15,0)),0,VLOOKUP($T$238,'TAR FIN'!$A$1:$O$85,15,0))</f>
        <v>333.15</v>
      </c>
      <c r="X238" s="6">
        <f>IF(ISERROR(VLOOKUP($U$238,'TAR FIN'!$A$1:$O$85,15,0)),0,VLOOKUP($U$238,'TAR FIN'!$A$1:$O$85,15,0))</f>
        <v>241.85</v>
      </c>
      <c r="Y238" s="6"/>
      <c r="Z238" s="6">
        <f ca="1">('TUSD BE'!$AM$20+'TUSD BF'!$AM$20+'TUSD CVA'!$AM$20)*1</f>
        <v>376.13343594836397</v>
      </c>
      <c r="AA238" s="6">
        <f>('TE BE'!$AB$11+'TE BF'!$AB$11+'TE CVA'!$AB$11)*1</f>
        <v>227.55060294064452</v>
      </c>
      <c r="AB238" s="6">
        <f>$K$238*$V$238</f>
        <v>0</v>
      </c>
      <c r="AC238" s="6">
        <f>$M$238*$W$238</f>
        <v>598164.49514999997</v>
      </c>
      <c r="AD238" s="6">
        <f>$O$238*$X$238</f>
        <v>434237.07984999998</v>
      </c>
      <c r="AE238" s="6">
        <f>$K$238*$Y$238</f>
        <v>0</v>
      </c>
      <c r="AF238" s="6">
        <f ca="1">$M$238*$Z$238</f>
        <v>675340.43771000451</v>
      </c>
      <c r="AG238" s="6">
        <f>$O$238*$AA$238</f>
        <v>408562.78411847138</v>
      </c>
    </row>
    <row r="239" spans="1:33" ht="11.25" customHeight="1" x14ac:dyDescent="0.25">
      <c r="A239" s="4" t="s">
        <v>27</v>
      </c>
      <c r="B239" s="4" t="s">
        <v>22</v>
      </c>
      <c r="C239" s="4" t="s">
        <v>23</v>
      </c>
      <c r="D239" s="4" t="s">
        <v>24</v>
      </c>
      <c r="E239" s="4" t="s">
        <v>24</v>
      </c>
      <c r="F239" s="4" t="s">
        <v>25</v>
      </c>
      <c r="G239" s="4" t="s">
        <v>25</v>
      </c>
      <c r="H239" s="4" t="s">
        <v>25</v>
      </c>
      <c r="I239" s="5">
        <v>44409</v>
      </c>
      <c r="J239" s="6">
        <v>0</v>
      </c>
      <c r="K239" s="6">
        <v>0</v>
      </c>
      <c r="L239" s="6">
        <v>17.588000000000001</v>
      </c>
      <c r="M239" s="6">
        <v>17.588000000000001</v>
      </c>
      <c r="N239" s="6">
        <v>17.588000000000001</v>
      </c>
      <c r="O239" s="6">
        <v>17.588000000000001</v>
      </c>
      <c r="P239" s="6">
        <v>156</v>
      </c>
      <c r="Q239" s="4" t="s">
        <v>26</v>
      </c>
      <c r="R239" s="4">
        <v>0</v>
      </c>
      <c r="S239" s="6">
        <v>0</v>
      </c>
      <c r="T239" s="6">
        <v>21</v>
      </c>
      <c r="U239" s="6">
        <v>7</v>
      </c>
      <c r="V239" s="6">
        <f>IF(ISERROR(VLOOKUP($S$239,'TAR FIN'!$A$1:$O$85,15,0)),0,VLOOKUP($S$239,'TAR FIN'!$A$1:$O$85,15,0))</f>
        <v>0</v>
      </c>
      <c r="W239" s="6">
        <f>IF(ISERROR(VLOOKUP($T$239,'TAR FIN'!$A$1:$O$85,15,0)),0,VLOOKUP($T$239,'TAR FIN'!$A$1:$O$85,15,0))</f>
        <v>333.15</v>
      </c>
      <c r="X239" s="6">
        <f>IF(ISERROR(VLOOKUP($U$239,'TAR FIN'!$A$1:$O$85,15,0)),0,VLOOKUP($U$239,'TAR FIN'!$A$1:$O$85,15,0))</f>
        <v>241.85</v>
      </c>
      <c r="Y239" s="6"/>
      <c r="Z239" s="6">
        <f ca="1">('TUSD BE'!$AM$20+'TUSD BF'!$AM$20+'TUSD CVA'!$AM$20)*1</f>
        <v>376.13343594836397</v>
      </c>
      <c r="AA239" s="6">
        <f>('TE BE'!$AB$11+'TE BF'!$AB$11+'TE CVA'!$AB$11)*1</f>
        <v>227.55060294064452</v>
      </c>
      <c r="AB239" s="6">
        <f>$K$239*$V$239</f>
        <v>0</v>
      </c>
      <c r="AC239" s="6">
        <f>$M$239*$W$239</f>
        <v>5859.4421999999995</v>
      </c>
      <c r="AD239" s="6">
        <f>$O$239*$X$239</f>
        <v>4253.6578</v>
      </c>
      <c r="AE239" s="6">
        <f>$K$239*$Y$239</f>
        <v>0</v>
      </c>
      <c r="AF239" s="6">
        <f ca="1">$M$239*$Z$239</f>
        <v>6615.4348714598254</v>
      </c>
      <c r="AG239" s="6">
        <f>$O$239*$AA$239</f>
        <v>4002.1600045200562</v>
      </c>
    </row>
    <row r="240" spans="1:33" ht="11.25" customHeight="1" x14ac:dyDescent="0.25">
      <c r="A240" s="4" t="s">
        <v>21</v>
      </c>
      <c r="B240" s="4" t="s">
        <v>22</v>
      </c>
      <c r="C240" s="4" t="s">
        <v>23</v>
      </c>
      <c r="D240" s="4" t="s">
        <v>24</v>
      </c>
      <c r="E240" s="4" t="s">
        <v>24</v>
      </c>
      <c r="F240" s="4" t="s">
        <v>25</v>
      </c>
      <c r="G240" s="4" t="s">
        <v>25</v>
      </c>
      <c r="H240" s="4" t="s">
        <v>25</v>
      </c>
      <c r="I240" s="5">
        <v>44440</v>
      </c>
      <c r="J240" s="6">
        <v>0</v>
      </c>
      <c r="K240" s="6">
        <v>0</v>
      </c>
      <c r="L240" s="6">
        <v>1605.943</v>
      </c>
      <c r="M240" s="6">
        <v>1605.943</v>
      </c>
      <c r="N240" s="6">
        <v>1605.943</v>
      </c>
      <c r="O240" s="6">
        <v>1605.943</v>
      </c>
      <c r="P240" s="6">
        <v>9943</v>
      </c>
      <c r="Q240" s="4" t="s">
        <v>26</v>
      </c>
      <c r="R240" s="4">
        <v>0</v>
      </c>
      <c r="S240" s="6">
        <v>0</v>
      </c>
      <c r="T240" s="6">
        <v>21</v>
      </c>
      <c r="U240" s="6">
        <v>7</v>
      </c>
      <c r="V240" s="6">
        <f>IF(ISERROR(VLOOKUP($S$240,'TAR FIN'!$A$1:$O$85,15,0)),0,VLOOKUP($S$240,'TAR FIN'!$A$1:$O$85,15,0))</f>
        <v>0</v>
      </c>
      <c r="W240" s="6">
        <f>IF(ISERROR(VLOOKUP($T$240,'TAR FIN'!$A$1:$O$85,15,0)),0,VLOOKUP($T$240,'TAR FIN'!$A$1:$O$85,15,0))</f>
        <v>333.15</v>
      </c>
      <c r="X240" s="6">
        <f>IF(ISERROR(VLOOKUP($U$240,'TAR FIN'!$A$1:$O$85,15,0)),0,VLOOKUP($U$240,'TAR FIN'!$A$1:$O$85,15,0))</f>
        <v>241.85</v>
      </c>
      <c r="Y240" s="6"/>
      <c r="Z240" s="6">
        <f ca="1">('TUSD BE'!$AM$20+'TUSD BF'!$AM$20+'TUSD CVA'!$AM$20)*1</f>
        <v>376.13343594836397</v>
      </c>
      <c r="AA240" s="6">
        <f>('TE BE'!$AB$11+'TE BF'!$AB$11+'TE CVA'!$AB$11)*1</f>
        <v>227.55060294064452</v>
      </c>
      <c r="AB240" s="6">
        <f>$K$240*$V$240</f>
        <v>0</v>
      </c>
      <c r="AC240" s="6">
        <f>$M$240*$W$240</f>
        <v>535019.91044999997</v>
      </c>
      <c r="AD240" s="6">
        <f>$O$240*$X$240</f>
        <v>388397.31455000001</v>
      </c>
      <c r="AE240" s="6">
        <f>$K$240*$Y$240</f>
        <v>0</v>
      </c>
      <c r="AF240" s="6">
        <f ca="1">$M$240*$Z$240</f>
        <v>604048.85852722346</v>
      </c>
      <c r="AG240" s="6">
        <f>$O$240*$AA$240</f>
        <v>365433.29793830746</v>
      </c>
    </row>
    <row r="241" spans="1:33" ht="11.25" customHeight="1" x14ac:dyDescent="0.25">
      <c r="A241" s="4" t="s">
        <v>27</v>
      </c>
      <c r="B241" s="4" t="s">
        <v>22</v>
      </c>
      <c r="C241" s="4" t="s">
        <v>23</v>
      </c>
      <c r="D241" s="4" t="s">
        <v>24</v>
      </c>
      <c r="E241" s="4" t="s">
        <v>24</v>
      </c>
      <c r="F241" s="4" t="s">
        <v>25</v>
      </c>
      <c r="G241" s="4" t="s">
        <v>25</v>
      </c>
      <c r="H241" s="4" t="s">
        <v>25</v>
      </c>
      <c r="I241" s="5">
        <v>44440</v>
      </c>
      <c r="J241" s="6">
        <v>0</v>
      </c>
      <c r="K241" s="6">
        <v>0</v>
      </c>
      <c r="L241" s="6">
        <v>17.021999999999998</v>
      </c>
      <c r="M241" s="6">
        <v>17.021999999999998</v>
      </c>
      <c r="N241" s="6">
        <v>17.021999999999998</v>
      </c>
      <c r="O241" s="6">
        <v>17.021999999999998</v>
      </c>
      <c r="P241" s="6">
        <v>178</v>
      </c>
      <c r="Q241" s="4" t="s">
        <v>26</v>
      </c>
      <c r="R241" s="4">
        <v>0</v>
      </c>
      <c r="S241" s="6">
        <v>0</v>
      </c>
      <c r="T241" s="6">
        <v>21</v>
      </c>
      <c r="U241" s="6">
        <v>7</v>
      </c>
      <c r="V241" s="6">
        <f>IF(ISERROR(VLOOKUP($S$241,'TAR FIN'!$A$1:$O$85,15,0)),0,VLOOKUP($S$241,'TAR FIN'!$A$1:$O$85,15,0))</f>
        <v>0</v>
      </c>
      <c r="W241" s="6">
        <f>IF(ISERROR(VLOOKUP($T$241,'TAR FIN'!$A$1:$O$85,15,0)),0,VLOOKUP($T$241,'TAR FIN'!$A$1:$O$85,15,0))</f>
        <v>333.15</v>
      </c>
      <c r="X241" s="6">
        <f>IF(ISERROR(VLOOKUP($U$241,'TAR FIN'!$A$1:$O$85,15,0)),0,VLOOKUP($U$241,'TAR FIN'!$A$1:$O$85,15,0))</f>
        <v>241.85</v>
      </c>
      <c r="Y241" s="6"/>
      <c r="Z241" s="6">
        <f ca="1">('TUSD BE'!$AM$20+'TUSD BF'!$AM$20+'TUSD CVA'!$AM$20)*1</f>
        <v>376.13343594836397</v>
      </c>
      <c r="AA241" s="6">
        <f>('TE BE'!$AB$11+'TE BF'!$AB$11+'TE CVA'!$AB$11)*1</f>
        <v>227.55060294064452</v>
      </c>
      <c r="AB241" s="6">
        <f>$K$241*$V$241</f>
        <v>0</v>
      </c>
      <c r="AC241" s="6">
        <f>$M$241*$W$241</f>
        <v>5670.8792999999987</v>
      </c>
      <c r="AD241" s="6">
        <f>$O$241*$X$241</f>
        <v>4116.7706999999991</v>
      </c>
      <c r="AE241" s="6">
        <f>$K$241*$Y$241</f>
        <v>0</v>
      </c>
      <c r="AF241" s="6">
        <f ca="1">$M$241*$Z$241</f>
        <v>6402.5433467130506</v>
      </c>
      <c r="AG241" s="6">
        <f>$O$241*$AA$241</f>
        <v>3873.3663632556509</v>
      </c>
    </row>
    <row r="242" spans="1:33" ht="11.25" customHeight="1" x14ac:dyDescent="0.25">
      <c r="A242" s="4" t="s">
        <v>21</v>
      </c>
      <c r="B242" s="4" t="s">
        <v>22</v>
      </c>
      <c r="C242" s="4" t="s">
        <v>23</v>
      </c>
      <c r="D242" s="4" t="s">
        <v>24</v>
      </c>
      <c r="E242" s="4" t="s">
        <v>24</v>
      </c>
      <c r="F242" s="4" t="s">
        <v>25</v>
      </c>
      <c r="G242" s="4" t="s">
        <v>25</v>
      </c>
      <c r="H242" s="4" t="s">
        <v>25</v>
      </c>
      <c r="I242" s="5">
        <v>44470</v>
      </c>
      <c r="J242" s="6">
        <v>0</v>
      </c>
      <c r="K242" s="6">
        <v>0</v>
      </c>
      <c r="L242" s="6">
        <v>1543.865</v>
      </c>
      <c r="M242" s="6">
        <v>1543.865</v>
      </c>
      <c r="N242" s="6">
        <v>1543.865</v>
      </c>
      <c r="O242" s="6">
        <v>1543.865</v>
      </c>
      <c r="P242" s="6">
        <v>9932</v>
      </c>
      <c r="Q242" s="4" t="s">
        <v>26</v>
      </c>
      <c r="R242" s="4">
        <v>0</v>
      </c>
      <c r="S242" s="6">
        <v>0</v>
      </c>
      <c r="T242" s="6">
        <v>21</v>
      </c>
      <c r="U242" s="6">
        <v>7</v>
      </c>
      <c r="V242" s="6">
        <f>IF(ISERROR(VLOOKUP($S$242,'TAR FIN'!$A$1:$O$85,15,0)),0,VLOOKUP($S$242,'TAR FIN'!$A$1:$O$85,15,0))</f>
        <v>0</v>
      </c>
      <c r="W242" s="6">
        <f>IF(ISERROR(VLOOKUP($T$242,'TAR FIN'!$A$1:$O$85,15,0)),0,VLOOKUP($T$242,'TAR FIN'!$A$1:$O$85,15,0))</f>
        <v>333.15</v>
      </c>
      <c r="X242" s="6">
        <f>IF(ISERROR(VLOOKUP($U$242,'TAR FIN'!$A$1:$O$85,15,0)),0,VLOOKUP($U$242,'TAR FIN'!$A$1:$O$85,15,0))</f>
        <v>241.85</v>
      </c>
      <c r="Y242" s="6"/>
      <c r="Z242" s="6">
        <f ca="1">('TUSD BE'!$AM$20+'TUSD BF'!$AM$20+'TUSD CVA'!$AM$20)*1</f>
        <v>376.13343594836397</v>
      </c>
      <c r="AA242" s="6">
        <f>('TE BE'!$AB$11+'TE BF'!$AB$11+'TE CVA'!$AB$11)*1</f>
        <v>227.55060294064452</v>
      </c>
      <c r="AB242" s="6">
        <f>$K$242*$V$242</f>
        <v>0</v>
      </c>
      <c r="AC242" s="6">
        <f>$M$242*$W$242</f>
        <v>514338.62474999996</v>
      </c>
      <c r="AD242" s="6">
        <f>$O$242*$X$242</f>
        <v>373383.75024999998</v>
      </c>
      <c r="AE242" s="6">
        <f>$K$242*$Y$242</f>
        <v>0</v>
      </c>
      <c r="AF242" s="6">
        <f ca="1">$M$242*$Z$242</f>
        <v>580699.24709042092</v>
      </c>
      <c r="AG242" s="6">
        <f>$O$242*$AA$242</f>
        <v>351307.41160895815</v>
      </c>
    </row>
    <row r="243" spans="1:33" ht="11.25" customHeight="1" x14ac:dyDescent="0.25">
      <c r="A243" s="4" t="s">
        <v>27</v>
      </c>
      <c r="B243" s="4" t="s">
        <v>22</v>
      </c>
      <c r="C243" s="4" t="s">
        <v>23</v>
      </c>
      <c r="D243" s="4" t="s">
        <v>24</v>
      </c>
      <c r="E243" s="4" t="s">
        <v>24</v>
      </c>
      <c r="F243" s="4" t="s">
        <v>25</v>
      </c>
      <c r="G243" s="4" t="s">
        <v>25</v>
      </c>
      <c r="H243" s="4" t="s">
        <v>25</v>
      </c>
      <c r="I243" s="5">
        <v>44470</v>
      </c>
      <c r="J243" s="6">
        <v>0</v>
      </c>
      <c r="K243" s="6">
        <v>0</v>
      </c>
      <c r="L243" s="6">
        <v>16.579999999999998</v>
      </c>
      <c r="M243" s="6">
        <v>16.579999999999998</v>
      </c>
      <c r="N243" s="6">
        <v>16.579999999999998</v>
      </c>
      <c r="O243" s="6">
        <v>16.579999999999998</v>
      </c>
      <c r="P243" s="6">
        <v>198</v>
      </c>
      <c r="Q243" s="4" t="s">
        <v>26</v>
      </c>
      <c r="R243" s="4">
        <v>0</v>
      </c>
      <c r="S243" s="6">
        <v>0</v>
      </c>
      <c r="T243" s="6">
        <v>21</v>
      </c>
      <c r="U243" s="6">
        <v>7</v>
      </c>
      <c r="V243" s="6">
        <f>IF(ISERROR(VLOOKUP($S$243,'TAR FIN'!$A$1:$O$85,15,0)),0,VLOOKUP($S$243,'TAR FIN'!$A$1:$O$85,15,0))</f>
        <v>0</v>
      </c>
      <c r="W243" s="6">
        <f>IF(ISERROR(VLOOKUP($T$243,'TAR FIN'!$A$1:$O$85,15,0)),0,VLOOKUP($T$243,'TAR FIN'!$A$1:$O$85,15,0))</f>
        <v>333.15</v>
      </c>
      <c r="X243" s="6">
        <f>IF(ISERROR(VLOOKUP($U$243,'TAR FIN'!$A$1:$O$85,15,0)),0,VLOOKUP($U$243,'TAR FIN'!$A$1:$O$85,15,0))</f>
        <v>241.85</v>
      </c>
      <c r="Y243" s="6"/>
      <c r="Z243" s="6">
        <f ca="1">('TUSD BE'!$AM$20+'TUSD BF'!$AM$20+'TUSD CVA'!$AM$20)*1</f>
        <v>376.13343594836397</v>
      </c>
      <c r="AA243" s="6">
        <f>('TE BE'!$AB$11+'TE BF'!$AB$11+'TE CVA'!$AB$11)*1</f>
        <v>227.55060294064452</v>
      </c>
      <c r="AB243" s="6">
        <f>$K$243*$V$243</f>
        <v>0</v>
      </c>
      <c r="AC243" s="6">
        <f>$M$243*$W$243</f>
        <v>5523.6269999999995</v>
      </c>
      <c r="AD243" s="6">
        <f>$O$243*$X$243</f>
        <v>4009.8729999999996</v>
      </c>
      <c r="AE243" s="6">
        <f>$K$243*$Y$243</f>
        <v>0</v>
      </c>
      <c r="AF243" s="6">
        <f ca="1">$M$243*$Z$243</f>
        <v>6236.2923680238737</v>
      </c>
      <c r="AG243" s="6">
        <f>$O$243*$AA$243</f>
        <v>3772.7889967558858</v>
      </c>
    </row>
    <row r="244" spans="1:33" ht="11.25" customHeight="1" x14ac:dyDescent="0.25">
      <c r="A244" s="4" t="s">
        <v>21</v>
      </c>
      <c r="B244" s="4" t="s">
        <v>22</v>
      </c>
      <c r="C244" s="4" t="s">
        <v>23</v>
      </c>
      <c r="D244" s="4" t="s">
        <v>24</v>
      </c>
      <c r="E244" s="4" t="s">
        <v>24</v>
      </c>
      <c r="F244" s="4" t="s">
        <v>25</v>
      </c>
      <c r="G244" s="4" t="s">
        <v>25</v>
      </c>
      <c r="H244" s="4" t="s">
        <v>25</v>
      </c>
      <c r="I244" s="5">
        <v>44501</v>
      </c>
      <c r="J244" s="6">
        <v>0</v>
      </c>
      <c r="K244" s="6">
        <v>0</v>
      </c>
      <c r="L244" s="6">
        <v>1639.9559999999999</v>
      </c>
      <c r="M244" s="6">
        <v>1639.9559999999999</v>
      </c>
      <c r="N244" s="6">
        <v>1639.9559999999999</v>
      </c>
      <c r="O244" s="6">
        <v>1639.9559999999999</v>
      </c>
      <c r="P244" s="6">
        <v>9935</v>
      </c>
      <c r="Q244" s="4" t="s">
        <v>26</v>
      </c>
      <c r="R244" s="4">
        <v>0</v>
      </c>
      <c r="S244" s="6">
        <v>0</v>
      </c>
      <c r="T244" s="6">
        <v>21</v>
      </c>
      <c r="U244" s="6">
        <v>7</v>
      </c>
      <c r="V244" s="6">
        <f>IF(ISERROR(VLOOKUP($S$244,'TAR FIN'!$A$1:$O$85,15,0)),0,VLOOKUP($S$244,'TAR FIN'!$A$1:$O$85,15,0))</f>
        <v>0</v>
      </c>
      <c r="W244" s="6">
        <f>IF(ISERROR(VLOOKUP($T$244,'TAR FIN'!$A$1:$O$85,15,0)),0,VLOOKUP($T$244,'TAR FIN'!$A$1:$O$85,15,0))</f>
        <v>333.15</v>
      </c>
      <c r="X244" s="6">
        <f>IF(ISERROR(VLOOKUP($U$244,'TAR FIN'!$A$1:$O$85,15,0)),0,VLOOKUP($U$244,'TAR FIN'!$A$1:$O$85,15,0))</f>
        <v>241.85</v>
      </c>
      <c r="Y244" s="6"/>
      <c r="Z244" s="6">
        <f ca="1">('TUSD BE'!$AM$20+'TUSD BF'!$AM$20+'TUSD CVA'!$AM$20)*1</f>
        <v>376.13343594836397</v>
      </c>
      <c r="AA244" s="6">
        <f>('TE BE'!$AB$11+'TE BF'!$AB$11+'TE CVA'!$AB$11)*1</f>
        <v>227.55060294064452</v>
      </c>
      <c r="AB244" s="6">
        <f>$K$244*$V$244</f>
        <v>0</v>
      </c>
      <c r="AC244" s="6">
        <f>$M$244*$W$244</f>
        <v>546351.34139999992</v>
      </c>
      <c r="AD244" s="6">
        <f>$O$244*$X$244</f>
        <v>396623.35859999998</v>
      </c>
      <c r="AE244" s="6">
        <f>$K$244*$Y$244</f>
        <v>0</v>
      </c>
      <c r="AF244" s="6">
        <f ca="1">$M$244*$Z$244</f>
        <v>616842.28508413513</v>
      </c>
      <c r="AG244" s="6">
        <f>$O$244*$AA$244</f>
        <v>373172.97659612761</v>
      </c>
    </row>
    <row r="245" spans="1:33" ht="11.25" customHeight="1" x14ac:dyDescent="0.25">
      <c r="A245" s="4" t="s">
        <v>48</v>
      </c>
      <c r="B245" s="4" t="s">
        <v>22</v>
      </c>
      <c r="C245" s="4" t="s">
        <v>23</v>
      </c>
      <c r="D245" s="4" t="s">
        <v>24</v>
      </c>
      <c r="E245" s="4" t="s">
        <v>24</v>
      </c>
      <c r="F245" s="4" t="s">
        <v>25</v>
      </c>
      <c r="G245" s="4" t="s">
        <v>25</v>
      </c>
      <c r="H245" s="4" t="s">
        <v>25</v>
      </c>
      <c r="I245" s="5">
        <v>44501</v>
      </c>
      <c r="J245" s="6">
        <v>0</v>
      </c>
      <c r="K245" s="6">
        <v>0</v>
      </c>
      <c r="L245" s="6">
        <v>-0.16700000000000001</v>
      </c>
      <c r="M245" s="6">
        <v>-0.16700000000000001</v>
      </c>
      <c r="N245" s="6">
        <v>-0.16700000000000001</v>
      </c>
      <c r="O245" s="6">
        <v>-0.16700000000000001</v>
      </c>
      <c r="P245" s="6">
        <v>0</v>
      </c>
      <c r="Q245" s="4" t="s">
        <v>26</v>
      </c>
      <c r="R245" s="4">
        <v>0</v>
      </c>
      <c r="S245" s="6">
        <v>0</v>
      </c>
      <c r="T245" s="6">
        <v>21</v>
      </c>
      <c r="U245" s="6">
        <v>7</v>
      </c>
      <c r="V245" s="6">
        <f>IF(ISERROR(VLOOKUP($S$245,'TAR FIN'!$A$1:$O$85,15,0)),0,VLOOKUP($S$245,'TAR FIN'!$A$1:$O$85,15,0))</f>
        <v>0</v>
      </c>
      <c r="W245" s="6">
        <f>IF(ISERROR(VLOOKUP($T$245,'TAR FIN'!$A$1:$O$85,15,0)),0,VLOOKUP($T$245,'TAR FIN'!$A$1:$O$85,15,0))</f>
        <v>333.15</v>
      </c>
      <c r="X245" s="6">
        <f>IF(ISERROR(VLOOKUP($U$245,'TAR FIN'!$A$1:$O$85,15,0)),0,VLOOKUP($U$245,'TAR FIN'!$A$1:$O$85,15,0))</f>
        <v>241.85</v>
      </c>
      <c r="Y245" s="6"/>
      <c r="Z245" s="6">
        <f ca="1">('TUSD BE'!$AM$20+'TUSD BF'!$AM$20+'TUSD CVA'!$AM$20)*1</f>
        <v>376.13343594836397</v>
      </c>
      <c r="AA245" s="6">
        <f>('TE BE'!$AB$11+'TE BF'!$AB$11+'TE CVA'!$AB$11)*1</f>
        <v>227.55060294064452</v>
      </c>
      <c r="AB245" s="6">
        <f>$K$245*$V$245</f>
        <v>0</v>
      </c>
      <c r="AC245" s="6">
        <f>$M$245*$W$245</f>
        <v>-55.636049999999997</v>
      </c>
      <c r="AD245" s="6">
        <f>$O$245*$X$245</f>
        <v>-40.388950000000001</v>
      </c>
      <c r="AE245" s="6">
        <f>$K$245*$Y$245</f>
        <v>0</v>
      </c>
      <c r="AF245" s="6">
        <f ca="1">$M$245*$Z$245</f>
        <v>-62.814283803376789</v>
      </c>
      <c r="AG245" s="6">
        <f>$O$245*$AA$245</f>
        <v>-38.000950691087638</v>
      </c>
    </row>
    <row r="246" spans="1:33" ht="11.25" customHeight="1" x14ac:dyDescent="0.25">
      <c r="A246" s="4" t="s">
        <v>27</v>
      </c>
      <c r="B246" s="4" t="s">
        <v>22</v>
      </c>
      <c r="C246" s="4" t="s">
        <v>23</v>
      </c>
      <c r="D246" s="4" t="s">
        <v>24</v>
      </c>
      <c r="E246" s="4" t="s">
        <v>24</v>
      </c>
      <c r="F246" s="4" t="s">
        <v>25</v>
      </c>
      <c r="G246" s="4" t="s">
        <v>25</v>
      </c>
      <c r="H246" s="4" t="s">
        <v>25</v>
      </c>
      <c r="I246" s="5">
        <v>44501</v>
      </c>
      <c r="J246" s="6">
        <v>0</v>
      </c>
      <c r="K246" s="6">
        <v>0</v>
      </c>
      <c r="L246" s="6">
        <v>13.473000000000001</v>
      </c>
      <c r="M246" s="6">
        <v>13.473000000000001</v>
      </c>
      <c r="N246" s="6">
        <v>13.473000000000001</v>
      </c>
      <c r="O246" s="6">
        <v>13.473000000000001</v>
      </c>
      <c r="P246" s="6">
        <v>218</v>
      </c>
      <c r="Q246" s="4" t="s">
        <v>26</v>
      </c>
      <c r="R246" s="4">
        <v>0</v>
      </c>
      <c r="S246" s="6">
        <v>0</v>
      </c>
      <c r="T246" s="6">
        <v>21</v>
      </c>
      <c r="U246" s="6">
        <v>7</v>
      </c>
      <c r="V246" s="6">
        <f>IF(ISERROR(VLOOKUP($S$246,'TAR FIN'!$A$1:$O$85,15,0)),0,VLOOKUP($S$246,'TAR FIN'!$A$1:$O$85,15,0))</f>
        <v>0</v>
      </c>
      <c r="W246" s="6">
        <f>IF(ISERROR(VLOOKUP($T$246,'TAR FIN'!$A$1:$O$85,15,0)),0,VLOOKUP($T$246,'TAR FIN'!$A$1:$O$85,15,0))</f>
        <v>333.15</v>
      </c>
      <c r="X246" s="6">
        <f>IF(ISERROR(VLOOKUP($U$246,'TAR FIN'!$A$1:$O$85,15,0)),0,VLOOKUP($U$246,'TAR FIN'!$A$1:$O$85,15,0))</f>
        <v>241.85</v>
      </c>
      <c r="Y246" s="6"/>
      <c r="Z246" s="6">
        <f ca="1">('TUSD BE'!$AM$20+'TUSD BF'!$AM$20+'TUSD CVA'!$AM$20)*1</f>
        <v>376.13343594836397</v>
      </c>
      <c r="AA246" s="6">
        <f>('TE BE'!$AB$11+'TE BF'!$AB$11+'TE CVA'!$AB$11)*1</f>
        <v>227.55060294064452</v>
      </c>
      <c r="AB246" s="6">
        <f>$K$246*$V$246</f>
        <v>0</v>
      </c>
      <c r="AC246" s="6">
        <f>$M$246*$W$246</f>
        <v>4488.5299500000001</v>
      </c>
      <c r="AD246" s="6">
        <f>$O$246*$X$246</f>
        <v>3258.4450500000003</v>
      </c>
      <c r="AE246" s="6">
        <f>$K$246*$Y$246</f>
        <v>0</v>
      </c>
      <c r="AF246" s="6">
        <f ca="1">$M$246*$Z$246</f>
        <v>5067.6457825323077</v>
      </c>
      <c r="AG246" s="6">
        <f>$O$246*$AA$246</f>
        <v>3065.7892734193038</v>
      </c>
    </row>
    <row r="247" spans="1:33" ht="11.25" customHeight="1" x14ac:dyDescent="0.25">
      <c r="A247" s="4" t="s">
        <v>27</v>
      </c>
      <c r="B247" s="4" t="s">
        <v>22</v>
      </c>
      <c r="C247" s="4" t="s">
        <v>23</v>
      </c>
      <c r="D247" s="4" t="s">
        <v>24</v>
      </c>
      <c r="E247" s="4" t="s">
        <v>24</v>
      </c>
      <c r="F247" s="4" t="s">
        <v>25</v>
      </c>
      <c r="G247" s="4" t="s">
        <v>25</v>
      </c>
      <c r="H247" s="4" t="s">
        <v>25</v>
      </c>
      <c r="I247" s="5">
        <v>44501</v>
      </c>
      <c r="J247" s="6">
        <v>0</v>
      </c>
      <c r="K247" s="6">
        <v>0</v>
      </c>
      <c r="L247" s="6">
        <v>0.11700000000000001</v>
      </c>
      <c r="M247" s="6">
        <v>0.11700000000000001</v>
      </c>
      <c r="N247" s="6">
        <v>0.11700000000000001</v>
      </c>
      <c r="O247" s="6">
        <v>0.11700000000000001</v>
      </c>
      <c r="P247" s="6">
        <v>1</v>
      </c>
      <c r="Q247" s="4" t="s">
        <v>26</v>
      </c>
      <c r="R247" s="4">
        <v>0</v>
      </c>
      <c r="S247" s="6">
        <v>0</v>
      </c>
      <c r="T247" s="6">
        <v>21</v>
      </c>
      <c r="U247" s="6">
        <v>7</v>
      </c>
      <c r="V247" s="6">
        <f>IF(ISERROR(VLOOKUP($S$247,'TAR FIN'!$A$1:$O$85,15,0)),0,VLOOKUP($S$247,'TAR FIN'!$A$1:$O$85,15,0))</f>
        <v>0</v>
      </c>
      <c r="W247" s="6">
        <f>IF(ISERROR(VLOOKUP($T$247,'TAR FIN'!$A$1:$O$85,15,0)),0,VLOOKUP($T$247,'TAR FIN'!$A$1:$O$85,15,0))</f>
        <v>333.15</v>
      </c>
      <c r="X247" s="6">
        <f>IF(ISERROR(VLOOKUP($U$247,'TAR FIN'!$A$1:$O$85,15,0)),0,VLOOKUP($U$247,'TAR FIN'!$A$1:$O$85,15,0))</f>
        <v>241.85</v>
      </c>
      <c r="Y247" s="6"/>
      <c r="Z247" s="6">
        <f ca="1">('TUSD BE'!$AM$20+'TUSD BF'!$AM$20+'TUSD CVA'!$AM$20)*1</f>
        <v>376.13343594836397</v>
      </c>
      <c r="AA247" s="6">
        <f>('TE BE'!$AB$11+'TE BF'!$AB$11+'TE CVA'!$AB$11)*1</f>
        <v>227.55060294064452</v>
      </c>
      <c r="AB247" s="6">
        <f>$K$247*$V$247</f>
        <v>0</v>
      </c>
      <c r="AC247" s="6">
        <f>$M$247*$W$247</f>
        <v>38.978549999999998</v>
      </c>
      <c r="AD247" s="6">
        <f>$O$247*$X$247</f>
        <v>28.29645</v>
      </c>
      <c r="AE247" s="6">
        <f>$K$247*$Y$247</f>
        <v>0</v>
      </c>
      <c r="AF247" s="6">
        <f ca="1">$M$247*$Z$247</f>
        <v>44.007612005958585</v>
      </c>
      <c r="AG247" s="6">
        <f>$O$247*$AA$247</f>
        <v>26.62342054405541</v>
      </c>
    </row>
    <row r="248" spans="1:33" ht="11.25" customHeight="1" x14ac:dyDescent="0.25">
      <c r="A248" s="4" t="s">
        <v>21</v>
      </c>
      <c r="B248" s="4" t="s">
        <v>22</v>
      </c>
      <c r="C248" s="4" t="s">
        <v>23</v>
      </c>
      <c r="D248" s="4" t="s">
        <v>24</v>
      </c>
      <c r="E248" s="4" t="s">
        <v>24</v>
      </c>
      <c r="F248" s="4" t="s">
        <v>25</v>
      </c>
      <c r="G248" s="4" t="s">
        <v>25</v>
      </c>
      <c r="H248" s="4" t="s">
        <v>25</v>
      </c>
      <c r="I248" s="5">
        <v>44531</v>
      </c>
      <c r="J248" s="6">
        <v>0</v>
      </c>
      <c r="K248" s="6">
        <v>0</v>
      </c>
      <c r="L248" s="6">
        <v>1644.258</v>
      </c>
      <c r="M248" s="6">
        <v>1644.258</v>
      </c>
      <c r="N248" s="6">
        <v>1644.258</v>
      </c>
      <c r="O248" s="6">
        <v>1644.258</v>
      </c>
      <c r="P248" s="6">
        <v>9827</v>
      </c>
      <c r="Q248" s="4" t="s">
        <v>26</v>
      </c>
      <c r="R248" s="4">
        <v>0</v>
      </c>
      <c r="S248" s="6">
        <v>0</v>
      </c>
      <c r="T248" s="6">
        <v>21</v>
      </c>
      <c r="U248" s="6">
        <v>7</v>
      </c>
      <c r="V248" s="6">
        <f>IF(ISERROR(VLOOKUP($S$248,'TAR FIN'!$A$1:$O$85,15,0)),0,VLOOKUP($S$248,'TAR FIN'!$A$1:$O$85,15,0))</f>
        <v>0</v>
      </c>
      <c r="W248" s="6">
        <f>IF(ISERROR(VLOOKUP($T$248,'TAR FIN'!$A$1:$O$85,15,0)),0,VLOOKUP($T$248,'TAR FIN'!$A$1:$O$85,15,0))</f>
        <v>333.15</v>
      </c>
      <c r="X248" s="6">
        <f>IF(ISERROR(VLOOKUP($U$248,'TAR FIN'!$A$1:$O$85,15,0)),0,VLOOKUP($U$248,'TAR FIN'!$A$1:$O$85,15,0))</f>
        <v>241.85</v>
      </c>
      <c r="Y248" s="6"/>
      <c r="Z248" s="6">
        <f ca="1">('TUSD BE'!$AM$20+'TUSD BF'!$AM$20+'TUSD CVA'!$AM$20)*1</f>
        <v>376.13343594836397</v>
      </c>
      <c r="AA248" s="6">
        <f>('TE BE'!$AB$11+'TE BF'!$AB$11+'TE CVA'!$AB$11)*1</f>
        <v>227.55060294064452</v>
      </c>
      <c r="AB248" s="6">
        <f>$K$248*$V$248</f>
        <v>0</v>
      </c>
      <c r="AC248" s="6">
        <f>$M$248*$W$248</f>
        <v>547784.5527</v>
      </c>
      <c r="AD248" s="6">
        <f>$O$248*$X$248</f>
        <v>397663.79729999998</v>
      </c>
      <c r="AE248" s="6">
        <f>$K$248*$Y$248</f>
        <v>0</v>
      </c>
      <c r="AF248" s="6">
        <f ca="1">$M$248*$Z$248</f>
        <v>618460.41112558509</v>
      </c>
      <c r="AG248" s="6">
        <f>$O$248*$AA$248</f>
        <v>374151.89928997832</v>
      </c>
    </row>
    <row r="249" spans="1:33" ht="11.25" customHeight="1" x14ac:dyDescent="0.25">
      <c r="A249" s="4" t="s">
        <v>27</v>
      </c>
      <c r="B249" s="4" t="s">
        <v>22</v>
      </c>
      <c r="C249" s="4" t="s">
        <v>23</v>
      </c>
      <c r="D249" s="4" t="s">
        <v>24</v>
      </c>
      <c r="E249" s="4" t="s">
        <v>24</v>
      </c>
      <c r="F249" s="4" t="s">
        <v>25</v>
      </c>
      <c r="G249" s="4" t="s">
        <v>25</v>
      </c>
      <c r="H249" s="4" t="s">
        <v>25</v>
      </c>
      <c r="I249" s="5">
        <v>44531</v>
      </c>
      <c r="J249" s="6">
        <v>0</v>
      </c>
      <c r="K249" s="6">
        <v>0</v>
      </c>
      <c r="L249" s="6">
        <v>16.202999999999999</v>
      </c>
      <c r="M249" s="6">
        <v>16.202999999999999</v>
      </c>
      <c r="N249" s="6">
        <v>16.202999999999999</v>
      </c>
      <c r="O249" s="6">
        <v>16.202999999999999</v>
      </c>
      <c r="P249" s="6">
        <v>236</v>
      </c>
      <c r="Q249" s="4" t="s">
        <v>26</v>
      </c>
      <c r="R249" s="4">
        <v>0</v>
      </c>
      <c r="S249" s="6">
        <v>0</v>
      </c>
      <c r="T249" s="6">
        <v>21</v>
      </c>
      <c r="U249" s="6">
        <v>7</v>
      </c>
      <c r="V249" s="6">
        <f>IF(ISERROR(VLOOKUP($S$249,'TAR FIN'!$A$1:$O$85,15,0)),0,VLOOKUP($S$249,'TAR FIN'!$A$1:$O$85,15,0))</f>
        <v>0</v>
      </c>
      <c r="W249" s="6">
        <f>IF(ISERROR(VLOOKUP($T$249,'TAR FIN'!$A$1:$O$85,15,0)),0,VLOOKUP($T$249,'TAR FIN'!$A$1:$O$85,15,0))</f>
        <v>333.15</v>
      </c>
      <c r="X249" s="6">
        <f>IF(ISERROR(VLOOKUP($U$249,'TAR FIN'!$A$1:$O$85,15,0)),0,VLOOKUP($U$249,'TAR FIN'!$A$1:$O$85,15,0))</f>
        <v>241.85</v>
      </c>
      <c r="Y249" s="6"/>
      <c r="Z249" s="6">
        <f ca="1">('TUSD BE'!$AM$20+'TUSD BF'!$AM$20+'TUSD CVA'!$AM$20)*1</f>
        <v>376.13343594836397</v>
      </c>
      <c r="AA249" s="6">
        <f>('TE BE'!$AB$11+'TE BF'!$AB$11+'TE CVA'!$AB$11)*1</f>
        <v>227.55060294064452</v>
      </c>
      <c r="AB249" s="6">
        <f>$K$249*$V$249</f>
        <v>0</v>
      </c>
      <c r="AC249" s="6">
        <f>$M$249*$W$249</f>
        <v>5398.0294499999991</v>
      </c>
      <c r="AD249" s="6">
        <f>$O$249*$X$249</f>
        <v>3918.6955499999999</v>
      </c>
      <c r="AE249" s="6">
        <f>$K$249*$Y$249</f>
        <v>0</v>
      </c>
      <c r="AF249" s="6">
        <f ca="1">$M$249*$Z$249</f>
        <v>6094.4900626713415</v>
      </c>
      <c r="AG249" s="6">
        <f>$O$249*$AA$249</f>
        <v>3687.002419447263</v>
      </c>
    </row>
    <row r="250" spans="1:33" ht="11.25" customHeight="1" x14ac:dyDescent="0.25">
      <c r="A250" s="4" t="s">
        <v>21</v>
      </c>
      <c r="B250" s="4" t="s">
        <v>22</v>
      </c>
      <c r="C250" s="4" t="s">
        <v>23</v>
      </c>
      <c r="D250" s="4" t="s">
        <v>24</v>
      </c>
      <c r="E250" s="4" t="s">
        <v>24</v>
      </c>
      <c r="F250" s="4" t="s">
        <v>25</v>
      </c>
      <c r="G250" s="4" t="s">
        <v>25</v>
      </c>
      <c r="H250" s="4" t="s">
        <v>25</v>
      </c>
      <c r="I250" s="5">
        <v>44562</v>
      </c>
      <c r="J250" s="6">
        <v>0</v>
      </c>
      <c r="K250" s="6">
        <v>0</v>
      </c>
      <c r="L250" s="6">
        <v>1832.442</v>
      </c>
      <c r="M250" s="6">
        <v>1832.442</v>
      </c>
      <c r="N250" s="6">
        <v>1832.442</v>
      </c>
      <c r="O250" s="6">
        <v>1832.442</v>
      </c>
      <c r="P250" s="6">
        <v>9725</v>
      </c>
      <c r="Q250" s="4" t="s">
        <v>26</v>
      </c>
      <c r="R250" s="4">
        <v>0</v>
      </c>
      <c r="S250" s="6">
        <v>0</v>
      </c>
      <c r="T250" s="6">
        <v>21</v>
      </c>
      <c r="U250" s="6">
        <v>7</v>
      </c>
      <c r="V250" s="6">
        <f>IF(ISERROR(VLOOKUP($S$250,'TAR FIN'!$A$1:$O$85,15,0)),0,VLOOKUP($S$250,'TAR FIN'!$A$1:$O$85,15,0))</f>
        <v>0</v>
      </c>
      <c r="W250" s="6">
        <f>IF(ISERROR(VLOOKUP($T$250,'TAR FIN'!$A$1:$O$85,15,0)),0,VLOOKUP($T$250,'TAR FIN'!$A$1:$O$85,15,0))</f>
        <v>333.15</v>
      </c>
      <c r="X250" s="6">
        <f>IF(ISERROR(VLOOKUP($U$250,'TAR FIN'!$A$1:$O$85,15,0)),0,VLOOKUP($U$250,'TAR FIN'!$A$1:$O$85,15,0))</f>
        <v>241.85</v>
      </c>
      <c r="Y250" s="6"/>
      <c r="Z250" s="6">
        <f ca="1">('TUSD BE'!$AM$20+'TUSD BF'!$AM$20+'TUSD CVA'!$AM$20)*1</f>
        <v>376.13343594836397</v>
      </c>
      <c r="AA250" s="6">
        <f>('TE BE'!$AB$11+'TE BF'!$AB$11+'TE CVA'!$AB$11)*1</f>
        <v>227.55060294064452</v>
      </c>
      <c r="AB250" s="6">
        <f>$K$250*$V$250</f>
        <v>0</v>
      </c>
      <c r="AC250" s="6">
        <f>$M$250*$W$250</f>
        <v>610478.05229999998</v>
      </c>
      <c r="AD250" s="6">
        <f>$O$250*$X$250</f>
        <v>443176.09769999998</v>
      </c>
      <c r="AE250" s="6">
        <f>$K$250*$Y$250</f>
        <v>0</v>
      </c>
      <c r="AF250" s="6">
        <f ca="1">$M$250*$Z$250</f>
        <v>689242.705636092</v>
      </c>
      <c r="AG250" s="6">
        <f>$O$250*$AA$250</f>
        <v>416973.28195376054</v>
      </c>
    </row>
    <row r="251" spans="1:33" ht="11.25" customHeight="1" x14ac:dyDescent="0.25">
      <c r="A251" s="4" t="s">
        <v>27</v>
      </c>
      <c r="B251" s="4" t="s">
        <v>22</v>
      </c>
      <c r="C251" s="4" t="s">
        <v>23</v>
      </c>
      <c r="D251" s="4" t="s">
        <v>24</v>
      </c>
      <c r="E251" s="4" t="s">
        <v>24</v>
      </c>
      <c r="F251" s="4" t="s">
        <v>25</v>
      </c>
      <c r="G251" s="4" t="s">
        <v>25</v>
      </c>
      <c r="H251" s="4" t="s">
        <v>25</v>
      </c>
      <c r="I251" s="5">
        <v>44562</v>
      </c>
      <c r="J251" s="6">
        <v>0</v>
      </c>
      <c r="K251" s="6">
        <v>0</v>
      </c>
      <c r="L251" s="6">
        <v>21.170999999999999</v>
      </c>
      <c r="M251" s="6">
        <v>21.170999999999999</v>
      </c>
      <c r="N251" s="6">
        <v>21.170999999999999</v>
      </c>
      <c r="O251" s="6">
        <v>21.170999999999999</v>
      </c>
      <c r="P251" s="6">
        <v>265</v>
      </c>
      <c r="Q251" s="4" t="s">
        <v>26</v>
      </c>
      <c r="R251" s="4">
        <v>0</v>
      </c>
      <c r="S251" s="6">
        <v>0</v>
      </c>
      <c r="T251" s="6">
        <v>21</v>
      </c>
      <c r="U251" s="6">
        <v>7</v>
      </c>
      <c r="V251" s="6">
        <f>IF(ISERROR(VLOOKUP($S$251,'TAR FIN'!$A$1:$O$85,15,0)),0,VLOOKUP($S$251,'TAR FIN'!$A$1:$O$85,15,0))</f>
        <v>0</v>
      </c>
      <c r="W251" s="6">
        <f>IF(ISERROR(VLOOKUP($T$251,'TAR FIN'!$A$1:$O$85,15,0)),0,VLOOKUP($T$251,'TAR FIN'!$A$1:$O$85,15,0))</f>
        <v>333.15</v>
      </c>
      <c r="X251" s="6">
        <f>IF(ISERROR(VLOOKUP($U$251,'TAR FIN'!$A$1:$O$85,15,0)),0,VLOOKUP($U$251,'TAR FIN'!$A$1:$O$85,15,0))</f>
        <v>241.85</v>
      </c>
      <c r="Y251" s="6"/>
      <c r="Z251" s="6">
        <f ca="1">('TUSD BE'!$AM$20+'TUSD BF'!$AM$20+'TUSD CVA'!$AM$20)*1</f>
        <v>376.13343594836397</v>
      </c>
      <c r="AA251" s="6">
        <f>('TE BE'!$AB$11+'TE BF'!$AB$11+'TE CVA'!$AB$11)*1</f>
        <v>227.55060294064452</v>
      </c>
      <c r="AB251" s="6">
        <f>$K$251*$V$251</f>
        <v>0</v>
      </c>
      <c r="AC251" s="6">
        <f>$M$251*$W$251</f>
        <v>7053.1186499999994</v>
      </c>
      <c r="AD251" s="6">
        <f>$O$251*$X$251</f>
        <v>5120.2063499999995</v>
      </c>
      <c r="AE251" s="6">
        <f>$K$251*$Y$251</f>
        <v>0</v>
      </c>
      <c r="AF251" s="6">
        <f ca="1">$M$251*$Z$251</f>
        <v>7963.1209724628134</v>
      </c>
      <c r="AG251" s="6">
        <f>$O$251*$AA$251</f>
        <v>4817.4738148563847</v>
      </c>
    </row>
    <row r="252" spans="1:33" ht="11.25" customHeight="1" x14ac:dyDescent="0.25">
      <c r="A252" s="4" t="s">
        <v>27</v>
      </c>
      <c r="B252" s="4" t="s">
        <v>22</v>
      </c>
      <c r="C252" s="4" t="s">
        <v>23</v>
      </c>
      <c r="D252" s="4" t="s">
        <v>24</v>
      </c>
      <c r="E252" s="4" t="s">
        <v>24</v>
      </c>
      <c r="F252" s="4" t="s">
        <v>25</v>
      </c>
      <c r="G252" s="4" t="s">
        <v>25</v>
      </c>
      <c r="H252" s="4" t="s">
        <v>25</v>
      </c>
      <c r="I252" s="5">
        <v>44562</v>
      </c>
      <c r="J252" s="6">
        <v>0</v>
      </c>
      <c r="K252" s="6">
        <v>0</v>
      </c>
      <c r="L252" s="6">
        <v>-0.2</v>
      </c>
      <c r="M252" s="6">
        <v>-0.2</v>
      </c>
      <c r="N252" s="6">
        <v>-0.2</v>
      </c>
      <c r="O252" s="6">
        <v>-0.2</v>
      </c>
      <c r="P252" s="6">
        <v>2</v>
      </c>
      <c r="Q252" s="4" t="s">
        <v>26</v>
      </c>
      <c r="R252" s="4">
        <v>0</v>
      </c>
      <c r="S252" s="6">
        <v>0</v>
      </c>
      <c r="T252" s="6">
        <v>21</v>
      </c>
      <c r="U252" s="6">
        <v>7</v>
      </c>
      <c r="V252" s="6">
        <f>IF(ISERROR(VLOOKUP($S$252,'TAR FIN'!$A$1:$O$85,15,0)),0,VLOOKUP($S$252,'TAR FIN'!$A$1:$O$85,15,0))</f>
        <v>0</v>
      </c>
      <c r="W252" s="6">
        <f>IF(ISERROR(VLOOKUP($T$252,'TAR FIN'!$A$1:$O$85,15,0)),0,VLOOKUP($T$252,'TAR FIN'!$A$1:$O$85,15,0))</f>
        <v>333.15</v>
      </c>
      <c r="X252" s="6">
        <f>IF(ISERROR(VLOOKUP($U$252,'TAR FIN'!$A$1:$O$85,15,0)),0,VLOOKUP($U$252,'TAR FIN'!$A$1:$O$85,15,0))</f>
        <v>241.85</v>
      </c>
      <c r="Y252" s="6"/>
      <c r="Z252" s="6">
        <f ca="1">('TUSD BE'!$AM$20+'TUSD BF'!$AM$20+'TUSD CVA'!$AM$20)*1</f>
        <v>376.13343594836397</v>
      </c>
      <c r="AA252" s="6">
        <f>('TE BE'!$AB$11+'TE BF'!$AB$11+'TE CVA'!$AB$11)*1</f>
        <v>227.55060294064452</v>
      </c>
      <c r="AB252" s="6">
        <f>$K$252*$V$252</f>
        <v>0</v>
      </c>
      <c r="AC252" s="6">
        <f>$M$252*$W$252</f>
        <v>-66.63</v>
      </c>
      <c r="AD252" s="6">
        <f>$O$252*$X$252</f>
        <v>-48.370000000000005</v>
      </c>
      <c r="AE252" s="6">
        <f>$K$252*$Y$252</f>
        <v>0</v>
      </c>
      <c r="AF252" s="6">
        <f ca="1">$M$252*$Z$252</f>
        <v>-75.226687189672802</v>
      </c>
      <c r="AG252" s="6">
        <f>$O$252*$AA$252</f>
        <v>-45.510120588128906</v>
      </c>
    </row>
    <row r="253" spans="1:33" ht="11.25" customHeight="1" x14ac:dyDescent="0.25">
      <c r="A253" s="4" t="s">
        <v>21</v>
      </c>
      <c r="B253" s="4" t="s">
        <v>22</v>
      </c>
      <c r="C253" s="4" t="s">
        <v>23</v>
      </c>
      <c r="D253" s="4" t="s">
        <v>24</v>
      </c>
      <c r="E253" s="4" t="s">
        <v>24</v>
      </c>
      <c r="F253" s="4" t="s">
        <v>25</v>
      </c>
      <c r="G253" s="4" t="s">
        <v>25</v>
      </c>
      <c r="H253" s="4" t="s">
        <v>25</v>
      </c>
      <c r="I253" s="5">
        <v>44593</v>
      </c>
      <c r="J253" s="6">
        <v>0</v>
      </c>
      <c r="K253" s="6">
        <v>0</v>
      </c>
      <c r="L253" s="6">
        <v>1819.846</v>
      </c>
      <c r="M253" s="6">
        <v>1819.846</v>
      </c>
      <c r="N253" s="6">
        <v>1819.846</v>
      </c>
      <c r="O253" s="6">
        <v>1819.846</v>
      </c>
      <c r="P253" s="6">
        <v>9665</v>
      </c>
      <c r="Q253" s="4" t="s">
        <v>26</v>
      </c>
      <c r="R253" s="4">
        <v>0</v>
      </c>
      <c r="S253" s="6">
        <v>0</v>
      </c>
      <c r="T253" s="6">
        <v>21</v>
      </c>
      <c r="U253" s="6">
        <v>7</v>
      </c>
      <c r="V253" s="6">
        <f>IF(ISERROR(VLOOKUP($S$253,'TAR FIN'!$A$1:$O$85,15,0)),0,VLOOKUP($S$253,'TAR FIN'!$A$1:$O$85,15,0))</f>
        <v>0</v>
      </c>
      <c r="W253" s="6">
        <f>IF(ISERROR(VLOOKUP($T$253,'TAR FIN'!$A$1:$O$85,15,0)),0,VLOOKUP($T$253,'TAR FIN'!$A$1:$O$85,15,0))</f>
        <v>333.15</v>
      </c>
      <c r="X253" s="6">
        <f>IF(ISERROR(VLOOKUP($U$253,'TAR FIN'!$A$1:$O$85,15,0)),0,VLOOKUP($U$253,'TAR FIN'!$A$1:$O$85,15,0))</f>
        <v>241.85</v>
      </c>
      <c r="Y253" s="6"/>
      <c r="Z253" s="6">
        <f ca="1">('TUSD BE'!$AM$20+'TUSD BF'!$AM$20+'TUSD CVA'!$AM$20)*1</f>
        <v>376.13343594836397</v>
      </c>
      <c r="AA253" s="6">
        <f>('TE BE'!$AB$11+'TE BF'!$AB$11+'TE CVA'!$AB$11)*1</f>
        <v>227.55060294064452</v>
      </c>
      <c r="AB253" s="6">
        <f>$K$253*$V$253</f>
        <v>0</v>
      </c>
      <c r="AC253" s="6">
        <f>$M$253*$W$253</f>
        <v>606281.6949</v>
      </c>
      <c r="AD253" s="6">
        <f>$O$253*$X$253</f>
        <v>440129.75510000001</v>
      </c>
      <c r="AE253" s="6">
        <f>$K$253*$Y$253</f>
        <v>0</v>
      </c>
      <c r="AF253" s="6">
        <f ca="1">$M$253*$Z$253</f>
        <v>684504.92887688638</v>
      </c>
      <c r="AG253" s="6">
        <f>$O$253*$AA$253</f>
        <v>414107.05455912015</v>
      </c>
    </row>
    <row r="254" spans="1:33" ht="11.25" customHeight="1" x14ac:dyDescent="0.25">
      <c r="A254" s="4" t="s">
        <v>27</v>
      </c>
      <c r="B254" s="4" t="s">
        <v>22</v>
      </c>
      <c r="C254" s="4" t="s">
        <v>23</v>
      </c>
      <c r="D254" s="4" t="s">
        <v>24</v>
      </c>
      <c r="E254" s="4" t="s">
        <v>24</v>
      </c>
      <c r="F254" s="4" t="s">
        <v>25</v>
      </c>
      <c r="G254" s="4" t="s">
        <v>25</v>
      </c>
      <c r="H254" s="4" t="s">
        <v>25</v>
      </c>
      <c r="I254" s="5">
        <v>44593</v>
      </c>
      <c r="J254" s="6">
        <v>0</v>
      </c>
      <c r="K254" s="6">
        <v>0</v>
      </c>
      <c r="L254" s="6">
        <v>19.988</v>
      </c>
      <c r="M254" s="6">
        <v>19.988</v>
      </c>
      <c r="N254" s="6">
        <v>19.988</v>
      </c>
      <c r="O254" s="6">
        <v>19.988</v>
      </c>
      <c r="P254" s="6">
        <v>288</v>
      </c>
      <c r="Q254" s="4" t="s">
        <v>26</v>
      </c>
      <c r="R254" s="4">
        <v>0</v>
      </c>
      <c r="S254" s="6">
        <v>0</v>
      </c>
      <c r="T254" s="6">
        <v>21</v>
      </c>
      <c r="U254" s="6">
        <v>7</v>
      </c>
      <c r="V254" s="6">
        <f>IF(ISERROR(VLOOKUP($S$254,'TAR FIN'!$A$1:$O$85,15,0)),0,VLOOKUP($S$254,'TAR FIN'!$A$1:$O$85,15,0))</f>
        <v>0</v>
      </c>
      <c r="W254" s="6">
        <f>IF(ISERROR(VLOOKUP($T$254,'TAR FIN'!$A$1:$O$85,15,0)),0,VLOOKUP($T$254,'TAR FIN'!$A$1:$O$85,15,0))</f>
        <v>333.15</v>
      </c>
      <c r="X254" s="6">
        <f>IF(ISERROR(VLOOKUP($U$254,'TAR FIN'!$A$1:$O$85,15,0)),0,VLOOKUP($U$254,'TAR FIN'!$A$1:$O$85,15,0))</f>
        <v>241.85</v>
      </c>
      <c r="Y254" s="6"/>
      <c r="Z254" s="6">
        <f ca="1">('TUSD BE'!$AM$20+'TUSD BF'!$AM$20+'TUSD CVA'!$AM$20)*1</f>
        <v>376.13343594836397</v>
      </c>
      <c r="AA254" s="6">
        <f>('TE BE'!$AB$11+'TE BF'!$AB$11+'TE CVA'!$AB$11)*1</f>
        <v>227.55060294064452</v>
      </c>
      <c r="AB254" s="6">
        <f>$K$254*$V$254</f>
        <v>0</v>
      </c>
      <c r="AC254" s="6">
        <f>$M$254*$W$254</f>
        <v>6659.002199999999</v>
      </c>
      <c r="AD254" s="6">
        <f>$O$254*$X$254</f>
        <v>4834.0977999999996</v>
      </c>
      <c r="AE254" s="6">
        <f>$K$254*$Y$254</f>
        <v>0</v>
      </c>
      <c r="AF254" s="6">
        <f ca="1">$M$254*$Z$254</f>
        <v>7518.1551177358988</v>
      </c>
      <c r="AG254" s="6">
        <f>$O$254*$AA$254</f>
        <v>4548.2814515776026</v>
      </c>
    </row>
    <row r="255" spans="1:33" ht="11.25" customHeight="1" x14ac:dyDescent="0.25">
      <c r="A255" s="4" t="s">
        <v>21</v>
      </c>
      <c r="B255" s="4" t="s">
        <v>22</v>
      </c>
      <c r="C255" s="4" t="s">
        <v>23</v>
      </c>
      <c r="D255" s="4" t="s">
        <v>24</v>
      </c>
      <c r="E255" s="4" t="s">
        <v>24</v>
      </c>
      <c r="F255" s="4" t="s">
        <v>25</v>
      </c>
      <c r="G255" s="4" t="s">
        <v>25</v>
      </c>
      <c r="H255" s="4" t="s">
        <v>25</v>
      </c>
      <c r="I255" s="5">
        <v>44621</v>
      </c>
      <c r="J255" s="6">
        <v>0</v>
      </c>
      <c r="K255" s="6">
        <v>0</v>
      </c>
      <c r="L255" s="6">
        <v>1630.7280000000001</v>
      </c>
      <c r="M255" s="6">
        <v>1630.7280000000001</v>
      </c>
      <c r="N255" s="6">
        <v>1630.7280000000001</v>
      </c>
      <c r="O255" s="6">
        <v>1630.7280000000001</v>
      </c>
      <c r="P255" s="6">
        <v>9614</v>
      </c>
      <c r="Q255" s="4" t="s">
        <v>26</v>
      </c>
      <c r="R255" s="4">
        <v>0</v>
      </c>
      <c r="S255" s="6">
        <v>0</v>
      </c>
      <c r="T255" s="6">
        <v>21</v>
      </c>
      <c r="U255" s="6">
        <v>7</v>
      </c>
      <c r="V255" s="6">
        <f>IF(ISERROR(VLOOKUP($S$255,'TAR FIN'!$A$1:$O$85,15,0)),0,VLOOKUP($S$255,'TAR FIN'!$A$1:$O$85,15,0))</f>
        <v>0</v>
      </c>
      <c r="W255" s="6">
        <f>IF(ISERROR(VLOOKUP($T$255,'TAR FIN'!$A$1:$O$85,15,0)),0,VLOOKUP($T$255,'TAR FIN'!$A$1:$O$85,15,0))</f>
        <v>333.15</v>
      </c>
      <c r="X255" s="6">
        <f>IF(ISERROR(VLOOKUP($U$255,'TAR FIN'!$A$1:$O$85,15,0)),0,VLOOKUP($U$255,'TAR FIN'!$A$1:$O$85,15,0))</f>
        <v>241.85</v>
      </c>
      <c r="Y255" s="6"/>
      <c r="Z255" s="6">
        <f ca="1">('TUSD BE'!$AM$20+'TUSD BF'!$AM$20+'TUSD CVA'!$AM$20)*1</f>
        <v>376.13343594836397</v>
      </c>
      <c r="AA255" s="6">
        <f>('TE BE'!$AB$11+'TE BF'!$AB$11+'TE CVA'!$AB$11)*1</f>
        <v>227.55060294064452</v>
      </c>
      <c r="AB255" s="6">
        <f>$K$255*$V$255</f>
        <v>0</v>
      </c>
      <c r="AC255" s="6">
        <f>$M$255*$W$255</f>
        <v>543277.03319999995</v>
      </c>
      <c r="AD255" s="6">
        <f>$O$255*$X$255</f>
        <v>394391.56680000003</v>
      </c>
      <c r="AE255" s="6">
        <f>$K$255*$Y$255</f>
        <v>0</v>
      </c>
      <c r="AF255" s="6">
        <f ca="1">$M$255*$Z$255</f>
        <v>613371.3257372037</v>
      </c>
      <c r="AG255" s="6">
        <f>$O$255*$AA$255</f>
        <v>371073.13963219139</v>
      </c>
    </row>
    <row r="256" spans="1:33" ht="11.25" customHeight="1" x14ac:dyDescent="0.25">
      <c r="A256" s="4" t="s">
        <v>48</v>
      </c>
      <c r="B256" s="4" t="s">
        <v>22</v>
      </c>
      <c r="C256" s="4" t="s">
        <v>23</v>
      </c>
      <c r="D256" s="4" t="s">
        <v>24</v>
      </c>
      <c r="E256" s="4" t="s">
        <v>24</v>
      </c>
      <c r="F256" s="4" t="s">
        <v>25</v>
      </c>
      <c r="G256" s="4" t="s">
        <v>25</v>
      </c>
      <c r="H256" s="4" t="s">
        <v>25</v>
      </c>
      <c r="I256" s="5">
        <v>44621</v>
      </c>
      <c r="J256" s="6">
        <v>0</v>
      </c>
      <c r="K256" s="6">
        <v>0</v>
      </c>
      <c r="L256" s="6">
        <v>-1.526</v>
      </c>
      <c r="M256" s="6">
        <v>-1.526</v>
      </c>
      <c r="N256" s="6">
        <v>-1.526</v>
      </c>
      <c r="O256" s="6">
        <v>-1.526</v>
      </c>
      <c r="P256" s="6">
        <v>0</v>
      </c>
      <c r="Q256" s="4" t="s">
        <v>26</v>
      </c>
      <c r="R256" s="4">
        <v>0</v>
      </c>
      <c r="S256" s="6">
        <v>0</v>
      </c>
      <c r="T256" s="6">
        <v>21</v>
      </c>
      <c r="U256" s="6">
        <v>7</v>
      </c>
      <c r="V256" s="6">
        <f>IF(ISERROR(VLOOKUP($S$256,'TAR FIN'!$A$1:$O$85,15,0)),0,VLOOKUP($S$256,'TAR FIN'!$A$1:$O$85,15,0))</f>
        <v>0</v>
      </c>
      <c r="W256" s="6">
        <f>IF(ISERROR(VLOOKUP($T$256,'TAR FIN'!$A$1:$O$85,15,0)),0,VLOOKUP($T$256,'TAR FIN'!$A$1:$O$85,15,0))</f>
        <v>333.15</v>
      </c>
      <c r="X256" s="6">
        <f>IF(ISERROR(VLOOKUP($U$256,'TAR FIN'!$A$1:$O$85,15,0)),0,VLOOKUP($U$256,'TAR FIN'!$A$1:$O$85,15,0))</f>
        <v>241.85</v>
      </c>
      <c r="Y256" s="6"/>
      <c r="Z256" s="6">
        <f ca="1">('TUSD BE'!$AM$20+'TUSD BF'!$AM$20+'TUSD CVA'!$AM$20)*1</f>
        <v>376.13343594836397</v>
      </c>
      <c r="AA256" s="6">
        <f>('TE BE'!$AB$11+'TE BF'!$AB$11+'TE CVA'!$AB$11)*1</f>
        <v>227.55060294064452</v>
      </c>
      <c r="AB256" s="6">
        <f>$K$256*$V$256</f>
        <v>0</v>
      </c>
      <c r="AC256" s="6">
        <f>$M$256*$W$256</f>
        <v>-508.38689999999997</v>
      </c>
      <c r="AD256" s="6">
        <f>$O$256*$X$256</f>
        <v>-369.06310000000002</v>
      </c>
      <c r="AE256" s="6">
        <f>$K$256*$Y$256</f>
        <v>0</v>
      </c>
      <c r="AF256" s="6">
        <f ca="1">$M$256*$Z$256</f>
        <v>-573.97962325720346</v>
      </c>
      <c r="AG256" s="6">
        <f>$O$256*$AA$256</f>
        <v>-347.24222008742356</v>
      </c>
    </row>
    <row r="257" spans="1:33" ht="11.25" customHeight="1" x14ac:dyDescent="0.25">
      <c r="A257" s="4" t="s">
        <v>27</v>
      </c>
      <c r="B257" s="4" t="s">
        <v>22</v>
      </c>
      <c r="C257" s="4" t="s">
        <v>23</v>
      </c>
      <c r="D257" s="4" t="s">
        <v>24</v>
      </c>
      <c r="E257" s="4" t="s">
        <v>24</v>
      </c>
      <c r="F257" s="4" t="s">
        <v>25</v>
      </c>
      <c r="G257" s="4" t="s">
        <v>25</v>
      </c>
      <c r="H257" s="4" t="s">
        <v>25</v>
      </c>
      <c r="I257" s="5">
        <v>44621</v>
      </c>
      <c r="J257" s="6">
        <v>0</v>
      </c>
      <c r="K257" s="6">
        <v>0</v>
      </c>
      <c r="L257" s="6">
        <v>23.715</v>
      </c>
      <c r="M257" s="6">
        <v>23.715</v>
      </c>
      <c r="N257" s="6">
        <v>23.715</v>
      </c>
      <c r="O257" s="6">
        <v>23.715</v>
      </c>
      <c r="P257" s="6">
        <v>323</v>
      </c>
      <c r="Q257" s="4" t="s">
        <v>26</v>
      </c>
      <c r="R257" s="4">
        <v>0</v>
      </c>
      <c r="S257" s="6">
        <v>0</v>
      </c>
      <c r="T257" s="6">
        <v>21</v>
      </c>
      <c r="U257" s="6">
        <v>7</v>
      </c>
      <c r="V257" s="6">
        <f>IF(ISERROR(VLOOKUP($S$257,'TAR FIN'!$A$1:$O$85,15,0)),0,VLOOKUP($S$257,'TAR FIN'!$A$1:$O$85,15,0))</f>
        <v>0</v>
      </c>
      <c r="W257" s="6">
        <f>IF(ISERROR(VLOOKUP($T$257,'TAR FIN'!$A$1:$O$85,15,0)),0,VLOOKUP($T$257,'TAR FIN'!$A$1:$O$85,15,0))</f>
        <v>333.15</v>
      </c>
      <c r="X257" s="6">
        <f>IF(ISERROR(VLOOKUP($U$257,'TAR FIN'!$A$1:$O$85,15,0)),0,VLOOKUP($U$257,'TAR FIN'!$A$1:$O$85,15,0))</f>
        <v>241.85</v>
      </c>
      <c r="Y257" s="6"/>
      <c r="Z257" s="6">
        <f ca="1">('TUSD BE'!$AM$20+'TUSD BF'!$AM$20+'TUSD CVA'!$AM$20)*1</f>
        <v>376.13343594836397</v>
      </c>
      <c r="AA257" s="6">
        <f>('TE BE'!$AB$11+'TE BF'!$AB$11+'TE CVA'!$AB$11)*1</f>
        <v>227.55060294064452</v>
      </c>
      <c r="AB257" s="6">
        <f>$K$257*$V$257</f>
        <v>0</v>
      </c>
      <c r="AC257" s="6">
        <f>$M$257*$W$257</f>
        <v>7900.6522499999992</v>
      </c>
      <c r="AD257" s="6">
        <f>$O$257*$X$257</f>
        <v>5735.4727499999999</v>
      </c>
      <c r="AE257" s="6">
        <f>$K$257*$Y$257</f>
        <v>0</v>
      </c>
      <c r="AF257" s="6">
        <f ca="1">$M$257*$Z$257</f>
        <v>8920.0044335154507</v>
      </c>
      <c r="AG257" s="6">
        <f>$O$257*$AA$257</f>
        <v>5396.3625487373847</v>
      </c>
    </row>
    <row r="258" spans="1:33" ht="11.25" customHeight="1" x14ac:dyDescent="0.25">
      <c r="A258" s="4" t="s">
        <v>21</v>
      </c>
      <c r="B258" s="4" t="s">
        <v>22</v>
      </c>
      <c r="C258" s="4" t="s">
        <v>23</v>
      </c>
      <c r="D258" s="4" t="s">
        <v>24</v>
      </c>
      <c r="E258" s="4" t="s">
        <v>24</v>
      </c>
      <c r="F258" s="4" t="s">
        <v>25</v>
      </c>
      <c r="G258" s="4" t="s">
        <v>25</v>
      </c>
      <c r="H258" s="4" t="s">
        <v>25</v>
      </c>
      <c r="I258" s="5">
        <v>44652</v>
      </c>
      <c r="J258" s="6">
        <v>0</v>
      </c>
      <c r="K258" s="6">
        <v>0</v>
      </c>
      <c r="L258" s="6">
        <v>1510.454</v>
      </c>
      <c r="M258" s="6">
        <v>1510.454</v>
      </c>
      <c r="N258" s="6">
        <v>1510.454</v>
      </c>
      <c r="O258" s="6">
        <v>1510.454</v>
      </c>
      <c r="P258" s="6">
        <v>9551</v>
      </c>
      <c r="Q258" s="4" t="s">
        <v>26</v>
      </c>
      <c r="R258" s="4">
        <v>0</v>
      </c>
      <c r="S258" s="6">
        <v>0</v>
      </c>
      <c r="T258" s="6">
        <v>21</v>
      </c>
      <c r="U258" s="6">
        <v>7</v>
      </c>
      <c r="V258" s="6">
        <f>IF(ISERROR(VLOOKUP($S$258,'TAR FIN'!$A$1:$O$85,15,0)),0,VLOOKUP($S$258,'TAR FIN'!$A$1:$O$85,15,0))</f>
        <v>0</v>
      </c>
      <c r="W258" s="6">
        <f>IF(ISERROR(VLOOKUP($T$258,'TAR FIN'!$A$1:$O$85,15,0)),0,VLOOKUP($T$258,'TAR FIN'!$A$1:$O$85,15,0))</f>
        <v>333.15</v>
      </c>
      <c r="X258" s="6">
        <f>IF(ISERROR(VLOOKUP($U$258,'TAR FIN'!$A$1:$O$85,15,0)),0,VLOOKUP($U$258,'TAR FIN'!$A$1:$O$85,15,0))</f>
        <v>241.85</v>
      </c>
      <c r="Y258" s="6"/>
      <c r="Z258" s="6">
        <f ca="1">('TUSD BE'!$AM$20+'TUSD BF'!$AM$20+'TUSD CVA'!$AM$20)*1</f>
        <v>376.13343594836397</v>
      </c>
      <c r="AA258" s="6">
        <f>('TE BE'!$AB$11+'TE BF'!$AB$11+'TE CVA'!$AB$11)*1</f>
        <v>227.55060294064452</v>
      </c>
      <c r="AB258" s="6">
        <f>$K$258*$V$258</f>
        <v>0</v>
      </c>
      <c r="AC258" s="6">
        <f>$M$258*$W$258</f>
        <v>503207.75009999995</v>
      </c>
      <c r="AD258" s="6">
        <f>$O$258*$X$258</f>
        <v>365303.29989999998</v>
      </c>
      <c r="AE258" s="6">
        <f>$K$258*$Y$258</f>
        <v>0</v>
      </c>
      <c r="AF258" s="6">
        <f ca="1">$M$258*$Z$258</f>
        <v>568132.25286195008</v>
      </c>
      <c r="AG258" s="6">
        <f>$O$258*$AA$258</f>
        <v>343704.71841410827</v>
      </c>
    </row>
    <row r="259" spans="1:33" ht="11.25" customHeight="1" x14ac:dyDescent="0.25">
      <c r="A259" s="4" t="s">
        <v>27</v>
      </c>
      <c r="B259" s="4" t="s">
        <v>22</v>
      </c>
      <c r="C259" s="4" t="s">
        <v>23</v>
      </c>
      <c r="D259" s="4" t="s">
        <v>24</v>
      </c>
      <c r="E259" s="4" t="s">
        <v>24</v>
      </c>
      <c r="F259" s="4" t="s">
        <v>25</v>
      </c>
      <c r="G259" s="4" t="s">
        <v>25</v>
      </c>
      <c r="H259" s="4" t="s">
        <v>25</v>
      </c>
      <c r="I259" s="5">
        <v>44652</v>
      </c>
      <c r="J259" s="6">
        <v>0</v>
      </c>
      <c r="K259" s="6">
        <v>0</v>
      </c>
      <c r="L259" s="6">
        <v>25.372</v>
      </c>
      <c r="M259" s="6">
        <v>25.372</v>
      </c>
      <c r="N259" s="6">
        <v>25.372</v>
      </c>
      <c r="O259" s="6">
        <v>25.372</v>
      </c>
      <c r="P259" s="6">
        <v>352</v>
      </c>
      <c r="Q259" s="4" t="s">
        <v>26</v>
      </c>
      <c r="R259" s="4">
        <v>0</v>
      </c>
      <c r="S259" s="6">
        <v>0</v>
      </c>
      <c r="T259" s="6">
        <v>21</v>
      </c>
      <c r="U259" s="6">
        <v>7</v>
      </c>
      <c r="V259" s="6">
        <f>IF(ISERROR(VLOOKUP($S$259,'TAR FIN'!$A$1:$O$85,15,0)),0,VLOOKUP($S$259,'TAR FIN'!$A$1:$O$85,15,0))</f>
        <v>0</v>
      </c>
      <c r="W259" s="6">
        <f>IF(ISERROR(VLOOKUP($T$259,'TAR FIN'!$A$1:$O$85,15,0)),0,VLOOKUP($T$259,'TAR FIN'!$A$1:$O$85,15,0))</f>
        <v>333.15</v>
      </c>
      <c r="X259" s="6">
        <f>IF(ISERROR(VLOOKUP($U$259,'TAR FIN'!$A$1:$O$85,15,0)),0,VLOOKUP($U$259,'TAR FIN'!$A$1:$O$85,15,0))</f>
        <v>241.85</v>
      </c>
      <c r="Y259" s="6"/>
      <c r="Z259" s="6">
        <f ca="1">('TUSD BE'!$AM$20+'TUSD BF'!$AM$20+'TUSD CVA'!$AM$20)*1</f>
        <v>376.13343594836397</v>
      </c>
      <c r="AA259" s="6">
        <f>('TE BE'!$AB$11+'TE BF'!$AB$11+'TE CVA'!$AB$11)*1</f>
        <v>227.55060294064452</v>
      </c>
      <c r="AB259" s="6">
        <f>$K$259*$V$259</f>
        <v>0</v>
      </c>
      <c r="AC259" s="6">
        <f>$M$259*$W$259</f>
        <v>8452.6818000000003</v>
      </c>
      <c r="AD259" s="6">
        <f>$O$259*$X$259</f>
        <v>6136.2182000000003</v>
      </c>
      <c r="AE259" s="6">
        <f>$K$259*$Y$259</f>
        <v>0</v>
      </c>
      <c r="AF259" s="6">
        <f ca="1">$M$259*$Z$259</f>
        <v>9543.2575368818907</v>
      </c>
      <c r="AG259" s="6">
        <f>$O$259*$AA$259</f>
        <v>5773.4138978100327</v>
      </c>
    </row>
    <row r="260" spans="1:33" ht="11.25" customHeight="1" x14ac:dyDescent="0.25">
      <c r="A260" s="4" t="s">
        <v>21</v>
      </c>
      <c r="B260" s="4" t="s">
        <v>22</v>
      </c>
      <c r="C260" s="4" t="s">
        <v>23</v>
      </c>
      <c r="D260" s="4" t="s">
        <v>24</v>
      </c>
      <c r="E260" s="4" t="s">
        <v>24</v>
      </c>
      <c r="F260" s="4" t="s">
        <v>25</v>
      </c>
      <c r="G260" s="4" t="s">
        <v>25</v>
      </c>
      <c r="H260" s="4" t="s">
        <v>25</v>
      </c>
      <c r="I260" s="5">
        <v>44682</v>
      </c>
      <c r="J260" s="6">
        <v>0</v>
      </c>
      <c r="K260" s="6">
        <v>0</v>
      </c>
      <c r="L260" s="6">
        <v>1552.1790000000001</v>
      </c>
      <c r="M260" s="6">
        <v>1552.1790000000001</v>
      </c>
      <c r="N260" s="6">
        <v>1552.1790000000001</v>
      </c>
      <c r="O260" s="6">
        <v>1552.1790000000001</v>
      </c>
      <c r="P260" s="6">
        <v>9508</v>
      </c>
      <c r="Q260" s="4" t="s">
        <v>26</v>
      </c>
      <c r="R260" s="4">
        <v>0</v>
      </c>
      <c r="S260" s="6">
        <v>0</v>
      </c>
      <c r="T260" s="6">
        <v>21</v>
      </c>
      <c r="U260" s="6">
        <v>7</v>
      </c>
      <c r="V260" s="6">
        <f>IF(ISERROR(VLOOKUP($S$260,'TAR FIN'!$A$1:$O$85,15,0)),0,VLOOKUP($S$260,'TAR FIN'!$A$1:$O$85,15,0))</f>
        <v>0</v>
      </c>
      <c r="W260" s="6">
        <f>IF(ISERROR(VLOOKUP($T$260,'TAR FIN'!$A$1:$O$85,15,0)),0,VLOOKUP($T$260,'TAR FIN'!$A$1:$O$85,15,0))</f>
        <v>333.15</v>
      </c>
      <c r="X260" s="6">
        <f>IF(ISERROR(VLOOKUP($U$260,'TAR FIN'!$A$1:$O$85,15,0)),0,VLOOKUP($U$260,'TAR FIN'!$A$1:$O$85,15,0))</f>
        <v>241.85</v>
      </c>
      <c r="Y260" s="6"/>
      <c r="Z260" s="6">
        <f ca="1">('TUSD BE'!$AM$20+'TUSD BF'!$AM$20+'TUSD CVA'!$AM$20)*1</f>
        <v>376.13343594836397</v>
      </c>
      <c r="AA260" s="6">
        <f>('TE BE'!$AB$11+'TE BF'!$AB$11+'TE CVA'!$AB$11)*1</f>
        <v>227.55060294064452</v>
      </c>
      <c r="AB260" s="6">
        <f>$K$260*$V$260</f>
        <v>0</v>
      </c>
      <c r="AC260" s="6">
        <f>$M$260*$W$260</f>
        <v>517108.43384999997</v>
      </c>
      <c r="AD260" s="6">
        <f>$O$260*$X$260</f>
        <v>375394.49115000002</v>
      </c>
      <c r="AE260" s="6">
        <f>$K$260*$Y$260</f>
        <v>0</v>
      </c>
      <c r="AF260" s="6">
        <f ca="1">$M$260*$Z$260</f>
        <v>583826.42047689564</v>
      </c>
      <c r="AG260" s="6">
        <f>$O$260*$AA$260</f>
        <v>353199.26732180669</v>
      </c>
    </row>
    <row r="261" spans="1:33" ht="11.25" customHeight="1" x14ac:dyDescent="0.25">
      <c r="A261" s="4" t="s">
        <v>27</v>
      </c>
      <c r="B261" s="4" t="s">
        <v>22</v>
      </c>
      <c r="C261" s="4" t="s">
        <v>23</v>
      </c>
      <c r="D261" s="4" t="s">
        <v>24</v>
      </c>
      <c r="E261" s="4" t="s">
        <v>24</v>
      </c>
      <c r="F261" s="4" t="s">
        <v>25</v>
      </c>
      <c r="G261" s="4" t="s">
        <v>25</v>
      </c>
      <c r="H261" s="4" t="s">
        <v>25</v>
      </c>
      <c r="I261" s="5">
        <v>44682</v>
      </c>
      <c r="J261" s="6">
        <v>0</v>
      </c>
      <c r="K261" s="6">
        <v>0</v>
      </c>
      <c r="L261" s="6">
        <v>29.794</v>
      </c>
      <c r="M261" s="6">
        <v>29.794</v>
      </c>
      <c r="N261" s="6">
        <v>29.794</v>
      </c>
      <c r="O261" s="6">
        <v>29.794</v>
      </c>
      <c r="P261" s="6">
        <v>379</v>
      </c>
      <c r="Q261" s="4" t="s">
        <v>26</v>
      </c>
      <c r="R261" s="4">
        <v>0</v>
      </c>
      <c r="S261" s="6">
        <v>0</v>
      </c>
      <c r="T261" s="6">
        <v>21</v>
      </c>
      <c r="U261" s="6">
        <v>7</v>
      </c>
      <c r="V261" s="6">
        <f>IF(ISERROR(VLOOKUP($S$261,'TAR FIN'!$A$1:$O$85,15,0)),0,VLOOKUP($S$261,'TAR FIN'!$A$1:$O$85,15,0))</f>
        <v>0</v>
      </c>
      <c r="W261" s="6">
        <f>IF(ISERROR(VLOOKUP($T$261,'TAR FIN'!$A$1:$O$85,15,0)),0,VLOOKUP($T$261,'TAR FIN'!$A$1:$O$85,15,0))</f>
        <v>333.15</v>
      </c>
      <c r="X261" s="6">
        <f>IF(ISERROR(VLOOKUP($U$261,'TAR FIN'!$A$1:$O$85,15,0)),0,VLOOKUP($U$261,'TAR FIN'!$A$1:$O$85,15,0))</f>
        <v>241.85</v>
      </c>
      <c r="Y261" s="6"/>
      <c r="Z261" s="6">
        <f ca="1">('TUSD BE'!$AM$20+'TUSD BF'!$AM$20+'TUSD CVA'!$AM$20)*1</f>
        <v>376.13343594836397</v>
      </c>
      <c r="AA261" s="6">
        <f>('TE BE'!$AB$11+'TE BF'!$AB$11+'TE CVA'!$AB$11)*1</f>
        <v>227.55060294064452</v>
      </c>
      <c r="AB261" s="6">
        <f>$K$261*$V$261</f>
        <v>0</v>
      </c>
      <c r="AC261" s="6">
        <f>$M$261*$W$261</f>
        <v>9925.8711000000003</v>
      </c>
      <c r="AD261" s="6">
        <f>$O$261*$X$261</f>
        <v>7205.6788999999999</v>
      </c>
      <c r="AE261" s="6">
        <f>$K$261*$Y$261</f>
        <v>0</v>
      </c>
      <c r="AF261" s="6">
        <f ca="1">$M$261*$Z$261</f>
        <v>11206.519590645556</v>
      </c>
      <c r="AG261" s="6">
        <f>$O$261*$AA$261</f>
        <v>6779.6426640135633</v>
      </c>
    </row>
    <row r="262" spans="1:33" ht="11.25" customHeight="1" x14ac:dyDescent="0.25">
      <c r="A262" s="4" t="s">
        <v>21</v>
      </c>
      <c r="B262" s="4" t="s">
        <v>22</v>
      </c>
      <c r="C262" s="4" t="s">
        <v>23</v>
      </c>
      <c r="D262" s="4" t="s">
        <v>24</v>
      </c>
      <c r="E262" s="4" t="s">
        <v>24</v>
      </c>
      <c r="F262" s="4" t="s">
        <v>25</v>
      </c>
      <c r="G262" s="4" t="s">
        <v>25</v>
      </c>
      <c r="H262" s="4" t="s">
        <v>25</v>
      </c>
      <c r="I262" s="5">
        <v>44713</v>
      </c>
      <c r="J262" s="6">
        <v>0</v>
      </c>
      <c r="K262" s="6">
        <v>0</v>
      </c>
      <c r="L262" s="6">
        <v>1791.288</v>
      </c>
      <c r="M262" s="6">
        <v>1791.288</v>
      </c>
      <c r="N262" s="6">
        <v>1791.288</v>
      </c>
      <c r="O262" s="6">
        <v>1791.288</v>
      </c>
      <c r="P262" s="6">
        <v>9428</v>
      </c>
      <c r="Q262" s="4" t="s">
        <v>26</v>
      </c>
      <c r="R262" s="4">
        <v>0</v>
      </c>
      <c r="S262" s="6">
        <v>0</v>
      </c>
      <c r="T262" s="6">
        <v>21</v>
      </c>
      <c r="U262" s="6">
        <v>7</v>
      </c>
      <c r="V262" s="6">
        <f>IF(ISERROR(VLOOKUP($S$262,'TAR FIN'!$A$1:$O$85,15,0)),0,VLOOKUP($S$262,'TAR FIN'!$A$1:$O$85,15,0))</f>
        <v>0</v>
      </c>
      <c r="W262" s="6">
        <f>IF(ISERROR(VLOOKUP($T$262,'TAR FIN'!$A$1:$O$85,15,0)),0,VLOOKUP($T$262,'TAR FIN'!$A$1:$O$85,15,0))</f>
        <v>333.15</v>
      </c>
      <c r="X262" s="6">
        <f>IF(ISERROR(VLOOKUP($U$262,'TAR FIN'!$A$1:$O$85,15,0)),0,VLOOKUP($U$262,'TAR FIN'!$A$1:$O$85,15,0))</f>
        <v>241.85</v>
      </c>
      <c r="Y262" s="6"/>
      <c r="Z262" s="6">
        <f ca="1">('TUSD BE'!$AM$20+'TUSD BF'!$AM$20+'TUSD CVA'!$AM$20)*1</f>
        <v>376.13343594836397</v>
      </c>
      <c r="AA262" s="6">
        <f>('TE BE'!$AB$11+'TE BF'!$AB$11+'TE CVA'!$AB$11)*1</f>
        <v>227.55060294064452</v>
      </c>
      <c r="AB262" s="6">
        <f>$K$262*$V$262</f>
        <v>0</v>
      </c>
      <c r="AC262" s="6">
        <f>$M$262*$W$262</f>
        <v>596767.59719999996</v>
      </c>
      <c r="AD262" s="6">
        <f>$O$262*$X$262</f>
        <v>433223.00280000002</v>
      </c>
      <c r="AE262" s="6">
        <f>$K$262*$Y$262</f>
        <v>0</v>
      </c>
      <c r="AF262" s="6">
        <f ca="1">$M$262*$Z$262</f>
        <v>673763.31021307304</v>
      </c>
      <c r="AG262" s="6">
        <f>$O$262*$AA$262</f>
        <v>407608.66444034124</v>
      </c>
    </row>
    <row r="263" spans="1:33" ht="11.25" customHeight="1" x14ac:dyDescent="0.25">
      <c r="A263" s="4" t="s">
        <v>27</v>
      </c>
      <c r="B263" s="4" t="s">
        <v>22</v>
      </c>
      <c r="C263" s="4" t="s">
        <v>23</v>
      </c>
      <c r="D263" s="4" t="s">
        <v>24</v>
      </c>
      <c r="E263" s="4" t="s">
        <v>24</v>
      </c>
      <c r="F263" s="4" t="s">
        <v>25</v>
      </c>
      <c r="G263" s="4" t="s">
        <v>25</v>
      </c>
      <c r="H263" s="4" t="s">
        <v>25</v>
      </c>
      <c r="I263" s="5">
        <v>44713</v>
      </c>
      <c r="J263" s="6">
        <v>0</v>
      </c>
      <c r="K263" s="6">
        <v>0</v>
      </c>
      <c r="L263" s="6">
        <v>53.2</v>
      </c>
      <c r="M263" s="6">
        <v>53.2</v>
      </c>
      <c r="N263" s="6">
        <v>53.2</v>
      </c>
      <c r="O263" s="6">
        <v>53.2</v>
      </c>
      <c r="P263" s="6">
        <v>402</v>
      </c>
      <c r="Q263" s="4" t="s">
        <v>26</v>
      </c>
      <c r="R263" s="4">
        <v>0</v>
      </c>
      <c r="S263" s="6">
        <v>0</v>
      </c>
      <c r="T263" s="6">
        <v>21</v>
      </c>
      <c r="U263" s="6">
        <v>7</v>
      </c>
      <c r="V263" s="6">
        <f>IF(ISERROR(VLOOKUP($S$263,'TAR FIN'!$A$1:$O$85,15,0)),0,VLOOKUP($S$263,'TAR FIN'!$A$1:$O$85,15,0))</f>
        <v>0</v>
      </c>
      <c r="W263" s="6">
        <f>IF(ISERROR(VLOOKUP($T$263,'TAR FIN'!$A$1:$O$85,15,0)),0,VLOOKUP($T$263,'TAR FIN'!$A$1:$O$85,15,0))</f>
        <v>333.15</v>
      </c>
      <c r="X263" s="6">
        <f>IF(ISERROR(VLOOKUP($U$263,'TAR FIN'!$A$1:$O$85,15,0)),0,VLOOKUP($U$263,'TAR FIN'!$A$1:$O$85,15,0))</f>
        <v>241.85</v>
      </c>
      <c r="Y263" s="6"/>
      <c r="Z263" s="6">
        <f ca="1">('TUSD BE'!$AM$20+'TUSD BF'!$AM$20+'TUSD CVA'!$AM$20)*1</f>
        <v>376.13343594836397</v>
      </c>
      <c r="AA263" s="6">
        <f>('TE BE'!$AB$11+'TE BF'!$AB$11+'TE CVA'!$AB$11)*1</f>
        <v>227.55060294064452</v>
      </c>
      <c r="AB263" s="6">
        <f>$K$263*$V$263</f>
        <v>0</v>
      </c>
      <c r="AC263" s="6">
        <f>$M$263*$W$263</f>
        <v>17723.579999999998</v>
      </c>
      <c r="AD263" s="6">
        <f>$O$263*$X$263</f>
        <v>12866.42</v>
      </c>
      <c r="AE263" s="6">
        <f>$K$263*$Y$263</f>
        <v>0</v>
      </c>
      <c r="AF263" s="6">
        <f ca="1">$M$263*$Z$263</f>
        <v>20010.298792452963</v>
      </c>
      <c r="AG263" s="6">
        <f>$O$263*$AA$263</f>
        <v>12105.692076442288</v>
      </c>
    </row>
    <row r="264" spans="1:33" ht="11.25" customHeight="1" x14ac:dyDescent="0.25">
      <c r="A264" s="4" t="s">
        <v>21</v>
      </c>
      <c r="B264" s="4" t="s">
        <v>22</v>
      </c>
      <c r="C264" s="4" t="s">
        <v>23</v>
      </c>
      <c r="D264" s="4" t="s">
        <v>24</v>
      </c>
      <c r="E264" s="4" t="s">
        <v>28</v>
      </c>
      <c r="F264" s="4" t="s">
        <v>25</v>
      </c>
      <c r="G264" s="4" t="s">
        <v>25</v>
      </c>
      <c r="H264" s="4" t="s">
        <v>25</v>
      </c>
      <c r="I264" s="5">
        <v>44378</v>
      </c>
      <c r="J264" s="6">
        <v>0</v>
      </c>
      <c r="K264" s="6">
        <v>0</v>
      </c>
      <c r="L264" s="6">
        <v>8.43</v>
      </c>
      <c r="M264" s="6">
        <v>8.43</v>
      </c>
      <c r="N264" s="6">
        <v>8.43</v>
      </c>
      <c r="O264" s="6">
        <v>8.43</v>
      </c>
      <c r="P264" s="6">
        <v>4</v>
      </c>
      <c r="Q264" s="4" t="s">
        <v>26</v>
      </c>
      <c r="R264" s="4">
        <v>0</v>
      </c>
      <c r="S264" s="6">
        <v>0</v>
      </c>
      <c r="T264" s="6">
        <v>33</v>
      </c>
      <c r="U264" s="6">
        <v>1</v>
      </c>
      <c r="V264" s="6">
        <f>IF(ISERROR(VLOOKUP($S$264,'TAR FIN'!$A$1:$O$85,15,0)),0,VLOOKUP($S$264,'TAR FIN'!$A$1:$O$85,15,0))</f>
        <v>0</v>
      </c>
      <c r="W264" s="6">
        <f>IF(ISERROR(VLOOKUP($T$264,'TAR FIN'!$A$1:$O$85,15,0)),0,VLOOKUP($T$264,'TAR FIN'!$A$1:$O$85,15,0))</f>
        <v>90.5</v>
      </c>
      <c r="X264" s="6">
        <f>IF(ISERROR(VLOOKUP($U$264,'TAR FIN'!$A$1:$O$85,15,0)),0,VLOOKUP($U$264,'TAR FIN'!$A$1:$O$85,15,0))</f>
        <v>84.65</v>
      </c>
      <c r="Y264" s="6"/>
      <c r="Z264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264" s="6">
        <f>('TE BE'!$AB$12+'TE BF'!$AB$12+'TE CVA'!$AB$12)*(1-CUSTOS!$M$34)</f>
        <v>79.64271102922558</v>
      </c>
      <c r="AB264" s="6">
        <f>$K$264*$V$264</f>
        <v>0</v>
      </c>
      <c r="AC264" s="6">
        <f>$M$264*$W$264</f>
        <v>762.91499999999996</v>
      </c>
      <c r="AD264" s="6">
        <f>$O$264*$X$264</f>
        <v>713.59950000000003</v>
      </c>
      <c r="AE264" s="6">
        <f>$K$264*$Y$264</f>
        <v>0</v>
      </c>
      <c r="AF264" s="6">
        <f ca="1">$M$264*$Z$264</f>
        <v>758.76362355370816</v>
      </c>
      <c r="AG264" s="6">
        <f>$O$264*$AA$264</f>
        <v>671.38805397637157</v>
      </c>
    </row>
    <row r="265" spans="1:33" ht="11.25" customHeight="1" x14ac:dyDescent="0.25">
      <c r="A265" s="4" t="s">
        <v>21</v>
      </c>
      <c r="B265" s="4" t="s">
        <v>22</v>
      </c>
      <c r="C265" s="4" t="s">
        <v>23</v>
      </c>
      <c r="D265" s="4" t="s">
        <v>24</v>
      </c>
      <c r="E265" s="4" t="s">
        <v>28</v>
      </c>
      <c r="F265" s="4" t="s">
        <v>25</v>
      </c>
      <c r="G265" s="4" t="s">
        <v>25</v>
      </c>
      <c r="H265" s="4" t="s">
        <v>25</v>
      </c>
      <c r="I265" s="5">
        <v>44409</v>
      </c>
      <c r="J265" s="6">
        <v>0</v>
      </c>
      <c r="K265" s="6">
        <v>0</v>
      </c>
      <c r="L265" s="6">
        <v>8.6999999999999993</v>
      </c>
      <c r="M265" s="6">
        <v>8.6999999999999993</v>
      </c>
      <c r="N265" s="6">
        <v>8.6999999999999993</v>
      </c>
      <c r="O265" s="6">
        <v>8.6999999999999993</v>
      </c>
      <c r="P265" s="6">
        <v>4</v>
      </c>
      <c r="Q265" s="4" t="s">
        <v>26</v>
      </c>
      <c r="R265" s="4">
        <v>0</v>
      </c>
      <c r="S265" s="6">
        <v>0</v>
      </c>
      <c r="T265" s="6">
        <v>33</v>
      </c>
      <c r="U265" s="6">
        <v>1</v>
      </c>
      <c r="V265" s="6">
        <f>IF(ISERROR(VLOOKUP($S$265,'TAR FIN'!$A$1:$O$85,15,0)),0,VLOOKUP($S$265,'TAR FIN'!$A$1:$O$85,15,0))</f>
        <v>0</v>
      </c>
      <c r="W265" s="6">
        <f>IF(ISERROR(VLOOKUP($T$265,'TAR FIN'!$A$1:$O$85,15,0)),0,VLOOKUP($T$265,'TAR FIN'!$A$1:$O$85,15,0))</f>
        <v>90.5</v>
      </c>
      <c r="X265" s="6">
        <f>IF(ISERROR(VLOOKUP($U$265,'TAR FIN'!$A$1:$O$85,15,0)),0,VLOOKUP($U$265,'TAR FIN'!$A$1:$O$85,15,0))</f>
        <v>84.65</v>
      </c>
      <c r="Y265" s="6"/>
      <c r="Z265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265" s="6">
        <f>('TE BE'!$AB$12+'TE BF'!$AB$12+'TE CVA'!$AB$12)*(1-CUSTOS!$M$34)</f>
        <v>79.64271102922558</v>
      </c>
      <c r="AB265" s="6">
        <f>$K$265*$V$265</f>
        <v>0</v>
      </c>
      <c r="AC265" s="6">
        <f>$M$265*$W$265</f>
        <v>787.34999999999991</v>
      </c>
      <c r="AD265" s="6">
        <f>$O$265*$X$265</f>
        <v>736.45500000000004</v>
      </c>
      <c r="AE265" s="6">
        <f>$K$265*$Y$265</f>
        <v>0</v>
      </c>
      <c r="AF265" s="6">
        <f ca="1">$M$265*$Z$265</f>
        <v>783.06566131877355</v>
      </c>
      <c r="AG265" s="6">
        <f>$O$265*$AA$265</f>
        <v>692.8915859542625</v>
      </c>
    </row>
    <row r="266" spans="1:33" ht="11.25" customHeight="1" x14ac:dyDescent="0.25">
      <c r="A266" s="4" t="s">
        <v>21</v>
      </c>
      <c r="B266" s="4" t="s">
        <v>22</v>
      </c>
      <c r="C266" s="4" t="s">
        <v>23</v>
      </c>
      <c r="D266" s="4" t="s">
        <v>24</v>
      </c>
      <c r="E266" s="4" t="s">
        <v>28</v>
      </c>
      <c r="F266" s="4" t="s">
        <v>25</v>
      </c>
      <c r="G266" s="4" t="s">
        <v>25</v>
      </c>
      <c r="H266" s="4" t="s">
        <v>25</v>
      </c>
      <c r="I266" s="5">
        <v>44440</v>
      </c>
      <c r="J266" s="6">
        <v>0</v>
      </c>
      <c r="K266" s="6">
        <v>0</v>
      </c>
      <c r="L266" s="6">
        <v>8.76</v>
      </c>
      <c r="M266" s="6">
        <v>8.76</v>
      </c>
      <c r="N266" s="6">
        <v>8.76</v>
      </c>
      <c r="O266" s="6">
        <v>8.76</v>
      </c>
      <c r="P266" s="6">
        <v>4</v>
      </c>
      <c r="Q266" s="4" t="s">
        <v>26</v>
      </c>
      <c r="R266" s="4">
        <v>0</v>
      </c>
      <c r="S266" s="6">
        <v>0</v>
      </c>
      <c r="T266" s="6">
        <v>33</v>
      </c>
      <c r="U266" s="6">
        <v>1</v>
      </c>
      <c r="V266" s="6">
        <f>IF(ISERROR(VLOOKUP($S$266,'TAR FIN'!$A$1:$O$85,15,0)),0,VLOOKUP($S$266,'TAR FIN'!$A$1:$O$85,15,0))</f>
        <v>0</v>
      </c>
      <c r="W266" s="6">
        <f>IF(ISERROR(VLOOKUP($T$266,'TAR FIN'!$A$1:$O$85,15,0)),0,VLOOKUP($T$266,'TAR FIN'!$A$1:$O$85,15,0))</f>
        <v>90.5</v>
      </c>
      <c r="X266" s="6">
        <f>IF(ISERROR(VLOOKUP($U$266,'TAR FIN'!$A$1:$O$85,15,0)),0,VLOOKUP($U$266,'TAR FIN'!$A$1:$O$85,15,0))</f>
        <v>84.65</v>
      </c>
      <c r="Y266" s="6"/>
      <c r="Z266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266" s="6">
        <f>('TE BE'!$AB$12+'TE BF'!$AB$12+'TE CVA'!$AB$12)*(1-CUSTOS!$M$34)</f>
        <v>79.64271102922558</v>
      </c>
      <c r="AB266" s="6">
        <f>$K$266*$V$266</f>
        <v>0</v>
      </c>
      <c r="AC266" s="6">
        <f>$M$266*$W$266</f>
        <v>792.78</v>
      </c>
      <c r="AD266" s="6">
        <f>$O$266*$X$266</f>
        <v>741.53399999999999</v>
      </c>
      <c r="AE266" s="6">
        <f>$K$266*$Y$266</f>
        <v>0</v>
      </c>
      <c r="AF266" s="6">
        <f ca="1">$M$266*$Z$266</f>
        <v>788.46611415545476</v>
      </c>
      <c r="AG266" s="6">
        <f>$O$266*$AA$266</f>
        <v>697.67014861601604</v>
      </c>
    </row>
    <row r="267" spans="1:33" ht="11.25" customHeight="1" x14ac:dyDescent="0.25">
      <c r="A267" s="4" t="s">
        <v>21</v>
      </c>
      <c r="B267" s="4" t="s">
        <v>22</v>
      </c>
      <c r="C267" s="4" t="s">
        <v>23</v>
      </c>
      <c r="D267" s="4" t="s">
        <v>24</v>
      </c>
      <c r="E267" s="4" t="s">
        <v>28</v>
      </c>
      <c r="F267" s="4" t="s">
        <v>25</v>
      </c>
      <c r="G267" s="4" t="s">
        <v>25</v>
      </c>
      <c r="H267" s="4" t="s">
        <v>25</v>
      </c>
      <c r="I267" s="5">
        <v>44470</v>
      </c>
      <c r="J267" s="6">
        <v>0</v>
      </c>
      <c r="K267" s="6">
        <v>0</v>
      </c>
      <c r="L267" s="6">
        <v>8.82</v>
      </c>
      <c r="M267" s="6">
        <v>8.82</v>
      </c>
      <c r="N267" s="6">
        <v>8.82</v>
      </c>
      <c r="O267" s="6">
        <v>8.82</v>
      </c>
      <c r="P267" s="6">
        <v>3</v>
      </c>
      <c r="Q267" s="4" t="s">
        <v>26</v>
      </c>
      <c r="R267" s="4">
        <v>0</v>
      </c>
      <c r="S267" s="6">
        <v>0</v>
      </c>
      <c r="T267" s="6">
        <v>33</v>
      </c>
      <c r="U267" s="6">
        <v>1</v>
      </c>
      <c r="V267" s="6">
        <f>IF(ISERROR(VLOOKUP($S$267,'TAR FIN'!$A$1:$O$85,15,0)),0,VLOOKUP($S$267,'TAR FIN'!$A$1:$O$85,15,0))</f>
        <v>0</v>
      </c>
      <c r="W267" s="6">
        <f>IF(ISERROR(VLOOKUP($T$267,'TAR FIN'!$A$1:$O$85,15,0)),0,VLOOKUP($T$267,'TAR FIN'!$A$1:$O$85,15,0))</f>
        <v>90.5</v>
      </c>
      <c r="X267" s="6">
        <f>IF(ISERROR(VLOOKUP($U$267,'TAR FIN'!$A$1:$O$85,15,0)),0,VLOOKUP($U$267,'TAR FIN'!$A$1:$O$85,15,0))</f>
        <v>84.65</v>
      </c>
      <c r="Y267" s="6"/>
      <c r="Z267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267" s="6">
        <f>('TE BE'!$AB$12+'TE BF'!$AB$12+'TE CVA'!$AB$12)*(1-CUSTOS!$M$34)</f>
        <v>79.64271102922558</v>
      </c>
      <c r="AB267" s="6">
        <f>$K$267*$V$267</f>
        <v>0</v>
      </c>
      <c r="AC267" s="6">
        <f>$M$267*$W$267</f>
        <v>798.21</v>
      </c>
      <c r="AD267" s="6">
        <f>$O$267*$X$267</f>
        <v>746.61300000000006</v>
      </c>
      <c r="AE267" s="6">
        <f>$K$267*$Y$267</f>
        <v>0</v>
      </c>
      <c r="AF267" s="6">
        <f ca="1">$M$267*$Z$267</f>
        <v>793.86656699213609</v>
      </c>
      <c r="AG267" s="6">
        <f>$O$267*$AA$267</f>
        <v>702.44871127776969</v>
      </c>
    </row>
    <row r="268" spans="1:33" ht="11.25" customHeight="1" x14ac:dyDescent="0.25">
      <c r="A268" s="4" t="s">
        <v>21</v>
      </c>
      <c r="B268" s="4" t="s">
        <v>22</v>
      </c>
      <c r="C268" s="4" t="s">
        <v>23</v>
      </c>
      <c r="D268" s="4" t="s">
        <v>24</v>
      </c>
      <c r="E268" s="4" t="s">
        <v>28</v>
      </c>
      <c r="F268" s="4" t="s">
        <v>25</v>
      </c>
      <c r="G268" s="4" t="s">
        <v>25</v>
      </c>
      <c r="H268" s="4" t="s">
        <v>25</v>
      </c>
      <c r="I268" s="5">
        <v>44501</v>
      </c>
      <c r="J268" s="6">
        <v>0</v>
      </c>
      <c r="K268" s="6">
        <v>0</v>
      </c>
      <c r="L268" s="6">
        <v>8.85</v>
      </c>
      <c r="M268" s="6">
        <v>8.85</v>
      </c>
      <c r="N268" s="6">
        <v>8.85</v>
      </c>
      <c r="O268" s="6">
        <v>8.85</v>
      </c>
      <c r="P268" s="6">
        <v>4</v>
      </c>
      <c r="Q268" s="4" t="s">
        <v>26</v>
      </c>
      <c r="R268" s="4">
        <v>0</v>
      </c>
      <c r="S268" s="6">
        <v>0</v>
      </c>
      <c r="T268" s="6">
        <v>33</v>
      </c>
      <c r="U268" s="6">
        <v>1</v>
      </c>
      <c r="V268" s="6">
        <f>IF(ISERROR(VLOOKUP($S$268,'TAR FIN'!$A$1:$O$85,15,0)),0,VLOOKUP($S$268,'TAR FIN'!$A$1:$O$85,15,0))</f>
        <v>0</v>
      </c>
      <c r="W268" s="6">
        <f>IF(ISERROR(VLOOKUP($T$268,'TAR FIN'!$A$1:$O$85,15,0)),0,VLOOKUP($T$268,'TAR FIN'!$A$1:$O$85,15,0))</f>
        <v>90.5</v>
      </c>
      <c r="X268" s="6">
        <f>IF(ISERROR(VLOOKUP($U$268,'TAR FIN'!$A$1:$O$85,15,0)),0,VLOOKUP($U$268,'TAR FIN'!$A$1:$O$85,15,0))</f>
        <v>84.65</v>
      </c>
      <c r="Y268" s="6"/>
      <c r="Z268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268" s="6">
        <f>('TE BE'!$AB$12+'TE BF'!$AB$12+'TE CVA'!$AB$12)*(1-CUSTOS!$M$34)</f>
        <v>79.64271102922558</v>
      </c>
      <c r="AB268" s="6">
        <f>$K$268*$V$268</f>
        <v>0</v>
      </c>
      <c r="AC268" s="6">
        <f>$M$268*$W$268</f>
        <v>800.92499999999995</v>
      </c>
      <c r="AD268" s="6">
        <f>$O$268*$X$268</f>
        <v>749.15250000000003</v>
      </c>
      <c r="AE268" s="6">
        <f>$K$268*$Y$268</f>
        <v>0</v>
      </c>
      <c r="AF268" s="6">
        <f ca="1">$M$268*$Z$268</f>
        <v>796.56679341047663</v>
      </c>
      <c r="AG268" s="6">
        <f>$O$268*$AA$268</f>
        <v>704.83799260864635</v>
      </c>
    </row>
    <row r="269" spans="1:33" ht="11.25" customHeight="1" x14ac:dyDescent="0.25">
      <c r="A269" s="4" t="s">
        <v>21</v>
      </c>
      <c r="B269" s="4" t="s">
        <v>22</v>
      </c>
      <c r="C269" s="4" t="s">
        <v>23</v>
      </c>
      <c r="D269" s="4" t="s">
        <v>24</v>
      </c>
      <c r="E269" s="4" t="s">
        <v>28</v>
      </c>
      <c r="F269" s="4" t="s">
        <v>25</v>
      </c>
      <c r="G269" s="4" t="s">
        <v>25</v>
      </c>
      <c r="H269" s="4" t="s">
        <v>25</v>
      </c>
      <c r="I269" s="5">
        <v>44531</v>
      </c>
      <c r="J269" s="6">
        <v>0</v>
      </c>
      <c r="K269" s="6">
        <v>0</v>
      </c>
      <c r="L269" s="6">
        <v>12.42</v>
      </c>
      <c r="M269" s="6">
        <v>12.42</v>
      </c>
      <c r="N269" s="6">
        <v>12.42</v>
      </c>
      <c r="O269" s="6">
        <v>12.42</v>
      </c>
      <c r="P269" s="6">
        <v>9</v>
      </c>
      <c r="Q269" s="4" t="s">
        <v>26</v>
      </c>
      <c r="R269" s="4">
        <v>0</v>
      </c>
      <c r="S269" s="6">
        <v>0</v>
      </c>
      <c r="T269" s="6">
        <v>33</v>
      </c>
      <c r="U269" s="6">
        <v>1</v>
      </c>
      <c r="V269" s="6">
        <f>IF(ISERROR(VLOOKUP($S$269,'TAR FIN'!$A$1:$O$85,15,0)),0,VLOOKUP($S$269,'TAR FIN'!$A$1:$O$85,15,0))</f>
        <v>0</v>
      </c>
      <c r="W269" s="6">
        <f>IF(ISERROR(VLOOKUP($T$269,'TAR FIN'!$A$1:$O$85,15,0)),0,VLOOKUP($T$269,'TAR FIN'!$A$1:$O$85,15,0))</f>
        <v>90.5</v>
      </c>
      <c r="X269" s="6">
        <f>IF(ISERROR(VLOOKUP($U$269,'TAR FIN'!$A$1:$O$85,15,0)),0,VLOOKUP($U$269,'TAR FIN'!$A$1:$O$85,15,0))</f>
        <v>84.65</v>
      </c>
      <c r="Y269" s="6"/>
      <c r="Z269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269" s="6">
        <f>('TE BE'!$AB$12+'TE BF'!$AB$12+'TE CVA'!$AB$12)*(1-CUSTOS!$M$34)</f>
        <v>79.64271102922558</v>
      </c>
      <c r="AB269" s="6">
        <f>$K$269*$V$269</f>
        <v>0</v>
      </c>
      <c r="AC269" s="6">
        <f>$M$269*$W$269</f>
        <v>1124.01</v>
      </c>
      <c r="AD269" s="6">
        <f>$O$269*$X$269</f>
        <v>1051.3530000000001</v>
      </c>
      <c r="AE269" s="6">
        <f>$K$269*$Y$269</f>
        <v>0</v>
      </c>
      <c r="AF269" s="6">
        <f ca="1">$M$269*$Z$269</f>
        <v>1117.8937371930078</v>
      </c>
      <c r="AG269" s="6">
        <f>$O$269*$AA$269</f>
        <v>989.16247098298174</v>
      </c>
    </row>
    <row r="270" spans="1:33" ht="11.25" customHeight="1" x14ac:dyDescent="0.25">
      <c r="A270" s="4" t="s">
        <v>21</v>
      </c>
      <c r="B270" s="4" t="s">
        <v>22</v>
      </c>
      <c r="C270" s="4" t="s">
        <v>23</v>
      </c>
      <c r="D270" s="4" t="s">
        <v>24</v>
      </c>
      <c r="E270" s="4" t="s">
        <v>28</v>
      </c>
      <c r="F270" s="4" t="s">
        <v>25</v>
      </c>
      <c r="G270" s="4" t="s">
        <v>25</v>
      </c>
      <c r="H270" s="4" t="s">
        <v>25</v>
      </c>
      <c r="I270" s="5">
        <v>44562</v>
      </c>
      <c r="J270" s="6">
        <v>0</v>
      </c>
      <c r="K270" s="6">
        <v>0</v>
      </c>
      <c r="L270" s="6">
        <v>14.82</v>
      </c>
      <c r="M270" s="6">
        <v>14.82</v>
      </c>
      <c r="N270" s="6">
        <v>14.82</v>
      </c>
      <c r="O270" s="6">
        <v>14.82</v>
      </c>
      <c r="P270" s="6">
        <v>9</v>
      </c>
      <c r="Q270" s="4" t="s">
        <v>26</v>
      </c>
      <c r="R270" s="4">
        <v>0</v>
      </c>
      <c r="S270" s="6">
        <v>0</v>
      </c>
      <c r="T270" s="6">
        <v>33</v>
      </c>
      <c r="U270" s="6">
        <v>1</v>
      </c>
      <c r="V270" s="6">
        <f>IF(ISERROR(VLOOKUP($S$270,'TAR FIN'!$A$1:$O$85,15,0)),0,VLOOKUP($S$270,'TAR FIN'!$A$1:$O$85,15,0))</f>
        <v>0</v>
      </c>
      <c r="W270" s="6">
        <f>IF(ISERROR(VLOOKUP($T$270,'TAR FIN'!$A$1:$O$85,15,0)),0,VLOOKUP($T$270,'TAR FIN'!$A$1:$O$85,15,0))</f>
        <v>90.5</v>
      </c>
      <c r="X270" s="6">
        <f>IF(ISERROR(VLOOKUP($U$270,'TAR FIN'!$A$1:$O$85,15,0)),0,VLOOKUP($U$270,'TAR FIN'!$A$1:$O$85,15,0))</f>
        <v>84.65</v>
      </c>
      <c r="Y270" s="6"/>
      <c r="Z270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270" s="6">
        <f>('TE BE'!$AB$12+'TE BF'!$AB$12+'TE CVA'!$AB$12)*(1-CUSTOS!$M$34)</f>
        <v>79.64271102922558</v>
      </c>
      <c r="AB270" s="6">
        <f>$K$270*$V$270</f>
        <v>0</v>
      </c>
      <c r="AC270" s="6">
        <f>$M$270*$W$270</f>
        <v>1341.21</v>
      </c>
      <c r="AD270" s="6">
        <f>$O$270*$X$270</f>
        <v>1254.5130000000001</v>
      </c>
      <c r="AE270" s="6">
        <f>$K$270*$Y$270</f>
        <v>0</v>
      </c>
      <c r="AF270" s="6">
        <f ca="1">$M$270*$Z$270</f>
        <v>1333.9118506602558</v>
      </c>
      <c r="AG270" s="6">
        <f>$O$270*$AA$270</f>
        <v>1180.3049774531232</v>
      </c>
    </row>
    <row r="271" spans="1:33" ht="11.25" customHeight="1" x14ac:dyDescent="0.25">
      <c r="A271" s="4" t="s">
        <v>21</v>
      </c>
      <c r="B271" s="4" t="s">
        <v>22</v>
      </c>
      <c r="C271" s="4" t="s">
        <v>23</v>
      </c>
      <c r="D271" s="4" t="s">
        <v>24</v>
      </c>
      <c r="E271" s="4" t="s">
        <v>28</v>
      </c>
      <c r="F271" s="4" t="s">
        <v>25</v>
      </c>
      <c r="G271" s="4" t="s">
        <v>25</v>
      </c>
      <c r="H271" s="4" t="s">
        <v>25</v>
      </c>
      <c r="I271" s="5">
        <v>44593</v>
      </c>
      <c r="J271" s="6">
        <v>0</v>
      </c>
      <c r="K271" s="6">
        <v>0</v>
      </c>
      <c r="L271" s="6">
        <v>16.29</v>
      </c>
      <c r="M271" s="6">
        <v>16.29</v>
      </c>
      <c r="N271" s="6">
        <v>16.29</v>
      </c>
      <c r="O271" s="6">
        <v>16.29</v>
      </c>
      <c r="P271" s="6">
        <v>7</v>
      </c>
      <c r="Q271" s="4" t="s">
        <v>26</v>
      </c>
      <c r="R271" s="4">
        <v>0</v>
      </c>
      <c r="S271" s="6">
        <v>0</v>
      </c>
      <c r="T271" s="6">
        <v>33</v>
      </c>
      <c r="U271" s="6">
        <v>1</v>
      </c>
      <c r="V271" s="6">
        <f>IF(ISERROR(VLOOKUP($S$271,'TAR FIN'!$A$1:$O$85,15,0)),0,VLOOKUP($S$271,'TAR FIN'!$A$1:$O$85,15,0))</f>
        <v>0</v>
      </c>
      <c r="W271" s="6">
        <f>IF(ISERROR(VLOOKUP($T$271,'TAR FIN'!$A$1:$O$85,15,0)),0,VLOOKUP($T$271,'TAR FIN'!$A$1:$O$85,15,0))</f>
        <v>90.5</v>
      </c>
      <c r="X271" s="6">
        <f>IF(ISERROR(VLOOKUP($U$271,'TAR FIN'!$A$1:$O$85,15,0)),0,VLOOKUP($U$271,'TAR FIN'!$A$1:$O$85,15,0))</f>
        <v>84.65</v>
      </c>
      <c r="Y271" s="6"/>
      <c r="Z271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271" s="6">
        <f>('TE BE'!$AB$12+'TE BF'!$AB$12+'TE CVA'!$AB$12)*(1-CUSTOS!$M$34)</f>
        <v>79.64271102922558</v>
      </c>
      <c r="AB271" s="6">
        <f>$K$271*$V$271</f>
        <v>0</v>
      </c>
      <c r="AC271" s="6">
        <f>$M$271*$W$271</f>
        <v>1474.2449999999999</v>
      </c>
      <c r="AD271" s="6">
        <f>$O$271*$X$271</f>
        <v>1378.9485</v>
      </c>
      <c r="AE271" s="6">
        <f>$K$271*$Y$271</f>
        <v>0</v>
      </c>
      <c r="AF271" s="6">
        <f ca="1">$M$271*$Z$271</f>
        <v>1466.2229451589451</v>
      </c>
      <c r="AG271" s="6">
        <f>$O$271*$AA$271</f>
        <v>1297.3797626660846</v>
      </c>
    </row>
    <row r="272" spans="1:33" ht="11.25" customHeight="1" x14ac:dyDescent="0.25">
      <c r="A272" s="4" t="s">
        <v>21</v>
      </c>
      <c r="B272" s="4" t="s">
        <v>22</v>
      </c>
      <c r="C272" s="4" t="s">
        <v>23</v>
      </c>
      <c r="D272" s="4" t="s">
        <v>24</v>
      </c>
      <c r="E272" s="4" t="s">
        <v>28</v>
      </c>
      <c r="F272" s="4" t="s">
        <v>25</v>
      </c>
      <c r="G272" s="4" t="s">
        <v>25</v>
      </c>
      <c r="H272" s="4" t="s">
        <v>25</v>
      </c>
      <c r="I272" s="5">
        <v>44621</v>
      </c>
      <c r="J272" s="6">
        <v>0</v>
      </c>
      <c r="K272" s="6">
        <v>0</v>
      </c>
      <c r="L272" s="6">
        <v>17.309999999999999</v>
      </c>
      <c r="M272" s="6">
        <v>17.309999999999999</v>
      </c>
      <c r="N272" s="6">
        <v>17.309999999999999</v>
      </c>
      <c r="O272" s="6">
        <v>17.309999999999999</v>
      </c>
      <c r="P272" s="6">
        <v>12</v>
      </c>
      <c r="Q272" s="4" t="s">
        <v>26</v>
      </c>
      <c r="R272" s="4">
        <v>0</v>
      </c>
      <c r="S272" s="6">
        <v>0</v>
      </c>
      <c r="T272" s="6">
        <v>33</v>
      </c>
      <c r="U272" s="6">
        <v>1</v>
      </c>
      <c r="V272" s="6">
        <f>IF(ISERROR(VLOOKUP($S$272,'TAR FIN'!$A$1:$O$85,15,0)),0,VLOOKUP($S$272,'TAR FIN'!$A$1:$O$85,15,0))</f>
        <v>0</v>
      </c>
      <c r="W272" s="6">
        <f>IF(ISERROR(VLOOKUP($T$272,'TAR FIN'!$A$1:$O$85,15,0)),0,VLOOKUP($T$272,'TAR FIN'!$A$1:$O$85,15,0))</f>
        <v>90.5</v>
      </c>
      <c r="X272" s="6">
        <f>IF(ISERROR(VLOOKUP($U$272,'TAR FIN'!$A$1:$O$85,15,0)),0,VLOOKUP($U$272,'TAR FIN'!$A$1:$O$85,15,0))</f>
        <v>84.65</v>
      </c>
      <c r="Y272" s="6"/>
      <c r="Z272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272" s="6">
        <f>('TE BE'!$AB$12+'TE BF'!$AB$12+'TE CVA'!$AB$12)*(1-CUSTOS!$M$34)</f>
        <v>79.64271102922558</v>
      </c>
      <c r="AB272" s="6">
        <f>$K$272*$V$272</f>
        <v>0</v>
      </c>
      <c r="AC272" s="6">
        <f>$M$272*$W$272</f>
        <v>1566.5549999999998</v>
      </c>
      <c r="AD272" s="6">
        <f>$O$272*$X$272</f>
        <v>1465.2915</v>
      </c>
      <c r="AE272" s="6">
        <f>$K$272*$Y$272</f>
        <v>0</v>
      </c>
      <c r="AF272" s="6">
        <f ca="1">$M$272*$Z$272</f>
        <v>1558.0306433825253</v>
      </c>
      <c r="AG272" s="6">
        <f>$O$272*$AA$272</f>
        <v>1378.6153279158948</v>
      </c>
    </row>
    <row r="273" spans="1:33" ht="11.25" customHeight="1" x14ac:dyDescent="0.25">
      <c r="A273" s="4" t="s">
        <v>21</v>
      </c>
      <c r="B273" s="4" t="s">
        <v>22</v>
      </c>
      <c r="C273" s="4" t="s">
        <v>23</v>
      </c>
      <c r="D273" s="4" t="s">
        <v>24</v>
      </c>
      <c r="E273" s="4" t="s">
        <v>28</v>
      </c>
      <c r="F273" s="4" t="s">
        <v>25</v>
      </c>
      <c r="G273" s="4" t="s">
        <v>25</v>
      </c>
      <c r="H273" s="4" t="s">
        <v>25</v>
      </c>
      <c r="I273" s="5">
        <v>44652</v>
      </c>
      <c r="J273" s="6">
        <v>0</v>
      </c>
      <c r="K273" s="6">
        <v>0</v>
      </c>
      <c r="L273" s="6">
        <v>18.989999999999998</v>
      </c>
      <c r="M273" s="6">
        <v>18.989999999999998</v>
      </c>
      <c r="N273" s="6">
        <v>18.989999999999998</v>
      </c>
      <c r="O273" s="6">
        <v>18.989999999999998</v>
      </c>
      <c r="P273" s="6">
        <v>13</v>
      </c>
      <c r="Q273" s="4" t="s">
        <v>26</v>
      </c>
      <c r="R273" s="4">
        <v>0</v>
      </c>
      <c r="S273" s="6">
        <v>0</v>
      </c>
      <c r="T273" s="6">
        <v>33</v>
      </c>
      <c r="U273" s="6">
        <v>1</v>
      </c>
      <c r="V273" s="6">
        <f>IF(ISERROR(VLOOKUP($S$273,'TAR FIN'!$A$1:$O$85,15,0)),0,VLOOKUP($S$273,'TAR FIN'!$A$1:$O$85,15,0))</f>
        <v>0</v>
      </c>
      <c r="W273" s="6">
        <f>IF(ISERROR(VLOOKUP($T$273,'TAR FIN'!$A$1:$O$85,15,0)),0,VLOOKUP($T$273,'TAR FIN'!$A$1:$O$85,15,0))</f>
        <v>90.5</v>
      </c>
      <c r="X273" s="6">
        <f>IF(ISERROR(VLOOKUP($U$273,'TAR FIN'!$A$1:$O$85,15,0)),0,VLOOKUP($U$273,'TAR FIN'!$A$1:$O$85,15,0))</f>
        <v>84.65</v>
      </c>
      <c r="Y273" s="6"/>
      <c r="Z273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273" s="6">
        <f>('TE BE'!$AB$12+'TE BF'!$AB$12+'TE CVA'!$AB$12)*(1-CUSTOS!$M$34)</f>
        <v>79.64271102922558</v>
      </c>
      <c r="AB273" s="6">
        <f>$K$273*$V$273</f>
        <v>0</v>
      </c>
      <c r="AC273" s="6">
        <f>$M$273*$W$273</f>
        <v>1718.5949999999998</v>
      </c>
      <c r="AD273" s="6">
        <f>$O$273*$X$273</f>
        <v>1607.5035</v>
      </c>
      <c r="AE273" s="6">
        <f>$K$273*$Y$273</f>
        <v>0</v>
      </c>
      <c r="AF273" s="6">
        <f ca="1">$M$273*$Z$273</f>
        <v>1709.2433228095988</v>
      </c>
      <c r="AG273" s="6">
        <f>$O$273*$AA$273</f>
        <v>1512.4150824449937</v>
      </c>
    </row>
    <row r="274" spans="1:33" ht="11.25" customHeight="1" x14ac:dyDescent="0.25">
      <c r="A274" s="4" t="s">
        <v>21</v>
      </c>
      <c r="B274" s="4" t="s">
        <v>22</v>
      </c>
      <c r="C274" s="4" t="s">
        <v>23</v>
      </c>
      <c r="D274" s="4" t="s">
        <v>24</v>
      </c>
      <c r="E274" s="4" t="s">
        <v>28</v>
      </c>
      <c r="F274" s="4" t="s">
        <v>25</v>
      </c>
      <c r="G274" s="4" t="s">
        <v>25</v>
      </c>
      <c r="H274" s="4" t="s">
        <v>25</v>
      </c>
      <c r="I274" s="5">
        <v>44682</v>
      </c>
      <c r="J274" s="6">
        <v>0</v>
      </c>
      <c r="K274" s="6">
        <v>0</v>
      </c>
      <c r="L274" s="6">
        <v>19.745999999999999</v>
      </c>
      <c r="M274" s="6">
        <v>19.745999999999999</v>
      </c>
      <c r="N274" s="6">
        <v>19.745999999999999</v>
      </c>
      <c r="O274" s="6">
        <v>19.745999999999999</v>
      </c>
      <c r="P274" s="6">
        <v>18</v>
      </c>
      <c r="Q274" s="4" t="s">
        <v>26</v>
      </c>
      <c r="R274" s="4">
        <v>0</v>
      </c>
      <c r="S274" s="6">
        <v>0</v>
      </c>
      <c r="T274" s="6">
        <v>33</v>
      </c>
      <c r="U274" s="6">
        <v>1</v>
      </c>
      <c r="V274" s="6">
        <f>IF(ISERROR(VLOOKUP($S$274,'TAR FIN'!$A$1:$O$85,15,0)),0,VLOOKUP($S$274,'TAR FIN'!$A$1:$O$85,15,0))</f>
        <v>0</v>
      </c>
      <c r="W274" s="6">
        <f>IF(ISERROR(VLOOKUP($T$274,'TAR FIN'!$A$1:$O$85,15,0)),0,VLOOKUP($T$274,'TAR FIN'!$A$1:$O$85,15,0))</f>
        <v>90.5</v>
      </c>
      <c r="X274" s="6">
        <f>IF(ISERROR(VLOOKUP($U$274,'TAR FIN'!$A$1:$O$85,15,0)),0,VLOOKUP($U$274,'TAR FIN'!$A$1:$O$85,15,0))</f>
        <v>84.65</v>
      </c>
      <c r="Y274" s="6"/>
      <c r="Z274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274" s="6">
        <f>('TE BE'!$AB$12+'TE BF'!$AB$12+'TE CVA'!$AB$12)*(1-CUSTOS!$M$34)</f>
        <v>79.64271102922558</v>
      </c>
      <c r="AB274" s="6">
        <f>$K$274*$V$274</f>
        <v>0</v>
      </c>
      <c r="AC274" s="6">
        <f>$M$274*$W$274</f>
        <v>1787.0129999999999</v>
      </c>
      <c r="AD274" s="6">
        <f>$O$274*$X$274</f>
        <v>1671.4989</v>
      </c>
      <c r="AE274" s="6">
        <f>$K$274*$Y$274</f>
        <v>0</v>
      </c>
      <c r="AF274" s="6">
        <f ca="1">$M$274*$Z$274</f>
        <v>1777.2890285517819</v>
      </c>
      <c r="AG274" s="6">
        <f>$O$274*$AA$274</f>
        <v>1572.6249719830882</v>
      </c>
    </row>
    <row r="275" spans="1:33" ht="11.25" customHeight="1" x14ac:dyDescent="0.25">
      <c r="A275" s="4" t="s">
        <v>27</v>
      </c>
      <c r="B275" s="4" t="s">
        <v>22</v>
      </c>
      <c r="C275" s="4" t="s">
        <v>23</v>
      </c>
      <c r="D275" s="4" t="s">
        <v>24</v>
      </c>
      <c r="E275" s="4" t="s">
        <v>28</v>
      </c>
      <c r="F275" s="4" t="s">
        <v>25</v>
      </c>
      <c r="G275" s="4" t="s">
        <v>25</v>
      </c>
      <c r="H275" s="4" t="s">
        <v>25</v>
      </c>
      <c r="I275" s="5">
        <v>44682</v>
      </c>
      <c r="J275" s="6">
        <v>0</v>
      </c>
      <c r="K275" s="6">
        <v>0</v>
      </c>
      <c r="L275" s="6">
        <v>0.03</v>
      </c>
      <c r="M275" s="6">
        <v>-8.9999999999999993E-3</v>
      </c>
      <c r="N275" s="6">
        <v>0.03</v>
      </c>
      <c r="O275" s="6">
        <v>-8.9999999999999993E-3</v>
      </c>
      <c r="P275" s="6">
        <v>0</v>
      </c>
      <c r="Q275" s="4" t="s">
        <v>26</v>
      </c>
      <c r="R275" s="4">
        <v>0</v>
      </c>
      <c r="S275" s="6">
        <v>0</v>
      </c>
      <c r="T275" s="6">
        <v>33</v>
      </c>
      <c r="U275" s="6">
        <v>1</v>
      </c>
      <c r="V275" s="6">
        <f>IF(ISERROR(VLOOKUP($S$275,'TAR FIN'!$A$1:$O$85,15,0)),0,VLOOKUP($S$275,'TAR FIN'!$A$1:$O$85,15,0))</f>
        <v>0</v>
      </c>
      <c r="W275" s="6">
        <f>IF(ISERROR(VLOOKUP($T$275,'TAR FIN'!$A$1:$O$85,15,0)),0,VLOOKUP($T$275,'TAR FIN'!$A$1:$O$85,15,0))</f>
        <v>90.5</v>
      </c>
      <c r="X275" s="6">
        <f>IF(ISERROR(VLOOKUP($U$275,'TAR FIN'!$A$1:$O$85,15,0)),0,VLOOKUP($U$275,'TAR FIN'!$A$1:$O$85,15,0))</f>
        <v>84.65</v>
      </c>
      <c r="Y275" s="6"/>
      <c r="Z275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275" s="6">
        <f>('TE BE'!$AB$12+'TE BF'!$AB$12+'TE CVA'!$AB$12)*(1-CUSTOS!$M$34)</f>
        <v>79.64271102922558</v>
      </c>
      <c r="AB275" s="6">
        <f>$K$275*$V$275</f>
        <v>0</v>
      </c>
      <c r="AC275" s="6">
        <f>$M$275*$W$275</f>
        <v>-0.81449999999999989</v>
      </c>
      <c r="AD275" s="6">
        <f>$O$275*$X$275</f>
        <v>-0.76185000000000003</v>
      </c>
      <c r="AE275" s="6">
        <f>$K$275*$Y$275</f>
        <v>0</v>
      </c>
      <c r="AF275" s="6">
        <f ca="1">$M$275*$Z$275</f>
        <v>-0.81006792550217954</v>
      </c>
      <c r="AG275" s="6">
        <f>$O$275*$AA$275</f>
        <v>-0.71678439926303017</v>
      </c>
    </row>
    <row r="276" spans="1:33" ht="11.25" customHeight="1" x14ac:dyDescent="0.25">
      <c r="A276" s="4" t="s">
        <v>21</v>
      </c>
      <c r="B276" s="4" t="s">
        <v>22</v>
      </c>
      <c r="C276" s="4" t="s">
        <v>23</v>
      </c>
      <c r="D276" s="4" t="s">
        <v>24</v>
      </c>
      <c r="E276" s="4" t="s">
        <v>28</v>
      </c>
      <c r="F276" s="4" t="s">
        <v>25</v>
      </c>
      <c r="G276" s="4" t="s">
        <v>25</v>
      </c>
      <c r="H276" s="4" t="s">
        <v>25</v>
      </c>
      <c r="I276" s="5">
        <v>44713</v>
      </c>
      <c r="J276" s="6">
        <v>0</v>
      </c>
      <c r="K276" s="6">
        <v>0</v>
      </c>
      <c r="L276" s="6">
        <v>21.78</v>
      </c>
      <c r="M276" s="6">
        <v>21.78</v>
      </c>
      <c r="N276" s="6">
        <v>21.78</v>
      </c>
      <c r="O276" s="6">
        <v>21.78</v>
      </c>
      <c r="P276" s="6">
        <v>18</v>
      </c>
      <c r="Q276" s="4" t="s">
        <v>26</v>
      </c>
      <c r="R276" s="4">
        <v>0</v>
      </c>
      <c r="S276" s="6">
        <v>0</v>
      </c>
      <c r="T276" s="6">
        <v>33</v>
      </c>
      <c r="U276" s="6">
        <v>1</v>
      </c>
      <c r="V276" s="6">
        <f>IF(ISERROR(VLOOKUP($S$276,'TAR FIN'!$A$1:$O$85,15,0)),0,VLOOKUP($S$276,'TAR FIN'!$A$1:$O$85,15,0))</f>
        <v>0</v>
      </c>
      <c r="W276" s="6">
        <f>IF(ISERROR(VLOOKUP($T$276,'TAR FIN'!$A$1:$O$85,15,0)),0,VLOOKUP($T$276,'TAR FIN'!$A$1:$O$85,15,0))</f>
        <v>90.5</v>
      </c>
      <c r="X276" s="6">
        <f>IF(ISERROR(VLOOKUP($U$276,'TAR FIN'!$A$1:$O$85,15,0)),0,VLOOKUP($U$276,'TAR FIN'!$A$1:$O$85,15,0))</f>
        <v>84.65</v>
      </c>
      <c r="Y276" s="6"/>
      <c r="Z276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276" s="6">
        <f>('TE BE'!$AB$12+'TE BF'!$AB$12+'TE CVA'!$AB$12)*(1-CUSTOS!$M$34)</f>
        <v>79.64271102922558</v>
      </c>
      <c r="AB276" s="6">
        <f>$K$276*$V$276</f>
        <v>0</v>
      </c>
      <c r="AC276" s="6">
        <f>$M$276*$W$276</f>
        <v>1971.0900000000001</v>
      </c>
      <c r="AD276" s="6">
        <f>$O$276*$X$276</f>
        <v>1843.6770000000001</v>
      </c>
      <c r="AE276" s="6">
        <f>$K$276*$Y$276</f>
        <v>0</v>
      </c>
      <c r="AF276" s="6">
        <f ca="1">$M$276*$Z$276</f>
        <v>1960.3643797152747</v>
      </c>
      <c r="AG276" s="6">
        <f>$O$276*$AA$276</f>
        <v>1734.6182462165332</v>
      </c>
    </row>
    <row r="277" spans="1:33" ht="11.25" customHeight="1" x14ac:dyDescent="0.25">
      <c r="A277" s="4" t="s">
        <v>27</v>
      </c>
      <c r="B277" s="4" t="s">
        <v>22</v>
      </c>
      <c r="C277" s="4" t="s">
        <v>23</v>
      </c>
      <c r="D277" s="4" t="s">
        <v>24</v>
      </c>
      <c r="E277" s="4" t="s">
        <v>28</v>
      </c>
      <c r="F277" s="4" t="s">
        <v>25</v>
      </c>
      <c r="G277" s="4" t="s">
        <v>25</v>
      </c>
      <c r="H277" s="4" t="s">
        <v>25</v>
      </c>
      <c r="I277" s="5">
        <v>44713</v>
      </c>
      <c r="J277" s="6">
        <v>0</v>
      </c>
      <c r="K277" s="6">
        <v>0</v>
      </c>
      <c r="L277" s="6">
        <v>0.06</v>
      </c>
      <c r="M277" s="6">
        <v>-5.7000000000000002E-2</v>
      </c>
      <c r="N277" s="6">
        <v>0.06</v>
      </c>
      <c r="O277" s="6">
        <v>-5.7000000000000002E-2</v>
      </c>
      <c r="P277" s="6">
        <v>0</v>
      </c>
      <c r="Q277" s="4" t="s">
        <v>26</v>
      </c>
      <c r="R277" s="4">
        <v>0</v>
      </c>
      <c r="S277" s="6">
        <v>0</v>
      </c>
      <c r="T277" s="6">
        <v>33</v>
      </c>
      <c r="U277" s="6">
        <v>1</v>
      </c>
      <c r="V277" s="6">
        <f>IF(ISERROR(VLOOKUP($S$277,'TAR FIN'!$A$1:$O$85,15,0)),0,VLOOKUP($S$277,'TAR FIN'!$A$1:$O$85,15,0))</f>
        <v>0</v>
      </c>
      <c r="W277" s="6">
        <f>IF(ISERROR(VLOOKUP($T$277,'TAR FIN'!$A$1:$O$85,15,0)),0,VLOOKUP($T$277,'TAR FIN'!$A$1:$O$85,15,0))</f>
        <v>90.5</v>
      </c>
      <c r="X277" s="6">
        <f>IF(ISERROR(VLOOKUP($U$277,'TAR FIN'!$A$1:$O$85,15,0)),0,VLOOKUP($U$277,'TAR FIN'!$A$1:$O$85,15,0))</f>
        <v>84.65</v>
      </c>
      <c r="Y277" s="6"/>
      <c r="Z277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277" s="6">
        <f>('TE BE'!$AB$12+'TE BF'!$AB$12+'TE CVA'!$AB$12)*(1-CUSTOS!$M$34)</f>
        <v>79.64271102922558</v>
      </c>
      <c r="AB277" s="6">
        <f>$K$277*$V$277</f>
        <v>0</v>
      </c>
      <c r="AC277" s="6">
        <f>$M$277*$W$277</f>
        <v>-5.1585000000000001</v>
      </c>
      <c r="AD277" s="6">
        <f>$O$277*$X$277</f>
        <v>-4.8250500000000001</v>
      </c>
      <c r="AE277" s="6">
        <f>$K$277*$Y$277</f>
        <v>0</v>
      </c>
      <c r="AF277" s="6">
        <f ca="1">$M$277*$Z$277</f>
        <v>-5.130430194847138</v>
      </c>
      <c r="AG277" s="6">
        <f>$O$277*$AA$277</f>
        <v>-4.5396345286658581</v>
      </c>
    </row>
    <row r="278" spans="1:33" ht="11.25" customHeight="1" x14ac:dyDescent="0.25">
      <c r="A278" s="4" t="s">
        <v>21</v>
      </c>
      <c r="B278" s="4" t="s">
        <v>22</v>
      </c>
      <c r="C278" s="4" t="s">
        <v>23</v>
      </c>
      <c r="D278" s="4" t="s">
        <v>24</v>
      </c>
      <c r="E278" s="4" t="s">
        <v>29</v>
      </c>
      <c r="F278" s="4" t="s">
        <v>25</v>
      </c>
      <c r="G278" s="4" t="s">
        <v>25</v>
      </c>
      <c r="H278" s="4" t="s">
        <v>25</v>
      </c>
      <c r="I278" s="5">
        <v>44378</v>
      </c>
      <c r="J278" s="6">
        <v>0</v>
      </c>
      <c r="K278" s="6">
        <v>0</v>
      </c>
      <c r="L278" s="6">
        <v>18.091000000000001</v>
      </c>
      <c r="M278" s="6">
        <v>18.091000000000001</v>
      </c>
      <c r="N278" s="6">
        <v>18.091000000000001</v>
      </c>
      <c r="O278" s="6">
        <v>18.091000000000001</v>
      </c>
      <c r="P278" s="6">
        <v>50</v>
      </c>
      <c r="Q278" s="4" t="s">
        <v>26</v>
      </c>
      <c r="R278" s="4">
        <v>0</v>
      </c>
      <c r="S278" s="6">
        <v>0</v>
      </c>
      <c r="T278" s="6">
        <v>26</v>
      </c>
      <c r="U278" s="6">
        <v>18</v>
      </c>
      <c r="V278" s="6">
        <f>IF(ISERROR(VLOOKUP($S$278,'TAR FIN'!$A$1:$O$85,15,0)),0,VLOOKUP($S$278,'TAR FIN'!$A$1:$O$85,15,0))</f>
        <v>0</v>
      </c>
      <c r="W278" s="6">
        <f>IF(ISERROR(VLOOKUP($T$278,'TAR FIN'!$A$1:$O$85,15,0)),0,VLOOKUP($T$278,'TAR FIN'!$A$1:$O$85,15,0))</f>
        <v>155.15</v>
      </c>
      <c r="X278" s="6">
        <f>IF(ISERROR(VLOOKUP($U$278,'TAR FIN'!$A$1:$O$85,15,0)),0,VLOOKUP($U$278,'TAR FIN'!$A$1:$O$85,15,0))</f>
        <v>145.11000000000001</v>
      </c>
      <c r="Y278" s="6"/>
      <c r="Z278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278" s="6">
        <f>('TE BE'!$AB$13+'TE BF'!$AB$13+'TE CVA'!$AB$13)*(1-CUSTOS!$M$35)</f>
        <v>136.5303617643867</v>
      </c>
      <c r="AB278" s="6">
        <f>$K$278*$V$278</f>
        <v>0</v>
      </c>
      <c r="AC278" s="6">
        <f>$M$278*$W$278</f>
        <v>2806.8186500000002</v>
      </c>
      <c r="AD278" s="6">
        <f>$O$278*$X$278</f>
        <v>2625.1850100000006</v>
      </c>
      <c r="AE278" s="6">
        <f>$K$278*$Y$278</f>
        <v>0</v>
      </c>
      <c r="AF278" s="6">
        <f ca="1">$M$278*$Z$278</f>
        <v>2791.4169219542728</v>
      </c>
      <c r="AG278" s="6">
        <f>$O$278*$AA$278</f>
        <v>2469.9707746795198</v>
      </c>
    </row>
    <row r="279" spans="1:33" ht="11.25" customHeight="1" x14ac:dyDescent="0.25">
      <c r="A279" s="4" t="s">
        <v>21</v>
      </c>
      <c r="B279" s="4" t="s">
        <v>22</v>
      </c>
      <c r="C279" s="4" t="s">
        <v>23</v>
      </c>
      <c r="D279" s="4" t="s">
        <v>24</v>
      </c>
      <c r="E279" s="4" t="s">
        <v>29</v>
      </c>
      <c r="F279" s="4" t="s">
        <v>25</v>
      </c>
      <c r="G279" s="4" t="s">
        <v>25</v>
      </c>
      <c r="H279" s="4" t="s">
        <v>25</v>
      </c>
      <c r="I279" s="5">
        <v>44409</v>
      </c>
      <c r="J279" s="6">
        <v>0</v>
      </c>
      <c r="K279" s="6">
        <v>0</v>
      </c>
      <c r="L279" s="6">
        <v>18.702000000000002</v>
      </c>
      <c r="M279" s="6">
        <v>18.702000000000002</v>
      </c>
      <c r="N279" s="6">
        <v>18.702000000000002</v>
      </c>
      <c r="O279" s="6">
        <v>18.702000000000002</v>
      </c>
      <c r="P279" s="6">
        <v>53</v>
      </c>
      <c r="Q279" s="4" t="s">
        <v>26</v>
      </c>
      <c r="R279" s="4">
        <v>0</v>
      </c>
      <c r="S279" s="6">
        <v>0</v>
      </c>
      <c r="T279" s="6">
        <v>26</v>
      </c>
      <c r="U279" s="6">
        <v>18</v>
      </c>
      <c r="V279" s="6">
        <f>IF(ISERROR(VLOOKUP($S$279,'TAR FIN'!$A$1:$O$85,15,0)),0,VLOOKUP($S$279,'TAR FIN'!$A$1:$O$85,15,0))</f>
        <v>0</v>
      </c>
      <c r="W279" s="6">
        <f>IF(ISERROR(VLOOKUP($T$279,'TAR FIN'!$A$1:$O$85,15,0)),0,VLOOKUP($T$279,'TAR FIN'!$A$1:$O$85,15,0))</f>
        <v>155.15</v>
      </c>
      <c r="X279" s="6">
        <f>IF(ISERROR(VLOOKUP($U$279,'TAR FIN'!$A$1:$O$85,15,0)),0,VLOOKUP($U$279,'TAR FIN'!$A$1:$O$85,15,0))</f>
        <v>145.11000000000001</v>
      </c>
      <c r="Y279" s="6"/>
      <c r="Z279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279" s="6">
        <f>('TE BE'!$AB$13+'TE BF'!$AB$13+'TE CVA'!$AB$13)*(1-CUSTOS!$M$35)</f>
        <v>136.5303617643867</v>
      </c>
      <c r="AB279" s="6">
        <f>$K$279*$V$279</f>
        <v>0</v>
      </c>
      <c r="AC279" s="6">
        <f>$M$279*$W$279</f>
        <v>2901.6153000000004</v>
      </c>
      <c r="AD279" s="6">
        <f>$O$279*$X$279</f>
        <v>2713.8472200000006</v>
      </c>
      <c r="AE279" s="6">
        <f>$K$279*$Y$279</f>
        <v>0</v>
      </c>
      <c r="AF279" s="6">
        <f ca="1">$M$279*$Z$279</f>
        <v>2885.693398617479</v>
      </c>
      <c r="AG279" s="6">
        <f>$O$279*$AA$279</f>
        <v>2553.3908257175603</v>
      </c>
    </row>
    <row r="280" spans="1:33" ht="11.25" customHeight="1" x14ac:dyDescent="0.25">
      <c r="A280" s="4" t="s">
        <v>21</v>
      </c>
      <c r="B280" s="4" t="s">
        <v>22</v>
      </c>
      <c r="C280" s="4" t="s">
        <v>23</v>
      </c>
      <c r="D280" s="4" t="s">
        <v>24</v>
      </c>
      <c r="E280" s="4" t="s">
        <v>29</v>
      </c>
      <c r="F280" s="4" t="s">
        <v>25</v>
      </c>
      <c r="G280" s="4" t="s">
        <v>25</v>
      </c>
      <c r="H280" s="4" t="s">
        <v>25</v>
      </c>
      <c r="I280" s="5">
        <v>44440</v>
      </c>
      <c r="J280" s="6">
        <v>0</v>
      </c>
      <c r="K280" s="6">
        <v>0</v>
      </c>
      <c r="L280" s="6">
        <v>18.943999999999999</v>
      </c>
      <c r="M280" s="6">
        <v>18.943999999999999</v>
      </c>
      <c r="N280" s="6">
        <v>18.943999999999999</v>
      </c>
      <c r="O280" s="6">
        <v>18.943999999999999</v>
      </c>
      <c r="P280" s="6">
        <v>56</v>
      </c>
      <c r="Q280" s="4" t="s">
        <v>26</v>
      </c>
      <c r="R280" s="4">
        <v>0</v>
      </c>
      <c r="S280" s="6">
        <v>0</v>
      </c>
      <c r="T280" s="6">
        <v>26</v>
      </c>
      <c r="U280" s="6">
        <v>18</v>
      </c>
      <c r="V280" s="6">
        <f>IF(ISERROR(VLOOKUP($S$280,'TAR FIN'!$A$1:$O$85,15,0)),0,VLOOKUP($S$280,'TAR FIN'!$A$1:$O$85,15,0))</f>
        <v>0</v>
      </c>
      <c r="W280" s="6">
        <f>IF(ISERROR(VLOOKUP($T$280,'TAR FIN'!$A$1:$O$85,15,0)),0,VLOOKUP($T$280,'TAR FIN'!$A$1:$O$85,15,0))</f>
        <v>155.15</v>
      </c>
      <c r="X280" s="6">
        <f>IF(ISERROR(VLOOKUP($U$280,'TAR FIN'!$A$1:$O$85,15,0)),0,VLOOKUP($U$280,'TAR FIN'!$A$1:$O$85,15,0))</f>
        <v>145.11000000000001</v>
      </c>
      <c r="Y280" s="6"/>
      <c r="Z280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280" s="6">
        <f>('TE BE'!$AB$13+'TE BF'!$AB$13+'TE CVA'!$AB$13)*(1-CUSTOS!$M$35)</f>
        <v>136.5303617643867</v>
      </c>
      <c r="AB280" s="6">
        <f>$K$280*$V$280</f>
        <v>0</v>
      </c>
      <c r="AC280" s="6">
        <f>$M$280*$W$280</f>
        <v>2939.1615999999999</v>
      </c>
      <c r="AD280" s="6">
        <f>$O$280*$X$280</f>
        <v>2748.9638400000003</v>
      </c>
      <c r="AE280" s="6">
        <f>$K$280*$Y$280</f>
        <v>0</v>
      </c>
      <c r="AF280" s="6">
        <f ca="1">$M$280*$Z$280</f>
        <v>2923.0336725168172</v>
      </c>
      <c r="AG280" s="6">
        <f>$O$280*$AA$280</f>
        <v>2586.4311732645415</v>
      </c>
    </row>
    <row r="281" spans="1:33" ht="11.25" customHeight="1" x14ac:dyDescent="0.25">
      <c r="A281" s="4" t="s">
        <v>21</v>
      </c>
      <c r="B281" s="4" t="s">
        <v>22</v>
      </c>
      <c r="C281" s="4" t="s">
        <v>23</v>
      </c>
      <c r="D281" s="4" t="s">
        <v>24</v>
      </c>
      <c r="E281" s="4" t="s">
        <v>29</v>
      </c>
      <c r="F281" s="4" t="s">
        <v>25</v>
      </c>
      <c r="G281" s="4" t="s">
        <v>25</v>
      </c>
      <c r="H281" s="4" t="s">
        <v>25</v>
      </c>
      <c r="I281" s="5">
        <v>44470</v>
      </c>
      <c r="J281" s="6">
        <v>0</v>
      </c>
      <c r="K281" s="6">
        <v>0</v>
      </c>
      <c r="L281" s="6">
        <v>18.806000000000001</v>
      </c>
      <c r="M281" s="6">
        <v>18.806000000000001</v>
      </c>
      <c r="N281" s="6">
        <v>18.806000000000001</v>
      </c>
      <c r="O281" s="6">
        <v>18.806000000000001</v>
      </c>
      <c r="P281" s="6">
        <v>59</v>
      </c>
      <c r="Q281" s="4" t="s">
        <v>26</v>
      </c>
      <c r="R281" s="4">
        <v>0</v>
      </c>
      <c r="S281" s="6">
        <v>0</v>
      </c>
      <c r="T281" s="6">
        <v>26</v>
      </c>
      <c r="U281" s="6">
        <v>18</v>
      </c>
      <c r="V281" s="6">
        <f>IF(ISERROR(VLOOKUP($S$281,'TAR FIN'!$A$1:$O$85,15,0)),0,VLOOKUP($S$281,'TAR FIN'!$A$1:$O$85,15,0))</f>
        <v>0</v>
      </c>
      <c r="W281" s="6">
        <f>IF(ISERROR(VLOOKUP($T$281,'TAR FIN'!$A$1:$O$85,15,0)),0,VLOOKUP($T$281,'TAR FIN'!$A$1:$O$85,15,0))</f>
        <v>155.15</v>
      </c>
      <c r="X281" s="6">
        <f>IF(ISERROR(VLOOKUP($U$281,'TAR FIN'!$A$1:$O$85,15,0)),0,VLOOKUP($U$281,'TAR FIN'!$A$1:$O$85,15,0))</f>
        <v>145.11000000000001</v>
      </c>
      <c r="Y281" s="6"/>
      <c r="Z281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281" s="6">
        <f>('TE BE'!$AB$13+'TE BF'!$AB$13+'TE CVA'!$AB$13)*(1-CUSTOS!$M$35)</f>
        <v>136.5303617643867</v>
      </c>
      <c r="AB281" s="6">
        <f>$K$281*$V$281</f>
        <v>0</v>
      </c>
      <c r="AC281" s="6">
        <f>$M$281*$W$281</f>
        <v>2917.7509000000005</v>
      </c>
      <c r="AD281" s="6">
        <f>$O$281*$X$281</f>
        <v>2728.9386600000003</v>
      </c>
      <c r="AE281" s="6">
        <f>$K$281*$Y$281</f>
        <v>0</v>
      </c>
      <c r="AF281" s="6">
        <f ca="1">$M$281*$Z$281</f>
        <v>2901.7404584750457</v>
      </c>
      <c r="AG281" s="6">
        <f>$O$281*$AA$281</f>
        <v>2567.5899833410563</v>
      </c>
    </row>
    <row r="282" spans="1:33" ht="11.25" customHeight="1" x14ac:dyDescent="0.25">
      <c r="A282" s="4" t="s">
        <v>21</v>
      </c>
      <c r="B282" s="4" t="s">
        <v>22</v>
      </c>
      <c r="C282" s="4" t="s">
        <v>23</v>
      </c>
      <c r="D282" s="4" t="s">
        <v>24</v>
      </c>
      <c r="E282" s="4" t="s">
        <v>29</v>
      </c>
      <c r="F282" s="4" t="s">
        <v>25</v>
      </c>
      <c r="G282" s="4" t="s">
        <v>25</v>
      </c>
      <c r="H282" s="4" t="s">
        <v>25</v>
      </c>
      <c r="I282" s="5">
        <v>44501</v>
      </c>
      <c r="J282" s="6">
        <v>0</v>
      </c>
      <c r="K282" s="6">
        <v>0</v>
      </c>
      <c r="L282" s="6">
        <v>19.143999999999998</v>
      </c>
      <c r="M282" s="6">
        <v>19.143999999999998</v>
      </c>
      <c r="N282" s="6">
        <v>19.143999999999998</v>
      </c>
      <c r="O282" s="6">
        <v>19.143999999999998</v>
      </c>
      <c r="P282" s="6">
        <v>48</v>
      </c>
      <c r="Q282" s="4" t="s">
        <v>26</v>
      </c>
      <c r="R282" s="4">
        <v>0</v>
      </c>
      <c r="S282" s="6">
        <v>0</v>
      </c>
      <c r="T282" s="6">
        <v>26</v>
      </c>
      <c r="U282" s="6">
        <v>18</v>
      </c>
      <c r="V282" s="6">
        <f>IF(ISERROR(VLOOKUP($S$282,'TAR FIN'!$A$1:$O$85,15,0)),0,VLOOKUP($S$282,'TAR FIN'!$A$1:$O$85,15,0))</f>
        <v>0</v>
      </c>
      <c r="W282" s="6">
        <f>IF(ISERROR(VLOOKUP($T$282,'TAR FIN'!$A$1:$O$85,15,0)),0,VLOOKUP($T$282,'TAR FIN'!$A$1:$O$85,15,0))</f>
        <v>155.15</v>
      </c>
      <c r="X282" s="6">
        <f>IF(ISERROR(VLOOKUP($U$282,'TAR FIN'!$A$1:$O$85,15,0)),0,VLOOKUP($U$282,'TAR FIN'!$A$1:$O$85,15,0))</f>
        <v>145.11000000000001</v>
      </c>
      <c r="Y282" s="6"/>
      <c r="Z282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282" s="6">
        <f>('TE BE'!$AB$13+'TE BF'!$AB$13+'TE CVA'!$AB$13)*(1-CUSTOS!$M$35)</f>
        <v>136.5303617643867</v>
      </c>
      <c r="AB282" s="6">
        <f>$K$282*$V$282</f>
        <v>0</v>
      </c>
      <c r="AC282" s="6">
        <f>$M$282*$W$282</f>
        <v>2970.1915999999997</v>
      </c>
      <c r="AD282" s="6">
        <f>$O$282*$X$282</f>
        <v>2777.9858399999998</v>
      </c>
      <c r="AE282" s="6">
        <f>$K$282*$Y$282</f>
        <v>0</v>
      </c>
      <c r="AF282" s="6">
        <f ca="1">$M$282*$Z$282</f>
        <v>2953.8934030121382</v>
      </c>
      <c r="AG282" s="6">
        <f>$O$282*$AA$282</f>
        <v>2613.7372456174189</v>
      </c>
    </row>
    <row r="283" spans="1:33" ht="11.25" customHeight="1" x14ac:dyDescent="0.25">
      <c r="A283" s="4" t="s">
        <v>21</v>
      </c>
      <c r="B283" s="4" t="s">
        <v>22</v>
      </c>
      <c r="C283" s="4" t="s">
        <v>23</v>
      </c>
      <c r="D283" s="4" t="s">
        <v>24</v>
      </c>
      <c r="E283" s="4" t="s">
        <v>29</v>
      </c>
      <c r="F283" s="4" t="s">
        <v>25</v>
      </c>
      <c r="G283" s="4" t="s">
        <v>25</v>
      </c>
      <c r="H283" s="4" t="s">
        <v>25</v>
      </c>
      <c r="I283" s="5">
        <v>44531</v>
      </c>
      <c r="J283" s="6">
        <v>0</v>
      </c>
      <c r="K283" s="6">
        <v>0</v>
      </c>
      <c r="L283" s="6">
        <v>26.596</v>
      </c>
      <c r="M283" s="6">
        <v>26.596</v>
      </c>
      <c r="N283" s="6">
        <v>26.596</v>
      </c>
      <c r="O283" s="6">
        <v>26.596</v>
      </c>
      <c r="P283" s="6">
        <v>67</v>
      </c>
      <c r="Q283" s="4" t="s">
        <v>26</v>
      </c>
      <c r="R283" s="4">
        <v>0</v>
      </c>
      <c r="S283" s="6">
        <v>0</v>
      </c>
      <c r="T283" s="6">
        <v>26</v>
      </c>
      <c r="U283" s="6">
        <v>18</v>
      </c>
      <c r="V283" s="6">
        <f>IF(ISERROR(VLOOKUP($S$283,'TAR FIN'!$A$1:$O$85,15,0)),0,VLOOKUP($S$283,'TAR FIN'!$A$1:$O$85,15,0))</f>
        <v>0</v>
      </c>
      <c r="W283" s="6">
        <f>IF(ISERROR(VLOOKUP($T$283,'TAR FIN'!$A$1:$O$85,15,0)),0,VLOOKUP($T$283,'TAR FIN'!$A$1:$O$85,15,0))</f>
        <v>155.15</v>
      </c>
      <c r="X283" s="6">
        <f>IF(ISERROR(VLOOKUP($U$283,'TAR FIN'!$A$1:$O$85,15,0)),0,VLOOKUP($U$283,'TAR FIN'!$A$1:$O$85,15,0))</f>
        <v>145.11000000000001</v>
      </c>
      <c r="Y283" s="6"/>
      <c r="Z283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283" s="6">
        <f>('TE BE'!$AB$13+'TE BF'!$AB$13+'TE CVA'!$AB$13)*(1-CUSTOS!$M$35)</f>
        <v>136.5303617643867</v>
      </c>
      <c r="AB283" s="6">
        <f>$K$283*$V$283</f>
        <v>0</v>
      </c>
      <c r="AC283" s="6">
        <f>$M$283*$W$283</f>
        <v>4126.3694000000005</v>
      </c>
      <c r="AD283" s="6">
        <f>$O$283*$X$283</f>
        <v>3859.3455600000002</v>
      </c>
      <c r="AE283" s="6">
        <f>$K$283*$Y$283</f>
        <v>0</v>
      </c>
      <c r="AF283" s="6">
        <f ca="1">$M$283*$Z$283</f>
        <v>4103.7269612678037</v>
      </c>
      <c r="AG283" s="6">
        <f>$O$283*$AA$283</f>
        <v>3631.1615014856288</v>
      </c>
    </row>
    <row r="284" spans="1:33" ht="11.25" customHeight="1" x14ac:dyDescent="0.25">
      <c r="A284" s="4" t="s">
        <v>21</v>
      </c>
      <c r="B284" s="4" t="s">
        <v>22</v>
      </c>
      <c r="C284" s="4" t="s">
        <v>23</v>
      </c>
      <c r="D284" s="4" t="s">
        <v>24</v>
      </c>
      <c r="E284" s="4" t="s">
        <v>29</v>
      </c>
      <c r="F284" s="4" t="s">
        <v>25</v>
      </c>
      <c r="G284" s="4" t="s">
        <v>25</v>
      </c>
      <c r="H284" s="4" t="s">
        <v>25</v>
      </c>
      <c r="I284" s="5">
        <v>44562</v>
      </c>
      <c r="J284" s="6">
        <v>0</v>
      </c>
      <c r="K284" s="6">
        <v>0</v>
      </c>
      <c r="L284" s="6">
        <v>31.931000000000001</v>
      </c>
      <c r="M284" s="6">
        <v>31.931000000000001</v>
      </c>
      <c r="N284" s="6">
        <v>31.931000000000001</v>
      </c>
      <c r="O284" s="6">
        <v>31.931000000000001</v>
      </c>
      <c r="P284" s="6">
        <v>74</v>
      </c>
      <c r="Q284" s="4" t="s">
        <v>26</v>
      </c>
      <c r="R284" s="4">
        <v>0</v>
      </c>
      <c r="S284" s="6">
        <v>0</v>
      </c>
      <c r="T284" s="6">
        <v>26</v>
      </c>
      <c r="U284" s="6">
        <v>18</v>
      </c>
      <c r="V284" s="6">
        <f>IF(ISERROR(VLOOKUP($S$284,'TAR FIN'!$A$1:$O$85,15,0)),0,VLOOKUP($S$284,'TAR FIN'!$A$1:$O$85,15,0))</f>
        <v>0</v>
      </c>
      <c r="W284" s="6">
        <f>IF(ISERROR(VLOOKUP($T$284,'TAR FIN'!$A$1:$O$85,15,0)),0,VLOOKUP($T$284,'TAR FIN'!$A$1:$O$85,15,0))</f>
        <v>155.15</v>
      </c>
      <c r="X284" s="6">
        <f>IF(ISERROR(VLOOKUP($U$284,'TAR FIN'!$A$1:$O$85,15,0)),0,VLOOKUP($U$284,'TAR FIN'!$A$1:$O$85,15,0))</f>
        <v>145.11000000000001</v>
      </c>
      <c r="Y284" s="6"/>
      <c r="Z284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284" s="6">
        <f>('TE BE'!$AB$13+'TE BF'!$AB$13+'TE CVA'!$AB$13)*(1-CUSTOS!$M$35)</f>
        <v>136.5303617643867</v>
      </c>
      <c r="AB284" s="6">
        <f>$K$284*$V$284</f>
        <v>0</v>
      </c>
      <c r="AC284" s="6">
        <f>$M$284*$W$284</f>
        <v>4954.09465</v>
      </c>
      <c r="AD284" s="6">
        <f>$O$284*$X$284</f>
        <v>4633.5074100000002</v>
      </c>
      <c r="AE284" s="6">
        <f>$K$284*$Y$284</f>
        <v>0</v>
      </c>
      <c r="AF284" s="6">
        <f ca="1">$M$284*$Z$284</f>
        <v>4926.9102722304951</v>
      </c>
      <c r="AG284" s="6">
        <f>$O$284*$AA$284</f>
        <v>4359.5509814986317</v>
      </c>
    </row>
    <row r="285" spans="1:33" ht="11.25" customHeight="1" x14ac:dyDescent="0.25">
      <c r="A285" s="4" t="s">
        <v>21</v>
      </c>
      <c r="B285" s="4" t="s">
        <v>22</v>
      </c>
      <c r="C285" s="4" t="s">
        <v>23</v>
      </c>
      <c r="D285" s="4" t="s">
        <v>24</v>
      </c>
      <c r="E285" s="4" t="s">
        <v>29</v>
      </c>
      <c r="F285" s="4" t="s">
        <v>25</v>
      </c>
      <c r="G285" s="4" t="s">
        <v>25</v>
      </c>
      <c r="H285" s="4" t="s">
        <v>25</v>
      </c>
      <c r="I285" s="5">
        <v>44593</v>
      </c>
      <c r="J285" s="6">
        <v>0</v>
      </c>
      <c r="K285" s="6">
        <v>0</v>
      </c>
      <c r="L285" s="6">
        <v>35.450000000000003</v>
      </c>
      <c r="M285" s="6">
        <v>35.450000000000003</v>
      </c>
      <c r="N285" s="6">
        <v>35.450000000000003</v>
      </c>
      <c r="O285" s="6">
        <v>35.450000000000003</v>
      </c>
      <c r="P285" s="6">
        <v>84</v>
      </c>
      <c r="Q285" s="4" t="s">
        <v>26</v>
      </c>
      <c r="R285" s="4">
        <v>0</v>
      </c>
      <c r="S285" s="6">
        <v>0</v>
      </c>
      <c r="T285" s="6">
        <v>26</v>
      </c>
      <c r="U285" s="6">
        <v>18</v>
      </c>
      <c r="V285" s="6">
        <f>IF(ISERROR(VLOOKUP($S$285,'TAR FIN'!$A$1:$O$85,15,0)),0,VLOOKUP($S$285,'TAR FIN'!$A$1:$O$85,15,0))</f>
        <v>0</v>
      </c>
      <c r="W285" s="6">
        <f>IF(ISERROR(VLOOKUP($T$285,'TAR FIN'!$A$1:$O$85,15,0)),0,VLOOKUP($T$285,'TAR FIN'!$A$1:$O$85,15,0))</f>
        <v>155.15</v>
      </c>
      <c r="X285" s="6">
        <f>IF(ISERROR(VLOOKUP($U$285,'TAR FIN'!$A$1:$O$85,15,0)),0,VLOOKUP($U$285,'TAR FIN'!$A$1:$O$85,15,0))</f>
        <v>145.11000000000001</v>
      </c>
      <c r="Y285" s="6"/>
      <c r="Z285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285" s="6">
        <f>('TE BE'!$AB$13+'TE BF'!$AB$13+'TE CVA'!$AB$13)*(1-CUSTOS!$M$35)</f>
        <v>136.5303617643867</v>
      </c>
      <c r="AB285" s="6">
        <f>$K$285*$V$285</f>
        <v>0</v>
      </c>
      <c r="AC285" s="6">
        <f>$M$285*$W$285</f>
        <v>5500.067500000001</v>
      </c>
      <c r="AD285" s="6">
        <f>$O$285*$X$285</f>
        <v>5144.1495000000004</v>
      </c>
      <c r="AE285" s="6">
        <f>$K$285*$Y$285</f>
        <v>0</v>
      </c>
      <c r="AF285" s="6">
        <f ca="1">$M$285*$Z$285</f>
        <v>5469.8872302956706</v>
      </c>
      <c r="AG285" s="6">
        <f>$O$285*$AA$285</f>
        <v>4840.0013245475084</v>
      </c>
    </row>
    <row r="286" spans="1:33" ht="11.25" customHeight="1" x14ac:dyDescent="0.25">
      <c r="A286" s="4" t="s">
        <v>21</v>
      </c>
      <c r="B286" s="4" t="s">
        <v>22</v>
      </c>
      <c r="C286" s="4" t="s">
        <v>23</v>
      </c>
      <c r="D286" s="4" t="s">
        <v>24</v>
      </c>
      <c r="E286" s="4" t="s">
        <v>29</v>
      </c>
      <c r="F286" s="4" t="s">
        <v>25</v>
      </c>
      <c r="G286" s="4" t="s">
        <v>25</v>
      </c>
      <c r="H286" s="4" t="s">
        <v>25</v>
      </c>
      <c r="I286" s="5">
        <v>44621</v>
      </c>
      <c r="J286" s="6">
        <v>0</v>
      </c>
      <c r="K286" s="6">
        <v>0</v>
      </c>
      <c r="L286" s="6">
        <v>36.933999999999997</v>
      </c>
      <c r="M286" s="6">
        <v>36.933999999999997</v>
      </c>
      <c r="N286" s="6">
        <v>36.933999999999997</v>
      </c>
      <c r="O286" s="6">
        <v>36.933999999999997</v>
      </c>
      <c r="P286" s="6">
        <v>114</v>
      </c>
      <c r="Q286" s="4" t="s">
        <v>26</v>
      </c>
      <c r="R286" s="4">
        <v>0</v>
      </c>
      <c r="S286" s="6">
        <v>0</v>
      </c>
      <c r="T286" s="6">
        <v>26</v>
      </c>
      <c r="U286" s="6">
        <v>18</v>
      </c>
      <c r="V286" s="6">
        <f>IF(ISERROR(VLOOKUP($S$286,'TAR FIN'!$A$1:$O$85,15,0)),0,VLOOKUP($S$286,'TAR FIN'!$A$1:$O$85,15,0))</f>
        <v>0</v>
      </c>
      <c r="W286" s="6">
        <f>IF(ISERROR(VLOOKUP($T$286,'TAR FIN'!$A$1:$O$85,15,0)),0,VLOOKUP($T$286,'TAR FIN'!$A$1:$O$85,15,0))</f>
        <v>155.15</v>
      </c>
      <c r="X286" s="6">
        <f>IF(ISERROR(VLOOKUP($U$286,'TAR FIN'!$A$1:$O$85,15,0)),0,VLOOKUP($U$286,'TAR FIN'!$A$1:$O$85,15,0))</f>
        <v>145.11000000000001</v>
      </c>
      <c r="Y286" s="6"/>
      <c r="Z286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286" s="6">
        <f>('TE BE'!$AB$13+'TE BF'!$AB$13+'TE CVA'!$AB$13)*(1-CUSTOS!$M$35)</f>
        <v>136.5303617643867</v>
      </c>
      <c r="AB286" s="6">
        <f>$K$286*$V$286</f>
        <v>0</v>
      </c>
      <c r="AC286" s="6">
        <f>$M$286*$W$286</f>
        <v>5730.3100999999997</v>
      </c>
      <c r="AD286" s="6">
        <f>$O$286*$X$286</f>
        <v>5359.4927400000006</v>
      </c>
      <c r="AE286" s="6">
        <f>$K$286*$Y$286</f>
        <v>0</v>
      </c>
      <c r="AF286" s="6">
        <f ca="1">$M$286*$Z$286</f>
        <v>5698.8664305709526</v>
      </c>
      <c r="AG286" s="6">
        <f>$O$286*$AA$286</f>
        <v>5042.6123814058583</v>
      </c>
    </row>
    <row r="287" spans="1:33" ht="11.25" customHeight="1" x14ac:dyDescent="0.25">
      <c r="A287" s="4" t="s">
        <v>21</v>
      </c>
      <c r="B287" s="4" t="s">
        <v>22</v>
      </c>
      <c r="C287" s="4" t="s">
        <v>23</v>
      </c>
      <c r="D287" s="4" t="s">
        <v>24</v>
      </c>
      <c r="E287" s="4" t="s">
        <v>29</v>
      </c>
      <c r="F287" s="4" t="s">
        <v>25</v>
      </c>
      <c r="G287" s="4" t="s">
        <v>25</v>
      </c>
      <c r="H287" s="4" t="s">
        <v>25</v>
      </c>
      <c r="I287" s="5">
        <v>44652</v>
      </c>
      <c r="J287" s="6">
        <v>0</v>
      </c>
      <c r="K287" s="6">
        <v>0</v>
      </c>
      <c r="L287" s="6">
        <v>39.765000000000001</v>
      </c>
      <c r="M287" s="6">
        <v>39.765000000000001</v>
      </c>
      <c r="N287" s="6">
        <v>39.765000000000001</v>
      </c>
      <c r="O287" s="6">
        <v>39.765000000000001</v>
      </c>
      <c r="P287" s="6">
        <v>144</v>
      </c>
      <c r="Q287" s="4" t="s">
        <v>26</v>
      </c>
      <c r="R287" s="4">
        <v>0</v>
      </c>
      <c r="S287" s="6">
        <v>0</v>
      </c>
      <c r="T287" s="6">
        <v>26</v>
      </c>
      <c r="U287" s="6">
        <v>18</v>
      </c>
      <c r="V287" s="6">
        <f>IF(ISERROR(VLOOKUP($S$287,'TAR FIN'!$A$1:$O$85,15,0)),0,VLOOKUP($S$287,'TAR FIN'!$A$1:$O$85,15,0))</f>
        <v>0</v>
      </c>
      <c r="W287" s="6">
        <f>IF(ISERROR(VLOOKUP($T$287,'TAR FIN'!$A$1:$O$85,15,0)),0,VLOOKUP($T$287,'TAR FIN'!$A$1:$O$85,15,0))</f>
        <v>155.15</v>
      </c>
      <c r="X287" s="6">
        <f>IF(ISERROR(VLOOKUP($U$287,'TAR FIN'!$A$1:$O$85,15,0)),0,VLOOKUP($U$287,'TAR FIN'!$A$1:$O$85,15,0))</f>
        <v>145.11000000000001</v>
      </c>
      <c r="Y287" s="6"/>
      <c r="Z287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287" s="6">
        <f>('TE BE'!$AB$13+'TE BF'!$AB$13+'TE CVA'!$AB$13)*(1-CUSTOS!$M$35)</f>
        <v>136.5303617643867</v>
      </c>
      <c r="AB287" s="6">
        <f>$K$287*$V$287</f>
        <v>0</v>
      </c>
      <c r="AC287" s="6">
        <f>$M$287*$W$287</f>
        <v>6169.5397499999999</v>
      </c>
      <c r="AD287" s="6">
        <f>$O$287*$X$287</f>
        <v>5770.2991500000007</v>
      </c>
      <c r="AE287" s="6">
        <f>$K$287*$Y$287</f>
        <v>0</v>
      </c>
      <c r="AF287" s="6">
        <f ca="1">$M$287*$Z$287</f>
        <v>6135.6859157322233</v>
      </c>
      <c r="AG287" s="6">
        <f>$O$287*$AA$287</f>
        <v>5429.1298355608369</v>
      </c>
    </row>
    <row r="288" spans="1:33" ht="11.25" customHeight="1" x14ac:dyDescent="0.25">
      <c r="A288" s="4" t="s">
        <v>21</v>
      </c>
      <c r="B288" s="4" t="s">
        <v>22</v>
      </c>
      <c r="C288" s="4" t="s">
        <v>23</v>
      </c>
      <c r="D288" s="4" t="s">
        <v>24</v>
      </c>
      <c r="E288" s="4" t="s">
        <v>29</v>
      </c>
      <c r="F288" s="4" t="s">
        <v>25</v>
      </c>
      <c r="G288" s="4" t="s">
        <v>25</v>
      </c>
      <c r="H288" s="4" t="s">
        <v>25</v>
      </c>
      <c r="I288" s="5">
        <v>44682</v>
      </c>
      <c r="J288" s="6">
        <v>0</v>
      </c>
      <c r="K288" s="6">
        <v>0</v>
      </c>
      <c r="L288" s="6">
        <v>40.735999999999997</v>
      </c>
      <c r="M288" s="6">
        <v>40.735999999999997</v>
      </c>
      <c r="N288" s="6">
        <v>40.735999999999997</v>
      </c>
      <c r="O288" s="6">
        <v>40.735999999999997</v>
      </c>
      <c r="P288" s="6">
        <v>140</v>
      </c>
      <c r="Q288" s="4" t="s">
        <v>26</v>
      </c>
      <c r="R288" s="4">
        <v>0</v>
      </c>
      <c r="S288" s="6">
        <v>0</v>
      </c>
      <c r="T288" s="6">
        <v>26</v>
      </c>
      <c r="U288" s="6">
        <v>18</v>
      </c>
      <c r="V288" s="6">
        <f>IF(ISERROR(VLOOKUP($S$288,'TAR FIN'!$A$1:$O$85,15,0)),0,VLOOKUP($S$288,'TAR FIN'!$A$1:$O$85,15,0))</f>
        <v>0</v>
      </c>
      <c r="W288" s="6">
        <f>IF(ISERROR(VLOOKUP($T$288,'TAR FIN'!$A$1:$O$85,15,0)),0,VLOOKUP($T$288,'TAR FIN'!$A$1:$O$85,15,0))</f>
        <v>155.15</v>
      </c>
      <c r="X288" s="6">
        <f>IF(ISERROR(VLOOKUP($U$288,'TAR FIN'!$A$1:$O$85,15,0)),0,VLOOKUP($U$288,'TAR FIN'!$A$1:$O$85,15,0))</f>
        <v>145.11000000000001</v>
      </c>
      <c r="Y288" s="6"/>
      <c r="Z288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288" s="6">
        <f>('TE BE'!$AB$13+'TE BF'!$AB$13+'TE CVA'!$AB$13)*(1-CUSTOS!$M$35)</f>
        <v>136.5303617643867</v>
      </c>
      <c r="AB288" s="6">
        <f>$K$288*$V$288</f>
        <v>0</v>
      </c>
      <c r="AC288" s="6">
        <f>$M$288*$W$288</f>
        <v>6320.1903999999995</v>
      </c>
      <c r="AD288" s="6">
        <f>$O$288*$X$288</f>
        <v>5911.2009600000001</v>
      </c>
      <c r="AE288" s="6">
        <f>$K$288*$Y$288</f>
        <v>0</v>
      </c>
      <c r="AF288" s="6">
        <f ca="1">$M$288*$Z$288</f>
        <v>6285.5099072870071</v>
      </c>
      <c r="AG288" s="6">
        <f>$O$288*$AA$288</f>
        <v>5561.7008168340562</v>
      </c>
    </row>
    <row r="289" spans="1:33" ht="11.25" customHeight="1" x14ac:dyDescent="0.25">
      <c r="A289" s="4" t="s">
        <v>27</v>
      </c>
      <c r="B289" s="4" t="s">
        <v>22</v>
      </c>
      <c r="C289" s="4" t="s">
        <v>23</v>
      </c>
      <c r="D289" s="4" t="s">
        <v>24</v>
      </c>
      <c r="E289" s="4" t="s">
        <v>29</v>
      </c>
      <c r="F289" s="4" t="s">
        <v>25</v>
      </c>
      <c r="G289" s="4" t="s">
        <v>25</v>
      </c>
      <c r="H289" s="4" t="s">
        <v>25</v>
      </c>
      <c r="I289" s="5">
        <v>44682</v>
      </c>
      <c r="J289" s="6">
        <v>0</v>
      </c>
      <c r="K289" s="6">
        <v>0</v>
      </c>
      <c r="L289" s="6">
        <v>7.0000000000000007E-2</v>
      </c>
      <c r="M289" s="6">
        <v>1.4E-2</v>
      </c>
      <c r="N289" s="6">
        <v>7.0000000000000007E-2</v>
      </c>
      <c r="O289" s="6">
        <v>1.4E-2</v>
      </c>
      <c r="P289" s="6">
        <v>0</v>
      </c>
      <c r="Q289" s="4" t="s">
        <v>26</v>
      </c>
      <c r="R289" s="4">
        <v>0</v>
      </c>
      <c r="S289" s="6">
        <v>0</v>
      </c>
      <c r="T289" s="6">
        <v>26</v>
      </c>
      <c r="U289" s="6">
        <v>18</v>
      </c>
      <c r="V289" s="6">
        <f>IF(ISERROR(VLOOKUP($S$289,'TAR FIN'!$A$1:$O$85,15,0)),0,VLOOKUP($S$289,'TAR FIN'!$A$1:$O$85,15,0))</f>
        <v>0</v>
      </c>
      <c r="W289" s="6">
        <f>IF(ISERROR(VLOOKUP($T$289,'TAR FIN'!$A$1:$O$85,15,0)),0,VLOOKUP($T$289,'TAR FIN'!$A$1:$O$85,15,0))</f>
        <v>155.15</v>
      </c>
      <c r="X289" s="6">
        <f>IF(ISERROR(VLOOKUP($U$289,'TAR FIN'!$A$1:$O$85,15,0)),0,VLOOKUP($U$289,'TAR FIN'!$A$1:$O$85,15,0))</f>
        <v>145.11000000000001</v>
      </c>
      <c r="Y289" s="6"/>
      <c r="Z289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289" s="6">
        <f>('TE BE'!$AB$13+'TE BF'!$AB$13+'TE CVA'!$AB$13)*(1-CUSTOS!$M$35)</f>
        <v>136.5303617643867</v>
      </c>
      <c r="AB289" s="6">
        <f>$K$289*$V$289</f>
        <v>0</v>
      </c>
      <c r="AC289" s="6">
        <f>$M$289*$W$289</f>
        <v>2.1720999999999999</v>
      </c>
      <c r="AD289" s="6">
        <f>$O$289*$X$289</f>
        <v>2.0315400000000001</v>
      </c>
      <c r="AE289" s="6">
        <f>$K$289*$Y$289</f>
        <v>0</v>
      </c>
      <c r="AF289" s="6">
        <f ca="1">$M$289*$Z$289</f>
        <v>2.1601811346724791</v>
      </c>
      <c r="AG289" s="6">
        <f>$O$289*$AA$289</f>
        <v>1.9114250647014137</v>
      </c>
    </row>
    <row r="290" spans="1:33" ht="11.25" customHeight="1" x14ac:dyDescent="0.25">
      <c r="A290" s="4" t="s">
        <v>21</v>
      </c>
      <c r="B290" s="4" t="s">
        <v>22</v>
      </c>
      <c r="C290" s="4" t="s">
        <v>23</v>
      </c>
      <c r="D290" s="4" t="s">
        <v>24</v>
      </c>
      <c r="E290" s="4" t="s">
        <v>29</v>
      </c>
      <c r="F290" s="4" t="s">
        <v>25</v>
      </c>
      <c r="G290" s="4" t="s">
        <v>25</v>
      </c>
      <c r="H290" s="4" t="s">
        <v>25</v>
      </c>
      <c r="I290" s="5">
        <v>44713</v>
      </c>
      <c r="J290" s="6">
        <v>0</v>
      </c>
      <c r="K290" s="6">
        <v>0</v>
      </c>
      <c r="L290" s="6">
        <v>45.326999999999998</v>
      </c>
      <c r="M290" s="6">
        <v>45.326999999999998</v>
      </c>
      <c r="N290" s="6">
        <v>45.326999999999998</v>
      </c>
      <c r="O290" s="6">
        <v>45.326999999999998</v>
      </c>
      <c r="P290" s="6">
        <v>154</v>
      </c>
      <c r="Q290" s="4" t="s">
        <v>26</v>
      </c>
      <c r="R290" s="4">
        <v>0</v>
      </c>
      <c r="S290" s="6">
        <v>0</v>
      </c>
      <c r="T290" s="6">
        <v>26</v>
      </c>
      <c r="U290" s="6">
        <v>18</v>
      </c>
      <c r="V290" s="6">
        <f>IF(ISERROR(VLOOKUP($S$290,'TAR FIN'!$A$1:$O$85,15,0)),0,VLOOKUP($S$290,'TAR FIN'!$A$1:$O$85,15,0))</f>
        <v>0</v>
      </c>
      <c r="W290" s="6">
        <f>IF(ISERROR(VLOOKUP($T$290,'TAR FIN'!$A$1:$O$85,15,0)),0,VLOOKUP($T$290,'TAR FIN'!$A$1:$O$85,15,0))</f>
        <v>155.15</v>
      </c>
      <c r="X290" s="6">
        <f>IF(ISERROR(VLOOKUP($U$290,'TAR FIN'!$A$1:$O$85,15,0)),0,VLOOKUP($U$290,'TAR FIN'!$A$1:$O$85,15,0))</f>
        <v>145.11000000000001</v>
      </c>
      <c r="Y290" s="6"/>
      <c r="Z290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290" s="6">
        <f>('TE BE'!$AB$13+'TE BF'!$AB$13+'TE CVA'!$AB$13)*(1-CUSTOS!$M$35)</f>
        <v>136.5303617643867</v>
      </c>
      <c r="AB290" s="6">
        <f>$K$290*$V$290</f>
        <v>0</v>
      </c>
      <c r="AC290" s="6">
        <f>$M$290*$W$290</f>
        <v>7032.48405</v>
      </c>
      <c r="AD290" s="6">
        <f>$O$290*$X$290</f>
        <v>6577.4009700000006</v>
      </c>
      <c r="AE290" s="6">
        <f>$K$290*$Y$290</f>
        <v>0</v>
      </c>
      <c r="AF290" s="6">
        <f ca="1">$M$290*$Z$290</f>
        <v>6993.8950208071037</v>
      </c>
      <c r="AG290" s="6">
        <f>$O$290*$AA$290</f>
        <v>6188.5117076943552</v>
      </c>
    </row>
    <row r="291" spans="1:33" ht="11.25" customHeight="1" x14ac:dyDescent="0.25">
      <c r="A291" s="4" t="s">
        <v>27</v>
      </c>
      <c r="B291" s="4" t="s">
        <v>22</v>
      </c>
      <c r="C291" s="4" t="s">
        <v>23</v>
      </c>
      <c r="D291" s="4" t="s">
        <v>24</v>
      </c>
      <c r="E291" s="4" t="s">
        <v>29</v>
      </c>
      <c r="F291" s="4" t="s">
        <v>25</v>
      </c>
      <c r="G291" s="4" t="s">
        <v>25</v>
      </c>
      <c r="H291" s="4" t="s">
        <v>25</v>
      </c>
      <c r="I291" s="5">
        <v>44713</v>
      </c>
      <c r="J291" s="6">
        <v>0</v>
      </c>
      <c r="K291" s="6">
        <v>0</v>
      </c>
      <c r="L291" s="6">
        <v>7.0000000000000007E-2</v>
      </c>
      <c r="M291" s="6">
        <v>-1.4E-2</v>
      </c>
      <c r="N291" s="6">
        <v>7.0000000000000007E-2</v>
      </c>
      <c r="O291" s="6">
        <v>-1.4E-2</v>
      </c>
      <c r="P291" s="6">
        <v>0</v>
      </c>
      <c r="Q291" s="4" t="s">
        <v>26</v>
      </c>
      <c r="R291" s="4">
        <v>0</v>
      </c>
      <c r="S291" s="6">
        <v>0</v>
      </c>
      <c r="T291" s="6">
        <v>26</v>
      </c>
      <c r="U291" s="6">
        <v>18</v>
      </c>
      <c r="V291" s="6">
        <f>IF(ISERROR(VLOOKUP($S$291,'TAR FIN'!$A$1:$O$85,15,0)),0,VLOOKUP($S$291,'TAR FIN'!$A$1:$O$85,15,0))</f>
        <v>0</v>
      </c>
      <c r="W291" s="6">
        <f>IF(ISERROR(VLOOKUP($T$291,'TAR FIN'!$A$1:$O$85,15,0)),0,VLOOKUP($T$291,'TAR FIN'!$A$1:$O$85,15,0))</f>
        <v>155.15</v>
      </c>
      <c r="X291" s="6">
        <f>IF(ISERROR(VLOOKUP($U$291,'TAR FIN'!$A$1:$O$85,15,0)),0,VLOOKUP($U$291,'TAR FIN'!$A$1:$O$85,15,0))</f>
        <v>145.11000000000001</v>
      </c>
      <c r="Y291" s="6"/>
      <c r="Z291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291" s="6">
        <f>('TE BE'!$AB$13+'TE BF'!$AB$13+'TE CVA'!$AB$13)*(1-CUSTOS!$M$35)</f>
        <v>136.5303617643867</v>
      </c>
      <c r="AB291" s="6">
        <f>$K$291*$V$291</f>
        <v>0</v>
      </c>
      <c r="AC291" s="6">
        <f>$M$291*$W$291</f>
        <v>-2.1720999999999999</v>
      </c>
      <c r="AD291" s="6">
        <f>$O$291*$X$291</f>
        <v>-2.0315400000000001</v>
      </c>
      <c r="AE291" s="6">
        <f>$K$291*$Y$291</f>
        <v>0</v>
      </c>
      <c r="AF291" s="6">
        <f ca="1">$M$291*$Z$291</f>
        <v>-2.1601811346724791</v>
      </c>
      <c r="AG291" s="6">
        <f>$O$291*$AA$291</f>
        <v>-1.9114250647014137</v>
      </c>
    </row>
    <row r="292" spans="1:33" ht="11.25" customHeight="1" x14ac:dyDescent="0.25">
      <c r="A292" s="4" t="s">
        <v>21</v>
      </c>
      <c r="B292" s="4" t="s">
        <v>22</v>
      </c>
      <c r="C292" s="4" t="s">
        <v>23</v>
      </c>
      <c r="D292" s="4" t="s">
        <v>24</v>
      </c>
      <c r="E292" s="4" t="s">
        <v>30</v>
      </c>
      <c r="F292" s="4" t="s">
        <v>25</v>
      </c>
      <c r="G292" s="4" t="s">
        <v>25</v>
      </c>
      <c r="H292" s="4" t="s">
        <v>25</v>
      </c>
      <c r="I292" s="5">
        <v>44378</v>
      </c>
      <c r="J292" s="6">
        <v>0</v>
      </c>
      <c r="K292" s="6">
        <v>0</v>
      </c>
      <c r="L292" s="6">
        <v>18.306999999999999</v>
      </c>
      <c r="M292" s="6">
        <v>18.306999999999999</v>
      </c>
      <c r="N292" s="6">
        <v>18.306999999999999</v>
      </c>
      <c r="O292" s="6">
        <v>18.306999999999999</v>
      </c>
      <c r="P292" s="6">
        <v>145</v>
      </c>
      <c r="Q292" s="4" t="s">
        <v>26</v>
      </c>
      <c r="R292" s="4">
        <v>0</v>
      </c>
      <c r="S292" s="6">
        <v>0</v>
      </c>
      <c r="T292" s="6">
        <v>45</v>
      </c>
      <c r="U292" s="6">
        <v>53</v>
      </c>
      <c r="V292" s="6">
        <f>IF(ISERROR(VLOOKUP($S$292,'TAR FIN'!$A$1:$O$85,15,0)),0,VLOOKUP($S$292,'TAR FIN'!$A$1:$O$85,15,0))</f>
        <v>0</v>
      </c>
      <c r="W292" s="6">
        <f>IF(ISERROR(VLOOKUP($T$292,'TAR FIN'!$A$1:$O$85,15,0)),0,VLOOKUP($T$292,'TAR FIN'!$A$1:$O$85,15,0))</f>
        <v>232.73</v>
      </c>
      <c r="X292" s="6">
        <f>IF(ISERROR(VLOOKUP($U$292,'TAR FIN'!$A$1:$O$85,15,0)),0,VLOOKUP($U$292,'TAR FIN'!$A$1:$O$85,15,0))</f>
        <v>217.67</v>
      </c>
      <c r="Y292" s="6"/>
      <c r="Z292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292" s="6">
        <f>('TE BE'!$AB$14+'TE BF'!$AB$14+'TE CVA'!$AB$14)*(1-CUSTOS!$M$36)</f>
        <v>204.79554264658009</v>
      </c>
      <c r="AB292" s="6">
        <f>$K$292*$V$292</f>
        <v>0</v>
      </c>
      <c r="AC292" s="6">
        <f>$M$292*$W$292</f>
        <v>4260.5881099999997</v>
      </c>
      <c r="AD292" s="6">
        <f>$O$292*$X$292</f>
        <v>3984.8846899999994</v>
      </c>
      <c r="AE292" s="6">
        <f>$K$292*$Y$292</f>
        <v>0</v>
      </c>
      <c r="AF292" s="6">
        <f ca="1">$M$292*$Z$292</f>
        <v>4237.1181463338289</v>
      </c>
      <c r="AG292" s="6">
        <f>$O$292*$AA$292</f>
        <v>3749.1919992309413</v>
      </c>
    </row>
    <row r="293" spans="1:33" ht="11.25" customHeight="1" x14ac:dyDescent="0.25">
      <c r="A293" s="4" t="s">
        <v>21</v>
      </c>
      <c r="B293" s="4" t="s">
        <v>22</v>
      </c>
      <c r="C293" s="4" t="s">
        <v>23</v>
      </c>
      <c r="D293" s="4" t="s">
        <v>24</v>
      </c>
      <c r="E293" s="4" t="s">
        <v>30</v>
      </c>
      <c r="F293" s="4" t="s">
        <v>25</v>
      </c>
      <c r="G293" s="4" t="s">
        <v>25</v>
      </c>
      <c r="H293" s="4" t="s">
        <v>25</v>
      </c>
      <c r="I293" s="5">
        <v>44409</v>
      </c>
      <c r="J293" s="6">
        <v>0</v>
      </c>
      <c r="K293" s="6">
        <v>0</v>
      </c>
      <c r="L293" s="6">
        <v>19.001999999999999</v>
      </c>
      <c r="M293" s="6">
        <v>19.001999999999999</v>
      </c>
      <c r="N293" s="6">
        <v>19.001999999999999</v>
      </c>
      <c r="O293" s="6">
        <v>19.001999999999999</v>
      </c>
      <c r="P293" s="6">
        <v>148</v>
      </c>
      <c r="Q293" s="4" t="s">
        <v>26</v>
      </c>
      <c r="R293" s="4">
        <v>0</v>
      </c>
      <c r="S293" s="6">
        <v>0</v>
      </c>
      <c r="T293" s="6">
        <v>45</v>
      </c>
      <c r="U293" s="6">
        <v>53</v>
      </c>
      <c r="V293" s="6">
        <f>IF(ISERROR(VLOOKUP($S$293,'TAR FIN'!$A$1:$O$85,15,0)),0,VLOOKUP($S$293,'TAR FIN'!$A$1:$O$85,15,0))</f>
        <v>0</v>
      </c>
      <c r="W293" s="6">
        <f>IF(ISERROR(VLOOKUP($T$293,'TAR FIN'!$A$1:$O$85,15,0)),0,VLOOKUP($T$293,'TAR FIN'!$A$1:$O$85,15,0))</f>
        <v>232.73</v>
      </c>
      <c r="X293" s="6">
        <f>IF(ISERROR(VLOOKUP($U$293,'TAR FIN'!$A$1:$O$85,15,0)),0,VLOOKUP($U$293,'TAR FIN'!$A$1:$O$85,15,0))</f>
        <v>217.67</v>
      </c>
      <c r="Y293" s="6"/>
      <c r="Z293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293" s="6">
        <f>('TE BE'!$AB$14+'TE BF'!$AB$14+'TE CVA'!$AB$14)*(1-CUSTOS!$M$36)</f>
        <v>204.79554264658009</v>
      </c>
      <c r="AB293" s="6">
        <f>$K$293*$V$293</f>
        <v>0</v>
      </c>
      <c r="AC293" s="6">
        <f>$M$293*$W$293</f>
        <v>4422.3354599999993</v>
      </c>
      <c r="AD293" s="6">
        <f>$O$293*$X$293</f>
        <v>4136.1653399999996</v>
      </c>
      <c r="AE293" s="6">
        <f>$K$293*$Y$293</f>
        <v>0</v>
      </c>
      <c r="AF293" s="6">
        <f ca="1">$M$293*$Z$293</f>
        <v>4397.97449154069</v>
      </c>
      <c r="AG293" s="6">
        <f>$O$293*$AA$293</f>
        <v>3891.5249013703146</v>
      </c>
    </row>
    <row r="294" spans="1:33" ht="11.25" customHeight="1" x14ac:dyDescent="0.25">
      <c r="A294" s="4" t="s">
        <v>21</v>
      </c>
      <c r="B294" s="4" t="s">
        <v>22</v>
      </c>
      <c r="C294" s="4" t="s">
        <v>23</v>
      </c>
      <c r="D294" s="4" t="s">
        <v>24</v>
      </c>
      <c r="E294" s="4" t="s">
        <v>30</v>
      </c>
      <c r="F294" s="4" t="s">
        <v>25</v>
      </c>
      <c r="G294" s="4" t="s">
        <v>25</v>
      </c>
      <c r="H294" s="4" t="s">
        <v>25</v>
      </c>
      <c r="I294" s="5">
        <v>44440</v>
      </c>
      <c r="J294" s="6">
        <v>0</v>
      </c>
      <c r="K294" s="6">
        <v>0</v>
      </c>
      <c r="L294" s="6">
        <v>18.817</v>
      </c>
      <c r="M294" s="6">
        <v>18.817</v>
      </c>
      <c r="N294" s="6">
        <v>18.817</v>
      </c>
      <c r="O294" s="6">
        <v>18.817</v>
      </c>
      <c r="P294" s="6">
        <v>153</v>
      </c>
      <c r="Q294" s="4" t="s">
        <v>26</v>
      </c>
      <c r="R294" s="4">
        <v>0</v>
      </c>
      <c r="S294" s="6">
        <v>0</v>
      </c>
      <c r="T294" s="6">
        <v>45</v>
      </c>
      <c r="U294" s="6">
        <v>53</v>
      </c>
      <c r="V294" s="6">
        <f>IF(ISERROR(VLOOKUP($S$294,'TAR FIN'!$A$1:$O$85,15,0)),0,VLOOKUP($S$294,'TAR FIN'!$A$1:$O$85,15,0))</f>
        <v>0</v>
      </c>
      <c r="W294" s="6">
        <f>IF(ISERROR(VLOOKUP($T$294,'TAR FIN'!$A$1:$O$85,15,0)),0,VLOOKUP($T$294,'TAR FIN'!$A$1:$O$85,15,0))</f>
        <v>232.73</v>
      </c>
      <c r="X294" s="6">
        <f>IF(ISERROR(VLOOKUP($U$294,'TAR FIN'!$A$1:$O$85,15,0)),0,VLOOKUP($U$294,'TAR FIN'!$A$1:$O$85,15,0))</f>
        <v>217.67</v>
      </c>
      <c r="Y294" s="6"/>
      <c r="Z294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294" s="6">
        <f>('TE BE'!$AB$14+'TE BF'!$AB$14+'TE CVA'!$AB$14)*(1-CUSTOS!$M$36)</f>
        <v>204.79554264658009</v>
      </c>
      <c r="AB294" s="6">
        <f>$K$294*$V$294</f>
        <v>0</v>
      </c>
      <c r="AC294" s="6">
        <f>$M$294*$W$294</f>
        <v>4379.2804099999994</v>
      </c>
      <c r="AD294" s="6">
        <f>$O$294*$X$294</f>
        <v>4095.8963899999999</v>
      </c>
      <c r="AE294" s="6">
        <f>$K$294*$Y$294</f>
        <v>0</v>
      </c>
      <c r="AF294" s="6">
        <f ca="1">$M$294*$Z$294</f>
        <v>4355.1566154784323</v>
      </c>
      <c r="AG294" s="6">
        <f>$O$294*$AA$294</f>
        <v>3853.6377259806977</v>
      </c>
    </row>
    <row r="295" spans="1:33" ht="11.25" customHeight="1" x14ac:dyDescent="0.25">
      <c r="A295" s="4" t="s">
        <v>21</v>
      </c>
      <c r="B295" s="4" t="s">
        <v>22</v>
      </c>
      <c r="C295" s="4" t="s">
        <v>23</v>
      </c>
      <c r="D295" s="4" t="s">
        <v>24</v>
      </c>
      <c r="E295" s="4" t="s">
        <v>30</v>
      </c>
      <c r="F295" s="4" t="s">
        <v>25</v>
      </c>
      <c r="G295" s="4" t="s">
        <v>25</v>
      </c>
      <c r="H295" s="4" t="s">
        <v>25</v>
      </c>
      <c r="I295" s="5">
        <v>44470</v>
      </c>
      <c r="J295" s="6">
        <v>0</v>
      </c>
      <c r="K295" s="6">
        <v>0</v>
      </c>
      <c r="L295" s="6">
        <v>17.649000000000001</v>
      </c>
      <c r="M295" s="6">
        <v>17.649000000000001</v>
      </c>
      <c r="N295" s="6">
        <v>17.649000000000001</v>
      </c>
      <c r="O295" s="6">
        <v>17.649000000000001</v>
      </c>
      <c r="P295" s="6">
        <v>170</v>
      </c>
      <c r="Q295" s="4" t="s">
        <v>26</v>
      </c>
      <c r="R295" s="4">
        <v>0</v>
      </c>
      <c r="S295" s="6">
        <v>0</v>
      </c>
      <c r="T295" s="6">
        <v>45</v>
      </c>
      <c r="U295" s="6">
        <v>53</v>
      </c>
      <c r="V295" s="6">
        <f>IF(ISERROR(VLOOKUP($S$295,'TAR FIN'!$A$1:$O$85,15,0)),0,VLOOKUP($S$295,'TAR FIN'!$A$1:$O$85,15,0))</f>
        <v>0</v>
      </c>
      <c r="W295" s="6">
        <f>IF(ISERROR(VLOOKUP($T$295,'TAR FIN'!$A$1:$O$85,15,0)),0,VLOOKUP($T$295,'TAR FIN'!$A$1:$O$85,15,0))</f>
        <v>232.73</v>
      </c>
      <c r="X295" s="6">
        <f>IF(ISERROR(VLOOKUP($U$295,'TAR FIN'!$A$1:$O$85,15,0)),0,VLOOKUP($U$295,'TAR FIN'!$A$1:$O$85,15,0))</f>
        <v>217.67</v>
      </c>
      <c r="Y295" s="6"/>
      <c r="Z295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295" s="6">
        <f>('TE BE'!$AB$14+'TE BF'!$AB$14+'TE CVA'!$AB$14)*(1-CUSTOS!$M$36)</f>
        <v>204.79554264658009</v>
      </c>
      <c r="AB295" s="6">
        <f>$K$295*$V$295</f>
        <v>0</v>
      </c>
      <c r="AC295" s="6">
        <f>$M$295*$W$295</f>
        <v>4107.4517699999997</v>
      </c>
      <c r="AD295" s="6">
        <f>$O$295*$X$295</f>
        <v>3841.6578300000001</v>
      </c>
      <c r="AE295" s="6">
        <f>$K$295*$Y$295</f>
        <v>0</v>
      </c>
      <c r="AF295" s="6">
        <f ca="1">$M$295*$Z$295</f>
        <v>4084.8253763394196</v>
      </c>
      <c r="AG295" s="6">
        <f>$O$295*$AA$295</f>
        <v>3614.4365321694922</v>
      </c>
    </row>
    <row r="296" spans="1:33" ht="11.25" customHeight="1" x14ac:dyDescent="0.25">
      <c r="A296" s="4" t="s">
        <v>21</v>
      </c>
      <c r="B296" s="4" t="s">
        <v>22</v>
      </c>
      <c r="C296" s="4" t="s">
        <v>23</v>
      </c>
      <c r="D296" s="4" t="s">
        <v>24</v>
      </c>
      <c r="E296" s="4" t="s">
        <v>30</v>
      </c>
      <c r="F296" s="4" t="s">
        <v>25</v>
      </c>
      <c r="G296" s="4" t="s">
        <v>25</v>
      </c>
      <c r="H296" s="4" t="s">
        <v>25</v>
      </c>
      <c r="I296" s="5">
        <v>44501</v>
      </c>
      <c r="J296" s="6">
        <v>0</v>
      </c>
      <c r="K296" s="6">
        <v>0</v>
      </c>
      <c r="L296" s="6">
        <v>19.239000000000001</v>
      </c>
      <c r="M296" s="6">
        <v>19.239000000000001</v>
      </c>
      <c r="N296" s="6">
        <v>19.239000000000001</v>
      </c>
      <c r="O296" s="6">
        <v>19.239000000000001</v>
      </c>
      <c r="P296" s="6">
        <v>160</v>
      </c>
      <c r="Q296" s="4" t="s">
        <v>26</v>
      </c>
      <c r="R296" s="4">
        <v>0</v>
      </c>
      <c r="S296" s="6">
        <v>0</v>
      </c>
      <c r="T296" s="6">
        <v>45</v>
      </c>
      <c r="U296" s="6">
        <v>53</v>
      </c>
      <c r="V296" s="6">
        <f>IF(ISERROR(VLOOKUP($S$296,'TAR FIN'!$A$1:$O$85,15,0)),0,VLOOKUP($S$296,'TAR FIN'!$A$1:$O$85,15,0))</f>
        <v>0</v>
      </c>
      <c r="W296" s="6">
        <f>IF(ISERROR(VLOOKUP($T$296,'TAR FIN'!$A$1:$O$85,15,0)),0,VLOOKUP($T$296,'TAR FIN'!$A$1:$O$85,15,0))</f>
        <v>232.73</v>
      </c>
      <c r="X296" s="6">
        <f>IF(ISERROR(VLOOKUP($U$296,'TAR FIN'!$A$1:$O$85,15,0)),0,VLOOKUP($U$296,'TAR FIN'!$A$1:$O$85,15,0))</f>
        <v>217.67</v>
      </c>
      <c r="Y296" s="6"/>
      <c r="Z296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296" s="6">
        <f>('TE BE'!$AB$14+'TE BF'!$AB$14+'TE CVA'!$AB$14)*(1-CUSTOS!$M$36)</f>
        <v>204.79554264658009</v>
      </c>
      <c r="AB296" s="6">
        <f>$K$296*$V$296</f>
        <v>0</v>
      </c>
      <c r="AC296" s="6">
        <f>$M$296*$W$296</f>
        <v>4477.4924700000001</v>
      </c>
      <c r="AD296" s="6">
        <f>$O$296*$X$296</f>
        <v>4187.7531300000001</v>
      </c>
      <c r="AE296" s="6">
        <f>$K$296*$Y$296</f>
        <v>0</v>
      </c>
      <c r="AF296" s="6">
        <f ca="1">$M$296*$Z$296</f>
        <v>4452.8276624961236</v>
      </c>
      <c r="AG296" s="6">
        <f>$O$296*$AA$296</f>
        <v>3940.0614449775544</v>
      </c>
    </row>
    <row r="297" spans="1:33" ht="11.25" customHeight="1" x14ac:dyDescent="0.25">
      <c r="A297" s="4" t="s">
        <v>21</v>
      </c>
      <c r="B297" s="4" t="s">
        <v>22</v>
      </c>
      <c r="C297" s="4" t="s">
        <v>23</v>
      </c>
      <c r="D297" s="4" t="s">
        <v>24</v>
      </c>
      <c r="E297" s="4" t="s">
        <v>30</v>
      </c>
      <c r="F297" s="4" t="s">
        <v>25</v>
      </c>
      <c r="G297" s="4" t="s">
        <v>25</v>
      </c>
      <c r="H297" s="4" t="s">
        <v>25</v>
      </c>
      <c r="I297" s="5">
        <v>44531</v>
      </c>
      <c r="J297" s="6">
        <v>0</v>
      </c>
      <c r="K297" s="6">
        <v>0</v>
      </c>
      <c r="L297" s="6">
        <v>26.501000000000001</v>
      </c>
      <c r="M297" s="6">
        <v>26.501000000000001</v>
      </c>
      <c r="N297" s="6">
        <v>26.501000000000001</v>
      </c>
      <c r="O297" s="6">
        <v>26.501000000000001</v>
      </c>
      <c r="P297" s="6">
        <v>226</v>
      </c>
      <c r="Q297" s="4" t="s">
        <v>26</v>
      </c>
      <c r="R297" s="4">
        <v>0</v>
      </c>
      <c r="S297" s="6">
        <v>0</v>
      </c>
      <c r="T297" s="6">
        <v>45</v>
      </c>
      <c r="U297" s="6">
        <v>53</v>
      </c>
      <c r="V297" s="6">
        <f>IF(ISERROR(VLOOKUP($S$297,'TAR FIN'!$A$1:$O$85,15,0)),0,VLOOKUP($S$297,'TAR FIN'!$A$1:$O$85,15,0))</f>
        <v>0</v>
      </c>
      <c r="W297" s="6">
        <f>IF(ISERROR(VLOOKUP($T$297,'TAR FIN'!$A$1:$O$85,15,0)),0,VLOOKUP($T$297,'TAR FIN'!$A$1:$O$85,15,0))</f>
        <v>232.73</v>
      </c>
      <c r="X297" s="6">
        <f>IF(ISERROR(VLOOKUP($U$297,'TAR FIN'!$A$1:$O$85,15,0)),0,VLOOKUP($U$297,'TAR FIN'!$A$1:$O$85,15,0))</f>
        <v>217.67</v>
      </c>
      <c r="Y297" s="6"/>
      <c r="Z297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297" s="6">
        <f>('TE BE'!$AB$14+'TE BF'!$AB$14+'TE CVA'!$AB$14)*(1-CUSTOS!$M$36)</f>
        <v>204.79554264658009</v>
      </c>
      <c r="AB297" s="6">
        <f>$K$297*$V$297</f>
        <v>0</v>
      </c>
      <c r="AC297" s="6">
        <f>$M$297*$W$297</f>
        <v>6167.57773</v>
      </c>
      <c r="AD297" s="6">
        <f>$O$297*$X$297</f>
        <v>5768.4726700000001</v>
      </c>
      <c r="AE297" s="6">
        <f>$K$297*$Y$297</f>
        <v>0</v>
      </c>
      <c r="AF297" s="6">
        <f ca="1">$M$297*$Z$297</f>
        <v>6133.6028839237897</v>
      </c>
      <c r="AG297" s="6">
        <f>$O$297*$AA$297</f>
        <v>5427.286675677019</v>
      </c>
    </row>
    <row r="298" spans="1:33" ht="11.25" customHeight="1" x14ac:dyDescent="0.25">
      <c r="A298" s="4" t="s">
        <v>21</v>
      </c>
      <c r="B298" s="4" t="s">
        <v>22</v>
      </c>
      <c r="C298" s="4" t="s">
        <v>23</v>
      </c>
      <c r="D298" s="4" t="s">
        <v>24</v>
      </c>
      <c r="E298" s="4" t="s">
        <v>30</v>
      </c>
      <c r="F298" s="4" t="s">
        <v>25</v>
      </c>
      <c r="G298" s="4" t="s">
        <v>25</v>
      </c>
      <c r="H298" s="4" t="s">
        <v>25</v>
      </c>
      <c r="I298" s="5">
        <v>44562</v>
      </c>
      <c r="J298" s="6">
        <v>0</v>
      </c>
      <c r="K298" s="6">
        <v>0</v>
      </c>
      <c r="L298" s="6">
        <v>32.462000000000003</v>
      </c>
      <c r="M298" s="6">
        <v>32.462000000000003</v>
      </c>
      <c r="N298" s="6">
        <v>32.462000000000003</v>
      </c>
      <c r="O298" s="6">
        <v>32.462000000000003</v>
      </c>
      <c r="P298" s="6">
        <v>270</v>
      </c>
      <c r="Q298" s="4" t="s">
        <v>26</v>
      </c>
      <c r="R298" s="4">
        <v>0</v>
      </c>
      <c r="S298" s="6">
        <v>0</v>
      </c>
      <c r="T298" s="6">
        <v>45</v>
      </c>
      <c r="U298" s="6">
        <v>53</v>
      </c>
      <c r="V298" s="6">
        <f>IF(ISERROR(VLOOKUP($S$298,'TAR FIN'!$A$1:$O$85,15,0)),0,VLOOKUP($S$298,'TAR FIN'!$A$1:$O$85,15,0))</f>
        <v>0</v>
      </c>
      <c r="W298" s="6">
        <f>IF(ISERROR(VLOOKUP($T$298,'TAR FIN'!$A$1:$O$85,15,0)),0,VLOOKUP($T$298,'TAR FIN'!$A$1:$O$85,15,0))</f>
        <v>232.73</v>
      </c>
      <c r="X298" s="6">
        <f>IF(ISERROR(VLOOKUP($U$298,'TAR FIN'!$A$1:$O$85,15,0)),0,VLOOKUP($U$298,'TAR FIN'!$A$1:$O$85,15,0))</f>
        <v>217.67</v>
      </c>
      <c r="Y298" s="6"/>
      <c r="Z298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298" s="6">
        <f>('TE BE'!$AB$14+'TE BF'!$AB$14+'TE CVA'!$AB$14)*(1-CUSTOS!$M$36)</f>
        <v>204.79554264658009</v>
      </c>
      <c r="AB298" s="6">
        <f>$K$298*$V$298</f>
        <v>0</v>
      </c>
      <c r="AC298" s="6">
        <f>$M$298*$W$298</f>
        <v>7554.8812600000001</v>
      </c>
      <c r="AD298" s="6">
        <f>$O$298*$X$298</f>
        <v>7066.0035400000006</v>
      </c>
      <c r="AE298" s="6">
        <f>$K$298*$Y$298</f>
        <v>0</v>
      </c>
      <c r="AF298" s="6">
        <f ca="1">$M$298*$Z$298</f>
        <v>7513.2642850433595</v>
      </c>
      <c r="AG298" s="6">
        <f>$O$298*$AA$298</f>
        <v>6648.0729053932837</v>
      </c>
    </row>
    <row r="299" spans="1:33" ht="11.25" customHeight="1" x14ac:dyDescent="0.25">
      <c r="A299" s="4" t="s">
        <v>21</v>
      </c>
      <c r="B299" s="4" t="s">
        <v>22</v>
      </c>
      <c r="C299" s="4" t="s">
        <v>23</v>
      </c>
      <c r="D299" s="4" t="s">
        <v>24</v>
      </c>
      <c r="E299" s="4" t="s">
        <v>30</v>
      </c>
      <c r="F299" s="4" t="s">
        <v>25</v>
      </c>
      <c r="G299" s="4" t="s">
        <v>25</v>
      </c>
      <c r="H299" s="4" t="s">
        <v>25</v>
      </c>
      <c r="I299" s="5">
        <v>44593</v>
      </c>
      <c r="J299" s="6">
        <v>0</v>
      </c>
      <c r="K299" s="6">
        <v>0</v>
      </c>
      <c r="L299" s="6">
        <v>35.831000000000003</v>
      </c>
      <c r="M299" s="6">
        <v>35.831000000000003</v>
      </c>
      <c r="N299" s="6">
        <v>35.831000000000003</v>
      </c>
      <c r="O299" s="6">
        <v>35.831000000000003</v>
      </c>
      <c r="P299" s="6">
        <v>301</v>
      </c>
      <c r="Q299" s="4" t="s">
        <v>26</v>
      </c>
      <c r="R299" s="4">
        <v>0</v>
      </c>
      <c r="S299" s="6">
        <v>0</v>
      </c>
      <c r="T299" s="6">
        <v>45</v>
      </c>
      <c r="U299" s="6">
        <v>53</v>
      </c>
      <c r="V299" s="6">
        <f>IF(ISERROR(VLOOKUP($S$299,'TAR FIN'!$A$1:$O$85,15,0)),0,VLOOKUP($S$299,'TAR FIN'!$A$1:$O$85,15,0))</f>
        <v>0</v>
      </c>
      <c r="W299" s="6">
        <f>IF(ISERROR(VLOOKUP($T$299,'TAR FIN'!$A$1:$O$85,15,0)),0,VLOOKUP($T$299,'TAR FIN'!$A$1:$O$85,15,0))</f>
        <v>232.73</v>
      </c>
      <c r="X299" s="6">
        <f>IF(ISERROR(VLOOKUP($U$299,'TAR FIN'!$A$1:$O$85,15,0)),0,VLOOKUP($U$299,'TAR FIN'!$A$1:$O$85,15,0))</f>
        <v>217.67</v>
      </c>
      <c r="Y299" s="6"/>
      <c r="Z299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299" s="6">
        <f>('TE BE'!$AB$14+'TE BF'!$AB$14+'TE CVA'!$AB$14)*(1-CUSTOS!$M$36)</f>
        <v>204.79554264658009</v>
      </c>
      <c r="AB299" s="6">
        <f>$K$299*$V$299</f>
        <v>0</v>
      </c>
      <c r="AC299" s="6">
        <f>$M$299*$W$299</f>
        <v>8338.9486300000008</v>
      </c>
      <c r="AD299" s="6">
        <f>$O$299*$X$299</f>
        <v>7799.3337700000002</v>
      </c>
      <c r="AE299" s="6">
        <f>$K$299*$Y$299</f>
        <v>0</v>
      </c>
      <c r="AF299" s="6">
        <f ca="1">$M$299*$Z$299</f>
        <v>8293.0125253338865</v>
      </c>
      <c r="AG299" s="6">
        <f>$O$299*$AA$299</f>
        <v>7338.0290885696122</v>
      </c>
    </row>
    <row r="300" spans="1:33" ht="11.25" customHeight="1" x14ac:dyDescent="0.25">
      <c r="A300" s="4" t="s">
        <v>21</v>
      </c>
      <c r="B300" s="4" t="s">
        <v>22</v>
      </c>
      <c r="C300" s="4" t="s">
        <v>23</v>
      </c>
      <c r="D300" s="4" t="s">
        <v>24</v>
      </c>
      <c r="E300" s="4" t="s">
        <v>30</v>
      </c>
      <c r="F300" s="4" t="s">
        <v>25</v>
      </c>
      <c r="G300" s="4" t="s">
        <v>25</v>
      </c>
      <c r="H300" s="4" t="s">
        <v>25</v>
      </c>
      <c r="I300" s="5">
        <v>44621</v>
      </c>
      <c r="J300" s="6">
        <v>0</v>
      </c>
      <c r="K300" s="6">
        <v>0</v>
      </c>
      <c r="L300" s="6">
        <v>34.677999999999997</v>
      </c>
      <c r="M300" s="6">
        <v>34.677999999999997</v>
      </c>
      <c r="N300" s="6">
        <v>34.677999999999997</v>
      </c>
      <c r="O300" s="6">
        <v>34.677999999999997</v>
      </c>
      <c r="P300" s="6">
        <v>307</v>
      </c>
      <c r="Q300" s="4" t="s">
        <v>26</v>
      </c>
      <c r="R300" s="4">
        <v>0</v>
      </c>
      <c r="S300" s="6">
        <v>0</v>
      </c>
      <c r="T300" s="6">
        <v>45</v>
      </c>
      <c r="U300" s="6">
        <v>53</v>
      </c>
      <c r="V300" s="6">
        <f>IF(ISERROR(VLOOKUP($S$300,'TAR FIN'!$A$1:$O$85,15,0)),0,VLOOKUP($S$300,'TAR FIN'!$A$1:$O$85,15,0))</f>
        <v>0</v>
      </c>
      <c r="W300" s="6">
        <f>IF(ISERROR(VLOOKUP($T$300,'TAR FIN'!$A$1:$O$85,15,0)),0,VLOOKUP($T$300,'TAR FIN'!$A$1:$O$85,15,0))</f>
        <v>232.73</v>
      </c>
      <c r="X300" s="6">
        <f>IF(ISERROR(VLOOKUP($U$300,'TAR FIN'!$A$1:$O$85,15,0)),0,VLOOKUP($U$300,'TAR FIN'!$A$1:$O$85,15,0))</f>
        <v>217.67</v>
      </c>
      <c r="Y300" s="6"/>
      <c r="Z300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300" s="6">
        <f>('TE BE'!$AB$14+'TE BF'!$AB$14+'TE CVA'!$AB$14)*(1-CUSTOS!$M$36)</f>
        <v>204.79554264658009</v>
      </c>
      <c r="AB300" s="6">
        <f>$K$300*$V$300</f>
        <v>0</v>
      </c>
      <c r="AC300" s="6">
        <f>$M$300*$W$300</f>
        <v>8070.6109399999987</v>
      </c>
      <c r="AD300" s="6">
        <f>$O$300*$X$300</f>
        <v>7548.3602599999986</v>
      </c>
      <c r="AE300" s="6">
        <f>$K$300*$Y$300</f>
        <v>0</v>
      </c>
      <c r="AF300" s="6">
        <f ca="1">$M$300*$Z$300</f>
        <v>8026.1530058755952</v>
      </c>
      <c r="AG300" s="6">
        <f>$O$300*$AA$300</f>
        <v>7101.8998278981035</v>
      </c>
    </row>
    <row r="301" spans="1:33" ht="11.25" customHeight="1" x14ac:dyDescent="0.25">
      <c r="A301" s="4" t="s">
        <v>21</v>
      </c>
      <c r="B301" s="4" t="s">
        <v>22</v>
      </c>
      <c r="C301" s="4" t="s">
        <v>23</v>
      </c>
      <c r="D301" s="4" t="s">
        <v>24</v>
      </c>
      <c r="E301" s="4" t="s">
        <v>30</v>
      </c>
      <c r="F301" s="4" t="s">
        <v>25</v>
      </c>
      <c r="G301" s="4" t="s">
        <v>25</v>
      </c>
      <c r="H301" s="4" t="s">
        <v>25</v>
      </c>
      <c r="I301" s="5">
        <v>44652</v>
      </c>
      <c r="J301" s="6">
        <v>0</v>
      </c>
      <c r="K301" s="6">
        <v>0</v>
      </c>
      <c r="L301" s="6">
        <v>34.430999999999997</v>
      </c>
      <c r="M301" s="6">
        <v>34.430999999999997</v>
      </c>
      <c r="N301" s="6">
        <v>34.430999999999997</v>
      </c>
      <c r="O301" s="6">
        <v>34.430999999999997</v>
      </c>
      <c r="P301" s="6">
        <v>351</v>
      </c>
      <c r="Q301" s="4" t="s">
        <v>26</v>
      </c>
      <c r="R301" s="4">
        <v>0</v>
      </c>
      <c r="S301" s="6">
        <v>0</v>
      </c>
      <c r="T301" s="6">
        <v>45</v>
      </c>
      <c r="U301" s="6">
        <v>53</v>
      </c>
      <c r="V301" s="6">
        <f>IF(ISERROR(VLOOKUP($S$301,'TAR FIN'!$A$1:$O$85,15,0)),0,VLOOKUP($S$301,'TAR FIN'!$A$1:$O$85,15,0))</f>
        <v>0</v>
      </c>
      <c r="W301" s="6">
        <f>IF(ISERROR(VLOOKUP($T$301,'TAR FIN'!$A$1:$O$85,15,0)),0,VLOOKUP($T$301,'TAR FIN'!$A$1:$O$85,15,0))</f>
        <v>232.73</v>
      </c>
      <c r="X301" s="6">
        <f>IF(ISERROR(VLOOKUP($U$301,'TAR FIN'!$A$1:$O$85,15,0)),0,VLOOKUP($U$301,'TAR FIN'!$A$1:$O$85,15,0))</f>
        <v>217.67</v>
      </c>
      <c r="Y301" s="6"/>
      <c r="Z301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301" s="6">
        <f>('TE BE'!$AB$14+'TE BF'!$AB$14+'TE CVA'!$AB$14)*(1-CUSTOS!$M$36)</f>
        <v>204.79554264658009</v>
      </c>
      <c r="AB301" s="6">
        <f>$K$301*$V$301</f>
        <v>0</v>
      </c>
      <c r="AC301" s="6">
        <f>$M$301*$W$301</f>
        <v>8013.1266299999988</v>
      </c>
      <c r="AD301" s="6">
        <f>$O$301*$X$301</f>
        <v>7494.595769999999</v>
      </c>
      <c r="AE301" s="6">
        <f>$K$301*$Y$301</f>
        <v>0</v>
      </c>
      <c r="AF301" s="6">
        <f ca="1">$M$301*$Z$301</f>
        <v>7968.9853551330125</v>
      </c>
      <c r="AG301" s="6">
        <f>$O$301*$AA$301</f>
        <v>7051.3153288643989</v>
      </c>
    </row>
    <row r="302" spans="1:33" ht="11.25" customHeight="1" x14ac:dyDescent="0.25">
      <c r="A302" s="4" t="s">
        <v>21</v>
      </c>
      <c r="B302" s="4" t="s">
        <v>22</v>
      </c>
      <c r="C302" s="4" t="s">
        <v>23</v>
      </c>
      <c r="D302" s="4" t="s">
        <v>24</v>
      </c>
      <c r="E302" s="4" t="s">
        <v>30</v>
      </c>
      <c r="F302" s="4" t="s">
        <v>25</v>
      </c>
      <c r="G302" s="4" t="s">
        <v>25</v>
      </c>
      <c r="H302" s="4" t="s">
        <v>25</v>
      </c>
      <c r="I302" s="5">
        <v>44682</v>
      </c>
      <c r="J302" s="6">
        <v>0</v>
      </c>
      <c r="K302" s="6">
        <v>0</v>
      </c>
      <c r="L302" s="6">
        <v>37.392000000000003</v>
      </c>
      <c r="M302" s="6">
        <v>37.392000000000003</v>
      </c>
      <c r="N302" s="6">
        <v>37.392000000000003</v>
      </c>
      <c r="O302" s="6">
        <v>37.392000000000003</v>
      </c>
      <c r="P302" s="6">
        <v>353</v>
      </c>
      <c r="Q302" s="4" t="s">
        <v>26</v>
      </c>
      <c r="R302" s="4">
        <v>0</v>
      </c>
      <c r="S302" s="6">
        <v>0</v>
      </c>
      <c r="T302" s="6">
        <v>45</v>
      </c>
      <c r="U302" s="6">
        <v>53</v>
      </c>
      <c r="V302" s="6">
        <f>IF(ISERROR(VLOOKUP($S$302,'TAR FIN'!$A$1:$O$85,15,0)),0,VLOOKUP($S$302,'TAR FIN'!$A$1:$O$85,15,0))</f>
        <v>0</v>
      </c>
      <c r="W302" s="6">
        <f>IF(ISERROR(VLOOKUP($T$302,'TAR FIN'!$A$1:$O$85,15,0)),0,VLOOKUP($T$302,'TAR FIN'!$A$1:$O$85,15,0))</f>
        <v>232.73</v>
      </c>
      <c r="X302" s="6">
        <f>IF(ISERROR(VLOOKUP($U$302,'TAR FIN'!$A$1:$O$85,15,0)),0,VLOOKUP($U$302,'TAR FIN'!$A$1:$O$85,15,0))</f>
        <v>217.67</v>
      </c>
      <c r="Y302" s="6"/>
      <c r="Z302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302" s="6">
        <f>('TE BE'!$AB$14+'TE BF'!$AB$14+'TE CVA'!$AB$14)*(1-CUSTOS!$M$36)</f>
        <v>204.79554264658009</v>
      </c>
      <c r="AB302" s="6">
        <f>$K$302*$V$302</f>
        <v>0</v>
      </c>
      <c r="AC302" s="6">
        <f>$M$302*$W$302</f>
        <v>8702.2401600000012</v>
      </c>
      <c r="AD302" s="6">
        <f>$O$302*$X$302</f>
        <v>8139.1166400000002</v>
      </c>
      <c r="AE302" s="6">
        <f>$K$302*$Y$302</f>
        <v>0</v>
      </c>
      <c r="AF302" s="6">
        <f ca="1">$M$302*$Z$302</f>
        <v>8654.3028201078578</v>
      </c>
      <c r="AG302" s="6">
        <f>$O$302*$AA$302</f>
        <v>7657.7149306409228</v>
      </c>
    </row>
    <row r="303" spans="1:33" ht="11.25" customHeight="1" x14ac:dyDescent="0.25">
      <c r="A303" s="4" t="s">
        <v>27</v>
      </c>
      <c r="B303" s="4" t="s">
        <v>22</v>
      </c>
      <c r="C303" s="4" t="s">
        <v>23</v>
      </c>
      <c r="D303" s="4" t="s">
        <v>24</v>
      </c>
      <c r="E303" s="4" t="s">
        <v>30</v>
      </c>
      <c r="F303" s="4" t="s">
        <v>25</v>
      </c>
      <c r="G303" s="4" t="s">
        <v>25</v>
      </c>
      <c r="H303" s="4" t="s">
        <v>25</v>
      </c>
      <c r="I303" s="5">
        <v>44682</v>
      </c>
      <c r="J303" s="6">
        <v>0</v>
      </c>
      <c r="K303" s="6">
        <v>0</v>
      </c>
      <c r="L303" s="6">
        <v>0.12</v>
      </c>
      <c r="M303" s="6">
        <v>9.6000000000000002E-2</v>
      </c>
      <c r="N303" s="6">
        <v>0.12</v>
      </c>
      <c r="O303" s="6">
        <v>9.6000000000000002E-2</v>
      </c>
      <c r="P303" s="6">
        <v>1</v>
      </c>
      <c r="Q303" s="4" t="s">
        <v>26</v>
      </c>
      <c r="R303" s="4">
        <v>0</v>
      </c>
      <c r="S303" s="6">
        <v>0</v>
      </c>
      <c r="T303" s="6">
        <v>45</v>
      </c>
      <c r="U303" s="6">
        <v>53</v>
      </c>
      <c r="V303" s="6">
        <f>IF(ISERROR(VLOOKUP($S$303,'TAR FIN'!$A$1:$O$85,15,0)),0,VLOOKUP($S$303,'TAR FIN'!$A$1:$O$85,15,0))</f>
        <v>0</v>
      </c>
      <c r="W303" s="6">
        <f>IF(ISERROR(VLOOKUP($T$303,'TAR FIN'!$A$1:$O$85,15,0)),0,VLOOKUP($T$303,'TAR FIN'!$A$1:$O$85,15,0))</f>
        <v>232.73</v>
      </c>
      <c r="X303" s="6">
        <f>IF(ISERROR(VLOOKUP($U$303,'TAR FIN'!$A$1:$O$85,15,0)),0,VLOOKUP($U$303,'TAR FIN'!$A$1:$O$85,15,0))</f>
        <v>217.67</v>
      </c>
      <c r="Y303" s="6"/>
      <c r="Z303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303" s="6">
        <f>('TE BE'!$AB$14+'TE BF'!$AB$14+'TE CVA'!$AB$14)*(1-CUSTOS!$M$36)</f>
        <v>204.79554264658009</v>
      </c>
      <c r="AB303" s="6">
        <f>$K$303*$V$303</f>
        <v>0</v>
      </c>
      <c r="AC303" s="6">
        <f>$M$303*$W$303</f>
        <v>22.342079999999999</v>
      </c>
      <c r="AD303" s="6">
        <f>$O$303*$X$303</f>
        <v>20.896319999999999</v>
      </c>
      <c r="AE303" s="6">
        <f>$K$303*$Y$303</f>
        <v>0</v>
      </c>
      <c r="AF303" s="6">
        <f ca="1">$M$303*$Z$303</f>
        <v>22.219005956631211</v>
      </c>
      <c r="AG303" s="6">
        <f>$O$303*$AA$303</f>
        <v>19.66037209407169</v>
      </c>
    </row>
    <row r="304" spans="1:33" ht="11.25" customHeight="1" x14ac:dyDescent="0.25">
      <c r="A304" s="4" t="s">
        <v>21</v>
      </c>
      <c r="B304" s="4" t="s">
        <v>22</v>
      </c>
      <c r="C304" s="4" t="s">
        <v>23</v>
      </c>
      <c r="D304" s="4" t="s">
        <v>24</v>
      </c>
      <c r="E304" s="4" t="s">
        <v>30</v>
      </c>
      <c r="F304" s="4" t="s">
        <v>25</v>
      </c>
      <c r="G304" s="4" t="s">
        <v>25</v>
      </c>
      <c r="H304" s="4" t="s">
        <v>25</v>
      </c>
      <c r="I304" s="5">
        <v>44713</v>
      </c>
      <c r="J304" s="6">
        <v>0</v>
      </c>
      <c r="K304" s="6">
        <v>0</v>
      </c>
      <c r="L304" s="6">
        <v>44.087000000000003</v>
      </c>
      <c r="M304" s="6">
        <v>44.087000000000003</v>
      </c>
      <c r="N304" s="6">
        <v>44.087000000000003</v>
      </c>
      <c r="O304" s="6">
        <v>44.087000000000003</v>
      </c>
      <c r="P304" s="6">
        <v>350</v>
      </c>
      <c r="Q304" s="4" t="s">
        <v>26</v>
      </c>
      <c r="R304" s="4">
        <v>0</v>
      </c>
      <c r="S304" s="6">
        <v>0</v>
      </c>
      <c r="T304" s="6">
        <v>45</v>
      </c>
      <c r="U304" s="6">
        <v>53</v>
      </c>
      <c r="V304" s="6">
        <f>IF(ISERROR(VLOOKUP($S$304,'TAR FIN'!$A$1:$O$85,15,0)),0,VLOOKUP($S$304,'TAR FIN'!$A$1:$O$85,15,0))</f>
        <v>0</v>
      </c>
      <c r="W304" s="6">
        <f>IF(ISERROR(VLOOKUP($T$304,'TAR FIN'!$A$1:$O$85,15,0)),0,VLOOKUP($T$304,'TAR FIN'!$A$1:$O$85,15,0))</f>
        <v>232.73</v>
      </c>
      <c r="X304" s="6">
        <f>IF(ISERROR(VLOOKUP($U$304,'TAR FIN'!$A$1:$O$85,15,0)),0,VLOOKUP($U$304,'TAR FIN'!$A$1:$O$85,15,0))</f>
        <v>217.67</v>
      </c>
      <c r="Y304" s="6"/>
      <c r="Z304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304" s="6">
        <f>('TE BE'!$AB$14+'TE BF'!$AB$14+'TE CVA'!$AB$14)*(1-CUSTOS!$M$36)</f>
        <v>204.79554264658009</v>
      </c>
      <c r="AB304" s="6">
        <f>$K$304*$V$304</f>
        <v>0</v>
      </c>
      <c r="AC304" s="6">
        <f>$M$304*$W$304</f>
        <v>10260.36751</v>
      </c>
      <c r="AD304" s="6">
        <f>$O$304*$X$304</f>
        <v>9596.4172899999994</v>
      </c>
      <c r="AE304" s="6">
        <f>$K$304*$Y$304</f>
        <v>0</v>
      </c>
      <c r="AF304" s="6">
        <f ca="1">$M$304*$Z$304</f>
        <v>10203.84703760417</v>
      </c>
      <c r="AG304" s="6">
        <f>$O$304*$AA$304</f>
        <v>9028.8210886597772</v>
      </c>
    </row>
    <row r="305" spans="1:33" ht="11.25" customHeight="1" x14ac:dyDescent="0.25">
      <c r="A305" s="4" t="s">
        <v>27</v>
      </c>
      <c r="B305" s="4" t="s">
        <v>22</v>
      </c>
      <c r="C305" s="4" t="s">
        <v>23</v>
      </c>
      <c r="D305" s="4" t="s">
        <v>24</v>
      </c>
      <c r="E305" s="4" t="s">
        <v>30</v>
      </c>
      <c r="F305" s="4" t="s">
        <v>25</v>
      </c>
      <c r="G305" s="4" t="s">
        <v>25</v>
      </c>
      <c r="H305" s="4" t="s">
        <v>25</v>
      </c>
      <c r="I305" s="5">
        <v>44713</v>
      </c>
      <c r="J305" s="6">
        <v>0</v>
      </c>
      <c r="K305" s="6">
        <v>0</v>
      </c>
      <c r="L305" s="6">
        <v>0.12</v>
      </c>
      <c r="M305" s="6">
        <v>8.4000000000000005E-2</v>
      </c>
      <c r="N305" s="6">
        <v>0.12</v>
      </c>
      <c r="O305" s="6">
        <v>8.4000000000000005E-2</v>
      </c>
      <c r="P305" s="6">
        <v>1</v>
      </c>
      <c r="Q305" s="4" t="s">
        <v>26</v>
      </c>
      <c r="R305" s="4">
        <v>0</v>
      </c>
      <c r="S305" s="6">
        <v>0</v>
      </c>
      <c r="T305" s="6">
        <v>45</v>
      </c>
      <c r="U305" s="6">
        <v>53</v>
      </c>
      <c r="V305" s="6">
        <f>IF(ISERROR(VLOOKUP($S$305,'TAR FIN'!$A$1:$O$85,15,0)),0,VLOOKUP($S$305,'TAR FIN'!$A$1:$O$85,15,0))</f>
        <v>0</v>
      </c>
      <c r="W305" s="6">
        <f>IF(ISERROR(VLOOKUP($T$305,'TAR FIN'!$A$1:$O$85,15,0)),0,VLOOKUP($T$305,'TAR FIN'!$A$1:$O$85,15,0))</f>
        <v>232.73</v>
      </c>
      <c r="X305" s="6">
        <f>IF(ISERROR(VLOOKUP($U$305,'TAR FIN'!$A$1:$O$85,15,0)),0,VLOOKUP($U$305,'TAR FIN'!$A$1:$O$85,15,0))</f>
        <v>217.67</v>
      </c>
      <c r="Y305" s="6"/>
      <c r="Z305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305" s="6">
        <f>('TE BE'!$AB$14+'TE BF'!$AB$14+'TE CVA'!$AB$14)*(1-CUSTOS!$M$36)</f>
        <v>204.79554264658009</v>
      </c>
      <c r="AB305" s="6">
        <f>$K$305*$V$305</f>
        <v>0</v>
      </c>
      <c r="AC305" s="6">
        <f>$M$305*$W$305</f>
        <v>19.549320000000002</v>
      </c>
      <c r="AD305" s="6">
        <f>$O$305*$X$305</f>
        <v>18.284279999999999</v>
      </c>
      <c r="AE305" s="6">
        <f>$K$305*$Y$305</f>
        <v>0</v>
      </c>
      <c r="AF305" s="6">
        <f ca="1">$M$305*$Z$305</f>
        <v>19.441630212052313</v>
      </c>
      <c r="AG305" s="6">
        <f>$O$305*$AA$305</f>
        <v>17.202825582312727</v>
      </c>
    </row>
    <row r="306" spans="1:33" ht="11.25" customHeight="1" x14ac:dyDescent="0.25">
      <c r="A306" s="4" t="s">
        <v>21</v>
      </c>
      <c r="B306" s="4" t="s">
        <v>22</v>
      </c>
      <c r="C306" s="4" t="s">
        <v>23</v>
      </c>
      <c r="D306" s="4" t="s">
        <v>24</v>
      </c>
      <c r="E306" s="4" t="s">
        <v>31</v>
      </c>
      <c r="F306" s="4" t="s">
        <v>25</v>
      </c>
      <c r="G306" s="4" t="s">
        <v>25</v>
      </c>
      <c r="H306" s="4" t="s">
        <v>25</v>
      </c>
      <c r="I306" s="5">
        <v>44378</v>
      </c>
      <c r="J306" s="6">
        <v>0</v>
      </c>
      <c r="K306" s="6">
        <v>0</v>
      </c>
      <c r="L306" s="6">
        <v>6.7889999999999997</v>
      </c>
      <c r="M306" s="6">
        <v>6.7889999999999997</v>
      </c>
      <c r="N306" s="6">
        <v>6.7889999999999997</v>
      </c>
      <c r="O306" s="6">
        <v>6.7889999999999997</v>
      </c>
      <c r="P306" s="6">
        <v>82</v>
      </c>
      <c r="Q306" s="4" t="s">
        <v>26</v>
      </c>
      <c r="R306" s="4">
        <v>0</v>
      </c>
      <c r="S306" s="6">
        <v>0</v>
      </c>
      <c r="T306" s="6">
        <v>37</v>
      </c>
      <c r="U306" s="6">
        <v>59</v>
      </c>
      <c r="V306" s="6">
        <f>IF(ISERROR(VLOOKUP($S$306,'TAR FIN'!$A$1:$O$85,15,0)),0,VLOOKUP($S$306,'TAR FIN'!$A$1:$O$85,15,0))</f>
        <v>0</v>
      </c>
      <c r="W306" s="6">
        <f>IF(ISERROR(VLOOKUP($T$306,'TAR FIN'!$A$1:$O$85,15,0)),0,VLOOKUP($T$306,'TAR FIN'!$A$1:$O$85,15,0))</f>
        <v>258.58</v>
      </c>
      <c r="X306" s="6">
        <f>IF(ISERROR(VLOOKUP($U$306,'TAR FIN'!$A$1:$O$85,15,0)),0,VLOOKUP($U$306,'TAR FIN'!$A$1:$O$85,15,0))</f>
        <v>241.85</v>
      </c>
      <c r="Y306" s="6"/>
      <c r="Z306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306" s="6">
        <f>('TE BE'!$AB$15+'TE BF'!$AB$15+'TE CVA'!$AB$15)*(1-CUSTOS!$M$37)</f>
        <v>227.55060294064452</v>
      </c>
      <c r="AB306" s="6">
        <f>$K$306*$V$306</f>
        <v>0</v>
      </c>
      <c r="AC306" s="6">
        <f>$M$306*$W$306</f>
        <v>1755.4996199999998</v>
      </c>
      <c r="AD306" s="6">
        <f>$O$306*$X$306</f>
        <v>1641.9196499999998</v>
      </c>
      <c r="AE306" s="6">
        <f>$K$306*$Y$306</f>
        <v>0</v>
      </c>
      <c r="AF306" s="6">
        <f ca="1">$M$306*$Z$306</f>
        <v>1745.8892527727928</v>
      </c>
      <c r="AG306" s="6">
        <f>$O$306*$AA$306</f>
        <v>1544.8410433640356</v>
      </c>
    </row>
    <row r="307" spans="1:33" ht="11.25" customHeight="1" x14ac:dyDescent="0.25">
      <c r="A307" s="4" t="s">
        <v>21</v>
      </c>
      <c r="B307" s="4" t="s">
        <v>22</v>
      </c>
      <c r="C307" s="4" t="s">
        <v>23</v>
      </c>
      <c r="D307" s="4" t="s">
        <v>24</v>
      </c>
      <c r="E307" s="4" t="s">
        <v>31</v>
      </c>
      <c r="F307" s="4" t="s">
        <v>25</v>
      </c>
      <c r="G307" s="4" t="s">
        <v>25</v>
      </c>
      <c r="H307" s="4" t="s">
        <v>25</v>
      </c>
      <c r="I307" s="5">
        <v>44409</v>
      </c>
      <c r="J307" s="6">
        <v>0</v>
      </c>
      <c r="K307" s="6">
        <v>0</v>
      </c>
      <c r="L307" s="6">
        <v>5.9269999999999996</v>
      </c>
      <c r="M307" s="6">
        <v>5.9269999999999996</v>
      </c>
      <c r="N307" s="6">
        <v>5.9269999999999996</v>
      </c>
      <c r="O307" s="6">
        <v>5.9269999999999996</v>
      </c>
      <c r="P307" s="6">
        <v>85</v>
      </c>
      <c r="Q307" s="4" t="s">
        <v>26</v>
      </c>
      <c r="R307" s="4">
        <v>0</v>
      </c>
      <c r="S307" s="6">
        <v>0</v>
      </c>
      <c r="T307" s="6">
        <v>37</v>
      </c>
      <c r="U307" s="6">
        <v>59</v>
      </c>
      <c r="V307" s="6">
        <f>IF(ISERROR(VLOOKUP($S$307,'TAR FIN'!$A$1:$O$85,15,0)),0,VLOOKUP($S$307,'TAR FIN'!$A$1:$O$85,15,0))</f>
        <v>0</v>
      </c>
      <c r="W307" s="6">
        <f>IF(ISERROR(VLOOKUP($T$307,'TAR FIN'!$A$1:$O$85,15,0)),0,VLOOKUP($T$307,'TAR FIN'!$A$1:$O$85,15,0))</f>
        <v>258.58</v>
      </c>
      <c r="X307" s="6">
        <f>IF(ISERROR(VLOOKUP($U$307,'TAR FIN'!$A$1:$O$85,15,0)),0,VLOOKUP($U$307,'TAR FIN'!$A$1:$O$85,15,0))</f>
        <v>241.85</v>
      </c>
      <c r="Y307" s="6"/>
      <c r="Z307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307" s="6">
        <f>('TE BE'!$AB$15+'TE BF'!$AB$15+'TE CVA'!$AB$15)*(1-CUSTOS!$M$37)</f>
        <v>227.55060294064452</v>
      </c>
      <c r="AB307" s="6">
        <f>$K$307*$V$307</f>
        <v>0</v>
      </c>
      <c r="AC307" s="6">
        <f>$M$307*$W$307</f>
        <v>1532.6036599999998</v>
      </c>
      <c r="AD307" s="6">
        <f>$O$307*$X$307</f>
        <v>1433.4449499999998</v>
      </c>
      <c r="AE307" s="6">
        <f>$K$307*$Y$307</f>
        <v>0</v>
      </c>
      <c r="AF307" s="6">
        <f ca="1">$M$307*$Z$307</f>
        <v>1524.2135220480693</v>
      </c>
      <c r="AG307" s="6">
        <f>$O$307*$AA$307</f>
        <v>1348.6924236292</v>
      </c>
    </row>
    <row r="308" spans="1:33" ht="11.25" customHeight="1" x14ac:dyDescent="0.25">
      <c r="A308" s="4" t="s">
        <v>21</v>
      </c>
      <c r="B308" s="4" t="s">
        <v>22</v>
      </c>
      <c r="C308" s="4" t="s">
        <v>23</v>
      </c>
      <c r="D308" s="4" t="s">
        <v>24</v>
      </c>
      <c r="E308" s="4" t="s">
        <v>31</v>
      </c>
      <c r="F308" s="4" t="s">
        <v>25</v>
      </c>
      <c r="G308" s="4" t="s">
        <v>25</v>
      </c>
      <c r="H308" s="4" t="s">
        <v>25</v>
      </c>
      <c r="I308" s="5">
        <v>44440</v>
      </c>
      <c r="J308" s="6">
        <v>0</v>
      </c>
      <c r="K308" s="6">
        <v>0</v>
      </c>
      <c r="L308" s="6">
        <v>4.8440000000000003</v>
      </c>
      <c r="M308" s="6">
        <v>4.8440000000000003</v>
      </c>
      <c r="N308" s="6">
        <v>4.8440000000000003</v>
      </c>
      <c r="O308" s="6">
        <v>4.8440000000000003</v>
      </c>
      <c r="P308" s="6">
        <v>79</v>
      </c>
      <c r="Q308" s="4" t="s">
        <v>26</v>
      </c>
      <c r="R308" s="4">
        <v>0</v>
      </c>
      <c r="S308" s="6">
        <v>0</v>
      </c>
      <c r="T308" s="6">
        <v>37</v>
      </c>
      <c r="U308" s="6">
        <v>59</v>
      </c>
      <c r="V308" s="6">
        <f>IF(ISERROR(VLOOKUP($S$308,'TAR FIN'!$A$1:$O$85,15,0)),0,VLOOKUP($S$308,'TAR FIN'!$A$1:$O$85,15,0))</f>
        <v>0</v>
      </c>
      <c r="W308" s="6">
        <f>IF(ISERROR(VLOOKUP($T$308,'TAR FIN'!$A$1:$O$85,15,0)),0,VLOOKUP($T$308,'TAR FIN'!$A$1:$O$85,15,0))</f>
        <v>258.58</v>
      </c>
      <c r="X308" s="6">
        <f>IF(ISERROR(VLOOKUP($U$308,'TAR FIN'!$A$1:$O$85,15,0)),0,VLOOKUP($U$308,'TAR FIN'!$A$1:$O$85,15,0))</f>
        <v>241.85</v>
      </c>
      <c r="Y308" s="6"/>
      <c r="Z308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308" s="6">
        <f>('TE BE'!$AB$15+'TE BF'!$AB$15+'TE CVA'!$AB$15)*(1-CUSTOS!$M$37)</f>
        <v>227.55060294064452</v>
      </c>
      <c r="AB308" s="6">
        <f>$K$308*$V$308</f>
        <v>0</v>
      </c>
      <c r="AC308" s="6">
        <f>$M$308*$W$308</f>
        <v>1252.56152</v>
      </c>
      <c r="AD308" s="6">
        <f>$O$308*$X$308</f>
        <v>1171.5214000000001</v>
      </c>
      <c r="AE308" s="6">
        <f>$K$308*$Y$308</f>
        <v>0</v>
      </c>
      <c r="AF308" s="6">
        <f ca="1">$M$308*$Z$308</f>
        <v>1245.7044543277964</v>
      </c>
      <c r="AG308" s="6">
        <f>$O$308*$AA$308</f>
        <v>1102.2551206444821</v>
      </c>
    </row>
    <row r="309" spans="1:33" ht="11.25" customHeight="1" x14ac:dyDescent="0.25">
      <c r="A309" s="4" t="s">
        <v>21</v>
      </c>
      <c r="B309" s="4" t="s">
        <v>22</v>
      </c>
      <c r="C309" s="4" t="s">
        <v>23</v>
      </c>
      <c r="D309" s="4" t="s">
        <v>24</v>
      </c>
      <c r="E309" s="4" t="s">
        <v>31</v>
      </c>
      <c r="F309" s="4" t="s">
        <v>25</v>
      </c>
      <c r="G309" s="4" t="s">
        <v>25</v>
      </c>
      <c r="H309" s="4" t="s">
        <v>25</v>
      </c>
      <c r="I309" s="5">
        <v>44470</v>
      </c>
      <c r="J309" s="6">
        <v>0</v>
      </c>
      <c r="K309" s="6">
        <v>0</v>
      </c>
      <c r="L309" s="6">
        <v>4.0940000000000003</v>
      </c>
      <c r="M309" s="6">
        <v>4.0940000000000003</v>
      </c>
      <c r="N309" s="6">
        <v>4.0940000000000003</v>
      </c>
      <c r="O309" s="6">
        <v>4.0940000000000003</v>
      </c>
      <c r="P309" s="6">
        <v>62</v>
      </c>
      <c r="Q309" s="4" t="s">
        <v>26</v>
      </c>
      <c r="R309" s="4">
        <v>0</v>
      </c>
      <c r="S309" s="6">
        <v>0</v>
      </c>
      <c r="T309" s="6">
        <v>37</v>
      </c>
      <c r="U309" s="6">
        <v>59</v>
      </c>
      <c r="V309" s="6">
        <f>IF(ISERROR(VLOOKUP($S$309,'TAR FIN'!$A$1:$O$85,15,0)),0,VLOOKUP($S$309,'TAR FIN'!$A$1:$O$85,15,0))</f>
        <v>0</v>
      </c>
      <c r="W309" s="6">
        <f>IF(ISERROR(VLOOKUP($T$309,'TAR FIN'!$A$1:$O$85,15,0)),0,VLOOKUP($T$309,'TAR FIN'!$A$1:$O$85,15,0))</f>
        <v>258.58</v>
      </c>
      <c r="X309" s="6">
        <f>IF(ISERROR(VLOOKUP($U$309,'TAR FIN'!$A$1:$O$85,15,0)),0,VLOOKUP($U$309,'TAR FIN'!$A$1:$O$85,15,0))</f>
        <v>241.85</v>
      </c>
      <c r="Y309" s="6"/>
      <c r="Z309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309" s="6">
        <f>('TE BE'!$AB$15+'TE BF'!$AB$15+'TE CVA'!$AB$15)*(1-CUSTOS!$M$37)</f>
        <v>227.55060294064452</v>
      </c>
      <c r="AB309" s="6">
        <f>$K$309*$V$309</f>
        <v>0</v>
      </c>
      <c r="AC309" s="6">
        <f>$M$309*$W$309</f>
        <v>1058.62652</v>
      </c>
      <c r="AD309" s="6">
        <f>$O$309*$X$309</f>
        <v>990.13390000000004</v>
      </c>
      <c r="AE309" s="6">
        <f>$K$309*$Y$309</f>
        <v>0</v>
      </c>
      <c r="AF309" s="6">
        <f ca="1">$M$309*$Z$309</f>
        <v>1052.8311387320393</v>
      </c>
      <c r="AG309" s="6">
        <f>$O$309*$AA$309</f>
        <v>931.59216843899878</v>
      </c>
    </row>
    <row r="310" spans="1:33" ht="11.25" customHeight="1" x14ac:dyDescent="0.25">
      <c r="A310" s="4" t="s">
        <v>21</v>
      </c>
      <c r="B310" s="4" t="s">
        <v>22</v>
      </c>
      <c r="C310" s="4" t="s">
        <v>23</v>
      </c>
      <c r="D310" s="4" t="s">
        <v>24</v>
      </c>
      <c r="E310" s="4" t="s">
        <v>31</v>
      </c>
      <c r="F310" s="4" t="s">
        <v>25</v>
      </c>
      <c r="G310" s="4" t="s">
        <v>25</v>
      </c>
      <c r="H310" s="4" t="s">
        <v>25</v>
      </c>
      <c r="I310" s="5">
        <v>44501</v>
      </c>
      <c r="J310" s="6">
        <v>0</v>
      </c>
      <c r="K310" s="6">
        <v>0</v>
      </c>
      <c r="L310" s="6">
        <v>5.2089999999999996</v>
      </c>
      <c r="M310" s="6">
        <v>5.2089999999999996</v>
      </c>
      <c r="N310" s="6">
        <v>5.2089999999999996</v>
      </c>
      <c r="O310" s="6">
        <v>5.2089999999999996</v>
      </c>
      <c r="P310" s="6">
        <v>83</v>
      </c>
      <c r="Q310" s="4" t="s">
        <v>26</v>
      </c>
      <c r="R310" s="4">
        <v>0</v>
      </c>
      <c r="S310" s="6">
        <v>0</v>
      </c>
      <c r="T310" s="6">
        <v>37</v>
      </c>
      <c r="U310" s="6">
        <v>59</v>
      </c>
      <c r="V310" s="6">
        <f>IF(ISERROR(VLOOKUP($S$310,'TAR FIN'!$A$1:$O$85,15,0)),0,VLOOKUP($S$310,'TAR FIN'!$A$1:$O$85,15,0))</f>
        <v>0</v>
      </c>
      <c r="W310" s="6">
        <f>IF(ISERROR(VLOOKUP($T$310,'TAR FIN'!$A$1:$O$85,15,0)),0,VLOOKUP($T$310,'TAR FIN'!$A$1:$O$85,15,0))</f>
        <v>258.58</v>
      </c>
      <c r="X310" s="6">
        <f>IF(ISERROR(VLOOKUP($U$310,'TAR FIN'!$A$1:$O$85,15,0)),0,VLOOKUP($U$310,'TAR FIN'!$A$1:$O$85,15,0))</f>
        <v>241.85</v>
      </c>
      <c r="Y310" s="6"/>
      <c r="Z310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310" s="6">
        <f>('TE BE'!$AB$15+'TE BF'!$AB$15+'TE CVA'!$AB$15)*(1-CUSTOS!$M$37)</f>
        <v>227.55060294064452</v>
      </c>
      <c r="AB310" s="6">
        <f>$K$310*$V$310</f>
        <v>0</v>
      </c>
      <c r="AC310" s="6">
        <f>$M$310*$W$310</f>
        <v>1346.9432199999999</v>
      </c>
      <c r="AD310" s="6">
        <f>$O$310*$X$310</f>
        <v>1259.7966499999998</v>
      </c>
      <c r="AE310" s="6">
        <f>$K$310*$Y$310</f>
        <v>0</v>
      </c>
      <c r="AF310" s="6">
        <f ca="1">$M$310*$Z$310</f>
        <v>1339.5694679177311</v>
      </c>
      <c r="AG310" s="6">
        <f>$O$310*$AA$310</f>
        <v>1185.3110907178173</v>
      </c>
    </row>
    <row r="311" spans="1:33" ht="11.25" customHeight="1" x14ac:dyDescent="0.25">
      <c r="A311" s="4" t="s">
        <v>21</v>
      </c>
      <c r="B311" s="4" t="s">
        <v>22</v>
      </c>
      <c r="C311" s="4" t="s">
        <v>23</v>
      </c>
      <c r="D311" s="4" t="s">
        <v>24</v>
      </c>
      <c r="E311" s="4" t="s">
        <v>31</v>
      </c>
      <c r="F311" s="4" t="s">
        <v>25</v>
      </c>
      <c r="G311" s="4" t="s">
        <v>25</v>
      </c>
      <c r="H311" s="4" t="s">
        <v>25</v>
      </c>
      <c r="I311" s="5">
        <v>44531</v>
      </c>
      <c r="J311" s="6">
        <v>0</v>
      </c>
      <c r="K311" s="6">
        <v>0</v>
      </c>
      <c r="L311" s="6">
        <v>8.6460000000000008</v>
      </c>
      <c r="M311" s="6">
        <v>8.6460000000000008</v>
      </c>
      <c r="N311" s="6">
        <v>8.6460000000000008</v>
      </c>
      <c r="O311" s="6">
        <v>8.6460000000000008</v>
      </c>
      <c r="P311" s="6">
        <v>112</v>
      </c>
      <c r="Q311" s="4" t="s">
        <v>26</v>
      </c>
      <c r="R311" s="4">
        <v>0</v>
      </c>
      <c r="S311" s="6">
        <v>0</v>
      </c>
      <c r="T311" s="6">
        <v>37</v>
      </c>
      <c r="U311" s="6">
        <v>59</v>
      </c>
      <c r="V311" s="6">
        <f>IF(ISERROR(VLOOKUP($S$311,'TAR FIN'!$A$1:$O$85,15,0)),0,VLOOKUP($S$311,'TAR FIN'!$A$1:$O$85,15,0))</f>
        <v>0</v>
      </c>
      <c r="W311" s="6">
        <f>IF(ISERROR(VLOOKUP($T$311,'TAR FIN'!$A$1:$O$85,15,0)),0,VLOOKUP($T$311,'TAR FIN'!$A$1:$O$85,15,0))</f>
        <v>258.58</v>
      </c>
      <c r="X311" s="6">
        <f>IF(ISERROR(VLOOKUP($U$311,'TAR FIN'!$A$1:$O$85,15,0)),0,VLOOKUP($U$311,'TAR FIN'!$A$1:$O$85,15,0))</f>
        <v>241.85</v>
      </c>
      <c r="Y311" s="6"/>
      <c r="Z311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311" s="6">
        <f>('TE BE'!$AB$15+'TE BF'!$AB$15+'TE CVA'!$AB$15)*(1-CUSTOS!$M$37)</f>
        <v>227.55060294064452</v>
      </c>
      <c r="AB311" s="6">
        <f>$K$311*$V$311</f>
        <v>0</v>
      </c>
      <c r="AC311" s="6">
        <f>$M$311*$W$311</f>
        <v>2235.6826799999999</v>
      </c>
      <c r="AD311" s="6">
        <f>$O$311*$X$311</f>
        <v>2091.0351000000001</v>
      </c>
      <c r="AE311" s="6">
        <f>$K$311*$Y$311</f>
        <v>0</v>
      </c>
      <c r="AF311" s="6">
        <f ca="1">$M$311*$Z$311</f>
        <v>2223.4435821878874</v>
      </c>
      <c r="AG311" s="6">
        <f>$O$311*$AA$311</f>
        <v>1967.4025130248128</v>
      </c>
    </row>
    <row r="312" spans="1:33" ht="11.25" customHeight="1" x14ac:dyDescent="0.25">
      <c r="A312" s="4" t="s">
        <v>21</v>
      </c>
      <c r="B312" s="4" t="s">
        <v>22</v>
      </c>
      <c r="C312" s="4" t="s">
        <v>23</v>
      </c>
      <c r="D312" s="4" t="s">
        <v>24</v>
      </c>
      <c r="E312" s="4" t="s">
        <v>31</v>
      </c>
      <c r="F312" s="4" t="s">
        <v>25</v>
      </c>
      <c r="G312" s="4" t="s">
        <v>25</v>
      </c>
      <c r="H312" s="4" t="s">
        <v>25</v>
      </c>
      <c r="I312" s="5">
        <v>44562</v>
      </c>
      <c r="J312" s="6">
        <v>0</v>
      </c>
      <c r="K312" s="6">
        <v>0</v>
      </c>
      <c r="L312" s="6">
        <v>12.211</v>
      </c>
      <c r="M312" s="6">
        <v>12.211</v>
      </c>
      <c r="N312" s="6">
        <v>12.211</v>
      </c>
      <c r="O312" s="6">
        <v>12.211</v>
      </c>
      <c r="P312" s="6">
        <v>141</v>
      </c>
      <c r="Q312" s="4" t="s">
        <v>26</v>
      </c>
      <c r="R312" s="4">
        <v>0</v>
      </c>
      <c r="S312" s="6">
        <v>0</v>
      </c>
      <c r="T312" s="6">
        <v>37</v>
      </c>
      <c r="U312" s="6">
        <v>59</v>
      </c>
      <c r="V312" s="6">
        <f>IF(ISERROR(VLOOKUP($S$312,'TAR FIN'!$A$1:$O$85,15,0)),0,VLOOKUP($S$312,'TAR FIN'!$A$1:$O$85,15,0))</f>
        <v>0</v>
      </c>
      <c r="W312" s="6">
        <f>IF(ISERROR(VLOOKUP($T$312,'TAR FIN'!$A$1:$O$85,15,0)),0,VLOOKUP($T$312,'TAR FIN'!$A$1:$O$85,15,0))</f>
        <v>258.58</v>
      </c>
      <c r="X312" s="6">
        <f>IF(ISERROR(VLOOKUP($U$312,'TAR FIN'!$A$1:$O$85,15,0)),0,VLOOKUP($U$312,'TAR FIN'!$A$1:$O$85,15,0))</f>
        <v>241.85</v>
      </c>
      <c r="Y312" s="6"/>
      <c r="Z312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312" s="6">
        <f>('TE BE'!$AB$15+'TE BF'!$AB$15+'TE CVA'!$AB$15)*(1-CUSTOS!$M$37)</f>
        <v>227.55060294064452</v>
      </c>
      <c r="AB312" s="6">
        <f>$K$312*$V$312</f>
        <v>0</v>
      </c>
      <c r="AC312" s="6">
        <f>$M$312*$W$312</f>
        <v>3157.5203799999999</v>
      </c>
      <c r="AD312" s="6">
        <f>$O$312*$X$312</f>
        <v>2953.2303499999998</v>
      </c>
      <c r="AE312" s="6">
        <f>$K$312*$Y$312</f>
        <v>0</v>
      </c>
      <c r="AF312" s="6">
        <f ca="1">$M$312*$Z$312</f>
        <v>3140.2347423197193</v>
      </c>
      <c r="AG312" s="6">
        <f>$O$312*$AA$312</f>
        <v>2778.6204125082104</v>
      </c>
    </row>
    <row r="313" spans="1:33" ht="11.25" customHeight="1" x14ac:dyDescent="0.25">
      <c r="A313" s="4" t="s">
        <v>21</v>
      </c>
      <c r="B313" s="4" t="s">
        <v>22</v>
      </c>
      <c r="C313" s="4" t="s">
        <v>23</v>
      </c>
      <c r="D313" s="4" t="s">
        <v>24</v>
      </c>
      <c r="E313" s="4" t="s">
        <v>31</v>
      </c>
      <c r="F313" s="4" t="s">
        <v>25</v>
      </c>
      <c r="G313" s="4" t="s">
        <v>25</v>
      </c>
      <c r="H313" s="4" t="s">
        <v>25</v>
      </c>
      <c r="I313" s="5">
        <v>44593</v>
      </c>
      <c r="J313" s="6">
        <v>0</v>
      </c>
      <c r="K313" s="6">
        <v>0</v>
      </c>
      <c r="L313" s="6">
        <v>13.118</v>
      </c>
      <c r="M313" s="6">
        <v>13.118</v>
      </c>
      <c r="N313" s="6">
        <v>13.118</v>
      </c>
      <c r="O313" s="6">
        <v>13.118</v>
      </c>
      <c r="P313" s="6">
        <v>151</v>
      </c>
      <c r="Q313" s="4" t="s">
        <v>26</v>
      </c>
      <c r="R313" s="4">
        <v>0</v>
      </c>
      <c r="S313" s="6">
        <v>0</v>
      </c>
      <c r="T313" s="6">
        <v>37</v>
      </c>
      <c r="U313" s="6">
        <v>59</v>
      </c>
      <c r="V313" s="6">
        <f>IF(ISERROR(VLOOKUP($S$313,'TAR FIN'!$A$1:$O$85,15,0)),0,VLOOKUP($S$313,'TAR FIN'!$A$1:$O$85,15,0))</f>
        <v>0</v>
      </c>
      <c r="W313" s="6">
        <f>IF(ISERROR(VLOOKUP($T$313,'TAR FIN'!$A$1:$O$85,15,0)),0,VLOOKUP($T$313,'TAR FIN'!$A$1:$O$85,15,0))</f>
        <v>258.58</v>
      </c>
      <c r="X313" s="6">
        <f>IF(ISERROR(VLOOKUP($U$313,'TAR FIN'!$A$1:$O$85,15,0)),0,VLOOKUP($U$313,'TAR FIN'!$A$1:$O$85,15,0))</f>
        <v>241.85</v>
      </c>
      <c r="Y313" s="6"/>
      <c r="Z313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313" s="6">
        <f>('TE BE'!$AB$15+'TE BF'!$AB$15+'TE CVA'!$AB$15)*(1-CUSTOS!$M$37)</f>
        <v>227.55060294064452</v>
      </c>
      <c r="AB313" s="6">
        <f>$K$313*$V$313</f>
        <v>0</v>
      </c>
      <c r="AC313" s="6">
        <f>$M$313*$W$313</f>
        <v>3392.0524399999999</v>
      </c>
      <c r="AD313" s="6">
        <f>$O$313*$X$313</f>
        <v>3172.5882999999999</v>
      </c>
      <c r="AE313" s="6">
        <f>$K$313*$Y$313</f>
        <v>0</v>
      </c>
      <c r="AF313" s="6">
        <f ca="1">$M$313*$Z$313</f>
        <v>3373.4828719801881</v>
      </c>
      <c r="AG313" s="6">
        <f>$O$313*$AA$313</f>
        <v>2985.0088093753748</v>
      </c>
    </row>
    <row r="314" spans="1:33" ht="11.25" customHeight="1" x14ac:dyDescent="0.25">
      <c r="A314" s="4" t="s">
        <v>21</v>
      </c>
      <c r="B314" s="4" t="s">
        <v>22</v>
      </c>
      <c r="C314" s="4" t="s">
        <v>23</v>
      </c>
      <c r="D314" s="4" t="s">
        <v>24</v>
      </c>
      <c r="E314" s="4" t="s">
        <v>31</v>
      </c>
      <c r="F314" s="4" t="s">
        <v>25</v>
      </c>
      <c r="G314" s="4" t="s">
        <v>25</v>
      </c>
      <c r="H314" s="4" t="s">
        <v>25</v>
      </c>
      <c r="I314" s="5">
        <v>44621</v>
      </c>
      <c r="J314" s="6">
        <v>0</v>
      </c>
      <c r="K314" s="6">
        <v>0</v>
      </c>
      <c r="L314" s="6">
        <v>11.275</v>
      </c>
      <c r="M314" s="6">
        <v>11.275</v>
      </c>
      <c r="N314" s="6">
        <v>11.275</v>
      </c>
      <c r="O314" s="6">
        <v>11.275</v>
      </c>
      <c r="P314" s="6">
        <v>144</v>
      </c>
      <c r="Q314" s="4" t="s">
        <v>26</v>
      </c>
      <c r="R314" s="4">
        <v>0</v>
      </c>
      <c r="S314" s="6">
        <v>0</v>
      </c>
      <c r="T314" s="6">
        <v>37</v>
      </c>
      <c r="U314" s="6">
        <v>59</v>
      </c>
      <c r="V314" s="6">
        <f>IF(ISERROR(VLOOKUP($S$314,'TAR FIN'!$A$1:$O$85,15,0)),0,VLOOKUP($S$314,'TAR FIN'!$A$1:$O$85,15,0))</f>
        <v>0</v>
      </c>
      <c r="W314" s="6">
        <f>IF(ISERROR(VLOOKUP($T$314,'TAR FIN'!$A$1:$O$85,15,0)),0,VLOOKUP($T$314,'TAR FIN'!$A$1:$O$85,15,0))</f>
        <v>258.58</v>
      </c>
      <c r="X314" s="6">
        <f>IF(ISERROR(VLOOKUP($U$314,'TAR FIN'!$A$1:$O$85,15,0)),0,VLOOKUP($U$314,'TAR FIN'!$A$1:$O$85,15,0))</f>
        <v>241.85</v>
      </c>
      <c r="Y314" s="6"/>
      <c r="Z314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314" s="6">
        <f>('TE BE'!$AB$15+'TE BF'!$AB$15+'TE CVA'!$AB$15)*(1-CUSTOS!$M$37)</f>
        <v>227.55060294064452</v>
      </c>
      <c r="AB314" s="6">
        <f>$K$314*$V$314</f>
        <v>0</v>
      </c>
      <c r="AC314" s="6">
        <f>$M$314*$W$314</f>
        <v>2915.4895000000001</v>
      </c>
      <c r="AD314" s="6">
        <f>$O$314*$X$314</f>
        <v>2726.8587499999999</v>
      </c>
      <c r="AE314" s="6">
        <f>$K$314*$Y$314</f>
        <v>0</v>
      </c>
      <c r="AF314" s="6">
        <f ca="1">$M$314*$Z$314</f>
        <v>2899.5288444562143</v>
      </c>
      <c r="AG314" s="6">
        <f>$O$314*$AA$314</f>
        <v>2565.633048155767</v>
      </c>
    </row>
    <row r="315" spans="1:33" ht="11.25" customHeight="1" x14ac:dyDescent="0.25">
      <c r="A315" s="4" t="s">
        <v>21</v>
      </c>
      <c r="B315" s="4" t="s">
        <v>22</v>
      </c>
      <c r="C315" s="4" t="s">
        <v>23</v>
      </c>
      <c r="D315" s="4" t="s">
        <v>24</v>
      </c>
      <c r="E315" s="4" t="s">
        <v>31</v>
      </c>
      <c r="F315" s="4" t="s">
        <v>25</v>
      </c>
      <c r="G315" s="4" t="s">
        <v>25</v>
      </c>
      <c r="H315" s="4" t="s">
        <v>25</v>
      </c>
      <c r="I315" s="5">
        <v>44652</v>
      </c>
      <c r="J315" s="6">
        <v>0</v>
      </c>
      <c r="K315" s="6">
        <v>0</v>
      </c>
      <c r="L315" s="6">
        <v>8.8469999999999995</v>
      </c>
      <c r="M315" s="6">
        <v>8.8469999999999995</v>
      </c>
      <c r="N315" s="6">
        <v>8.8469999999999995</v>
      </c>
      <c r="O315" s="6">
        <v>8.8469999999999995</v>
      </c>
      <c r="P315" s="6">
        <v>125</v>
      </c>
      <c r="Q315" s="4" t="s">
        <v>26</v>
      </c>
      <c r="R315" s="4">
        <v>0</v>
      </c>
      <c r="S315" s="6">
        <v>0</v>
      </c>
      <c r="T315" s="6">
        <v>37</v>
      </c>
      <c r="U315" s="6">
        <v>59</v>
      </c>
      <c r="V315" s="6">
        <f>IF(ISERROR(VLOOKUP($S$315,'TAR FIN'!$A$1:$O$85,15,0)),0,VLOOKUP($S$315,'TAR FIN'!$A$1:$O$85,15,0))</f>
        <v>0</v>
      </c>
      <c r="W315" s="6">
        <f>IF(ISERROR(VLOOKUP($T$315,'TAR FIN'!$A$1:$O$85,15,0)),0,VLOOKUP($T$315,'TAR FIN'!$A$1:$O$85,15,0))</f>
        <v>258.58</v>
      </c>
      <c r="X315" s="6">
        <f>IF(ISERROR(VLOOKUP($U$315,'TAR FIN'!$A$1:$O$85,15,0)),0,VLOOKUP($U$315,'TAR FIN'!$A$1:$O$85,15,0))</f>
        <v>241.85</v>
      </c>
      <c r="Y315" s="6"/>
      <c r="Z315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315" s="6">
        <f>('TE BE'!$AB$15+'TE BF'!$AB$15+'TE CVA'!$AB$15)*(1-CUSTOS!$M$37)</f>
        <v>227.55060294064452</v>
      </c>
      <c r="AB315" s="6">
        <f>$K$315*$V$315</f>
        <v>0</v>
      </c>
      <c r="AC315" s="6">
        <f>$M$315*$W$315</f>
        <v>2287.65726</v>
      </c>
      <c r="AD315" s="6">
        <f>$O$315*$X$315</f>
        <v>2139.6469499999998</v>
      </c>
      <c r="AE315" s="6">
        <f>$K$315*$Y$315</f>
        <v>0</v>
      </c>
      <c r="AF315" s="6">
        <f ca="1">$M$315*$Z$315</f>
        <v>2275.1336307675501</v>
      </c>
      <c r="AG315" s="6">
        <f>$O$315*$AA$315</f>
        <v>2013.1401842158821</v>
      </c>
    </row>
    <row r="316" spans="1:33" ht="11.25" customHeight="1" x14ac:dyDescent="0.25">
      <c r="A316" s="4" t="s">
        <v>21</v>
      </c>
      <c r="B316" s="4" t="s">
        <v>22</v>
      </c>
      <c r="C316" s="4" t="s">
        <v>23</v>
      </c>
      <c r="D316" s="4" t="s">
        <v>24</v>
      </c>
      <c r="E316" s="4" t="s">
        <v>31</v>
      </c>
      <c r="F316" s="4" t="s">
        <v>25</v>
      </c>
      <c r="G316" s="4" t="s">
        <v>25</v>
      </c>
      <c r="H316" s="4" t="s">
        <v>25</v>
      </c>
      <c r="I316" s="5">
        <v>44682</v>
      </c>
      <c r="J316" s="6">
        <v>0</v>
      </c>
      <c r="K316" s="6">
        <v>0</v>
      </c>
      <c r="L316" s="6">
        <v>12.144</v>
      </c>
      <c r="M316" s="6">
        <v>12.144</v>
      </c>
      <c r="N316" s="6">
        <v>12.144</v>
      </c>
      <c r="O316" s="6">
        <v>12.144</v>
      </c>
      <c r="P316" s="6">
        <v>148</v>
      </c>
      <c r="Q316" s="4" t="s">
        <v>26</v>
      </c>
      <c r="R316" s="4">
        <v>0</v>
      </c>
      <c r="S316" s="6">
        <v>0</v>
      </c>
      <c r="T316" s="6">
        <v>37</v>
      </c>
      <c r="U316" s="6">
        <v>59</v>
      </c>
      <c r="V316" s="6">
        <f>IF(ISERROR(VLOOKUP($S$316,'TAR FIN'!$A$1:$O$85,15,0)),0,VLOOKUP($S$316,'TAR FIN'!$A$1:$O$85,15,0))</f>
        <v>0</v>
      </c>
      <c r="W316" s="6">
        <f>IF(ISERROR(VLOOKUP($T$316,'TAR FIN'!$A$1:$O$85,15,0)),0,VLOOKUP($T$316,'TAR FIN'!$A$1:$O$85,15,0))</f>
        <v>258.58</v>
      </c>
      <c r="X316" s="6">
        <f>IF(ISERROR(VLOOKUP($U$316,'TAR FIN'!$A$1:$O$85,15,0)),0,VLOOKUP($U$316,'TAR FIN'!$A$1:$O$85,15,0))</f>
        <v>241.85</v>
      </c>
      <c r="Y316" s="6"/>
      <c r="Z316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316" s="6">
        <f>('TE BE'!$AB$15+'TE BF'!$AB$15+'TE CVA'!$AB$15)*(1-CUSTOS!$M$37)</f>
        <v>227.55060294064452</v>
      </c>
      <c r="AB316" s="6">
        <f>$K$316*$V$316</f>
        <v>0</v>
      </c>
      <c r="AC316" s="6">
        <f>$M$316*$W$316</f>
        <v>3140.1955199999998</v>
      </c>
      <c r="AD316" s="6">
        <f>$O$316*$X$316</f>
        <v>2937.0263999999997</v>
      </c>
      <c r="AE316" s="6">
        <f>$K$316*$Y$316</f>
        <v>0</v>
      </c>
      <c r="AF316" s="6">
        <f ca="1">$M$316*$Z$316</f>
        <v>3123.0047261264981</v>
      </c>
      <c r="AG316" s="6">
        <f>$O$316*$AA$316</f>
        <v>2763.3745221111872</v>
      </c>
    </row>
    <row r="317" spans="1:33" ht="11.25" customHeight="1" x14ac:dyDescent="0.25">
      <c r="A317" s="4" t="s">
        <v>27</v>
      </c>
      <c r="B317" s="4" t="s">
        <v>22</v>
      </c>
      <c r="C317" s="4" t="s">
        <v>23</v>
      </c>
      <c r="D317" s="4" t="s">
        <v>24</v>
      </c>
      <c r="E317" s="4" t="s">
        <v>31</v>
      </c>
      <c r="F317" s="4" t="s">
        <v>25</v>
      </c>
      <c r="G317" s="4" t="s">
        <v>25</v>
      </c>
      <c r="H317" s="4" t="s">
        <v>25</v>
      </c>
      <c r="I317" s="5">
        <v>44682</v>
      </c>
      <c r="J317" s="6">
        <v>0</v>
      </c>
      <c r="K317" s="6">
        <v>0</v>
      </c>
      <c r="L317" s="6">
        <v>6.0999999999999999E-2</v>
      </c>
      <c r="M317" s="6">
        <v>6.0999999999999999E-2</v>
      </c>
      <c r="N317" s="6">
        <v>6.0999999999999999E-2</v>
      </c>
      <c r="O317" s="6">
        <v>6.0999999999999999E-2</v>
      </c>
      <c r="P317" s="6">
        <v>1</v>
      </c>
      <c r="Q317" s="4" t="s">
        <v>26</v>
      </c>
      <c r="R317" s="4">
        <v>0</v>
      </c>
      <c r="S317" s="6">
        <v>0</v>
      </c>
      <c r="T317" s="6">
        <v>37</v>
      </c>
      <c r="U317" s="6">
        <v>59</v>
      </c>
      <c r="V317" s="6">
        <f>IF(ISERROR(VLOOKUP($S$317,'TAR FIN'!$A$1:$O$85,15,0)),0,VLOOKUP($S$317,'TAR FIN'!$A$1:$O$85,15,0))</f>
        <v>0</v>
      </c>
      <c r="W317" s="6">
        <f>IF(ISERROR(VLOOKUP($T$317,'TAR FIN'!$A$1:$O$85,15,0)),0,VLOOKUP($T$317,'TAR FIN'!$A$1:$O$85,15,0))</f>
        <v>258.58</v>
      </c>
      <c r="X317" s="6">
        <f>IF(ISERROR(VLOOKUP($U$317,'TAR FIN'!$A$1:$O$85,15,0)),0,VLOOKUP($U$317,'TAR FIN'!$A$1:$O$85,15,0))</f>
        <v>241.85</v>
      </c>
      <c r="Y317" s="6"/>
      <c r="Z317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317" s="6">
        <f>('TE BE'!$AB$15+'TE BF'!$AB$15+'TE CVA'!$AB$15)*(1-CUSTOS!$M$37)</f>
        <v>227.55060294064452</v>
      </c>
      <c r="AB317" s="6">
        <f>$K$317*$V$317</f>
        <v>0</v>
      </c>
      <c r="AC317" s="6">
        <f>$M$317*$W$317</f>
        <v>15.77338</v>
      </c>
      <c r="AD317" s="6">
        <f>$O$317*$X$317</f>
        <v>14.752849999999999</v>
      </c>
      <c r="AE317" s="6">
        <f>$K$317*$Y$317</f>
        <v>0</v>
      </c>
      <c r="AF317" s="6">
        <f ca="1">$M$317*$Z$317</f>
        <v>15.687029668454906</v>
      </c>
      <c r="AG317" s="6">
        <f>$O$317*$AA$317</f>
        <v>13.880586779379316</v>
      </c>
    </row>
    <row r="318" spans="1:33" ht="11.25" customHeight="1" x14ac:dyDescent="0.25">
      <c r="A318" s="4" t="s">
        <v>21</v>
      </c>
      <c r="B318" s="4" t="s">
        <v>22</v>
      </c>
      <c r="C318" s="4" t="s">
        <v>23</v>
      </c>
      <c r="D318" s="4" t="s">
        <v>24</v>
      </c>
      <c r="E318" s="4" t="s">
        <v>31</v>
      </c>
      <c r="F318" s="4" t="s">
        <v>25</v>
      </c>
      <c r="G318" s="4" t="s">
        <v>25</v>
      </c>
      <c r="H318" s="4" t="s">
        <v>25</v>
      </c>
      <c r="I318" s="5">
        <v>44713</v>
      </c>
      <c r="J318" s="6">
        <v>0</v>
      </c>
      <c r="K318" s="6">
        <v>0</v>
      </c>
      <c r="L318" s="6">
        <v>20.437999999999999</v>
      </c>
      <c r="M318" s="6">
        <v>20.437999999999999</v>
      </c>
      <c r="N318" s="6">
        <v>20.437999999999999</v>
      </c>
      <c r="O318" s="6">
        <v>20.437999999999999</v>
      </c>
      <c r="P318" s="6">
        <v>204</v>
      </c>
      <c r="Q318" s="4" t="s">
        <v>26</v>
      </c>
      <c r="R318" s="4">
        <v>0</v>
      </c>
      <c r="S318" s="6">
        <v>0</v>
      </c>
      <c r="T318" s="6">
        <v>37</v>
      </c>
      <c r="U318" s="6">
        <v>59</v>
      </c>
      <c r="V318" s="6">
        <f>IF(ISERROR(VLOOKUP($S$318,'TAR FIN'!$A$1:$O$85,15,0)),0,VLOOKUP($S$318,'TAR FIN'!$A$1:$O$85,15,0))</f>
        <v>0</v>
      </c>
      <c r="W318" s="6">
        <f>IF(ISERROR(VLOOKUP($T$318,'TAR FIN'!$A$1:$O$85,15,0)),0,VLOOKUP($T$318,'TAR FIN'!$A$1:$O$85,15,0))</f>
        <v>258.58</v>
      </c>
      <c r="X318" s="6">
        <f>IF(ISERROR(VLOOKUP($U$318,'TAR FIN'!$A$1:$O$85,15,0)),0,VLOOKUP($U$318,'TAR FIN'!$A$1:$O$85,15,0))</f>
        <v>241.85</v>
      </c>
      <c r="Y318" s="6"/>
      <c r="Z318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318" s="6">
        <f>('TE BE'!$AB$15+'TE BF'!$AB$15+'TE CVA'!$AB$15)*(1-CUSTOS!$M$37)</f>
        <v>227.55060294064452</v>
      </c>
      <c r="AB318" s="6">
        <f>$K$318*$V$318</f>
        <v>0</v>
      </c>
      <c r="AC318" s="6">
        <f>$M$318*$W$318</f>
        <v>5284.8580399999992</v>
      </c>
      <c r="AD318" s="6">
        <f>$O$318*$X$318</f>
        <v>4942.9303</v>
      </c>
      <c r="AE318" s="6">
        <f>$K$318*$Y$318</f>
        <v>0</v>
      </c>
      <c r="AF318" s="6">
        <f ca="1">$M$318*$Z$318</f>
        <v>5255.9264321947767</v>
      </c>
      <c r="AG318" s="6">
        <f>$O$318*$AA$318</f>
        <v>4650.6792229008925</v>
      </c>
    </row>
    <row r="319" spans="1:33" ht="11.25" customHeight="1" x14ac:dyDescent="0.25">
      <c r="A319" s="4" t="s">
        <v>27</v>
      </c>
      <c r="B319" s="4" t="s">
        <v>22</v>
      </c>
      <c r="C319" s="4" t="s">
        <v>23</v>
      </c>
      <c r="D319" s="4" t="s">
        <v>24</v>
      </c>
      <c r="E319" s="4" t="s">
        <v>31</v>
      </c>
      <c r="F319" s="4" t="s">
        <v>25</v>
      </c>
      <c r="G319" s="4" t="s">
        <v>25</v>
      </c>
      <c r="H319" s="4" t="s">
        <v>25</v>
      </c>
      <c r="I319" s="5">
        <v>44713</v>
      </c>
      <c r="J319" s="6">
        <v>0</v>
      </c>
      <c r="K319" s="6">
        <v>0</v>
      </c>
      <c r="L319" s="6">
        <v>6.4000000000000001E-2</v>
      </c>
      <c r="M319" s="6">
        <v>6.4000000000000001E-2</v>
      </c>
      <c r="N319" s="6">
        <v>6.4000000000000001E-2</v>
      </c>
      <c r="O319" s="6">
        <v>6.4000000000000001E-2</v>
      </c>
      <c r="P319" s="6">
        <v>2</v>
      </c>
      <c r="Q319" s="4" t="s">
        <v>26</v>
      </c>
      <c r="R319" s="4">
        <v>0</v>
      </c>
      <c r="S319" s="6">
        <v>0</v>
      </c>
      <c r="T319" s="6">
        <v>37</v>
      </c>
      <c r="U319" s="6">
        <v>59</v>
      </c>
      <c r="V319" s="6">
        <f>IF(ISERROR(VLOOKUP($S$319,'TAR FIN'!$A$1:$O$85,15,0)),0,VLOOKUP($S$319,'TAR FIN'!$A$1:$O$85,15,0))</f>
        <v>0</v>
      </c>
      <c r="W319" s="6">
        <f>IF(ISERROR(VLOOKUP($T$319,'TAR FIN'!$A$1:$O$85,15,0)),0,VLOOKUP($T$319,'TAR FIN'!$A$1:$O$85,15,0))</f>
        <v>258.58</v>
      </c>
      <c r="X319" s="6">
        <f>IF(ISERROR(VLOOKUP($U$319,'TAR FIN'!$A$1:$O$85,15,0)),0,VLOOKUP($U$319,'TAR FIN'!$A$1:$O$85,15,0))</f>
        <v>241.85</v>
      </c>
      <c r="Y319" s="6"/>
      <c r="Z319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319" s="6">
        <f>('TE BE'!$AB$15+'TE BF'!$AB$15+'TE CVA'!$AB$15)*(1-CUSTOS!$M$37)</f>
        <v>227.55060294064452</v>
      </c>
      <c r="AB319" s="6">
        <f>$K$319*$V$319</f>
        <v>0</v>
      </c>
      <c r="AC319" s="6">
        <f>$M$319*$W$319</f>
        <v>16.549119999999998</v>
      </c>
      <c r="AD319" s="6">
        <f>$O$319*$X$319</f>
        <v>15.478400000000001</v>
      </c>
      <c r="AE319" s="6">
        <f>$K$319*$Y$319</f>
        <v>0</v>
      </c>
      <c r="AF319" s="6">
        <f ca="1">$M$319*$Z$319</f>
        <v>16.458522930837937</v>
      </c>
      <c r="AG319" s="6">
        <f>$O$319*$AA$319</f>
        <v>14.56323858820125</v>
      </c>
    </row>
    <row r="320" spans="1:33" ht="11.25" customHeight="1" x14ac:dyDescent="0.25">
      <c r="A320" s="4" t="s">
        <v>21</v>
      </c>
      <c r="B320" s="4" t="s">
        <v>39</v>
      </c>
      <c r="C320" s="4" t="s">
        <v>23</v>
      </c>
      <c r="D320" s="4" t="s">
        <v>40</v>
      </c>
      <c r="E320" s="4" t="s">
        <v>25</v>
      </c>
      <c r="F320" s="4" t="s">
        <v>25</v>
      </c>
      <c r="G320" s="4" t="s">
        <v>25</v>
      </c>
      <c r="H320" s="4" t="s">
        <v>25</v>
      </c>
      <c r="I320" s="5">
        <v>44378</v>
      </c>
      <c r="J320" s="6">
        <v>0</v>
      </c>
      <c r="K320" s="6">
        <v>0</v>
      </c>
      <c r="L320" s="6">
        <v>3.9630000000000001</v>
      </c>
      <c r="M320" s="6">
        <v>3.9630000000000001</v>
      </c>
      <c r="N320" s="6">
        <v>3.9630000000000001</v>
      </c>
      <c r="O320" s="6">
        <v>3.9630000000000001</v>
      </c>
      <c r="P320" s="6">
        <v>13</v>
      </c>
      <c r="Q320" s="4" t="s">
        <v>26</v>
      </c>
      <c r="R320" s="4">
        <v>0</v>
      </c>
      <c r="S320" s="6">
        <v>0</v>
      </c>
      <c r="T320" s="6">
        <v>22</v>
      </c>
      <c r="U320" s="6">
        <v>57</v>
      </c>
      <c r="V320" s="6">
        <f>IF(ISERROR(VLOOKUP($S$320,'TAR FIN'!$A$1:$O$85,15,0)),0,VLOOKUP($S$320,'TAR FIN'!$A$1:$O$85,15,0))</f>
        <v>0</v>
      </c>
      <c r="W320" s="6">
        <f>IF(ISERROR(VLOOKUP($T$320,'TAR FIN'!$A$1:$O$85,15,0)),0,VLOOKUP($T$320,'TAR FIN'!$A$1:$O$85,15,0))</f>
        <v>293.17</v>
      </c>
      <c r="X320" s="6">
        <f>IF(ISERROR(VLOOKUP($U$320,'TAR FIN'!$A$1:$O$85,15,0)),0,VLOOKUP($U$320,'TAR FIN'!$A$1:$O$85,15,0))</f>
        <v>212.83</v>
      </c>
      <c r="Y320" s="6"/>
      <c r="Z320" s="6">
        <f ca="1">('TUSD BE'!$AM$33+'TUSD BF'!$AM$33+'TUSD CVA'!$AM$33)*(1-CUSTOS!$M$38)</f>
        <v>353.56542979146212</v>
      </c>
      <c r="AA320" s="6">
        <f>('TE BE'!$AB$24+'TE BF'!$AB$24+'TE CVA'!$AB$24)*(1-CUSTOS!$M$38)</f>
        <v>213.89756676420583</v>
      </c>
      <c r="AB320" s="6">
        <f>$K$320*$V$320</f>
        <v>0</v>
      </c>
      <c r="AC320" s="6">
        <f>$M$320*$W$320</f>
        <v>1161.8327100000001</v>
      </c>
      <c r="AD320" s="6">
        <f>$O$320*$X$320</f>
        <v>843.44529000000011</v>
      </c>
      <c r="AE320" s="6">
        <f>$K$320*$Y$320</f>
        <v>0</v>
      </c>
      <c r="AF320" s="6">
        <f ca="1">$M$320*$Z$320</f>
        <v>1401.1797982635644</v>
      </c>
      <c r="AG320" s="6">
        <f>$O$320*$AA$320</f>
        <v>847.67605708654776</v>
      </c>
    </row>
    <row r="321" spans="1:33" ht="11.25" customHeight="1" x14ac:dyDescent="0.25">
      <c r="A321" s="4" t="s">
        <v>21</v>
      </c>
      <c r="B321" s="4" t="s">
        <v>39</v>
      </c>
      <c r="C321" s="4" t="s">
        <v>23</v>
      </c>
      <c r="D321" s="4" t="s">
        <v>40</v>
      </c>
      <c r="E321" s="4" t="s">
        <v>25</v>
      </c>
      <c r="F321" s="4" t="s">
        <v>25</v>
      </c>
      <c r="G321" s="4" t="s">
        <v>25</v>
      </c>
      <c r="H321" s="4" t="s">
        <v>25</v>
      </c>
      <c r="I321" s="5">
        <v>44409</v>
      </c>
      <c r="J321" s="6">
        <v>0</v>
      </c>
      <c r="K321" s="6">
        <v>0</v>
      </c>
      <c r="L321" s="6">
        <v>4.1479999999999997</v>
      </c>
      <c r="M321" s="6">
        <v>4.1479999999999997</v>
      </c>
      <c r="N321" s="6">
        <v>4.1479999999999997</v>
      </c>
      <c r="O321" s="6">
        <v>4.1479999999999997</v>
      </c>
      <c r="P321" s="6">
        <v>13</v>
      </c>
      <c r="Q321" s="4" t="s">
        <v>26</v>
      </c>
      <c r="R321" s="4">
        <v>0</v>
      </c>
      <c r="S321" s="6">
        <v>0</v>
      </c>
      <c r="T321" s="6">
        <v>22</v>
      </c>
      <c r="U321" s="6">
        <v>57</v>
      </c>
      <c r="V321" s="6">
        <f>IF(ISERROR(VLOOKUP($S$321,'TAR FIN'!$A$1:$O$85,15,0)),0,VLOOKUP($S$321,'TAR FIN'!$A$1:$O$85,15,0))</f>
        <v>0</v>
      </c>
      <c r="W321" s="6">
        <f>IF(ISERROR(VLOOKUP($T$321,'TAR FIN'!$A$1:$O$85,15,0)),0,VLOOKUP($T$321,'TAR FIN'!$A$1:$O$85,15,0))</f>
        <v>293.17</v>
      </c>
      <c r="X321" s="6">
        <f>IF(ISERROR(VLOOKUP($U$321,'TAR FIN'!$A$1:$O$85,15,0)),0,VLOOKUP($U$321,'TAR FIN'!$A$1:$O$85,15,0))</f>
        <v>212.83</v>
      </c>
      <c r="Y321" s="6"/>
      <c r="Z321" s="6">
        <f ca="1">('TUSD BE'!$AM$33+'TUSD BF'!$AM$33+'TUSD CVA'!$AM$33)*(1-CUSTOS!$M$38)</f>
        <v>353.56542979146212</v>
      </c>
      <c r="AA321" s="6">
        <f>('TE BE'!$AB$24+'TE BF'!$AB$24+'TE CVA'!$AB$24)*(1-CUSTOS!$M$38)</f>
        <v>213.89756676420583</v>
      </c>
      <c r="AB321" s="6">
        <f>$K$321*$V$321</f>
        <v>0</v>
      </c>
      <c r="AC321" s="6">
        <f>$M$321*$W$321</f>
        <v>1216.06916</v>
      </c>
      <c r="AD321" s="6">
        <f>$O$321*$X$321</f>
        <v>882.81884000000002</v>
      </c>
      <c r="AE321" s="6">
        <f>$K$321*$Y$321</f>
        <v>0</v>
      </c>
      <c r="AF321" s="6">
        <f ca="1">$M$321*$Z$321</f>
        <v>1466.5894027749848</v>
      </c>
      <c r="AG321" s="6">
        <f>$O$321*$AA$321</f>
        <v>887.24710693792576</v>
      </c>
    </row>
    <row r="322" spans="1:33" ht="11.25" customHeight="1" x14ac:dyDescent="0.25">
      <c r="A322" s="4" t="s">
        <v>21</v>
      </c>
      <c r="B322" s="4" t="s">
        <v>39</v>
      </c>
      <c r="C322" s="4" t="s">
        <v>23</v>
      </c>
      <c r="D322" s="4" t="s">
        <v>40</v>
      </c>
      <c r="E322" s="4" t="s">
        <v>25</v>
      </c>
      <c r="F322" s="4" t="s">
        <v>25</v>
      </c>
      <c r="G322" s="4" t="s">
        <v>25</v>
      </c>
      <c r="H322" s="4" t="s">
        <v>25</v>
      </c>
      <c r="I322" s="5">
        <v>44440</v>
      </c>
      <c r="J322" s="6">
        <v>0</v>
      </c>
      <c r="K322" s="6">
        <v>0</v>
      </c>
      <c r="L322" s="6">
        <v>4.1529999999999996</v>
      </c>
      <c r="M322" s="6">
        <v>4.1529999999999996</v>
      </c>
      <c r="N322" s="6">
        <v>4.1529999999999996</v>
      </c>
      <c r="O322" s="6">
        <v>4.1529999999999996</v>
      </c>
      <c r="P322" s="6">
        <v>13</v>
      </c>
      <c r="Q322" s="4" t="s">
        <v>26</v>
      </c>
      <c r="R322" s="4">
        <v>0</v>
      </c>
      <c r="S322" s="6">
        <v>0</v>
      </c>
      <c r="T322" s="6">
        <v>22</v>
      </c>
      <c r="U322" s="6">
        <v>57</v>
      </c>
      <c r="V322" s="6">
        <f>IF(ISERROR(VLOOKUP($S$322,'TAR FIN'!$A$1:$O$85,15,0)),0,VLOOKUP($S$322,'TAR FIN'!$A$1:$O$85,15,0))</f>
        <v>0</v>
      </c>
      <c r="W322" s="6">
        <f>IF(ISERROR(VLOOKUP($T$322,'TAR FIN'!$A$1:$O$85,15,0)),0,VLOOKUP($T$322,'TAR FIN'!$A$1:$O$85,15,0))</f>
        <v>293.17</v>
      </c>
      <c r="X322" s="6">
        <f>IF(ISERROR(VLOOKUP($U$322,'TAR FIN'!$A$1:$O$85,15,0)),0,VLOOKUP($U$322,'TAR FIN'!$A$1:$O$85,15,0))</f>
        <v>212.83</v>
      </c>
      <c r="Y322" s="6"/>
      <c r="Z322" s="6">
        <f ca="1">('TUSD BE'!$AM$33+'TUSD BF'!$AM$33+'TUSD CVA'!$AM$33)*(1-CUSTOS!$M$38)</f>
        <v>353.56542979146212</v>
      </c>
      <c r="AA322" s="6">
        <f>('TE BE'!$AB$24+'TE BF'!$AB$24+'TE CVA'!$AB$24)*(1-CUSTOS!$M$38)</f>
        <v>213.89756676420583</v>
      </c>
      <c r="AB322" s="6">
        <f>$K$322*$V$322</f>
        <v>0</v>
      </c>
      <c r="AC322" s="6">
        <f>$M$322*$W$322</f>
        <v>1217.5350100000001</v>
      </c>
      <c r="AD322" s="6">
        <f>$O$322*$X$322</f>
        <v>883.88298999999995</v>
      </c>
      <c r="AE322" s="6">
        <f>$K$322*$Y$322</f>
        <v>0</v>
      </c>
      <c r="AF322" s="6">
        <f ca="1">$M$322*$Z$322</f>
        <v>1468.357229923942</v>
      </c>
      <c r="AG322" s="6">
        <f>$O$322*$AA$322</f>
        <v>888.31659477174674</v>
      </c>
    </row>
    <row r="323" spans="1:33" ht="11.25" customHeight="1" x14ac:dyDescent="0.25">
      <c r="A323" s="4" t="s">
        <v>21</v>
      </c>
      <c r="B323" s="4" t="s">
        <v>39</v>
      </c>
      <c r="C323" s="4" t="s">
        <v>23</v>
      </c>
      <c r="D323" s="4" t="s">
        <v>40</v>
      </c>
      <c r="E323" s="4" t="s">
        <v>25</v>
      </c>
      <c r="F323" s="4" t="s">
        <v>25</v>
      </c>
      <c r="G323" s="4" t="s">
        <v>25</v>
      </c>
      <c r="H323" s="4" t="s">
        <v>25</v>
      </c>
      <c r="I323" s="5">
        <v>44470</v>
      </c>
      <c r="J323" s="6">
        <v>0</v>
      </c>
      <c r="K323" s="6">
        <v>0</v>
      </c>
      <c r="L323" s="6">
        <v>4.0789999999999997</v>
      </c>
      <c r="M323" s="6">
        <v>4.0789999999999997</v>
      </c>
      <c r="N323" s="6">
        <v>4.0789999999999997</v>
      </c>
      <c r="O323" s="6">
        <v>4.0789999999999997</v>
      </c>
      <c r="P323" s="6">
        <v>13</v>
      </c>
      <c r="Q323" s="4" t="s">
        <v>26</v>
      </c>
      <c r="R323" s="4">
        <v>0</v>
      </c>
      <c r="S323" s="6">
        <v>0</v>
      </c>
      <c r="T323" s="6">
        <v>22</v>
      </c>
      <c r="U323" s="6">
        <v>57</v>
      </c>
      <c r="V323" s="6">
        <f>IF(ISERROR(VLOOKUP($S$323,'TAR FIN'!$A$1:$O$85,15,0)),0,VLOOKUP($S$323,'TAR FIN'!$A$1:$O$85,15,0))</f>
        <v>0</v>
      </c>
      <c r="W323" s="6">
        <f>IF(ISERROR(VLOOKUP($T$323,'TAR FIN'!$A$1:$O$85,15,0)),0,VLOOKUP($T$323,'TAR FIN'!$A$1:$O$85,15,0))</f>
        <v>293.17</v>
      </c>
      <c r="X323" s="6">
        <f>IF(ISERROR(VLOOKUP($U$323,'TAR FIN'!$A$1:$O$85,15,0)),0,VLOOKUP($U$323,'TAR FIN'!$A$1:$O$85,15,0))</f>
        <v>212.83</v>
      </c>
      <c r="Y323" s="6"/>
      <c r="Z323" s="6">
        <f ca="1">('TUSD BE'!$AM$33+'TUSD BF'!$AM$33+'TUSD CVA'!$AM$33)*(1-CUSTOS!$M$38)</f>
        <v>353.56542979146212</v>
      </c>
      <c r="AA323" s="6">
        <f>('TE BE'!$AB$24+'TE BF'!$AB$24+'TE CVA'!$AB$24)*(1-CUSTOS!$M$38)</f>
        <v>213.89756676420583</v>
      </c>
      <c r="AB323" s="6">
        <f>$K$323*$V$323</f>
        <v>0</v>
      </c>
      <c r="AC323" s="6">
        <f>$M$323*$W$323</f>
        <v>1195.84043</v>
      </c>
      <c r="AD323" s="6">
        <f>$O$323*$X$323</f>
        <v>868.13356999999996</v>
      </c>
      <c r="AE323" s="6">
        <f>$K$323*$Y$323</f>
        <v>0</v>
      </c>
      <c r="AF323" s="6">
        <f ca="1">$M$323*$Z$323</f>
        <v>1442.1933881193738</v>
      </c>
      <c r="AG323" s="6">
        <f>$O$323*$AA$323</f>
        <v>872.48817483119558</v>
      </c>
    </row>
    <row r="324" spans="1:33" ht="11.25" customHeight="1" x14ac:dyDescent="0.25">
      <c r="A324" s="4" t="s">
        <v>21</v>
      </c>
      <c r="B324" s="4" t="s">
        <v>39</v>
      </c>
      <c r="C324" s="4" t="s">
        <v>23</v>
      </c>
      <c r="D324" s="4" t="s">
        <v>40</v>
      </c>
      <c r="E324" s="4" t="s">
        <v>25</v>
      </c>
      <c r="F324" s="4" t="s">
        <v>25</v>
      </c>
      <c r="G324" s="4" t="s">
        <v>25</v>
      </c>
      <c r="H324" s="4" t="s">
        <v>25</v>
      </c>
      <c r="I324" s="5">
        <v>44501</v>
      </c>
      <c r="J324" s="6">
        <v>0</v>
      </c>
      <c r="K324" s="6">
        <v>0</v>
      </c>
      <c r="L324" s="6">
        <v>4.3499999999999996</v>
      </c>
      <c r="M324" s="6">
        <v>4.3499999999999996</v>
      </c>
      <c r="N324" s="6">
        <v>4.3499999999999996</v>
      </c>
      <c r="O324" s="6">
        <v>4.3499999999999996</v>
      </c>
      <c r="P324" s="6">
        <v>13</v>
      </c>
      <c r="Q324" s="4" t="s">
        <v>26</v>
      </c>
      <c r="R324" s="4">
        <v>0</v>
      </c>
      <c r="S324" s="6">
        <v>0</v>
      </c>
      <c r="T324" s="6">
        <v>22</v>
      </c>
      <c r="U324" s="6">
        <v>57</v>
      </c>
      <c r="V324" s="6">
        <f>IF(ISERROR(VLOOKUP($S$324,'TAR FIN'!$A$1:$O$85,15,0)),0,VLOOKUP($S$324,'TAR FIN'!$A$1:$O$85,15,0))</f>
        <v>0</v>
      </c>
      <c r="W324" s="6">
        <f>IF(ISERROR(VLOOKUP($T$324,'TAR FIN'!$A$1:$O$85,15,0)),0,VLOOKUP($T$324,'TAR FIN'!$A$1:$O$85,15,0))</f>
        <v>293.17</v>
      </c>
      <c r="X324" s="6">
        <f>IF(ISERROR(VLOOKUP($U$324,'TAR FIN'!$A$1:$O$85,15,0)),0,VLOOKUP($U$324,'TAR FIN'!$A$1:$O$85,15,0))</f>
        <v>212.83</v>
      </c>
      <c r="Y324" s="6"/>
      <c r="Z324" s="6">
        <f ca="1">('TUSD BE'!$AM$33+'TUSD BF'!$AM$33+'TUSD CVA'!$AM$33)*(1-CUSTOS!$M$38)</f>
        <v>353.56542979146212</v>
      </c>
      <c r="AA324" s="6">
        <f>('TE BE'!$AB$24+'TE BF'!$AB$24+'TE CVA'!$AB$24)*(1-CUSTOS!$M$38)</f>
        <v>213.89756676420583</v>
      </c>
      <c r="AB324" s="6">
        <f>$K$324*$V$324</f>
        <v>0</v>
      </c>
      <c r="AC324" s="6">
        <f>$M$324*$W$324</f>
        <v>1275.2894999999999</v>
      </c>
      <c r="AD324" s="6">
        <f>$O$324*$X$324</f>
        <v>925.81049999999993</v>
      </c>
      <c r="AE324" s="6">
        <f>$K$324*$Y$324</f>
        <v>0</v>
      </c>
      <c r="AF324" s="6">
        <f ca="1">$M$324*$Z$324</f>
        <v>1538.0096195928602</v>
      </c>
      <c r="AG324" s="6">
        <f>$O$324*$AA$324</f>
        <v>930.45441542429535</v>
      </c>
    </row>
    <row r="325" spans="1:33" ht="11.25" customHeight="1" x14ac:dyDescent="0.25">
      <c r="A325" s="4" t="s">
        <v>21</v>
      </c>
      <c r="B325" s="4" t="s">
        <v>39</v>
      </c>
      <c r="C325" s="4" t="s">
        <v>23</v>
      </c>
      <c r="D325" s="4" t="s">
        <v>40</v>
      </c>
      <c r="E325" s="4" t="s">
        <v>25</v>
      </c>
      <c r="F325" s="4" t="s">
        <v>25</v>
      </c>
      <c r="G325" s="4" t="s">
        <v>25</v>
      </c>
      <c r="H325" s="4" t="s">
        <v>25</v>
      </c>
      <c r="I325" s="5">
        <v>44531</v>
      </c>
      <c r="J325" s="6">
        <v>0</v>
      </c>
      <c r="K325" s="6">
        <v>0</v>
      </c>
      <c r="L325" s="6">
        <v>4.3620000000000001</v>
      </c>
      <c r="M325" s="6">
        <v>4.3620000000000001</v>
      </c>
      <c r="N325" s="6">
        <v>4.3620000000000001</v>
      </c>
      <c r="O325" s="6">
        <v>4.3620000000000001</v>
      </c>
      <c r="P325" s="6">
        <v>13</v>
      </c>
      <c r="Q325" s="4" t="s">
        <v>26</v>
      </c>
      <c r="R325" s="4">
        <v>0</v>
      </c>
      <c r="S325" s="6">
        <v>0</v>
      </c>
      <c r="T325" s="6">
        <v>22</v>
      </c>
      <c r="U325" s="6">
        <v>57</v>
      </c>
      <c r="V325" s="6">
        <f>IF(ISERROR(VLOOKUP($S$325,'TAR FIN'!$A$1:$O$85,15,0)),0,VLOOKUP($S$325,'TAR FIN'!$A$1:$O$85,15,0))</f>
        <v>0</v>
      </c>
      <c r="W325" s="6">
        <f>IF(ISERROR(VLOOKUP($T$325,'TAR FIN'!$A$1:$O$85,15,0)),0,VLOOKUP($T$325,'TAR FIN'!$A$1:$O$85,15,0))</f>
        <v>293.17</v>
      </c>
      <c r="X325" s="6">
        <f>IF(ISERROR(VLOOKUP($U$325,'TAR FIN'!$A$1:$O$85,15,0)),0,VLOOKUP($U$325,'TAR FIN'!$A$1:$O$85,15,0))</f>
        <v>212.83</v>
      </c>
      <c r="Y325" s="6"/>
      <c r="Z325" s="6">
        <f ca="1">('TUSD BE'!$AM$33+'TUSD BF'!$AM$33+'TUSD CVA'!$AM$33)*(1-CUSTOS!$M$38)</f>
        <v>353.56542979146212</v>
      </c>
      <c r="AA325" s="6">
        <f>('TE BE'!$AB$24+'TE BF'!$AB$24+'TE CVA'!$AB$24)*(1-CUSTOS!$M$38)</f>
        <v>213.89756676420583</v>
      </c>
      <c r="AB325" s="6">
        <f>$K$325*$V$325</f>
        <v>0</v>
      </c>
      <c r="AC325" s="6">
        <f>$M$325*$W$325</f>
        <v>1278.80754</v>
      </c>
      <c r="AD325" s="6">
        <f>$O$325*$X$325</f>
        <v>928.36446000000012</v>
      </c>
      <c r="AE325" s="6">
        <f>$K$325*$Y$325</f>
        <v>0</v>
      </c>
      <c r="AF325" s="6">
        <f ca="1">$M$325*$Z$325</f>
        <v>1542.2524047503578</v>
      </c>
      <c r="AG325" s="6">
        <f>$O$325*$AA$325</f>
        <v>933.02118622546584</v>
      </c>
    </row>
    <row r="326" spans="1:33" ht="11.25" customHeight="1" x14ac:dyDescent="0.25">
      <c r="A326" s="4" t="s">
        <v>21</v>
      </c>
      <c r="B326" s="4" t="s">
        <v>39</v>
      </c>
      <c r="C326" s="4" t="s">
        <v>23</v>
      </c>
      <c r="D326" s="4" t="s">
        <v>40</v>
      </c>
      <c r="E326" s="4" t="s">
        <v>25</v>
      </c>
      <c r="F326" s="4" t="s">
        <v>25</v>
      </c>
      <c r="G326" s="4" t="s">
        <v>25</v>
      </c>
      <c r="H326" s="4" t="s">
        <v>25</v>
      </c>
      <c r="I326" s="5">
        <v>44562</v>
      </c>
      <c r="J326" s="6">
        <v>0</v>
      </c>
      <c r="K326" s="6">
        <v>0</v>
      </c>
      <c r="L326" s="6">
        <v>2.8919999999999999</v>
      </c>
      <c r="M326" s="6">
        <v>2.8919999999999999</v>
      </c>
      <c r="N326" s="6">
        <v>2.8919999999999999</v>
      </c>
      <c r="O326" s="6">
        <v>2.8919999999999999</v>
      </c>
      <c r="P326" s="6">
        <v>11</v>
      </c>
      <c r="Q326" s="4" t="s">
        <v>26</v>
      </c>
      <c r="R326" s="4">
        <v>0</v>
      </c>
      <c r="S326" s="6">
        <v>0</v>
      </c>
      <c r="T326" s="6">
        <v>22</v>
      </c>
      <c r="U326" s="6">
        <v>57</v>
      </c>
      <c r="V326" s="6">
        <f>IF(ISERROR(VLOOKUP($S$326,'TAR FIN'!$A$1:$O$85,15,0)),0,VLOOKUP($S$326,'TAR FIN'!$A$1:$O$85,15,0))</f>
        <v>0</v>
      </c>
      <c r="W326" s="6">
        <f>IF(ISERROR(VLOOKUP($T$326,'TAR FIN'!$A$1:$O$85,15,0)),0,VLOOKUP($T$326,'TAR FIN'!$A$1:$O$85,15,0))</f>
        <v>293.17</v>
      </c>
      <c r="X326" s="6">
        <f>IF(ISERROR(VLOOKUP($U$326,'TAR FIN'!$A$1:$O$85,15,0)),0,VLOOKUP($U$326,'TAR FIN'!$A$1:$O$85,15,0))</f>
        <v>212.83</v>
      </c>
      <c r="Y326" s="6"/>
      <c r="Z326" s="6">
        <f ca="1">('TUSD BE'!$AM$33+'TUSD BF'!$AM$33+'TUSD CVA'!$AM$33)*(1-CUSTOS!$M$38)</f>
        <v>353.56542979146212</v>
      </c>
      <c r="AA326" s="6">
        <f>('TE BE'!$AB$24+'TE BF'!$AB$24+'TE CVA'!$AB$24)*(1-CUSTOS!$M$38)</f>
        <v>213.89756676420583</v>
      </c>
      <c r="AB326" s="6">
        <f>$K$326*$V$326</f>
        <v>0</v>
      </c>
      <c r="AC326" s="6">
        <f>$M$326*$W$326</f>
        <v>847.84764000000007</v>
      </c>
      <c r="AD326" s="6">
        <f>$O$326*$X$326</f>
        <v>615.50436000000002</v>
      </c>
      <c r="AE326" s="6">
        <f>$K$326*$Y$326</f>
        <v>0</v>
      </c>
      <c r="AF326" s="6">
        <f ca="1">$M$326*$Z$326</f>
        <v>1022.5112229569085</v>
      </c>
      <c r="AG326" s="6">
        <f>$O$326*$AA$326</f>
        <v>618.59176308208328</v>
      </c>
    </row>
    <row r="327" spans="1:33" ht="11.25" customHeight="1" x14ac:dyDescent="0.25">
      <c r="A327" s="4" t="s">
        <v>27</v>
      </c>
      <c r="B327" s="4" t="s">
        <v>39</v>
      </c>
      <c r="C327" s="4" t="s">
        <v>23</v>
      </c>
      <c r="D327" s="4" t="s">
        <v>40</v>
      </c>
      <c r="E327" s="4" t="s">
        <v>25</v>
      </c>
      <c r="F327" s="4" t="s">
        <v>25</v>
      </c>
      <c r="G327" s="4" t="s">
        <v>25</v>
      </c>
      <c r="H327" s="4" t="s">
        <v>25</v>
      </c>
      <c r="I327" s="5">
        <v>44562</v>
      </c>
      <c r="J327" s="6">
        <v>0</v>
      </c>
      <c r="K327" s="6">
        <v>0</v>
      </c>
      <c r="L327" s="6">
        <v>0.36299999999999999</v>
      </c>
      <c r="M327" s="6">
        <v>0.36299999999999999</v>
      </c>
      <c r="N327" s="6">
        <v>0.36299999999999999</v>
      </c>
      <c r="O327" s="6">
        <v>0.36299999999999999</v>
      </c>
      <c r="P327" s="6">
        <v>1</v>
      </c>
      <c r="Q327" s="4" t="s">
        <v>26</v>
      </c>
      <c r="R327" s="4">
        <v>0</v>
      </c>
      <c r="S327" s="6">
        <v>0</v>
      </c>
      <c r="T327" s="6">
        <v>22</v>
      </c>
      <c r="U327" s="6">
        <v>57</v>
      </c>
      <c r="V327" s="6">
        <f>IF(ISERROR(VLOOKUP($S$327,'TAR FIN'!$A$1:$O$85,15,0)),0,VLOOKUP($S$327,'TAR FIN'!$A$1:$O$85,15,0))</f>
        <v>0</v>
      </c>
      <c r="W327" s="6">
        <f>IF(ISERROR(VLOOKUP($T$327,'TAR FIN'!$A$1:$O$85,15,0)),0,VLOOKUP($T$327,'TAR FIN'!$A$1:$O$85,15,0))</f>
        <v>293.17</v>
      </c>
      <c r="X327" s="6">
        <f>IF(ISERROR(VLOOKUP($U$327,'TAR FIN'!$A$1:$O$85,15,0)),0,VLOOKUP($U$327,'TAR FIN'!$A$1:$O$85,15,0))</f>
        <v>212.83</v>
      </c>
      <c r="Y327" s="6"/>
      <c r="Z327" s="6">
        <f ca="1">('TUSD BE'!$AM$33+'TUSD BF'!$AM$33+'TUSD CVA'!$AM$33)*(1-CUSTOS!$M$38)</f>
        <v>353.56542979146212</v>
      </c>
      <c r="AA327" s="6">
        <f>('TE BE'!$AB$24+'TE BF'!$AB$24+'TE CVA'!$AB$24)*(1-CUSTOS!$M$38)</f>
        <v>213.89756676420583</v>
      </c>
      <c r="AB327" s="6">
        <f>$K$327*$V$327</f>
        <v>0</v>
      </c>
      <c r="AC327" s="6">
        <f>$M$327*$W$327</f>
        <v>106.42071</v>
      </c>
      <c r="AD327" s="6">
        <f>$O$327*$X$327</f>
        <v>77.257289999999998</v>
      </c>
      <c r="AE327" s="6">
        <f>$K$327*$Y$327</f>
        <v>0</v>
      </c>
      <c r="AF327" s="6">
        <f ca="1">$M$327*$Z$327</f>
        <v>128.34425101430074</v>
      </c>
      <c r="AG327" s="6">
        <f>$O$327*$AA$327</f>
        <v>77.644816735406721</v>
      </c>
    </row>
    <row r="328" spans="1:33" ht="11.25" customHeight="1" x14ac:dyDescent="0.25">
      <c r="A328" s="4" t="s">
        <v>21</v>
      </c>
      <c r="B328" s="4" t="s">
        <v>39</v>
      </c>
      <c r="C328" s="4" t="s">
        <v>23</v>
      </c>
      <c r="D328" s="4" t="s">
        <v>40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44593</v>
      </c>
      <c r="J328" s="6">
        <v>0</v>
      </c>
      <c r="K328" s="6">
        <v>0</v>
      </c>
      <c r="L328" s="6">
        <v>3.7050000000000001</v>
      </c>
      <c r="M328" s="6">
        <v>3.7050000000000001</v>
      </c>
      <c r="N328" s="6">
        <v>3.7050000000000001</v>
      </c>
      <c r="O328" s="6">
        <v>3.7050000000000001</v>
      </c>
      <c r="P328" s="6">
        <v>12</v>
      </c>
      <c r="Q328" s="4" t="s">
        <v>26</v>
      </c>
      <c r="R328" s="4">
        <v>0</v>
      </c>
      <c r="S328" s="6">
        <v>0</v>
      </c>
      <c r="T328" s="6">
        <v>22</v>
      </c>
      <c r="U328" s="6">
        <v>57</v>
      </c>
      <c r="V328" s="6">
        <f>IF(ISERROR(VLOOKUP($S$328,'TAR FIN'!$A$1:$O$85,15,0)),0,VLOOKUP($S$328,'TAR FIN'!$A$1:$O$85,15,0))</f>
        <v>0</v>
      </c>
      <c r="W328" s="6">
        <f>IF(ISERROR(VLOOKUP($T$328,'TAR FIN'!$A$1:$O$85,15,0)),0,VLOOKUP($T$328,'TAR FIN'!$A$1:$O$85,15,0))</f>
        <v>293.17</v>
      </c>
      <c r="X328" s="6">
        <f>IF(ISERROR(VLOOKUP($U$328,'TAR FIN'!$A$1:$O$85,15,0)),0,VLOOKUP($U$328,'TAR FIN'!$A$1:$O$85,15,0))</f>
        <v>212.83</v>
      </c>
      <c r="Y328" s="6"/>
      <c r="Z328" s="6">
        <f ca="1">('TUSD BE'!$AM$33+'TUSD BF'!$AM$33+'TUSD CVA'!$AM$33)*(1-CUSTOS!$M$38)</f>
        <v>353.56542979146212</v>
      </c>
      <c r="AA328" s="6">
        <f>('TE BE'!$AB$24+'TE BF'!$AB$24+'TE CVA'!$AB$24)*(1-CUSTOS!$M$38)</f>
        <v>213.89756676420583</v>
      </c>
      <c r="AB328" s="6">
        <f>$K$328*$V$328</f>
        <v>0</v>
      </c>
      <c r="AC328" s="6">
        <f>$M$328*$W$328</f>
        <v>1086.1948500000001</v>
      </c>
      <c r="AD328" s="6">
        <f>$O$328*$X$328</f>
        <v>788.53515000000004</v>
      </c>
      <c r="AE328" s="6">
        <f>$K$328*$Y$328</f>
        <v>0</v>
      </c>
      <c r="AF328" s="6">
        <f ca="1">$M$328*$Z$328</f>
        <v>1309.9599173773672</v>
      </c>
      <c r="AG328" s="6">
        <f>$O$328*$AA$328</f>
        <v>792.49048486138258</v>
      </c>
    </row>
    <row r="329" spans="1:33" ht="11.25" customHeight="1" x14ac:dyDescent="0.25">
      <c r="A329" s="4" t="s">
        <v>27</v>
      </c>
      <c r="B329" s="4" t="s">
        <v>39</v>
      </c>
      <c r="C329" s="4" t="s">
        <v>23</v>
      </c>
      <c r="D329" s="4" t="s">
        <v>40</v>
      </c>
      <c r="E329" s="4" t="s">
        <v>25</v>
      </c>
      <c r="F329" s="4" t="s">
        <v>25</v>
      </c>
      <c r="G329" s="4" t="s">
        <v>25</v>
      </c>
      <c r="H329" s="4" t="s">
        <v>25</v>
      </c>
      <c r="I329" s="5">
        <v>44593</v>
      </c>
      <c r="J329" s="6">
        <v>0</v>
      </c>
      <c r="K329" s="6">
        <v>0</v>
      </c>
      <c r="L329" s="6">
        <v>0.1</v>
      </c>
      <c r="M329" s="6">
        <v>0.1</v>
      </c>
      <c r="N329" s="6">
        <v>0.1</v>
      </c>
      <c r="O329" s="6">
        <v>0.1</v>
      </c>
      <c r="P329" s="6">
        <v>1</v>
      </c>
      <c r="Q329" s="4" t="s">
        <v>26</v>
      </c>
      <c r="R329" s="4">
        <v>0</v>
      </c>
      <c r="S329" s="6">
        <v>0</v>
      </c>
      <c r="T329" s="6">
        <v>22</v>
      </c>
      <c r="U329" s="6">
        <v>57</v>
      </c>
      <c r="V329" s="6">
        <f>IF(ISERROR(VLOOKUP($S$329,'TAR FIN'!$A$1:$O$85,15,0)),0,VLOOKUP($S$329,'TAR FIN'!$A$1:$O$85,15,0))</f>
        <v>0</v>
      </c>
      <c r="W329" s="6">
        <f>IF(ISERROR(VLOOKUP($T$329,'TAR FIN'!$A$1:$O$85,15,0)),0,VLOOKUP($T$329,'TAR FIN'!$A$1:$O$85,15,0))</f>
        <v>293.17</v>
      </c>
      <c r="X329" s="6">
        <f>IF(ISERROR(VLOOKUP($U$329,'TAR FIN'!$A$1:$O$85,15,0)),0,VLOOKUP($U$329,'TAR FIN'!$A$1:$O$85,15,0))</f>
        <v>212.83</v>
      </c>
      <c r="Y329" s="6"/>
      <c r="Z329" s="6">
        <f ca="1">('TUSD BE'!$AM$33+'TUSD BF'!$AM$33+'TUSD CVA'!$AM$33)*(1-CUSTOS!$M$38)</f>
        <v>353.56542979146212</v>
      </c>
      <c r="AA329" s="6">
        <f>('TE BE'!$AB$24+'TE BF'!$AB$24+'TE CVA'!$AB$24)*(1-CUSTOS!$M$38)</f>
        <v>213.89756676420583</v>
      </c>
      <c r="AB329" s="6">
        <f>$K$329*$V$329</f>
        <v>0</v>
      </c>
      <c r="AC329" s="6">
        <f>$M$329*$W$329</f>
        <v>29.317000000000004</v>
      </c>
      <c r="AD329" s="6">
        <f>$O$329*$X$329</f>
        <v>21.283000000000001</v>
      </c>
      <c r="AE329" s="6">
        <f>$K$329*$Y$329</f>
        <v>0</v>
      </c>
      <c r="AF329" s="6">
        <f ca="1">$M$329*$Z$329</f>
        <v>35.356542979146212</v>
      </c>
      <c r="AG329" s="6">
        <f>$O$329*$AA$329</f>
        <v>21.389756676420586</v>
      </c>
    </row>
    <row r="330" spans="1:33" ht="11.25" customHeight="1" x14ac:dyDescent="0.25">
      <c r="A330" s="4" t="s">
        <v>21</v>
      </c>
      <c r="B330" s="4" t="s">
        <v>39</v>
      </c>
      <c r="C330" s="4" t="s">
        <v>23</v>
      </c>
      <c r="D330" s="4" t="s">
        <v>40</v>
      </c>
      <c r="E330" s="4" t="s">
        <v>25</v>
      </c>
      <c r="F330" s="4" t="s">
        <v>25</v>
      </c>
      <c r="G330" s="4" t="s">
        <v>25</v>
      </c>
      <c r="H330" s="4" t="s">
        <v>25</v>
      </c>
      <c r="I330" s="5">
        <v>44621</v>
      </c>
      <c r="J330" s="6">
        <v>0</v>
      </c>
      <c r="K330" s="6">
        <v>0</v>
      </c>
      <c r="L330" s="6">
        <v>3.218</v>
      </c>
      <c r="M330" s="6">
        <v>3.218</v>
      </c>
      <c r="N330" s="6">
        <v>3.218</v>
      </c>
      <c r="O330" s="6">
        <v>3.218</v>
      </c>
      <c r="P330" s="6">
        <v>12</v>
      </c>
      <c r="Q330" s="4" t="s">
        <v>26</v>
      </c>
      <c r="R330" s="4">
        <v>0</v>
      </c>
      <c r="S330" s="6">
        <v>0</v>
      </c>
      <c r="T330" s="6">
        <v>22</v>
      </c>
      <c r="U330" s="6">
        <v>57</v>
      </c>
      <c r="V330" s="6">
        <f>IF(ISERROR(VLOOKUP($S$330,'TAR FIN'!$A$1:$O$85,15,0)),0,VLOOKUP($S$330,'TAR FIN'!$A$1:$O$85,15,0))</f>
        <v>0</v>
      </c>
      <c r="W330" s="6">
        <f>IF(ISERROR(VLOOKUP($T$330,'TAR FIN'!$A$1:$O$85,15,0)),0,VLOOKUP($T$330,'TAR FIN'!$A$1:$O$85,15,0))</f>
        <v>293.17</v>
      </c>
      <c r="X330" s="6">
        <f>IF(ISERROR(VLOOKUP($U$330,'TAR FIN'!$A$1:$O$85,15,0)),0,VLOOKUP($U$330,'TAR FIN'!$A$1:$O$85,15,0))</f>
        <v>212.83</v>
      </c>
      <c r="Y330" s="6"/>
      <c r="Z330" s="6">
        <f ca="1">('TUSD BE'!$AM$33+'TUSD BF'!$AM$33+'TUSD CVA'!$AM$33)*(1-CUSTOS!$M$38)</f>
        <v>353.56542979146212</v>
      </c>
      <c r="AA330" s="6">
        <f>('TE BE'!$AB$24+'TE BF'!$AB$24+'TE CVA'!$AB$24)*(1-CUSTOS!$M$38)</f>
        <v>213.89756676420583</v>
      </c>
      <c r="AB330" s="6">
        <f>$K$330*$V$330</f>
        <v>0</v>
      </c>
      <c r="AC330" s="6">
        <f>$M$330*$W$330</f>
        <v>943.42106000000001</v>
      </c>
      <c r="AD330" s="6">
        <f>$O$330*$X$330</f>
        <v>684.88693999999998</v>
      </c>
      <c r="AE330" s="6">
        <f>$K$330*$Y$330</f>
        <v>0</v>
      </c>
      <c r="AF330" s="6">
        <f ca="1">$M$330*$Z$330</f>
        <v>1137.7735530689251</v>
      </c>
      <c r="AG330" s="6">
        <f>$O$330*$AA$330</f>
        <v>688.32236984721442</v>
      </c>
    </row>
    <row r="331" spans="1:33" ht="11.25" customHeight="1" x14ac:dyDescent="0.25">
      <c r="A331" s="4" t="s">
        <v>27</v>
      </c>
      <c r="B331" s="4" t="s">
        <v>39</v>
      </c>
      <c r="C331" s="4" t="s">
        <v>23</v>
      </c>
      <c r="D331" s="4" t="s">
        <v>40</v>
      </c>
      <c r="E331" s="4" t="s">
        <v>25</v>
      </c>
      <c r="F331" s="4" t="s">
        <v>25</v>
      </c>
      <c r="G331" s="4" t="s">
        <v>25</v>
      </c>
      <c r="H331" s="4" t="s">
        <v>25</v>
      </c>
      <c r="I331" s="5">
        <v>44621</v>
      </c>
      <c r="J331" s="6">
        <v>0</v>
      </c>
      <c r="K331" s="6">
        <v>0</v>
      </c>
      <c r="L331" s="6">
        <v>0.1</v>
      </c>
      <c r="M331" s="6">
        <v>0.1</v>
      </c>
      <c r="N331" s="6">
        <v>0.1</v>
      </c>
      <c r="O331" s="6">
        <v>0.1</v>
      </c>
      <c r="P331" s="6">
        <v>1</v>
      </c>
      <c r="Q331" s="4" t="s">
        <v>26</v>
      </c>
      <c r="R331" s="4">
        <v>0</v>
      </c>
      <c r="S331" s="6">
        <v>0</v>
      </c>
      <c r="T331" s="6">
        <v>22</v>
      </c>
      <c r="U331" s="6">
        <v>57</v>
      </c>
      <c r="V331" s="6">
        <f>IF(ISERROR(VLOOKUP($S$331,'TAR FIN'!$A$1:$O$85,15,0)),0,VLOOKUP($S$331,'TAR FIN'!$A$1:$O$85,15,0))</f>
        <v>0</v>
      </c>
      <c r="W331" s="6">
        <f>IF(ISERROR(VLOOKUP($T$331,'TAR FIN'!$A$1:$O$85,15,0)),0,VLOOKUP($T$331,'TAR FIN'!$A$1:$O$85,15,0))</f>
        <v>293.17</v>
      </c>
      <c r="X331" s="6">
        <f>IF(ISERROR(VLOOKUP($U$331,'TAR FIN'!$A$1:$O$85,15,0)),0,VLOOKUP($U$331,'TAR FIN'!$A$1:$O$85,15,0))</f>
        <v>212.83</v>
      </c>
      <c r="Y331" s="6"/>
      <c r="Z331" s="6">
        <f ca="1">('TUSD BE'!$AM$33+'TUSD BF'!$AM$33+'TUSD CVA'!$AM$33)*(1-CUSTOS!$M$38)</f>
        <v>353.56542979146212</v>
      </c>
      <c r="AA331" s="6">
        <f>('TE BE'!$AB$24+'TE BF'!$AB$24+'TE CVA'!$AB$24)*(1-CUSTOS!$M$38)</f>
        <v>213.89756676420583</v>
      </c>
      <c r="AB331" s="6">
        <f>$K$331*$V$331</f>
        <v>0</v>
      </c>
      <c r="AC331" s="6">
        <f>$M$331*$W$331</f>
        <v>29.317000000000004</v>
      </c>
      <c r="AD331" s="6">
        <f>$O$331*$X$331</f>
        <v>21.283000000000001</v>
      </c>
      <c r="AE331" s="6">
        <f>$K$331*$Y$331</f>
        <v>0</v>
      </c>
      <c r="AF331" s="6">
        <f ca="1">$M$331*$Z$331</f>
        <v>35.356542979146212</v>
      </c>
      <c r="AG331" s="6">
        <f>$O$331*$AA$331</f>
        <v>21.389756676420586</v>
      </c>
    </row>
    <row r="332" spans="1:33" ht="11.25" customHeight="1" x14ac:dyDescent="0.25">
      <c r="A332" s="4" t="s">
        <v>21</v>
      </c>
      <c r="B332" s="4" t="s">
        <v>39</v>
      </c>
      <c r="C332" s="4" t="s">
        <v>23</v>
      </c>
      <c r="D332" s="4" t="s">
        <v>40</v>
      </c>
      <c r="E332" s="4" t="s">
        <v>25</v>
      </c>
      <c r="F332" s="4" t="s">
        <v>25</v>
      </c>
      <c r="G332" s="4" t="s">
        <v>25</v>
      </c>
      <c r="H332" s="4" t="s">
        <v>25</v>
      </c>
      <c r="I332" s="5">
        <v>44652</v>
      </c>
      <c r="J332" s="6">
        <v>0</v>
      </c>
      <c r="K332" s="6">
        <v>0</v>
      </c>
      <c r="L332" s="6">
        <v>3.097</v>
      </c>
      <c r="M332" s="6">
        <v>3.097</v>
      </c>
      <c r="N332" s="6">
        <v>3.097</v>
      </c>
      <c r="O332" s="6">
        <v>3.097</v>
      </c>
      <c r="P332" s="6">
        <v>12</v>
      </c>
      <c r="Q332" s="4" t="s">
        <v>26</v>
      </c>
      <c r="R332" s="4">
        <v>0</v>
      </c>
      <c r="S332" s="6">
        <v>0</v>
      </c>
      <c r="T332" s="6">
        <v>22</v>
      </c>
      <c r="U332" s="6">
        <v>57</v>
      </c>
      <c r="V332" s="6">
        <f>IF(ISERROR(VLOOKUP($S$332,'TAR FIN'!$A$1:$O$85,15,0)),0,VLOOKUP($S$332,'TAR FIN'!$A$1:$O$85,15,0))</f>
        <v>0</v>
      </c>
      <c r="W332" s="6">
        <f>IF(ISERROR(VLOOKUP($T$332,'TAR FIN'!$A$1:$O$85,15,0)),0,VLOOKUP($T$332,'TAR FIN'!$A$1:$O$85,15,0))</f>
        <v>293.17</v>
      </c>
      <c r="X332" s="6">
        <f>IF(ISERROR(VLOOKUP($U$332,'TAR FIN'!$A$1:$O$85,15,0)),0,VLOOKUP($U$332,'TAR FIN'!$A$1:$O$85,15,0))</f>
        <v>212.83</v>
      </c>
      <c r="Y332" s="6"/>
      <c r="Z332" s="6">
        <f ca="1">('TUSD BE'!$AM$33+'TUSD BF'!$AM$33+'TUSD CVA'!$AM$33)*(1-CUSTOS!$M$38)</f>
        <v>353.56542979146212</v>
      </c>
      <c r="AA332" s="6">
        <f>('TE BE'!$AB$24+'TE BF'!$AB$24+'TE CVA'!$AB$24)*(1-CUSTOS!$M$38)</f>
        <v>213.89756676420583</v>
      </c>
      <c r="AB332" s="6">
        <f>$K$332*$V$332</f>
        <v>0</v>
      </c>
      <c r="AC332" s="6">
        <f>$M$332*$W$332</f>
        <v>907.94749000000002</v>
      </c>
      <c r="AD332" s="6">
        <f>$O$332*$X$332</f>
        <v>659.13450999999998</v>
      </c>
      <c r="AE332" s="6">
        <f>$K$332*$Y$332</f>
        <v>0</v>
      </c>
      <c r="AF332" s="6">
        <f ca="1">$M$332*$Z$332</f>
        <v>1094.9921360641581</v>
      </c>
      <c r="AG332" s="6">
        <f>$O$332*$AA$332</f>
        <v>662.44076426874551</v>
      </c>
    </row>
    <row r="333" spans="1:33" ht="11.25" customHeight="1" x14ac:dyDescent="0.25">
      <c r="A333" s="4" t="s">
        <v>27</v>
      </c>
      <c r="B333" s="4" t="s">
        <v>39</v>
      </c>
      <c r="C333" s="4" t="s">
        <v>23</v>
      </c>
      <c r="D333" s="4" t="s">
        <v>40</v>
      </c>
      <c r="E333" s="4" t="s">
        <v>25</v>
      </c>
      <c r="F333" s="4" t="s">
        <v>25</v>
      </c>
      <c r="G333" s="4" t="s">
        <v>25</v>
      </c>
      <c r="H333" s="4" t="s">
        <v>25</v>
      </c>
      <c r="I333" s="5">
        <v>44652</v>
      </c>
      <c r="J333" s="6">
        <v>0</v>
      </c>
      <c r="K333" s="6">
        <v>0</v>
      </c>
      <c r="L333" s="6">
        <v>0.1</v>
      </c>
      <c r="M333" s="6">
        <v>0.1</v>
      </c>
      <c r="N333" s="6">
        <v>0.1</v>
      </c>
      <c r="O333" s="6">
        <v>0.1</v>
      </c>
      <c r="P333" s="6">
        <v>1</v>
      </c>
      <c r="Q333" s="4" t="s">
        <v>26</v>
      </c>
      <c r="R333" s="4">
        <v>0</v>
      </c>
      <c r="S333" s="6">
        <v>0</v>
      </c>
      <c r="T333" s="6">
        <v>22</v>
      </c>
      <c r="U333" s="6">
        <v>57</v>
      </c>
      <c r="V333" s="6">
        <f>IF(ISERROR(VLOOKUP($S$333,'TAR FIN'!$A$1:$O$85,15,0)),0,VLOOKUP($S$333,'TAR FIN'!$A$1:$O$85,15,0))</f>
        <v>0</v>
      </c>
      <c r="W333" s="6">
        <f>IF(ISERROR(VLOOKUP($T$333,'TAR FIN'!$A$1:$O$85,15,0)),0,VLOOKUP($T$333,'TAR FIN'!$A$1:$O$85,15,0))</f>
        <v>293.17</v>
      </c>
      <c r="X333" s="6">
        <f>IF(ISERROR(VLOOKUP($U$333,'TAR FIN'!$A$1:$O$85,15,0)),0,VLOOKUP($U$333,'TAR FIN'!$A$1:$O$85,15,0))</f>
        <v>212.83</v>
      </c>
      <c r="Y333" s="6"/>
      <c r="Z333" s="6">
        <f ca="1">('TUSD BE'!$AM$33+'TUSD BF'!$AM$33+'TUSD CVA'!$AM$33)*(1-CUSTOS!$M$38)</f>
        <v>353.56542979146212</v>
      </c>
      <c r="AA333" s="6">
        <f>('TE BE'!$AB$24+'TE BF'!$AB$24+'TE CVA'!$AB$24)*(1-CUSTOS!$M$38)</f>
        <v>213.89756676420583</v>
      </c>
      <c r="AB333" s="6">
        <f>$K$333*$V$333</f>
        <v>0</v>
      </c>
      <c r="AC333" s="6">
        <f>$M$333*$W$333</f>
        <v>29.317000000000004</v>
      </c>
      <c r="AD333" s="6">
        <f>$O$333*$X$333</f>
        <v>21.283000000000001</v>
      </c>
      <c r="AE333" s="6">
        <f>$K$333*$Y$333</f>
        <v>0</v>
      </c>
      <c r="AF333" s="6">
        <f ca="1">$M$333*$Z$333</f>
        <v>35.356542979146212</v>
      </c>
      <c r="AG333" s="6">
        <f>$O$333*$AA$333</f>
        <v>21.389756676420586</v>
      </c>
    </row>
    <row r="334" spans="1:33" ht="11.25" customHeight="1" x14ac:dyDescent="0.25">
      <c r="A334" s="4" t="s">
        <v>21</v>
      </c>
      <c r="B334" s="4" t="s">
        <v>39</v>
      </c>
      <c r="C334" s="4" t="s">
        <v>23</v>
      </c>
      <c r="D334" s="4" t="s">
        <v>40</v>
      </c>
      <c r="E334" s="4" t="s">
        <v>25</v>
      </c>
      <c r="F334" s="4" t="s">
        <v>25</v>
      </c>
      <c r="G334" s="4" t="s">
        <v>25</v>
      </c>
      <c r="H334" s="4" t="s">
        <v>25</v>
      </c>
      <c r="I334" s="5">
        <v>44682</v>
      </c>
      <c r="J334" s="6">
        <v>0</v>
      </c>
      <c r="K334" s="6">
        <v>0</v>
      </c>
      <c r="L334" s="6">
        <v>3.1269999999999998</v>
      </c>
      <c r="M334" s="6">
        <v>3.1269999999999998</v>
      </c>
      <c r="N334" s="6">
        <v>3.1269999999999998</v>
      </c>
      <c r="O334" s="6">
        <v>3.1269999999999998</v>
      </c>
      <c r="P334" s="6">
        <v>12</v>
      </c>
      <c r="Q334" s="4" t="s">
        <v>26</v>
      </c>
      <c r="R334" s="4">
        <v>0</v>
      </c>
      <c r="S334" s="6">
        <v>0</v>
      </c>
      <c r="T334" s="6">
        <v>22</v>
      </c>
      <c r="U334" s="6">
        <v>57</v>
      </c>
      <c r="V334" s="6">
        <f>IF(ISERROR(VLOOKUP($S$334,'TAR FIN'!$A$1:$O$85,15,0)),0,VLOOKUP($S$334,'TAR FIN'!$A$1:$O$85,15,0))</f>
        <v>0</v>
      </c>
      <c r="W334" s="6">
        <f>IF(ISERROR(VLOOKUP($T$334,'TAR FIN'!$A$1:$O$85,15,0)),0,VLOOKUP($T$334,'TAR FIN'!$A$1:$O$85,15,0))</f>
        <v>293.17</v>
      </c>
      <c r="X334" s="6">
        <f>IF(ISERROR(VLOOKUP($U$334,'TAR FIN'!$A$1:$O$85,15,0)),0,VLOOKUP($U$334,'TAR FIN'!$A$1:$O$85,15,0))</f>
        <v>212.83</v>
      </c>
      <c r="Y334" s="6"/>
      <c r="Z334" s="6">
        <f ca="1">('TUSD BE'!$AM$33+'TUSD BF'!$AM$33+'TUSD CVA'!$AM$33)*(1-CUSTOS!$M$38)</f>
        <v>353.56542979146212</v>
      </c>
      <c r="AA334" s="6">
        <f>('TE BE'!$AB$24+'TE BF'!$AB$24+'TE CVA'!$AB$24)*(1-CUSTOS!$M$38)</f>
        <v>213.89756676420583</v>
      </c>
      <c r="AB334" s="6">
        <f>$K$334*$V$334</f>
        <v>0</v>
      </c>
      <c r="AC334" s="6">
        <f>$M$334*$W$334</f>
        <v>916.74258999999995</v>
      </c>
      <c r="AD334" s="6">
        <f>$O$334*$X$334</f>
        <v>665.51940999999999</v>
      </c>
      <c r="AE334" s="6">
        <f>$K$334*$Y$334</f>
        <v>0</v>
      </c>
      <c r="AF334" s="6">
        <f ca="1">$M$334*$Z$334</f>
        <v>1105.599098957902</v>
      </c>
      <c r="AG334" s="6">
        <f>$O$334*$AA$334</f>
        <v>668.85769127167157</v>
      </c>
    </row>
    <row r="335" spans="1:33" ht="11.25" customHeight="1" x14ac:dyDescent="0.25">
      <c r="A335" s="4" t="s">
        <v>27</v>
      </c>
      <c r="B335" s="4" t="s">
        <v>39</v>
      </c>
      <c r="C335" s="4" t="s">
        <v>23</v>
      </c>
      <c r="D335" s="4" t="s">
        <v>40</v>
      </c>
      <c r="E335" s="4" t="s">
        <v>25</v>
      </c>
      <c r="F335" s="4" t="s">
        <v>25</v>
      </c>
      <c r="G335" s="4" t="s">
        <v>25</v>
      </c>
      <c r="H335" s="4" t="s">
        <v>25</v>
      </c>
      <c r="I335" s="5">
        <v>44682</v>
      </c>
      <c r="J335" s="6">
        <v>0</v>
      </c>
      <c r="K335" s="6">
        <v>0</v>
      </c>
      <c r="L335" s="6">
        <v>0.1</v>
      </c>
      <c r="M335" s="6">
        <v>0.1</v>
      </c>
      <c r="N335" s="6">
        <v>0.1</v>
      </c>
      <c r="O335" s="6">
        <v>0.1</v>
      </c>
      <c r="P335" s="6">
        <v>1</v>
      </c>
      <c r="Q335" s="4" t="s">
        <v>26</v>
      </c>
      <c r="R335" s="4">
        <v>0</v>
      </c>
      <c r="S335" s="6">
        <v>0</v>
      </c>
      <c r="T335" s="6">
        <v>22</v>
      </c>
      <c r="U335" s="6">
        <v>57</v>
      </c>
      <c r="V335" s="6">
        <f>IF(ISERROR(VLOOKUP($S$335,'TAR FIN'!$A$1:$O$85,15,0)),0,VLOOKUP($S$335,'TAR FIN'!$A$1:$O$85,15,0))</f>
        <v>0</v>
      </c>
      <c r="W335" s="6">
        <f>IF(ISERROR(VLOOKUP($T$335,'TAR FIN'!$A$1:$O$85,15,0)),0,VLOOKUP($T$335,'TAR FIN'!$A$1:$O$85,15,0))</f>
        <v>293.17</v>
      </c>
      <c r="X335" s="6">
        <f>IF(ISERROR(VLOOKUP($U$335,'TAR FIN'!$A$1:$O$85,15,0)),0,VLOOKUP($U$335,'TAR FIN'!$A$1:$O$85,15,0))</f>
        <v>212.83</v>
      </c>
      <c r="Y335" s="6"/>
      <c r="Z335" s="6">
        <f ca="1">('TUSD BE'!$AM$33+'TUSD BF'!$AM$33+'TUSD CVA'!$AM$33)*(1-CUSTOS!$M$38)</f>
        <v>353.56542979146212</v>
      </c>
      <c r="AA335" s="6">
        <f>('TE BE'!$AB$24+'TE BF'!$AB$24+'TE CVA'!$AB$24)*(1-CUSTOS!$M$38)</f>
        <v>213.89756676420583</v>
      </c>
      <c r="AB335" s="6">
        <f>$K$335*$V$335</f>
        <v>0</v>
      </c>
      <c r="AC335" s="6">
        <f>$M$335*$W$335</f>
        <v>29.317000000000004</v>
      </c>
      <c r="AD335" s="6">
        <f>$O$335*$X$335</f>
        <v>21.283000000000001</v>
      </c>
      <c r="AE335" s="6">
        <f>$K$335*$Y$335</f>
        <v>0</v>
      </c>
      <c r="AF335" s="6">
        <f ca="1">$M$335*$Z$335</f>
        <v>35.356542979146212</v>
      </c>
      <c r="AG335" s="6">
        <f>$O$335*$AA$335</f>
        <v>21.389756676420586</v>
      </c>
    </row>
    <row r="336" spans="1:33" ht="11.25" customHeight="1" x14ac:dyDescent="0.25">
      <c r="A336" s="4" t="s">
        <v>21</v>
      </c>
      <c r="B336" s="4" t="s">
        <v>39</v>
      </c>
      <c r="C336" s="4" t="s">
        <v>23</v>
      </c>
      <c r="D336" s="4" t="s">
        <v>40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44713</v>
      </c>
      <c r="J336" s="6">
        <v>0</v>
      </c>
      <c r="K336" s="6">
        <v>0</v>
      </c>
      <c r="L336" s="6">
        <v>3.5150000000000001</v>
      </c>
      <c r="M336" s="6">
        <v>3.5150000000000001</v>
      </c>
      <c r="N336" s="6">
        <v>3.5150000000000001</v>
      </c>
      <c r="O336" s="6">
        <v>3.5150000000000001</v>
      </c>
      <c r="P336" s="6">
        <v>12</v>
      </c>
      <c r="Q336" s="4" t="s">
        <v>26</v>
      </c>
      <c r="R336" s="4">
        <v>0</v>
      </c>
      <c r="S336" s="6">
        <v>0</v>
      </c>
      <c r="T336" s="6">
        <v>22</v>
      </c>
      <c r="U336" s="6">
        <v>57</v>
      </c>
      <c r="V336" s="6">
        <f>IF(ISERROR(VLOOKUP($S$336,'TAR FIN'!$A$1:$O$85,15,0)),0,VLOOKUP($S$336,'TAR FIN'!$A$1:$O$85,15,0))</f>
        <v>0</v>
      </c>
      <c r="W336" s="6">
        <f>IF(ISERROR(VLOOKUP($T$336,'TAR FIN'!$A$1:$O$85,15,0)),0,VLOOKUP($T$336,'TAR FIN'!$A$1:$O$85,15,0))</f>
        <v>293.17</v>
      </c>
      <c r="X336" s="6">
        <f>IF(ISERROR(VLOOKUP($U$336,'TAR FIN'!$A$1:$O$85,15,0)),0,VLOOKUP($U$336,'TAR FIN'!$A$1:$O$85,15,0))</f>
        <v>212.83</v>
      </c>
      <c r="Y336" s="6"/>
      <c r="Z336" s="6">
        <f ca="1">('TUSD BE'!$AM$33+'TUSD BF'!$AM$33+'TUSD CVA'!$AM$33)*(1-CUSTOS!$M$38)</f>
        <v>353.56542979146212</v>
      </c>
      <c r="AA336" s="6">
        <f>('TE BE'!$AB$24+'TE BF'!$AB$24+'TE CVA'!$AB$24)*(1-CUSTOS!$M$38)</f>
        <v>213.89756676420583</v>
      </c>
      <c r="AB336" s="6">
        <f>$K$336*$V$336</f>
        <v>0</v>
      </c>
      <c r="AC336" s="6">
        <f>$M$336*$W$336</f>
        <v>1030.4925500000002</v>
      </c>
      <c r="AD336" s="6">
        <f>$O$336*$X$336</f>
        <v>748.09745000000009</v>
      </c>
      <c r="AE336" s="6">
        <f>$K$336*$Y$336</f>
        <v>0</v>
      </c>
      <c r="AF336" s="6">
        <f ca="1">$M$336*$Z$336</f>
        <v>1242.7824857169894</v>
      </c>
      <c r="AG336" s="6">
        <f>$O$336*$AA$336</f>
        <v>751.84994717618349</v>
      </c>
    </row>
    <row r="337" spans="1:33" ht="11.25" customHeight="1" x14ac:dyDescent="0.25">
      <c r="A337" s="4" t="s">
        <v>27</v>
      </c>
      <c r="B337" s="4" t="s">
        <v>39</v>
      </c>
      <c r="C337" s="4" t="s">
        <v>23</v>
      </c>
      <c r="D337" s="4" t="s">
        <v>40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44713</v>
      </c>
      <c r="J337" s="6">
        <v>0</v>
      </c>
      <c r="K337" s="6">
        <v>0</v>
      </c>
      <c r="L337" s="6">
        <v>0.1</v>
      </c>
      <c r="M337" s="6">
        <v>0.1</v>
      </c>
      <c r="N337" s="6">
        <v>0.1</v>
      </c>
      <c r="O337" s="6">
        <v>0.1</v>
      </c>
      <c r="P337" s="6">
        <v>1</v>
      </c>
      <c r="Q337" s="4" t="s">
        <v>26</v>
      </c>
      <c r="R337" s="4">
        <v>0</v>
      </c>
      <c r="S337" s="6">
        <v>0</v>
      </c>
      <c r="T337" s="6">
        <v>22</v>
      </c>
      <c r="U337" s="6">
        <v>57</v>
      </c>
      <c r="V337" s="6">
        <f>IF(ISERROR(VLOOKUP($S$337,'TAR FIN'!$A$1:$O$85,15,0)),0,VLOOKUP($S$337,'TAR FIN'!$A$1:$O$85,15,0))</f>
        <v>0</v>
      </c>
      <c r="W337" s="6">
        <f>IF(ISERROR(VLOOKUP($T$337,'TAR FIN'!$A$1:$O$85,15,0)),0,VLOOKUP($T$337,'TAR FIN'!$A$1:$O$85,15,0))</f>
        <v>293.17</v>
      </c>
      <c r="X337" s="6">
        <f>IF(ISERROR(VLOOKUP($U$337,'TAR FIN'!$A$1:$O$85,15,0)),0,VLOOKUP($U$337,'TAR FIN'!$A$1:$O$85,15,0))</f>
        <v>212.83</v>
      </c>
      <c r="Y337" s="6"/>
      <c r="Z337" s="6">
        <f ca="1">('TUSD BE'!$AM$33+'TUSD BF'!$AM$33+'TUSD CVA'!$AM$33)*(1-CUSTOS!$M$38)</f>
        <v>353.56542979146212</v>
      </c>
      <c r="AA337" s="6">
        <f>('TE BE'!$AB$24+'TE BF'!$AB$24+'TE CVA'!$AB$24)*(1-CUSTOS!$M$38)</f>
        <v>213.89756676420583</v>
      </c>
      <c r="AB337" s="6">
        <f>$K$337*$V$337</f>
        <v>0</v>
      </c>
      <c r="AC337" s="6">
        <f>$M$337*$W$337</f>
        <v>29.317000000000004</v>
      </c>
      <c r="AD337" s="6">
        <f>$O$337*$X$337</f>
        <v>21.283000000000001</v>
      </c>
      <c r="AE337" s="6">
        <f>$K$337*$Y$337</f>
        <v>0</v>
      </c>
      <c r="AF337" s="6">
        <f ca="1">$M$337*$Z$337</f>
        <v>35.356542979146212</v>
      </c>
      <c r="AG337" s="6">
        <f>$O$337*$AA$337</f>
        <v>21.389756676420586</v>
      </c>
    </row>
    <row r="338" spans="1:33" ht="11.25" customHeight="1" x14ac:dyDescent="0.25">
      <c r="A338" s="4" t="s">
        <v>21</v>
      </c>
      <c r="B338" s="4" t="s">
        <v>32</v>
      </c>
      <c r="C338" s="4" t="s">
        <v>49</v>
      </c>
      <c r="D338" s="4" t="s">
        <v>41</v>
      </c>
      <c r="E338" s="4" t="s">
        <v>25</v>
      </c>
      <c r="F338" s="4" t="s">
        <v>25</v>
      </c>
      <c r="G338" s="4" t="s">
        <v>25</v>
      </c>
      <c r="H338" s="4" t="s">
        <v>37</v>
      </c>
      <c r="I338" s="5">
        <v>44621</v>
      </c>
      <c r="J338" s="6">
        <v>0</v>
      </c>
      <c r="K338" s="6">
        <v>0</v>
      </c>
      <c r="L338" s="6">
        <v>0.64600000000000002</v>
      </c>
      <c r="M338" s="6">
        <v>0.64600000000000002</v>
      </c>
      <c r="N338" s="6">
        <v>0.64600000000000002</v>
      </c>
      <c r="O338" s="6">
        <v>0.64600000000000002</v>
      </c>
      <c r="P338" s="6">
        <v>0</v>
      </c>
      <c r="Q338" s="4" t="s">
        <v>26</v>
      </c>
      <c r="R338" s="4">
        <v>0</v>
      </c>
      <c r="S338" s="6">
        <v>0</v>
      </c>
      <c r="T338" s="6">
        <v>44</v>
      </c>
      <c r="U338" s="6">
        <v>84</v>
      </c>
      <c r="V338" s="6">
        <f>IF(ISERROR(VLOOKUP($S$338,'TAR FIN'!$A$1:$O$85,15,0)),0,VLOOKUP($S$338,'TAR FIN'!$A$1:$O$85,15,0))</f>
        <v>0</v>
      </c>
      <c r="W338" s="6">
        <f>IF(ISERROR(VLOOKUP($T$338,'TAR FIN'!$A$1:$O$85,15,0)),0,VLOOKUP($T$338,'TAR FIN'!$A$1:$O$85,15,0))</f>
        <v>252.73</v>
      </c>
      <c r="X338" s="6">
        <f>IF(ISERROR(VLOOKUP($U$338,'TAR FIN'!$A$1:$O$85,15,0)),0,VLOOKUP($U$338,'TAR FIN'!$A$1:$O$85,15,0))</f>
        <v>229.87</v>
      </c>
      <c r="Y338" s="6"/>
      <c r="Z338" s="6">
        <f ca="1">('TUSD BE'!$AM$47+'TUSD BF'!$AM$47+'TUSD CVA'!$AM$47)*1</f>
        <v>276.83641112851222</v>
      </c>
      <c r="AA338" s="6">
        <f>('TE BE'!$AB$38+'TE BF'!$AB$38+'TE CVA'!$AB$38)*1</f>
        <v>216.60171770542672</v>
      </c>
      <c r="AB338" s="6">
        <f>$K$338*$V$338</f>
        <v>0</v>
      </c>
      <c r="AC338" s="6">
        <f>$M$338*$W$338</f>
        <v>163.26357999999999</v>
      </c>
      <c r="AD338" s="6">
        <f>$O$338*$X$338</f>
        <v>148.49602000000002</v>
      </c>
      <c r="AE338" s="6">
        <f>$K$338*$Y$338</f>
        <v>0</v>
      </c>
      <c r="AF338" s="6">
        <f ca="1">$M$338*$Z$338</f>
        <v>178.83632158901889</v>
      </c>
      <c r="AG338" s="6">
        <f>$O$338*$AA$338</f>
        <v>139.92470963770566</v>
      </c>
    </row>
    <row r="339" spans="1:33" ht="11.25" customHeight="1" x14ac:dyDescent="0.25">
      <c r="A339" s="4" t="s">
        <v>21</v>
      </c>
      <c r="B339" s="4" t="s">
        <v>32</v>
      </c>
      <c r="C339" s="4" t="s">
        <v>49</v>
      </c>
      <c r="D339" s="4" t="s">
        <v>41</v>
      </c>
      <c r="E339" s="4" t="s">
        <v>25</v>
      </c>
      <c r="F339" s="4" t="s">
        <v>25</v>
      </c>
      <c r="G339" s="4" t="s">
        <v>25</v>
      </c>
      <c r="H339" s="4" t="s">
        <v>37</v>
      </c>
      <c r="I339" s="5">
        <v>44652</v>
      </c>
      <c r="J339" s="6">
        <v>0</v>
      </c>
      <c r="K339" s="6">
        <v>0</v>
      </c>
      <c r="L339" s="6">
        <v>1.329</v>
      </c>
      <c r="M339" s="6">
        <v>1.329</v>
      </c>
      <c r="N339" s="6">
        <v>1.329</v>
      </c>
      <c r="O339" s="6">
        <v>1.329</v>
      </c>
      <c r="P339" s="6">
        <v>0</v>
      </c>
      <c r="Q339" s="4" t="s">
        <v>26</v>
      </c>
      <c r="R339" s="4">
        <v>0</v>
      </c>
      <c r="S339" s="6">
        <v>0</v>
      </c>
      <c r="T339" s="6">
        <v>44</v>
      </c>
      <c r="U339" s="6">
        <v>84</v>
      </c>
      <c r="V339" s="6">
        <f>IF(ISERROR(VLOOKUP($S$339,'TAR FIN'!$A$1:$O$85,15,0)),0,VLOOKUP($S$339,'TAR FIN'!$A$1:$O$85,15,0))</f>
        <v>0</v>
      </c>
      <c r="W339" s="6">
        <f>IF(ISERROR(VLOOKUP($T$339,'TAR FIN'!$A$1:$O$85,15,0)),0,VLOOKUP($T$339,'TAR FIN'!$A$1:$O$85,15,0))</f>
        <v>252.73</v>
      </c>
      <c r="X339" s="6">
        <f>IF(ISERROR(VLOOKUP($U$339,'TAR FIN'!$A$1:$O$85,15,0)),0,VLOOKUP($U$339,'TAR FIN'!$A$1:$O$85,15,0))</f>
        <v>229.87</v>
      </c>
      <c r="Y339" s="6"/>
      <c r="Z339" s="6">
        <f ca="1">('TUSD BE'!$AM$47+'TUSD BF'!$AM$47+'TUSD CVA'!$AM$47)*1</f>
        <v>276.83641112851222</v>
      </c>
      <c r="AA339" s="6">
        <f>('TE BE'!$AB$38+'TE BF'!$AB$38+'TE CVA'!$AB$38)*1</f>
        <v>216.60171770542672</v>
      </c>
      <c r="AB339" s="6">
        <f>$K$339*$V$339</f>
        <v>0</v>
      </c>
      <c r="AC339" s="6">
        <f>$M$339*$W$339</f>
        <v>335.87816999999995</v>
      </c>
      <c r="AD339" s="6">
        <f>$O$339*$X$339</f>
        <v>305.49723</v>
      </c>
      <c r="AE339" s="6">
        <f>$K$339*$Y$339</f>
        <v>0</v>
      </c>
      <c r="AF339" s="6">
        <f ca="1">$M$339*$Z$339</f>
        <v>367.91559038979273</v>
      </c>
      <c r="AG339" s="6">
        <f>$O$339*$AA$339</f>
        <v>287.86368283051212</v>
      </c>
    </row>
    <row r="340" spans="1:33" ht="11.25" customHeight="1" x14ac:dyDescent="0.25">
      <c r="A340" s="4" t="s">
        <v>21</v>
      </c>
      <c r="B340" s="4" t="s">
        <v>32</v>
      </c>
      <c r="C340" s="4" t="s">
        <v>49</v>
      </c>
      <c r="D340" s="4" t="s">
        <v>41</v>
      </c>
      <c r="E340" s="4" t="s">
        <v>25</v>
      </c>
      <c r="F340" s="4" t="s">
        <v>25</v>
      </c>
      <c r="G340" s="4" t="s">
        <v>25</v>
      </c>
      <c r="H340" s="4" t="s">
        <v>37</v>
      </c>
      <c r="I340" s="5">
        <v>44682</v>
      </c>
      <c r="J340" s="6">
        <v>0</v>
      </c>
      <c r="K340" s="6">
        <v>0</v>
      </c>
      <c r="L340" s="6">
        <v>0.85499999999999998</v>
      </c>
      <c r="M340" s="6">
        <v>0.85499999999999998</v>
      </c>
      <c r="N340" s="6">
        <v>0.85499999999999998</v>
      </c>
      <c r="O340" s="6">
        <v>0.85499999999999998</v>
      </c>
      <c r="P340" s="6">
        <v>0</v>
      </c>
      <c r="Q340" s="4" t="s">
        <v>26</v>
      </c>
      <c r="R340" s="4">
        <v>0</v>
      </c>
      <c r="S340" s="6">
        <v>0</v>
      </c>
      <c r="T340" s="6">
        <v>44</v>
      </c>
      <c r="U340" s="6">
        <v>84</v>
      </c>
      <c r="V340" s="6">
        <f>IF(ISERROR(VLOOKUP($S$340,'TAR FIN'!$A$1:$O$85,15,0)),0,VLOOKUP($S$340,'TAR FIN'!$A$1:$O$85,15,0))</f>
        <v>0</v>
      </c>
      <c r="W340" s="6">
        <f>IF(ISERROR(VLOOKUP($T$340,'TAR FIN'!$A$1:$O$85,15,0)),0,VLOOKUP($T$340,'TAR FIN'!$A$1:$O$85,15,0))</f>
        <v>252.73</v>
      </c>
      <c r="X340" s="6">
        <f>IF(ISERROR(VLOOKUP($U$340,'TAR FIN'!$A$1:$O$85,15,0)),0,VLOOKUP($U$340,'TAR FIN'!$A$1:$O$85,15,0))</f>
        <v>229.87</v>
      </c>
      <c r="Y340" s="6"/>
      <c r="Z340" s="6">
        <f ca="1">('TUSD BE'!$AM$47+'TUSD BF'!$AM$47+'TUSD CVA'!$AM$47)*1</f>
        <v>276.83641112851222</v>
      </c>
      <c r="AA340" s="6">
        <f>('TE BE'!$AB$38+'TE BF'!$AB$38+'TE CVA'!$AB$38)*1</f>
        <v>216.60171770542672</v>
      </c>
      <c r="AB340" s="6">
        <f>$K$340*$V$340</f>
        <v>0</v>
      </c>
      <c r="AC340" s="6">
        <f>$M$340*$W$340</f>
        <v>216.08414999999999</v>
      </c>
      <c r="AD340" s="6">
        <f>$O$340*$X$340</f>
        <v>196.53885</v>
      </c>
      <c r="AE340" s="6">
        <f>$K$340*$Y$340</f>
        <v>0</v>
      </c>
      <c r="AF340" s="6">
        <f ca="1">$M$340*$Z$340</f>
        <v>236.69513151487794</v>
      </c>
      <c r="AG340" s="6">
        <f>$O$340*$AA$340</f>
        <v>185.19446863813985</v>
      </c>
    </row>
    <row r="341" spans="1:33" ht="11.25" customHeight="1" x14ac:dyDescent="0.25">
      <c r="A341" s="4" t="s">
        <v>21</v>
      </c>
      <c r="B341" s="4" t="s">
        <v>32</v>
      </c>
      <c r="C341" s="4" t="s">
        <v>49</v>
      </c>
      <c r="D341" s="4" t="s">
        <v>41</v>
      </c>
      <c r="E341" s="4" t="s">
        <v>25</v>
      </c>
      <c r="F341" s="4" t="s">
        <v>25</v>
      </c>
      <c r="G341" s="4" t="s">
        <v>25</v>
      </c>
      <c r="H341" s="4" t="s">
        <v>37</v>
      </c>
      <c r="I341" s="5">
        <v>44713</v>
      </c>
      <c r="J341" s="6">
        <v>0</v>
      </c>
      <c r="K341" s="6">
        <v>0</v>
      </c>
      <c r="L341" s="6">
        <v>0.91200000000000003</v>
      </c>
      <c r="M341" s="6">
        <v>0.91200000000000003</v>
      </c>
      <c r="N341" s="6">
        <v>0.91200000000000003</v>
      </c>
      <c r="O341" s="6">
        <v>0.91200000000000003</v>
      </c>
      <c r="P341" s="6">
        <v>0</v>
      </c>
      <c r="Q341" s="4" t="s">
        <v>26</v>
      </c>
      <c r="R341" s="4">
        <v>0</v>
      </c>
      <c r="S341" s="6">
        <v>0</v>
      </c>
      <c r="T341" s="6">
        <v>44</v>
      </c>
      <c r="U341" s="6">
        <v>84</v>
      </c>
      <c r="V341" s="6">
        <f>IF(ISERROR(VLOOKUP($S$341,'TAR FIN'!$A$1:$O$85,15,0)),0,VLOOKUP($S$341,'TAR FIN'!$A$1:$O$85,15,0))</f>
        <v>0</v>
      </c>
      <c r="W341" s="6">
        <f>IF(ISERROR(VLOOKUP($T$341,'TAR FIN'!$A$1:$O$85,15,0)),0,VLOOKUP($T$341,'TAR FIN'!$A$1:$O$85,15,0))</f>
        <v>252.73</v>
      </c>
      <c r="X341" s="6">
        <f>IF(ISERROR(VLOOKUP($U$341,'TAR FIN'!$A$1:$O$85,15,0)),0,VLOOKUP($U$341,'TAR FIN'!$A$1:$O$85,15,0))</f>
        <v>229.87</v>
      </c>
      <c r="Y341" s="6"/>
      <c r="Z341" s="6">
        <f ca="1">('TUSD BE'!$AM$47+'TUSD BF'!$AM$47+'TUSD CVA'!$AM$47)*1</f>
        <v>276.83641112851222</v>
      </c>
      <c r="AA341" s="6">
        <f>('TE BE'!$AB$38+'TE BF'!$AB$38+'TE CVA'!$AB$38)*1</f>
        <v>216.60171770542672</v>
      </c>
      <c r="AB341" s="6">
        <f>$K$341*$V$341</f>
        <v>0</v>
      </c>
      <c r="AC341" s="6">
        <f>$M$341*$W$341</f>
        <v>230.48975999999999</v>
      </c>
      <c r="AD341" s="6">
        <f>$O$341*$X$341</f>
        <v>209.64144000000002</v>
      </c>
      <c r="AE341" s="6">
        <f>$K$341*$Y$341</f>
        <v>0</v>
      </c>
      <c r="AF341" s="6">
        <f ca="1">$M$341*$Z$341</f>
        <v>252.47480694920316</v>
      </c>
      <c r="AG341" s="6">
        <f>$O$341*$AA$341</f>
        <v>197.54076654734916</v>
      </c>
    </row>
    <row r="342" spans="1:33" ht="11.25" customHeight="1" x14ac:dyDescent="0.25">
      <c r="A342" s="4" t="s">
        <v>21</v>
      </c>
      <c r="B342" s="4" t="s">
        <v>32</v>
      </c>
      <c r="C342" s="4" t="s">
        <v>49</v>
      </c>
      <c r="D342" s="4" t="s">
        <v>41</v>
      </c>
      <c r="E342" s="4" t="s">
        <v>25</v>
      </c>
      <c r="F342" s="4" t="s">
        <v>25</v>
      </c>
      <c r="G342" s="4" t="s">
        <v>25</v>
      </c>
      <c r="H342" s="4" t="s">
        <v>50</v>
      </c>
      <c r="I342" s="5">
        <v>44621</v>
      </c>
      <c r="J342" s="6">
        <v>0</v>
      </c>
      <c r="K342" s="6">
        <v>0</v>
      </c>
      <c r="L342" s="6">
        <v>3.7999999999999999E-2</v>
      </c>
      <c r="M342" s="6">
        <v>3.7999999999999999E-2</v>
      </c>
      <c r="N342" s="6">
        <v>3.7999999999999999E-2</v>
      </c>
      <c r="O342" s="6">
        <v>3.7999999999999999E-2</v>
      </c>
      <c r="P342" s="6">
        <v>0</v>
      </c>
      <c r="Q342" s="4" t="s">
        <v>26</v>
      </c>
      <c r="R342" s="4">
        <v>0</v>
      </c>
      <c r="S342" s="6">
        <v>0</v>
      </c>
      <c r="T342" s="6">
        <v>54</v>
      </c>
      <c r="U342" s="6">
        <v>80</v>
      </c>
      <c r="V342" s="6">
        <f>IF(ISERROR(VLOOKUP($S$342,'TAR FIN'!$A$1:$O$85,15,0)),0,VLOOKUP($S$342,'TAR FIN'!$A$1:$O$85,15,0))</f>
        <v>0</v>
      </c>
      <c r="W342" s="6">
        <f>IF(ISERROR(VLOOKUP($T$342,'TAR FIN'!$A$1:$O$85,15,0)),0,VLOOKUP($T$342,'TAR FIN'!$A$1:$O$85,15,0))</f>
        <v>564.97</v>
      </c>
      <c r="X342" s="6">
        <f>IF(ISERROR(VLOOKUP($U$342,'TAR FIN'!$A$1:$O$85,15,0)),0,VLOOKUP($U$342,'TAR FIN'!$A$1:$O$85,15,0))</f>
        <v>229.87</v>
      </c>
      <c r="Y342" s="6"/>
      <c r="Z342" s="6">
        <f ca="1">('TUSD BE'!$AM$46+'TUSD BF'!$AM$46+'TUSD CVA'!$AM$46)*1</f>
        <v>551.08539382871152</v>
      </c>
      <c r="AA342" s="6">
        <f>('TE BE'!$AB$37+'TE BF'!$AB$37+'TE CVA'!$AB$37)*1</f>
        <v>216.60171770542672</v>
      </c>
      <c r="AB342" s="6">
        <f>$K$342*$V$342</f>
        <v>0</v>
      </c>
      <c r="AC342" s="6">
        <f>$M$342*$W$342</f>
        <v>21.468859999999999</v>
      </c>
      <c r="AD342" s="6">
        <f>$O$342*$X$342</f>
        <v>8.7350600000000007</v>
      </c>
      <c r="AE342" s="6">
        <f>$K$342*$Y$342</f>
        <v>0</v>
      </c>
      <c r="AF342" s="6">
        <f ca="1">$M$342*$Z$342</f>
        <v>20.941244965491038</v>
      </c>
      <c r="AG342" s="6">
        <f>$O$342*$AA$342</f>
        <v>8.2308652728062146</v>
      </c>
    </row>
    <row r="343" spans="1:33" ht="11.25" customHeight="1" x14ac:dyDescent="0.25">
      <c r="A343" s="4" t="s">
        <v>21</v>
      </c>
      <c r="B343" s="4" t="s">
        <v>32</v>
      </c>
      <c r="C343" s="4" t="s">
        <v>49</v>
      </c>
      <c r="D343" s="4" t="s">
        <v>41</v>
      </c>
      <c r="E343" s="4" t="s">
        <v>25</v>
      </c>
      <c r="F343" s="4" t="s">
        <v>25</v>
      </c>
      <c r="G343" s="4" t="s">
        <v>25</v>
      </c>
      <c r="H343" s="4" t="s">
        <v>50</v>
      </c>
      <c r="I343" s="5">
        <v>44652</v>
      </c>
      <c r="J343" s="6">
        <v>0</v>
      </c>
      <c r="K343" s="6">
        <v>0</v>
      </c>
      <c r="L343" s="6">
        <v>7.3999999999999996E-2</v>
      </c>
      <c r="M343" s="6">
        <v>7.3999999999999996E-2</v>
      </c>
      <c r="N343" s="6">
        <v>7.3999999999999996E-2</v>
      </c>
      <c r="O343" s="6">
        <v>7.3999999999999996E-2</v>
      </c>
      <c r="P343" s="6">
        <v>0</v>
      </c>
      <c r="Q343" s="4" t="s">
        <v>26</v>
      </c>
      <c r="R343" s="4">
        <v>0</v>
      </c>
      <c r="S343" s="6">
        <v>0</v>
      </c>
      <c r="T343" s="6">
        <v>54</v>
      </c>
      <c r="U343" s="6">
        <v>80</v>
      </c>
      <c r="V343" s="6">
        <f>IF(ISERROR(VLOOKUP($S$343,'TAR FIN'!$A$1:$O$85,15,0)),0,VLOOKUP($S$343,'TAR FIN'!$A$1:$O$85,15,0))</f>
        <v>0</v>
      </c>
      <c r="W343" s="6">
        <f>IF(ISERROR(VLOOKUP($T$343,'TAR FIN'!$A$1:$O$85,15,0)),0,VLOOKUP($T$343,'TAR FIN'!$A$1:$O$85,15,0))</f>
        <v>564.97</v>
      </c>
      <c r="X343" s="6">
        <f>IF(ISERROR(VLOOKUP($U$343,'TAR FIN'!$A$1:$O$85,15,0)),0,VLOOKUP($U$343,'TAR FIN'!$A$1:$O$85,15,0))</f>
        <v>229.87</v>
      </c>
      <c r="Y343" s="6"/>
      <c r="Z343" s="6">
        <f ca="1">('TUSD BE'!$AM$46+'TUSD BF'!$AM$46+'TUSD CVA'!$AM$46)*1</f>
        <v>551.08539382871152</v>
      </c>
      <c r="AA343" s="6">
        <f>('TE BE'!$AB$37+'TE BF'!$AB$37+'TE CVA'!$AB$37)*1</f>
        <v>216.60171770542672</v>
      </c>
      <c r="AB343" s="6">
        <f>$K$343*$V$343</f>
        <v>0</v>
      </c>
      <c r="AC343" s="6">
        <f>$M$343*$W$343</f>
        <v>41.807780000000001</v>
      </c>
      <c r="AD343" s="6">
        <f>$O$343*$X$343</f>
        <v>17.010379999999998</v>
      </c>
      <c r="AE343" s="6">
        <f>$K$343*$Y$343</f>
        <v>0</v>
      </c>
      <c r="AF343" s="6">
        <f ca="1">$M$343*$Z$343</f>
        <v>40.780319143324647</v>
      </c>
      <c r="AG343" s="6">
        <f>$O$343*$AA$343</f>
        <v>16.028527110201576</v>
      </c>
    </row>
    <row r="344" spans="1:33" ht="11.25" customHeight="1" x14ac:dyDescent="0.25">
      <c r="A344" s="4" t="s">
        <v>21</v>
      </c>
      <c r="B344" s="4" t="s">
        <v>32</v>
      </c>
      <c r="C344" s="4" t="s">
        <v>49</v>
      </c>
      <c r="D344" s="4" t="s">
        <v>41</v>
      </c>
      <c r="E344" s="4" t="s">
        <v>25</v>
      </c>
      <c r="F344" s="4" t="s">
        <v>25</v>
      </c>
      <c r="G344" s="4" t="s">
        <v>25</v>
      </c>
      <c r="H344" s="4" t="s">
        <v>50</v>
      </c>
      <c r="I344" s="5">
        <v>44682</v>
      </c>
      <c r="J344" s="6">
        <v>0</v>
      </c>
      <c r="K344" s="6">
        <v>0</v>
      </c>
      <c r="L344" s="6">
        <v>6.2E-2</v>
      </c>
      <c r="M344" s="6">
        <v>6.2E-2</v>
      </c>
      <c r="N344" s="6">
        <v>6.2E-2</v>
      </c>
      <c r="O344" s="6">
        <v>6.2E-2</v>
      </c>
      <c r="P344" s="6">
        <v>0</v>
      </c>
      <c r="Q344" s="4" t="s">
        <v>26</v>
      </c>
      <c r="R344" s="4">
        <v>0</v>
      </c>
      <c r="S344" s="6">
        <v>0</v>
      </c>
      <c r="T344" s="6">
        <v>54</v>
      </c>
      <c r="U344" s="6">
        <v>80</v>
      </c>
      <c r="V344" s="6">
        <f>IF(ISERROR(VLOOKUP($S$344,'TAR FIN'!$A$1:$O$85,15,0)),0,VLOOKUP($S$344,'TAR FIN'!$A$1:$O$85,15,0))</f>
        <v>0</v>
      </c>
      <c r="W344" s="6">
        <f>IF(ISERROR(VLOOKUP($T$344,'TAR FIN'!$A$1:$O$85,15,0)),0,VLOOKUP($T$344,'TAR FIN'!$A$1:$O$85,15,0))</f>
        <v>564.97</v>
      </c>
      <c r="X344" s="6">
        <f>IF(ISERROR(VLOOKUP($U$344,'TAR FIN'!$A$1:$O$85,15,0)),0,VLOOKUP($U$344,'TAR FIN'!$A$1:$O$85,15,0))</f>
        <v>229.87</v>
      </c>
      <c r="Y344" s="6"/>
      <c r="Z344" s="6">
        <f ca="1">('TUSD BE'!$AM$46+'TUSD BF'!$AM$46+'TUSD CVA'!$AM$46)*1</f>
        <v>551.08539382871152</v>
      </c>
      <c r="AA344" s="6">
        <f>('TE BE'!$AB$37+'TE BF'!$AB$37+'TE CVA'!$AB$37)*1</f>
        <v>216.60171770542672</v>
      </c>
      <c r="AB344" s="6">
        <f>$K$344*$V$344</f>
        <v>0</v>
      </c>
      <c r="AC344" s="6">
        <f>$M$344*$W$344</f>
        <v>35.02814</v>
      </c>
      <c r="AD344" s="6">
        <f>$O$344*$X$344</f>
        <v>14.251939999999999</v>
      </c>
      <c r="AE344" s="6">
        <f>$K$344*$Y$344</f>
        <v>0</v>
      </c>
      <c r="AF344" s="6">
        <f ca="1">$M$344*$Z$344</f>
        <v>34.167294417380113</v>
      </c>
      <c r="AG344" s="6">
        <f>$O$344*$AA$344</f>
        <v>13.429306497736457</v>
      </c>
    </row>
    <row r="345" spans="1:33" ht="11.25" customHeight="1" x14ac:dyDescent="0.25">
      <c r="A345" s="4" t="s">
        <v>21</v>
      </c>
      <c r="B345" s="4" t="s">
        <v>32</v>
      </c>
      <c r="C345" s="4" t="s">
        <v>49</v>
      </c>
      <c r="D345" s="4" t="s">
        <v>41</v>
      </c>
      <c r="E345" s="4" t="s">
        <v>25</v>
      </c>
      <c r="F345" s="4" t="s">
        <v>25</v>
      </c>
      <c r="G345" s="4" t="s">
        <v>25</v>
      </c>
      <c r="H345" s="4" t="s">
        <v>50</v>
      </c>
      <c r="I345" s="5">
        <v>44713</v>
      </c>
      <c r="J345" s="6">
        <v>0</v>
      </c>
      <c r="K345" s="6">
        <v>0</v>
      </c>
      <c r="L345" s="6">
        <v>6.6000000000000003E-2</v>
      </c>
      <c r="M345" s="6">
        <v>6.6000000000000003E-2</v>
      </c>
      <c r="N345" s="6">
        <v>6.6000000000000003E-2</v>
      </c>
      <c r="O345" s="6">
        <v>6.6000000000000003E-2</v>
      </c>
      <c r="P345" s="6">
        <v>0</v>
      </c>
      <c r="Q345" s="4" t="s">
        <v>26</v>
      </c>
      <c r="R345" s="4">
        <v>0</v>
      </c>
      <c r="S345" s="6">
        <v>0</v>
      </c>
      <c r="T345" s="6">
        <v>54</v>
      </c>
      <c r="U345" s="6">
        <v>80</v>
      </c>
      <c r="V345" s="6">
        <f>IF(ISERROR(VLOOKUP($S$345,'TAR FIN'!$A$1:$O$85,15,0)),0,VLOOKUP($S$345,'TAR FIN'!$A$1:$O$85,15,0))</f>
        <v>0</v>
      </c>
      <c r="W345" s="6">
        <f>IF(ISERROR(VLOOKUP($T$345,'TAR FIN'!$A$1:$O$85,15,0)),0,VLOOKUP($T$345,'TAR FIN'!$A$1:$O$85,15,0))</f>
        <v>564.97</v>
      </c>
      <c r="X345" s="6">
        <f>IF(ISERROR(VLOOKUP($U$345,'TAR FIN'!$A$1:$O$85,15,0)),0,VLOOKUP($U$345,'TAR FIN'!$A$1:$O$85,15,0))</f>
        <v>229.87</v>
      </c>
      <c r="Y345" s="6"/>
      <c r="Z345" s="6">
        <f ca="1">('TUSD BE'!$AM$46+'TUSD BF'!$AM$46+'TUSD CVA'!$AM$46)*1</f>
        <v>551.08539382871152</v>
      </c>
      <c r="AA345" s="6">
        <f>('TE BE'!$AB$37+'TE BF'!$AB$37+'TE CVA'!$AB$37)*1</f>
        <v>216.60171770542672</v>
      </c>
      <c r="AB345" s="6">
        <f>$K$345*$V$345</f>
        <v>0</v>
      </c>
      <c r="AC345" s="6">
        <f>$M$345*$W$345</f>
        <v>37.288020000000003</v>
      </c>
      <c r="AD345" s="6">
        <f>$O$345*$X$345</f>
        <v>15.171420000000001</v>
      </c>
      <c r="AE345" s="6">
        <f>$K$345*$Y$345</f>
        <v>0</v>
      </c>
      <c r="AF345" s="6">
        <f ca="1">$M$345*$Z$345</f>
        <v>36.371635992694962</v>
      </c>
      <c r="AG345" s="6">
        <f>$O$345*$AA$345</f>
        <v>14.295713368558165</v>
      </c>
    </row>
    <row r="346" spans="1:33" ht="11.25" customHeight="1" x14ac:dyDescent="0.25">
      <c r="A346" s="4" t="s">
        <v>21</v>
      </c>
      <c r="B346" s="4" t="s">
        <v>32</v>
      </c>
      <c r="C346" s="4" t="s">
        <v>49</v>
      </c>
      <c r="D346" s="4" t="s">
        <v>41</v>
      </c>
      <c r="E346" s="4" t="s">
        <v>25</v>
      </c>
      <c r="F346" s="4" t="s">
        <v>25</v>
      </c>
      <c r="G346" s="4" t="s">
        <v>25</v>
      </c>
      <c r="H346" s="4" t="s">
        <v>36</v>
      </c>
      <c r="I346" s="5">
        <v>44621</v>
      </c>
      <c r="J346" s="6">
        <v>0</v>
      </c>
      <c r="K346" s="6">
        <v>0</v>
      </c>
      <c r="L346" s="6">
        <v>2.8000000000000001E-2</v>
      </c>
      <c r="M346" s="6">
        <v>2.8000000000000001E-2</v>
      </c>
      <c r="N346" s="6">
        <v>2.8000000000000001E-2</v>
      </c>
      <c r="O346" s="6">
        <v>2.8000000000000001E-2</v>
      </c>
      <c r="P346" s="6">
        <v>0</v>
      </c>
      <c r="Q346" s="4" t="s">
        <v>26</v>
      </c>
      <c r="R346" s="4">
        <v>0</v>
      </c>
      <c r="S346" s="6">
        <v>0</v>
      </c>
      <c r="T346" s="6">
        <v>56</v>
      </c>
      <c r="U346" s="6">
        <v>61</v>
      </c>
      <c r="V346" s="6">
        <f>IF(ISERROR(VLOOKUP($S$346,'TAR FIN'!$A$1:$O$85,15,0)),0,VLOOKUP($S$346,'TAR FIN'!$A$1:$O$85,15,0))</f>
        <v>0</v>
      </c>
      <c r="W346" s="6">
        <f>IF(ISERROR(VLOOKUP($T$346,'TAR FIN'!$A$1:$O$85,15,0)),0,VLOOKUP($T$346,'TAR FIN'!$A$1:$O$85,15,0))</f>
        <v>877.21</v>
      </c>
      <c r="X346" s="6">
        <f>IF(ISERROR(VLOOKUP($U$346,'TAR FIN'!$A$1:$O$85,15,0)),0,VLOOKUP($U$346,'TAR FIN'!$A$1:$O$85,15,0))</f>
        <v>373.71</v>
      </c>
      <c r="Y346" s="6"/>
      <c r="Z346" s="6">
        <f ca="1">('TUSD BE'!$AM$45+'TUSD BF'!$AM$45+'TUSD CVA'!$AM$45)*1</f>
        <v>1236.7078812289385</v>
      </c>
      <c r="AA346" s="6">
        <f>('TE BE'!$AB$36+'TE BF'!$AB$36+'TE CVA'!$AB$36)*1</f>
        <v>347.98834052804079</v>
      </c>
      <c r="AB346" s="6">
        <f>$K$346*$V$346</f>
        <v>0</v>
      </c>
      <c r="AC346" s="6">
        <f>$M$346*$W$346</f>
        <v>24.561880000000002</v>
      </c>
      <c r="AD346" s="6">
        <f>$O$346*$X$346</f>
        <v>10.46388</v>
      </c>
      <c r="AE346" s="6">
        <f>$K$346*$Y$346</f>
        <v>0</v>
      </c>
      <c r="AF346" s="6">
        <f ca="1">$M$346*$Z$346</f>
        <v>34.62782067441028</v>
      </c>
      <c r="AG346" s="6">
        <f>$O$346*$AA$346</f>
        <v>9.7436735347851418</v>
      </c>
    </row>
    <row r="347" spans="1:33" ht="11.25" customHeight="1" x14ac:dyDescent="0.25">
      <c r="A347" s="4" t="s">
        <v>21</v>
      </c>
      <c r="B347" s="4" t="s">
        <v>32</v>
      </c>
      <c r="C347" s="4" t="s">
        <v>49</v>
      </c>
      <c r="D347" s="4" t="s">
        <v>41</v>
      </c>
      <c r="E347" s="4" t="s">
        <v>25</v>
      </c>
      <c r="F347" s="4" t="s">
        <v>25</v>
      </c>
      <c r="G347" s="4" t="s">
        <v>25</v>
      </c>
      <c r="H347" s="4" t="s">
        <v>36</v>
      </c>
      <c r="I347" s="5">
        <v>44652</v>
      </c>
      <c r="J347" s="6">
        <v>0</v>
      </c>
      <c r="K347" s="6">
        <v>0</v>
      </c>
      <c r="L347" s="6">
        <v>5.8999999999999997E-2</v>
      </c>
      <c r="M347" s="6">
        <v>5.8999999999999997E-2</v>
      </c>
      <c r="N347" s="6">
        <v>5.8999999999999997E-2</v>
      </c>
      <c r="O347" s="6">
        <v>5.8999999999999997E-2</v>
      </c>
      <c r="P347" s="6">
        <v>0</v>
      </c>
      <c r="Q347" s="4" t="s">
        <v>26</v>
      </c>
      <c r="R347" s="4">
        <v>0</v>
      </c>
      <c r="S347" s="6">
        <v>0</v>
      </c>
      <c r="T347" s="6">
        <v>56</v>
      </c>
      <c r="U347" s="6">
        <v>61</v>
      </c>
      <c r="V347" s="6">
        <f>IF(ISERROR(VLOOKUP($S$347,'TAR FIN'!$A$1:$O$85,15,0)),0,VLOOKUP($S$347,'TAR FIN'!$A$1:$O$85,15,0))</f>
        <v>0</v>
      </c>
      <c r="W347" s="6">
        <f>IF(ISERROR(VLOOKUP($T$347,'TAR FIN'!$A$1:$O$85,15,0)),0,VLOOKUP($T$347,'TAR FIN'!$A$1:$O$85,15,0))</f>
        <v>877.21</v>
      </c>
      <c r="X347" s="6">
        <f>IF(ISERROR(VLOOKUP($U$347,'TAR FIN'!$A$1:$O$85,15,0)),0,VLOOKUP($U$347,'TAR FIN'!$A$1:$O$85,15,0))</f>
        <v>373.71</v>
      </c>
      <c r="Y347" s="6"/>
      <c r="Z347" s="6">
        <f ca="1">('TUSD BE'!$AM$45+'TUSD BF'!$AM$45+'TUSD CVA'!$AM$45)*1</f>
        <v>1236.7078812289385</v>
      </c>
      <c r="AA347" s="6">
        <f>('TE BE'!$AB$36+'TE BF'!$AB$36+'TE CVA'!$AB$36)*1</f>
        <v>347.98834052804079</v>
      </c>
      <c r="AB347" s="6">
        <f>$K$347*$V$347</f>
        <v>0</v>
      </c>
      <c r="AC347" s="6">
        <f>$M$347*$W$347</f>
        <v>51.755389999999998</v>
      </c>
      <c r="AD347" s="6">
        <f>$O$347*$X$347</f>
        <v>22.048889999999997</v>
      </c>
      <c r="AE347" s="6">
        <f>$K$347*$Y$347</f>
        <v>0</v>
      </c>
      <c r="AF347" s="6">
        <f ca="1">$M$347*$Z$347</f>
        <v>72.965764992507374</v>
      </c>
      <c r="AG347" s="6">
        <f>$O$347*$AA$347</f>
        <v>20.531312091154405</v>
      </c>
    </row>
    <row r="348" spans="1:33" ht="11.25" customHeight="1" x14ac:dyDescent="0.25">
      <c r="A348" s="4" t="s">
        <v>21</v>
      </c>
      <c r="B348" s="4" t="s">
        <v>32</v>
      </c>
      <c r="C348" s="4" t="s">
        <v>49</v>
      </c>
      <c r="D348" s="4" t="s">
        <v>41</v>
      </c>
      <c r="E348" s="4" t="s">
        <v>25</v>
      </c>
      <c r="F348" s="4" t="s">
        <v>25</v>
      </c>
      <c r="G348" s="4" t="s">
        <v>25</v>
      </c>
      <c r="H348" s="4" t="s">
        <v>36</v>
      </c>
      <c r="I348" s="5">
        <v>44682</v>
      </c>
      <c r="J348" s="6">
        <v>0</v>
      </c>
      <c r="K348" s="6">
        <v>0</v>
      </c>
      <c r="L348" s="6">
        <v>6.2E-2</v>
      </c>
      <c r="M348" s="6">
        <v>6.2E-2</v>
      </c>
      <c r="N348" s="6">
        <v>6.2E-2</v>
      </c>
      <c r="O348" s="6">
        <v>6.2E-2</v>
      </c>
      <c r="P348" s="6">
        <v>0</v>
      </c>
      <c r="Q348" s="4" t="s">
        <v>26</v>
      </c>
      <c r="R348" s="4">
        <v>0</v>
      </c>
      <c r="S348" s="6">
        <v>0</v>
      </c>
      <c r="T348" s="6">
        <v>56</v>
      </c>
      <c r="U348" s="6">
        <v>61</v>
      </c>
      <c r="V348" s="6">
        <f>IF(ISERROR(VLOOKUP($S$348,'TAR FIN'!$A$1:$O$85,15,0)),0,VLOOKUP($S$348,'TAR FIN'!$A$1:$O$85,15,0))</f>
        <v>0</v>
      </c>
      <c r="W348" s="6">
        <f>IF(ISERROR(VLOOKUP($T$348,'TAR FIN'!$A$1:$O$85,15,0)),0,VLOOKUP($T$348,'TAR FIN'!$A$1:$O$85,15,0))</f>
        <v>877.21</v>
      </c>
      <c r="X348" s="6">
        <f>IF(ISERROR(VLOOKUP($U$348,'TAR FIN'!$A$1:$O$85,15,0)),0,VLOOKUP($U$348,'TAR FIN'!$A$1:$O$85,15,0))</f>
        <v>373.71</v>
      </c>
      <c r="Y348" s="6"/>
      <c r="Z348" s="6">
        <f ca="1">('TUSD BE'!$AM$45+'TUSD BF'!$AM$45+'TUSD CVA'!$AM$45)*1</f>
        <v>1236.7078812289385</v>
      </c>
      <c r="AA348" s="6">
        <f>('TE BE'!$AB$36+'TE BF'!$AB$36+'TE CVA'!$AB$36)*1</f>
        <v>347.98834052804079</v>
      </c>
      <c r="AB348" s="6">
        <f>$K$348*$V$348</f>
        <v>0</v>
      </c>
      <c r="AC348" s="6">
        <f>$M$348*$W$348</f>
        <v>54.38702</v>
      </c>
      <c r="AD348" s="6">
        <f>$O$348*$X$348</f>
        <v>23.170019999999997</v>
      </c>
      <c r="AE348" s="6">
        <f>$K$348*$Y$348</f>
        <v>0</v>
      </c>
      <c r="AF348" s="6">
        <f ca="1">$M$348*$Z$348</f>
        <v>76.675888636194188</v>
      </c>
      <c r="AG348" s="6">
        <f>$O$348*$AA$348</f>
        <v>21.575277112738529</v>
      </c>
    </row>
    <row r="349" spans="1:33" ht="11.25" customHeight="1" x14ac:dyDescent="0.25">
      <c r="A349" s="4" t="s">
        <v>21</v>
      </c>
      <c r="B349" s="4" t="s">
        <v>32</v>
      </c>
      <c r="C349" s="4" t="s">
        <v>49</v>
      </c>
      <c r="D349" s="4" t="s">
        <v>41</v>
      </c>
      <c r="E349" s="4" t="s">
        <v>25</v>
      </c>
      <c r="F349" s="4" t="s">
        <v>25</v>
      </c>
      <c r="G349" s="4" t="s">
        <v>25</v>
      </c>
      <c r="H349" s="4" t="s">
        <v>36</v>
      </c>
      <c r="I349" s="5">
        <v>44713</v>
      </c>
      <c r="J349" s="6">
        <v>0</v>
      </c>
      <c r="K349" s="6">
        <v>0</v>
      </c>
      <c r="L349" s="6">
        <v>6.7000000000000004E-2</v>
      </c>
      <c r="M349" s="6">
        <v>6.7000000000000004E-2</v>
      </c>
      <c r="N349" s="6">
        <v>6.7000000000000004E-2</v>
      </c>
      <c r="O349" s="6">
        <v>6.7000000000000004E-2</v>
      </c>
      <c r="P349" s="6">
        <v>0</v>
      </c>
      <c r="Q349" s="4" t="s">
        <v>26</v>
      </c>
      <c r="R349" s="4">
        <v>0</v>
      </c>
      <c r="S349" s="6">
        <v>0</v>
      </c>
      <c r="T349" s="6">
        <v>56</v>
      </c>
      <c r="U349" s="6">
        <v>61</v>
      </c>
      <c r="V349" s="6">
        <f>IF(ISERROR(VLOOKUP($S$349,'TAR FIN'!$A$1:$O$85,15,0)),0,VLOOKUP($S$349,'TAR FIN'!$A$1:$O$85,15,0))</f>
        <v>0</v>
      </c>
      <c r="W349" s="6">
        <f>IF(ISERROR(VLOOKUP($T$349,'TAR FIN'!$A$1:$O$85,15,0)),0,VLOOKUP($T$349,'TAR FIN'!$A$1:$O$85,15,0))</f>
        <v>877.21</v>
      </c>
      <c r="X349" s="6">
        <f>IF(ISERROR(VLOOKUP($U$349,'TAR FIN'!$A$1:$O$85,15,0)),0,VLOOKUP($U$349,'TAR FIN'!$A$1:$O$85,15,0))</f>
        <v>373.71</v>
      </c>
      <c r="Y349" s="6"/>
      <c r="Z349" s="6">
        <f ca="1">('TUSD BE'!$AM$45+'TUSD BF'!$AM$45+'TUSD CVA'!$AM$45)*1</f>
        <v>1236.7078812289385</v>
      </c>
      <c r="AA349" s="6">
        <f>('TE BE'!$AB$36+'TE BF'!$AB$36+'TE CVA'!$AB$36)*1</f>
        <v>347.98834052804079</v>
      </c>
      <c r="AB349" s="6">
        <f>$K$349*$V$349</f>
        <v>0</v>
      </c>
      <c r="AC349" s="6">
        <f>$M$349*$W$349</f>
        <v>58.773070000000004</v>
      </c>
      <c r="AD349" s="6">
        <f>$O$349*$X$349</f>
        <v>25.03857</v>
      </c>
      <c r="AE349" s="6">
        <f>$K$349*$Y$349</f>
        <v>0</v>
      </c>
      <c r="AF349" s="6">
        <f ca="1">$M$349*$Z$349</f>
        <v>82.859428042338891</v>
      </c>
      <c r="AG349" s="6">
        <f>$O$349*$AA$349</f>
        <v>23.315218815378735</v>
      </c>
    </row>
    <row r="350" spans="1:33" ht="11.25" customHeight="1" x14ac:dyDescent="0.25">
      <c r="A350" s="4" t="s">
        <v>21</v>
      </c>
      <c r="B350" s="4" t="s">
        <v>32</v>
      </c>
      <c r="C350" s="4" t="s">
        <v>23</v>
      </c>
      <c r="D350" s="4" t="s">
        <v>38</v>
      </c>
      <c r="E350" s="4" t="s">
        <v>25</v>
      </c>
      <c r="F350" s="4" t="s">
        <v>25</v>
      </c>
      <c r="G350" s="4" t="s">
        <v>25</v>
      </c>
      <c r="H350" s="4" t="s">
        <v>25</v>
      </c>
      <c r="I350" s="5">
        <v>44378</v>
      </c>
      <c r="J350" s="6">
        <v>0</v>
      </c>
      <c r="K350" s="6">
        <v>0</v>
      </c>
      <c r="L350" s="6">
        <v>670.90099999999995</v>
      </c>
      <c r="M350" s="6">
        <v>670.90099999999995</v>
      </c>
      <c r="N350" s="6">
        <v>670.90099999999995</v>
      </c>
      <c r="O350" s="6">
        <v>670.90099999999995</v>
      </c>
      <c r="P350" s="6">
        <v>1633</v>
      </c>
      <c r="Q350" s="4" t="s">
        <v>26</v>
      </c>
      <c r="R350" s="4">
        <v>0</v>
      </c>
      <c r="S350" s="6">
        <v>0</v>
      </c>
      <c r="T350" s="6">
        <v>46</v>
      </c>
      <c r="U350" s="6">
        <v>83</v>
      </c>
      <c r="V350" s="6">
        <f>IF(ISERROR(VLOOKUP($S$350,'TAR FIN'!$A$1:$O$85,15,0)),0,VLOOKUP($S$350,'TAR FIN'!$A$1:$O$85,15,0))</f>
        <v>0</v>
      </c>
      <c r="W350" s="6">
        <f>IF(ISERROR(VLOOKUP($T$350,'TAR FIN'!$A$1:$O$85,15,0)),0,VLOOKUP($T$350,'TAR FIN'!$A$1:$O$85,15,0))</f>
        <v>333.15</v>
      </c>
      <c r="X350" s="6">
        <f>IF(ISERROR(VLOOKUP($U$350,'TAR FIN'!$A$1:$O$85,15,0)),0,VLOOKUP($U$350,'TAR FIN'!$A$1:$O$85,15,0))</f>
        <v>241.85</v>
      </c>
      <c r="Y350" s="6"/>
      <c r="Z350" s="6">
        <f ca="1">('TUSD BE'!$AM$48+'TUSD BF'!$AM$48+'TUSD CVA'!$AM$48)*1</f>
        <v>376.13343594836397</v>
      </c>
      <c r="AA350" s="6">
        <f>('TE BE'!$AB$39+'TE BF'!$AB$39+'TE CVA'!$AB$39)*1</f>
        <v>227.55060294064452</v>
      </c>
      <c r="AB350" s="6">
        <f>$K$350*$V$350</f>
        <v>0</v>
      </c>
      <c r="AC350" s="6">
        <f>$M$350*$W$350</f>
        <v>223510.66814999998</v>
      </c>
      <c r="AD350" s="6">
        <f>$O$350*$X$350</f>
        <v>162257.40685</v>
      </c>
      <c r="AE350" s="6">
        <f>$K$350*$Y$350</f>
        <v>0</v>
      </c>
      <c r="AF350" s="6">
        <f ca="1">$M$350*$Z$350</f>
        <v>252348.29831119333</v>
      </c>
      <c r="AG350" s="6">
        <f>$O$350*$AA$350</f>
        <v>152663.92706348133</v>
      </c>
    </row>
    <row r="351" spans="1:33" ht="11.25" customHeight="1" x14ac:dyDescent="0.25">
      <c r="A351" s="4" t="s">
        <v>27</v>
      </c>
      <c r="B351" s="4" t="s">
        <v>32</v>
      </c>
      <c r="C351" s="4" t="s">
        <v>23</v>
      </c>
      <c r="D351" s="4" t="s">
        <v>38</v>
      </c>
      <c r="E351" s="4" t="s">
        <v>25</v>
      </c>
      <c r="F351" s="4" t="s">
        <v>25</v>
      </c>
      <c r="G351" s="4" t="s">
        <v>25</v>
      </c>
      <c r="H351" s="4" t="s">
        <v>25</v>
      </c>
      <c r="I351" s="5">
        <v>44378</v>
      </c>
      <c r="J351" s="6">
        <v>0</v>
      </c>
      <c r="K351" s="6">
        <v>0</v>
      </c>
      <c r="L351" s="6">
        <v>37.423000000000002</v>
      </c>
      <c r="M351" s="6">
        <v>37.423000000000002</v>
      </c>
      <c r="N351" s="6">
        <v>37.423000000000002</v>
      </c>
      <c r="O351" s="6">
        <v>37.423000000000002</v>
      </c>
      <c r="P351" s="6">
        <v>62</v>
      </c>
      <c r="Q351" s="4" t="s">
        <v>26</v>
      </c>
      <c r="R351" s="4">
        <v>0</v>
      </c>
      <c r="S351" s="6">
        <v>0</v>
      </c>
      <c r="T351" s="6">
        <v>46</v>
      </c>
      <c r="U351" s="6">
        <v>83</v>
      </c>
      <c r="V351" s="6">
        <f>IF(ISERROR(VLOOKUP($S$351,'TAR FIN'!$A$1:$O$85,15,0)),0,VLOOKUP($S$351,'TAR FIN'!$A$1:$O$85,15,0))</f>
        <v>0</v>
      </c>
      <c r="W351" s="6">
        <f>IF(ISERROR(VLOOKUP($T$351,'TAR FIN'!$A$1:$O$85,15,0)),0,VLOOKUP($T$351,'TAR FIN'!$A$1:$O$85,15,0))</f>
        <v>333.15</v>
      </c>
      <c r="X351" s="6">
        <f>IF(ISERROR(VLOOKUP($U$351,'TAR FIN'!$A$1:$O$85,15,0)),0,VLOOKUP($U$351,'TAR FIN'!$A$1:$O$85,15,0))</f>
        <v>241.85</v>
      </c>
      <c r="Y351" s="6"/>
      <c r="Z351" s="6">
        <f ca="1">('TUSD BE'!$AM$48+'TUSD BF'!$AM$48+'TUSD CVA'!$AM$48)*1</f>
        <v>376.13343594836397</v>
      </c>
      <c r="AA351" s="6">
        <f>('TE BE'!$AB$39+'TE BF'!$AB$39+'TE CVA'!$AB$39)*1</f>
        <v>227.55060294064452</v>
      </c>
      <c r="AB351" s="6">
        <f>$K$351*$V$351</f>
        <v>0</v>
      </c>
      <c r="AC351" s="6">
        <f>$M$351*$W$351</f>
        <v>12467.472449999999</v>
      </c>
      <c r="AD351" s="6">
        <f>$O$351*$X$351</f>
        <v>9050.7525500000011</v>
      </c>
      <c r="AE351" s="6">
        <f>$K$351*$Y$351</f>
        <v>0</v>
      </c>
      <c r="AF351" s="6">
        <f ca="1">$M$351*$Z$351</f>
        <v>14076.041573495626</v>
      </c>
      <c r="AG351" s="6">
        <f>$O$351*$AA$351</f>
        <v>8515.6262138477396</v>
      </c>
    </row>
    <row r="352" spans="1:33" ht="11.25" customHeight="1" x14ac:dyDescent="0.25">
      <c r="A352" s="4" t="s">
        <v>21</v>
      </c>
      <c r="B352" s="4" t="s">
        <v>32</v>
      </c>
      <c r="C352" s="4" t="s">
        <v>23</v>
      </c>
      <c r="D352" s="4" t="s">
        <v>38</v>
      </c>
      <c r="E352" s="4" t="s">
        <v>25</v>
      </c>
      <c r="F352" s="4" t="s">
        <v>25</v>
      </c>
      <c r="G352" s="4" t="s">
        <v>25</v>
      </c>
      <c r="H352" s="4" t="s">
        <v>25</v>
      </c>
      <c r="I352" s="5">
        <v>44409</v>
      </c>
      <c r="J352" s="6">
        <v>0</v>
      </c>
      <c r="K352" s="6">
        <v>0</v>
      </c>
      <c r="L352" s="6">
        <v>657.50400000000002</v>
      </c>
      <c r="M352" s="6">
        <v>657.50400000000002</v>
      </c>
      <c r="N352" s="6">
        <v>657.50400000000002</v>
      </c>
      <c r="O352" s="6">
        <v>657.50400000000002</v>
      </c>
      <c r="P352" s="6">
        <v>1636</v>
      </c>
      <c r="Q352" s="4" t="s">
        <v>26</v>
      </c>
      <c r="R352" s="4">
        <v>0</v>
      </c>
      <c r="S352" s="6">
        <v>0</v>
      </c>
      <c r="T352" s="6">
        <v>46</v>
      </c>
      <c r="U352" s="6">
        <v>83</v>
      </c>
      <c r="V352" s="6">
        <f>IF(ISERROR(VLOOKUP($S$352,'TAR FIN'!$A$1:$O$85,15,0)),0,VLOOKUP($S$352,'TAR FIN'!$A$1:$O$85,15,0))</f>
        <v>0</v>
      </c>
      <c r="W352" s="6">
        <f>IF(ISERROR(VLOOKUP($T$352,'TAR FIN'!$A$1:$O$85,15,0)),0,VLOOKUP($T$352,'TAR FIN'!$A$1:$O$85,15,0))</f>
        <v>333.15</v>
      </c>
      <c r="X352" s="6">
        <f>IF(ISERROR(VLOOKUP($U$352,'TAR FIN'!$A$1:$O$85,15,0)),0,VLOOKUP($U$352,'TAR FIN'!$A$1:$O$85,15,0))</f>
        <v>241.85</v>
      </c>
      <c r="Y352" s="6"/>
      <c r="Z352" s="6">
        <f ca="1">('TUSD BE'!$AM$48+'TUSD BF'!$AM$48+'TUSD CVA'!$AM$48)*1</f>
        <v>376.13343594836397</v>
      </c>
      <c r="AA352" s="6">
        <f>('TE BE'!$AB$39+'TE BF'!$AB$39+'TE CVA'!$AB$39)*1</f>
        <v>227.55060294064452</v>
      </c>
      <c r="AB352" s="6">
        <f>$K$352*$V$352</f>
        <v>0</v>
      </c>
      <c r="AC352" s="6">
        <f>$M$352*$W$352</f>
        <v>219047.45759999999</v>
      </c>
      <c r="AD352" s="6">
        <f>$O$352*$X$352</f>
        <v>159017.34239999999</v>
      </c>
      <c r="AE352" s="6">
        <f>$K$352*$Y$352</f>
        <v>0</v>
      </c>
      <c r="AF352" s="6">
        <f ca="1">$M$352*$Z$352</f>
        <v>247309.23866979312</v>
      </c>
      <c r="AG352" s="6">
        <f>$O$352*$AA$352</f>
        <v>149615.43163588553</v>
      </c>
    </row>
    <row r="353" spans="1:33" ht="11.25" customHeight="1" x14ac:dyDescent="0.25">
      <c r="A353" s="4" t="s">
        <v>27</v>
      </c>
      <c r="B353" s="4" t="s">
        <v>32</v>
      </c>
      <c r="C353" s="4" t="s">
        <v>23</v>
      </c>
      <c r="D353" s="4" t="s">
        <v>38</v>
      </c>
      <c r="E353" s="4" t="s">
        <v>25</v>
      </c>
      <c r="F353" s="4" t="s">
        <v>25</v>
      </c>
      <c r="G353" s="4" t="s">
        <v>25</v>
      </c>
      <c r="H353" s="4" t="s">
        <v>25</v>
      </c>
      <c r="I353" s="5">
        <v>44409</v>
      </c>
      <c r="J353" s="6">
        <v>0</v>
      </c>
      <c r="K353" s="6">
        <v>0</v>
      </c>
      <c r="L353" s="6">
        <v>35.430999999999997</v>
      </c>
      <c r="M353" s="6">
        <v>35.430999999999997</v>
      </c>
      <c r="N353" s="6">
        <v>35.430999999999997</v>
      </c>
      <c r="O353" s="6">
        <v>35.430999999999997</v>
      </c>
      <c r="P353" s="6">
        <v>65</v>
      </c>
      <c r="Q353" s="4" t="s">
        <v>26</v>
      </c>
      <c r="R353" s="4">
        <v>0</v>
      </c>
      <c r="S353" s="6">
        <v>0</v>
      </c>
      <c r="T353" s="6">
        <v>46</v>
      </c>
      <c r="U353" s="6">
        <v>83</v>
      </c>
      <c r="V353" s="6">
        <f>IF(ISERROR(VLOOKUP($S$353,'TAR FIN'!$A$1:$O$85,15,0)),0,VLOOKUP($S$353,'TAR FIN'!$A$1:$O$85,15,0))</f>
        <v>0</v>
      </c>
      <c r="W353" s="6">
        <f>IF(ISERROR(VLOOKUP($T$353,'TAR FIN'!$A$1:$O$85,15,0)),0,VLOOKUP($T$353,'TAR FIN'!$A$1:$O$85,15,0))</f>
        <v>333.15</v>
      </c>
      <c r="X353" s="6">
        <f>IF(ISERROR(VLOOKUP($U$353,'TAR FIN'!$A$1:$O$85,15,0)),0,VLOOKUP($U$353,'TAR FIN'!$A$1:$O$85,15,0))</f>
        <v>241.85</v>
      </c>
      <c r="Y353" s="6"/>
      <c r="Z353" s="6">
        <f ca="1">('TUSD BE'!$AM$48+'TUSD BF'!$AM$48+'TUSD CVA'!$AM$48)*1</f>
        <v>376.13343594836397</v>
      </c>
      <c r="AA353" s="6">
        <f>('TE BE'!$AB$39+'TE BF'!$AB$39+'TE CVA'!$AB$39)*1</f>
        <v>227.55060294064452</v>
      </c>
      <c r="AB353" s="6">
        <f>$K$353*$V$353</f>
        <v>0</v>
      </c>
      <c r="AC353" s="6">
        <f>$M$353*$W$353</f>
        <v>11803.837649999998</v>
      </c>
      <c r="AD353" s="6">
        <f>$O$353*$X$353</f>
        <v>8568.9873499999994</v>
      </c>
      <c r="AE353" s="6">
        <f>$K$353*$Y$353</f>
        <v>0</v>
      </c>
      <c r="AF353" s="6">
        <f ca="1">$M$353*$Z$353</f>
        <v>13326.783769086484</v>
      </c>
      <c r="AG353" s="6">
        <f>$O$353*$AA$353</f>
        <v>8062.3454127899759</v>
      </c>
    </row>
    <row r="354" spans="1:33" ht="11.25" customHeight="1" x14ac:dyDescent="0.25">
      <c r="A354" s="4" t="s">
        <v>21</v>
      </c>
      <c r="B354" s="4" t="s">
        <v>32</v>
      </c>
      <c r="C354" s="4" t="s">
        <v>23</v>
      </c>
      <c r="D354" s="4" t="s">
        <v>38</v>
      </c>
      <c r="E354" s="4" t="s">
        <v>25</v>
      </c>
      <c r="F354" s="4" t="s">
        <v>25</v>
      </c>
      <c r="G354" s="4" t="s">
        <v>25</v>
      </c>
      <c r="H354" s="4" t="s">
        <v>25</v>
      </c>
      <c r="I354" s="5">
        <v>44440</v>
      </c>
      <c r="J354" s="6">
        <v>0</v>
      </c>
      <c r="K354" s="6">
        <v>0</v>
      </c>
      <c r="L354" s="6">
        <v>613.86199999999997</v>
      </c>
      <c r="M354" s="6">
        <v>613.86199999999997</v>
      </c>
      <c r="N354" s="6">
        <v>613.86199999999997</v>
      </c>
      <c r="O354" s="6">
        <v>613.86199999999997</v>
      </c>
      <c r="P354" s="6">
        <v>1641</v>
      </c>
      <c r="Q354" s="4" t="s">
        <v>26</v>
      </c>
      <c r="R354" s="4">
        <v>0</v>
      </c>
      <c r="S354" s="6">
        <v>0</v>
      </c>
      <c r="T354" s="6">
        <v>46</v>
      </c>
      <c r="U354" s="6">
        <v>83</v>
      </c>
      <c r="V354" s="6">
        <f>IF(ISERROR(VLOOKUP($S$354,'TAR FIN'!$A$1:$O$85,15,0)),0,VLOOKUP($S$354,'TAR FIN'!$A$1:$O$85,15,0))</f>
        <v>0</v>
      </c>
      <c r="W354" s="6">
        <f>IF(ISERROR(VLOOKUP($T$354,'TAR FIN'!$A$1:$O$85,15,0)),0,VLOOKUP($T$354,'TAR FIN'!$A$1:$O$85,15,0))</f>
        <v>333.15</v>
      </c>
      <c r="X354" s="6">
        <f>IF(ISERROR(VLOOKUP($U$354,'TAR FIN'!$A$1:$O$85,15,0)),0,VLOOKUP($U$354,'TAR FIN'!$A$1:$O$85,15,0))</f>
        <v>241.85</v>
      </c>
      <c r="Y354" s="6"/>
      <c r="Z354" s="6">
        <f ca="1">('TUSD BE'!$AM$48+'TUSD BF'!$AM$48+'TUSD CVA'!$AM$48)*1</f>
        <v>376.13343594836397</v>
      </c>
      <c r="AA354" s="6">
        <f>('TE BE'!$AB$39+'TE BF'!$AB$39+'TE CVA'!$AB$39)*1</f>
        <v>227.55060294064452</v>
      </c>
      <c r="AB354" s="6">
        <f>$K$354*$V$354</f>
        <v>0</v>
      </c>
      <c r="AC354" s="6">
        <f>$M$354*$W$354</f>
        <v>204508.12529999999</v>
      </c>
      <c r="AD354" s="6">
        <f>$O$354*$X$354</f>
        <v>148462.52469999998</v>
      </c>
      <c r="AE354" s="6">
        <f>$K$354*$Y$354</f>
        <v>0</v>
      </c>
      <c r="AF354" s="6">
        <f ca="1">$M$354*$Z$354</f>
        <v>230894.02325813458</v>
      </c>
      <c r="AG354" s="6">
        <f>$O$354*$AA$354</f>
        <v>139684.66822234992</v>
      </c>
    </row>
    <row r="355" spans="1:33" ht="11.25" customHeight="1" x14ac:dyDescent="0.25">
      <c r="A355" s="4" t="s">
        <v>27</v>
      </c>
      <c r="B355" s="4" t="s">
        <v>32</v>
      </c>
      <c r="C355" s="4" t="s">
        <v>23</v>
      </c>
      <c r="D355" s="4" t="s">
        <v>38</v>
      </c>
      <c r="E355" s="4" t="s">
        <v>25</v>
      </c>
      <c r="F355" s="4" t="s">
        <v>25</v>
      </c>
      <c r="G355" s="4" t="s">
        <v>25</v>
      </c>
      <c r="H355" s="4" t="s">
        <v>25</v>
      </c>
      <c r="I355" s="5">
        <v>44440</v>
      </c>
      <c r="J355" s="6">
        <v>0</v>
      </c>
      <c r="K355" s="6">
        <v>0</v>
      </c>
      <c r="L355" s="6">
        <v>31.786999999999999</v>
      </c>
      <c r="M355" s="6">
        <v>31.786999999999999</v>
      </c>
      <c r="N355" s="6">
        <v>31.786999999999999</v>
      </c>
      <c r="O355" s="6">
        <v>31.786999999999999</v>
      </c>
      <c r="P355" s="6">
        <v>64</v>
      </c>
      <c r="Q355" s="4" t="s">
        <v>26</v>
      </c>
      <c r="R355" s="4">
        <v>0</v>
      </c>
      <c r="S355" s="6">
        <v>0</v>
      </c>
      <c r="T355" s="6">
        <v>46</v>
      </c>
      <c r="U355" s="6">
        <v>83</v>
      </c>
      <c r="V355" s="6">
        <f>IF(ISERROR(VLOOKUP($S$355,'TAR FIN'!$A$1:$O$85,15,0)),0,VLOOKUP($S$355,'TAR FIN'!$A$1:$O$85,15,0))</f>
        <v>0</v>
      </c>
      <c r="W355" s="6">
        <f>IF(ISERROR(VLOOKUP($T$355,'TAR FIN'!$A$1:$O$85,15,0)),0,VLOOKUP($T$355,'TAR FIN'!$A$1:$O$85,15,0))</f>
        <v>333.15</v>
      </c>
      <c r="X355" s="6">
        <f>IF(ISERROR(VLOOKUP($U$355,'TAR FIN'!$A$1:$O$85,15,0)),0,VLOOKUP($U$355,'TAR FIN'!$A$1:$O$85,15,0))</f>
        <v>241.85</v>
      </c>
      <c r="Y355" s="6"/>
      <c r="Z355" s="6">
        <f ca="1">('TUSD BE'!$AM$48+'TUSD BF'!$AM$48+'TUSD CVA'!$AM$48)*1</f>
        <v>376.13343594836397</v>
      </c>
      <c r="AA355" s="6">
        <f>('TE BE'!$AB$39+'TE BF'!$AB$39+'TE CVA'!$AB$39)*1</f>
        <v>227.55060294064452</v>
      </c>
      <c r="AB355" s="6">
        <f>$K$355*$V$355</f>
        <v>0</v>
      </c>
      <c r="AC355" s="6">
        <f>$M$355*$W$355</f>
        <v>10589.839049999999</v>
      </c>
      <c r="AD355" s="6">
        <f>$O$355*$X$355</f>
        <v>7687.6859499999991</v>
      </c>
      <c r="AE355" s="6">
        <f>$K$355*$Y$355</f>
        <v>0</v>
      </c>
      <c r="AF355" s="6">
        <f ca="1">$M$355*$Z$355</f>
        <v>11956.153528490646</v>
      </c>
      <c r="AG355" s="6">
        <f>$O$355*$AA$355</f>
        <v>7233.151015674267</v>
      </c>
    </row>
    <row r="356" spans="1:33" ht="11.25" customHeight="1" x14ac:dyDescent="0.25">
      <c r="A356" s="4" t="s">
        <v>21</v>
      </c>
      <c r="B356" s="4" t="s">
        <v>32</v>
      </c>
      <c r="C356" s="4" t="s">
        <v>23</v>
      </c>
      <c r="D356" s="4" t="s">
        <v>38</v>
      </c>
      <c r="E356" s="4" t="s">
        <v>25</v>
      </c>
      <c r="F356" s="4" t="s">
        <v>25</v>
      </c>
      <c r="G356" s="4" t="s">
        <v>25</v>
      </c>
      <c r="H356" s="4" t="s">
        <v>25</v>
      </c>
      <c r="I356" s="5">
        <v>44470</v>
      </c>
      <c r="J356" s="6">
        <v>0</v>
      </c>
      <c r="K356" s="6">
        <v>0</v>
      </c>
      <c r="L356" s="6">
        <v>608.11099999999999</v>
      </c>
      <c r="M356" s="6">
        <v>608.11099999999999</v>
      </c>
      <c r="N356" s="6">
        <v>608.11099999999999</v>
      </c>
      <c r="O356" s="6">
        <v>608.11099999999999</v>
      </c>
      <c r="P356" s="6">
        <v>1651</v>
      </c>
      <c r="Q356" s="4" t="s">
        <v>26</v>
      </c>
      <c r="R356" s="4">
        <v>0</v>
      </c>
      <c r="S356" s="6">
        <v>0</v>
      </c>
      <c r="T356" s="6">
        <v>46</v>
      </c>
      <c r="U356" s="6">
        <v>83</v>
      </c>
      <c r="V356" s="6">
        <f>IF(ISERROR(VLOOKUP($S$356,'TAR FIN'!$A$1:$O$85,15,0)),0,VLOOKUP($S$356,'TAR FIN'!$A$1:$O$85,15,0))</f>
        <v>0</v>
      </c>
      <c r="W356" s="6">
        <f>IF(ISERROR(VLOOKUP($T$356,'TAR FIN'!$A$1:$O$85,15,0)),0,VLOOKUP($T$356,'TAR FIN'!$A$1:$O$85,15,0))</f>
        <v>333.15</v>
      </c>
      <c r="X356" s="6">
        <f>IF(ISERROR(VLOOKUP($U$356,'TAR FIN'!$A$1:$O$85,15,0)),0,VLOOKUP($U$356,'TAR FIN'!$A$1:$O$85,15,0))</f>
        <v>241.85</v>
      </c>
      <c r="Y356" s="6"/>
      <c r="Z356" s="6">
        <f ca="1">('TUSD BE'!$AM$48+'TUSD BF'!$AM$48+'TUSD CVA'!$AM$48)*1</f>
        <v>376.13343594836397</v>
      </c>
      <c r="AA356" s="6">
        <f>('TE BE'!$AB$39+'TE BF'!$AB$39+'TE CVA'!$AB$39)*1</f>
        <v>227.55060294064452</v>
      </c>
      <c r="AB356" s="6">
        <f>$K$356*$V$356</f>
        <v>0</v>
      </c>
      <c r="AC356" s="6">
        <f>$M$356*$W$356</f>
        <v>202592.17964999998</v>
      </c>
      <c r="AD356" s="6">
        <f>$O$356*$X$356</f>
        <v>147071.64535000001</v>
      </c>
      <c r="AE356" s="6">
        <f>$K$356*$Y$356</f>
        <v>0</v>
      </c>
      <c r="AF356" s="6">
        <f ca="1">$M$356*$Z$356</f>
        <v>228730.87986799557</v>
      </c>
      <c r="AG356" s="6">
        <f>$O$356*$AA$356</f>
        <v>138376.02470483829</v>
      </c>
    </row>
    <row r="357" spans="1:33" ht="11.25" customHeight="1" x14ac:dyDescent="0.25">
      <c r="A357" s="4" t="s">
        <v>27</v>
      </c>
      <c r="B357" s="4" t="s">
        <v>32</v>
      </c>
      <c r="C357" s="4" t="s">
        <v>23</v>
      </c>
      <c r="D357" s="4" t="s">
        <v>38</v>
      </c>
      <c r="E357" s="4" t="s">
        <v>25</v>
      </c>
      <c r="F357" s="4" t="s">
        <v>25</v>
      </c>
      <c r="G357" s="4" t="s">
        <v>25</v>
      </c>
      <c r="H357" s="4" t="s">
        <v>25</v>
      </c>
      <c r="I357" s="5">
        <v>44470</v>
      </c>
      <c r="J357" s="6">
        <v>0</v>
      </c>
      <c r="K357" s="6">
        <v>0</v>
      </c>
      <c r="L357" s="6">
        <v>29.289000000000001</v>
      </c>
      <c r="M357" s="6">
        <v>29.289000000000001</v>
      </c>
      <c r="N357" s="6">
        <v>29.289000000000001</v>
      </c>
      <c r="O357" s="6">
        <v>29.289000000000001</v>
      </c>
      <c r="P357" s="6">
        <v>70</v>
      </c>
      <c r="Q357" s="4" t="s">
        <v>26</v>
      </c>
      <c r="R357" s="4">
        <v>0</v>
      </c>
      <c r="S357" s="6">
        <v>0</v>
      </c>
      <c r="T357" s="6">
        <v>46</v>
      </c>
      <c r="U357" s="6">
        <v>83</v>
      </c>
      <c r="V357" s="6">
        <f>IF(ISERROR(VLOOKUP($S$357,'TAR FIN'!$A$1:$O$85,15,0)),0,VLOOKUP($S$357,'TAR FIN'!$A$1:$O$85,15,0))</f>
        <v>0</v>
      </c>
      <c r="W357" s="6">
        <f>IF(ISERROR(VLOOKUP($T$357,'TAR FIN'!$A$1:$O$85,15,0)),0,VLOOKUP($T$357,'TAR FIN'!$A$1:$O$85,15,0))</f>
        <v>333.15</v>
      </c>
      <c r="X357" s="6">
        <f>IF(ISERROR(VLOOKUP($U$357,'TAR FIN'!$A$1:$O$85,15,0)),0,VLOOKUP($U$357,'TAR FIN'!$A$1:$O$85,15,0))</f>
        <v>241.85</v>
      </c>
      <c r="Y357" s="6"/>
      <c r="Z357" s="6">
        <f ca="1">('TUSD BE'!$AM$48+'TUSD BF'!$AM$48+'TUSD CVA'!$AM$48)*1</f>
        <v>376.13343594836397</v>
      </c>
      <c r="AA357" s="6">
        <f>('TE BE'!$AB$39+'TE BF'!$AB$39+'TE CVA'!$AB$39)*1</f>
        <v>227.55060294064452</v>
      </c>
      <c r="AB357" s="6">
        <f>$K$357*$V$357</f>
        <v>0</v>
      </c>
      <c r="AC357" s="6">
        <f>$M$357*$W$357</f>
        <v>9757.6303499999995</v>
      </c>
      <c r="AD357" s="6">
        <f>$O$357*$X$357</f>
        <v>7083.5446499999998</v>
      </c>
      <c r="AE357" s="6">
        <f>$K$357*$Y$357</f>
        <v>0</v>
      </c>
      <c r="AF357" s="6">
        <f ca="1">$M$357*$Z$357</f>
        <v>11016.572205491633</v>
      </c>
      <c r="AG357" s="6">
        <f>$O$357*$AA$357</f>
        <v>6664.7296095285374</v>
      </c>
    </row>
    <row r="358" spans="1:33" ht="11.25" customHeight="1" x14ac:dyDescent="0.25">
      <c r="A358" s="4" t="s">
        <v>21</v>
      </c>
      <c r="B358" s="4" t="s">
        <v>32</v>
      </c>
      <c r="C358" s="4" t="s">
        <v>23</v>
      </c>
      <c r="D358" s="4" t="s">
        <v>38</v>
      </c>
      <c r="E358" s="4" t="s">
        <v>25</v>
      </c>
      <c r="F358" s="4" t="s">
        <v>25</v>
      </c>
      <c r="G358" s="4" t="s">
        <v>25</v>
      </c>
      <c r="H358" s="4" t="s">
        <v>25</v>
      </c>
      <c r="I358" s="5">
        <v>44501</v>
      </c>
      <c r="J358" s="6">
        <v>0</v>
      </c>
      <c r="K358" s="6">
        <v>0</v>
      </c>
      <c r="L358" s="6">
        <v>691.02599999999995</v>
      </c>
      <c r="M358" s="6">
        <v>691.02599999999995</v>
      </c>
      <c r="N358" s="6">
        <v>691.02599999999995</v>
      </c>
      <c r="O358" s="6">
        <v>691.02599999999995</v>
      </c>
      <c r="P358" s="6">
        <v>1646</v>
      </c>
      <c r="Q358" s="4" t="s">
        <v>26</v>
      </c>
      <c r="R358" s="4">
        <v>0</v>
      </c>
      <c r="S358" s="6">
        <v>0</v>
      </c>
      <c r="T358" s="6">
        <v>46</v>
      </c>
      <c r="U358" s="6">
        <v>83</v>
      </c>
      <c r="V358" s="6">
        <f>IF(ISERROR(VLOOKUP($S$358,'TAR FIN'!$A$1:$O$85,15,0)),0,VLOOKUP($S$358,'TAR FIN'!$A$1:$O$85,15,0))</f>
        <v>0</v>
      </c>
      <c r="W358" s="6">
        <f>IF(ISERROR(VLOOKUP($T$358,'TAR FIN'!$A$1:$O$85,15,0)),0,VLOOKUP($T$358,'TAR FIN'!$A$1:$O$85,15,0))</f>
        <v>333.15</v>
      </c>
      <c r="X358" s="6">
        <f>IF(ISERROR(VLOOKUP($U$358,'TAR FIN'!$A$1:$O$85,15,0)),0,VLOOKUP($U$358,'TAR FIN'!$A$1:$O$85,15,0))</f>
        <v>241.85</v>
      </c>
      <c r="Y358" s="6"/>
      <c r="Z358" s="6">
        <f ca="1">('TUSD BE'!$AM$48+'TUSD BF'!$AM$48+'TUSD CVA'!$AM$48)*1</f>
        <v>376.13343594836397</v>
      </c>
      <c r="AA358" s="6">
        <f>('TE BE'!$AB$39+'TE BF'!$AB$39+'TE CVA'!$AB$39)*1</f>
        <v>227.55060294064452</v>
      </c>
      <c r="AB358" s="6">
        <f>$K$358*$V$358</f>
        <v>0</v>
      </c>
      <c r="AC358" s="6">
        <f>$M$358*$W$358</f>
        <v>230215.31189999997</v>
      </c>
      <c r="AD358" s="6">
        <f>$O$358*$X$358</f>
        <v>167124.63809999998</v>
      </c>
      <c r="AE358" s="6">
        <f>$K$358*$Y$358</f>
        <v>0</v>
      </c>
      <c r="AF358" s="6">
        <f ca="1">$M$358*$Z$358</f>
        <v>259917.98370965413</v>
      </c>
      <c r="AG358" s="6">
        <f>$O$358*$AA$358</f>
        <v>157243.3829476618</v>
      </c>
    </row>
    <row r="359" spans="1:33" ht="11.25" customHeight="1" x14ac:dyDescent="0.25">
      <c r="A359" s="4" t="s">
        <v>27</v>
      </c>
      <c r="B359" s="4" t="s">
        <v>32</v>
      </c>
      <c r="C359" s="4" t="s">
        <v>23</v>
      </c>
      <c r="D359" s="4" t="s">
        <v>38</v>
      </c>
      <c r="E359" s="4" t="s">
        <v>25</v>
      </c>
      <c r="F359" s="4" t="s">
        <v>25</v>
      </c>
      <c r="G359" s="4" t="s">
        <v>25</v>
      </c>
      <c r="H359" s="4" t="s">
        <v>25</v>
      </c>
      <c r="I359" s="5">
        <v>44501</v>
      </c>
      <c r="J359" s="6">
        <v>0</v>
      </c>
      <c r="K359" s="6">
        <v>0</v>
      </c>
      <c r="L359" s="6">
        <v>25.792000000000002</v>
      </c>
      <c r="M359" s="6">
        <v>25.792000000000002</v>
      </c>
      <c r="N359" s="6">
        <v>25.792000000000002</v>
      </c>
      <c r="O359" s="6">
        <v>25.792000000000002</v>
      </c>
      <c r="P359" s="6">
        <v>74</v>
      </c>
      <c r="Q359" s="4" t="s">
        <v>26</v>
      </c>
      <c r="R359" s="4">
        <v>0</v>
      </c>
      <c r="S359" s="6">
        <v>0</v>
      </c>
      <c r="T359" s="6">
        <v>46</v>
      </c>
      <c r="U359" s="6">
        <v>83</v>
      </c>
      <c r="V359" s="6">
        <f>IF(ISERROR(VLOOKUP($S$359,'TAR FIN'!$A$1:$O$85,15,0)),0,VLOOKUP($S$359,'TAR FIN'!$A$1:$O$85,15,0))</f>
        <v>0</v>
      </c>
      <c r="W359" s="6">
        <f>IF(ISERROR(VLOOKUP($T$359,'TAR FIN'!$A$1:$O$85,15,0)),0,VLOOKUP($T$359,'TAR FIN'!$A$1:$O$85,15,0))</f>
        <v>333.15</v>
      </c>
      <c r="X359" s="6">
        <f>IF(ISERROR(VLOOKUP($U$359,'TAR FIN'!$A$1:$O$85,15,0)),0,VLOOKUP($U$359,'TAR FIN'!$A$1:$O$85,15,0))</f>
        <v>241.85</v>
      </c>
      <c r="Y359" s="6"/>
      <c r="Z359" s="6">
        <f ca="1">('TUSD BE'!$AM$48+'TUSD BF'!$AM$48+'TUSD CVA'!$AM$48)*1</f>
        <v>376.13343594836397</v>
      </c>
      <c r="AA359" s="6">
        <f>('TE BE'!$AB$39+'TE BF'!$AB$39+'TE CVA'!$AB$39)*1</f>
        <v>227.55060294064452</v>
      </c>
      <c r="AB359" s="6">
        <f>$K$359*$V$359</f>
        <v>0</v>
      </c>
      <c r="AC359" s="6">
        <f>$M$359*$W$359</f>
        <v>8592.6047999999992</v>
      </c>
      <c r="AD359" s="6">
        <f>$O$359*$X$359</f>
        <v>6237.7952000000005</v>
      </c>
      <c r="AE359" s="6">
        <f>$K$359*$Y$359</f>
        <v>0</v>
      </c>
      <c r="AF359" s="6">
        <f ca="1">$M$359*$Z$359</f>
        <v>9701.233579980204</v>
      </c>
      <c r="AG359" s="6">
        <f>$O$359*$AA$359</f>
        <v>5868.9851510451035</v>
      </c>
    </row>
    <row r="360" spans="1:33" ht="11.25" customHeight="1" x14ac:dyDescent="0.25">
      <c r="A360" s="4" t="s">
        <v>21</v>
      </c>
      <c r="B360" s="4" t="s">
        <v>32</v>
      </c>
      <c r="C360" s="4" t="s">
        <v>23</v>
      </c>
      <c r="D360" s="4" t="s">
        <v>38</v>
      </c>
      <c r="E360" s="4" t="s">
        <v>25</v>
      </c>
      <c r="F360" s="4" t="s">
        <v>25</v>
      </c>
      <c r="G360" s="4" t="s">
        <v>25</v>
      </c>
      <c r="H360" s="4" t="s">
        <v>25</v>
      </c>
      <c r="I360" s="5">
        <v>44531</v>
      </c>
      <c r="J360" s="6">
        <v>0</v>
      </c>
      <c r="K360" s="6">
        <v>0</v>
      </c>
      <c r="L360" s="6">
        <v>756.05600000000004</v>
      </c>
      <c r="M360" s="6">
        <v>756.05600000000004</v>
      </c>
      <c r="N360" s="6">
        <v>756.05600000000004</v>
      </c>
      <c r="O360" s="6">
        <v>756.05600000000004</v>
      </c>
      <c r="P360" s="6">
        <v>1649</v>
      </c>
      <c r="Q360" s="4" t="s">
        <v>26</v>
      </c>
      <c r="R360" s="4">
        <v>0</v>
      </c>
      <c r="S360" s="6">
        <v>0</v>
      </c>
      <c r="T360" s="6">
        <v>46</v>
      </c>
      <c r="U360" s="6">
        <v>83</v>
      </c>
      <c r="V360" s="6">
        <f>IF(ISERROR(VLOOKUP($S$360,'TAR FIN'!$A$1:$O$85,15,0)),0,VLOOKUP($S$360,'TAR FIN'!$A$1:$O$85,15,0))</f>
        <v>0</v>
      </c>
      <c r="W360" s="6">
        <f>IF(ISERROR(VLOOKUP($T$360,'TAR FIN'!$A$1:$O$85,15,0)),0,VLOOKUP($T$360,'TAR FIN'!$A$1:$O$85,15,0))</f>
        <v>333.15</v>
      </c>
      <c r="X360" s="6">
        <f>IF(ISERROR(VLOOKUP($U$360,'TAR FIN'!$A$1:$O$85,15,0)),0,VLOOKUP($U$360,'TAR FIN'!$A$1:$O$85,15,0))</f>
        <v>241.85</v>
      </c>
      <c r="Y360" s="6"/>
      <c r="Z360" s="6">
        <f ca="1">('TUSD BE'!$AM$48+'TUSD BF'!$AM$48+'TUSD CVA'!$AM$48)*1</f>
        <v>376.13343594836397</v>
      </c>
      <c r="AA360" s="6">
        <f>('TE BE'!$AB$39+'TE BF'!$AB$39+'TE CVA'!$AB$39)*1</f>
        <v>227.55060294064452</v>
      </c>
      <c r="AB360" s="6">
        <f>$K$360*$V$360</f>
        <v>0</v>
      </c>
      <c r="AC360" s="6">
        <f>$M$360*$W$360</f>
        <v>251880.0564</v>
      </c>
      <c r="AD360" s="6">
        <f>$O$360*$X$360</f>
        <v>182852.14360000001</v>
      </c>
      <c r="AE360" s="6">
        <f>$K$360*$Y$360</f>
        <v>0</v>
      </c>
      <c r="AF360" s="6">
        <f ca="1">$M$360*$Z$360</f>
        <v>284377.94104937627</v>
      </c>
      <c r="AG360" s="6">
        <f>$O$360*$AA$360</f>
        <v>172040.99865689196</v>
      </c>
    </row>
    <row r="361" spans="1:33" ht="11.25" customHeight="1" x14ac:dyDescent="0.25">
      <c r="A361" s="4" t="s">
        <v>27</v>
      </c>
      <c r="B361" s="4" t="s">
        <v>32</v>
      </c>
      <c r="C361" s="4" t="s">
        <v>23</v>
      </c>
      <c r="D361" s="4" t="s">
        <v>38</v>
      </c>
      <c r="E361" s="4" t="s">
        <v>25</v>
      </c>
      <c r="F361" s="4" t="s">
        <v>25</v>
      </c>
      <c r="G361" s="4" t="s">
        <v>25</v>
      </c>
      <c r="H361" s="4" t="s">
        <v>25</v>
      </c>
      <c r="I361" s="5">
        <v>44531</v>
      </c>
      <c r="J361" s="6">
        <v>0</v>
      </c>
      <c r="K361" s="6">
        <v>0</v>
      </c>
      <c r="L361" s="6">
        <v>31.087</v>
      </c>
      <c r="M361" s="6">
        <v>31.087</v>
      </c>
      <c r="N361" s="6">
        <v>31.087</v>
      </c>
      <c r="O361" s="6">
        <v>31.087</v>
      </c>
      <c r="P361" s="6">
        <v>77</v>
      </c>
      <c r="Q361" s="4" t="s">
        <v>26</v>
      </c>
      <c r="R361" s="4">
        <v>0</v>
      </c>
      <c r="S361" s="6">
        <v>0</v>
      </c>
      <c r="T361" s="6">
        <v>46</v>
      </c>
      <c r="U361" s="6">
        <v>83</v>
      </c>
      <c r="V361" s="6">
        <f>IF(ISERROR(VLOOKUP($S$361,'TAR FIN'!$A$1:$O$85,15,0)),0,VLOOKUP($S$361,'TAR FIN'!$A$1:$O$85,15,0))</f>
        <v>0</v>
      </c>
      <c r="W361" s="6">
        <f>IF(ISERROR(VLOOKUP($T$361,'TAR FIN'!$A$1:$O$85,15,0)),0,VLOOKUP($T$361,'TAR FIN'!$A$1:$O$85,15,0))</f>
        <v>333.15</v>
      </c>
      <c r="X361" s="6">
        <f>IF(ISERROR(VLOOKUP($U$361,'TAR FIN'!$A$1:$O$85,15,0)),0,VLOOKUP($U$361,'TAR FIN'!$A$1:$O$85,15,0))</f>
        <v>241.85</v>
      </c>
      <c r="Y361" s="6"/>
      <c r="Z361" s="6">
        <f ca="1">('TUSD BE'!$AM$48+'TUSD BF'!$AM$48+'TUSD CVA'!$AM$48)*1</f>
        <v>376.13343594836397</v>
      </c>
      <c r="AA361" s="6">
        <f>('TE BE'!$AB$39+'TE BF'!$AB$39+'TE CVA'!$AB$39)*1</f>
        <v>227.55060294064452</v>
      </c>
      <c r="AB361" s="6">
        <f>$K$361*$V$361</f>
        <v>0</v>
      </c>
      <c r="AC361" s="6">
        <f>$M$361*$W$361</f>
        <v>10356.634049999999</v>
      </c>
      <c r="AD361" s="6">
        <f>$O$361*$X$361</f>
        <v>7518.39095</v>
      </c>
      <c r="AE361" s="6">
        <f>$K$361*$Y$361</f>
        <v>0</v>
      </c>
      <c r="AF361" s="6">
        <f ca="1">$M$361*$Z$361</f>
        <v>11692.860123326791</v>
      </c>
      <c r="AG361" s="6">
        <f>$O$361*$AA$361</f>
        <v>7073.8655936158166</v>
      </c>
    </row>
    <row r="362" spans="1:33" ht="11.25" customHeight="1" x14ac:dyDescent="0.25">
      <c r="A362" s="4" t="s">
        <v>21</v>
      </c>
      <c r="B362" s="4" t="s">
        <v>32</v>
      </c>
      <c r="C362" s="4" t="s">
        <v>23</v>
      </c>
      <c r="D362" s="4" t="s">
        <v>38</v>
      </c>
      <c r="E362" s="4" t="s">
        <v>25</v>
      </c>
      <c r="F362" s="4" t="s">
        <v>25</v>
      </c>
      <c r="G362" s="4" t="s">
        <v>25</v>
      </c>
      <c r="H362" s="4" t="s">
        <v>25</v>
      </c>
      <c r="I362" s="5">
        <v>44562</v>
      </c>
      <c r="J362" s="6">
        <v>0</v>
      </c>
      <c r="K362" s="6">
        <v>0</v>
      </c>
      <c r="L362" s="6">
        <v>808.64599999999996</v>
      </c>
      <c r="M362" s="6">
        <v>808.64599999999996</v>
      </c>
      <c r="N362" s="6">
        <v>808.64599999999996</v>
      </c>
      <c r="O362" s="6">
        <v>808.64599999999996</v>
      </c>
      <c r="P362" s="6">
        <v>1658</v>
      </c>
      <c r="Q362" s="4" t="s">
        <v>26</v>
      </c>
      <c r="R362" s="4">
        <v>0</v>
      </c>
      <c r="S362" s="6">
        <v>0</v>
      </c>
      <c r="T362" s="6">
        <v>46</v>
      </c>
      <c r="U362" s="6">
        <v>83</v>
      </c>
      <c r="V362" s="6">
        <f>IF(ISERROR(VLOOKUP($S$362,'TAR FIN'!$A$1:$O$85,15,0)),0,VLOOKUP($S$362,'TAR FIN'!$A$1:$O$85,15,0))</f>
        <v>0</v>
      </c>
      <c r="W362" s="6">
        <f>IF(ISERROR(VLOOKUP($T$362,'TAR FIN'!$A$1:$O$85,15,0)),0,VLOOKUP($T$362,'TAR FIN'!$A$1:$O$85,15,0))</f>
        <v>333.15</v>
      </c>
      <c r="X362" s="6">
        <f>IF(ISERROR(VLOOKUP($U$362,'TAR FIN'!$A$1:$O$85,15,0)),0,VLOOKUP($U$362,'TAR FIN'!$A$1:$O$85,15,0))</f>
        <v>241.85</v>
      </c>
      <c r="Y362" s="6"/>
      <c r="Z362" s="6">
        <f ca="1">('TUSD BE'!$AM$48+'TUSD BF'!$AM$48+'TUSD CVA'!$AM$48)*1</f>
        <v>376.13343594836397</v>
      </c>
      <c r="AA362" s="6">
        <f>('TE BE'!$AB$39+'TE BF'!$AB$39+'TE CVA'!$AB$39)*1</f>
        <v>227.55060294064452</v>
      </c>
      <c r="AB362" s="6">
        <f>$K$362*$V$362</f>
        <v>0</v>
      </c>
      <c r="AC362" s="6">
        <f>$M$362*$W$362</f>
        <v>269400.41489999997</v>
      </c>
      <c r="AD362" s="6">
        <f>$O$362*$X$362</f>
        <v>195571.03509999998</v>
      </c>
      <c r="AE362" s="6">
        <f>$K$362*$Y$362</f>
        <v>0</v>
      </c>
      <c r="AF362" s="6">
        <f ca="1">$M$362*$Z$362</f>
        <v>304158.79844590073</v>
      </c>
      <c r="AG362" s="6">
        <f>$O$362*$AA$362</f>
        <v>184007.88486554043</v>
      </c>
    </row>
    <row r="363" spans="1:33" ht="11.25" customHeight="1" x14ac:dyDescent="0.25">
      <c r="A363" s="4" t="s">
        <v>27</v>
      </c>
      <c r="B363" s="4" t="s">
        <v>32</v>
      </c>
      <c r="C363" s="4" t="s">
        <v>23</v>
      </c>
      <c r="D363" s="4" t="s">
        <v>38</v>
      </c>
      <c r="E363" s="4" t="s">
        <v>25</v>
      </c>
      <c r="F363" s="4" t="s">
        <v>25</v>
      </c>
      <c r="G363" s="4" t="s">
        <v>25</v>
      </c>
      <c r="H363" s="4" t="s">
        <v>25</v>
      </c>
      <c r="I363" s="5">
        <v>44562</v>
      </c>
      <c r="J363" s="6">
        <v>0</v>
      </c>
      <c r="K363" s="6">
        <v>0</v>
      </c>
      <c r="L363" s="6">
        <v>25.024000000000001</v>
      </c>
      <c r="M363" s="6">
        <v>25.024000000000001</v>
      </c>
      <c r="N363" s="6">
        <v>25.024000000000001</v>
      </c>
      <c r="O363" s="6">
        <v>25.024000000000001</v>
      </c>
      <c r="P363" s="6">
        <v>81</v>
      </c>
      <c r="Q363" s="4" t="s">
        <v>26</v>
      </c>
      <c r="R363" s="4">
        <v>0</v>
      </c>
      <c r="S363" s="6">
        <v>0</v>
      </c>
      <c r="T363" s="6">
        <v>46</v>
      </c>
      <c r="U363" s="6">
        <v>83</v>
      </c>
      <c r="V363" s="6">
        <f>IF(ISERROR(VLOOKUP($S$363,'TAR FIN'!$A$1:$O$85,15,0)),0,VLOOKUP($S$363,'TAR FIN'!$A$1:$O$85,15,0))</f>
        <v>0</v>
      </c>
      <c r="W363" s="6">
        <f>IF(ISERROR(VLOOKUP($T$363,'TAR FIN'!$A$1:$O$85,15,0)),0,VLOOKUP($T$363,'TAR FIN'!$A$1:$O$85,15,0))</f>
        <v>333.15</v>
      </c>
      <c r="X363" s="6">
        <f>IF(ISERROR(VLOOKUP($U$363,'TAR FIN'!$A$1:$O$85,15,0)),0,VLOOKUP($U$363,'TAR FIN'!$A$1:$O$85,15,0))</f>
        <v>241.85</v>
      </c>
      <c r="Y363" s="6"/>
      <c r="Z363" s="6">
        <f ca="1">('TUSD BE'!$AM$48+'TUSD BF'!$AM$48+'TUSD CVA'!$AM$48)*1</f>
        <v>376.13343594836397</v>
      </c>
      <c r="AA363" s="6">
        <f>('TE BE'!$AB$39+'TE BF'!$AB$39+'TE CVA'!$AB$39)*1</f>
        <v>227.55060294064452</v>
      </c>
      <c r="AB363" s="6">
        <f>$K$363*$V$363</f>
        <v>0</v>
      </c>
      <c r="AC363" s="6">
        <f>$M$363*$W$363</f>
        <v>8336.7456000000002</v>
      </c>
      <c r="AD363" s="6">
        <f>$O$363*$X$363</f>
        <v>6052.0544</v>
      </c>
      <c r="AE363" s="6">
        <f>$K$363*$Y$363</f>
        <v>0</v>
      </c>
      <c r="AF363" s="6">
        <f ca="1">$M$363*$Z$363</f>
        <v>9412.3631011718608</v>
      </c>
      <c r="AG363" s="6">
        <f>$O$363*$AA$363</f>
        <v>5694.2262879866885</v>
      </c>
    </row>
    <row r="364" spans="1:33" ht="11.25" customHeight="1" x14ac:dyDescent="0.25">
      <c r="A364" s="4" t="s">
        <v>21</v>
      </c>
      <c r="B364" s="4" t="s">
        <v>32</v>
      </c>
      <c r="C364" s="4" t="s">
        <v>23</v>
      </c>
      <c r="D364" s="4" t="s">
        <v>38</v>
      </c>
      <c r="E364" s="4" t="s">
        <v>25</v>
      </c>
      <c r="F364" s="4" t="s">
        <v>25</v>
      </c>
      <c r="G364" s="4" t="s">
        <v>25</v>
      </c>
      <c r="H364" s="4" t="s">
        <v>25</v>
      </c>
      <c r="I364" s="5">
        <v>44593</v>
      </c>
      <c r="J364" s="6">
        <v>0</v>
      </c>
      <c r="K364" s="6">
        <v>0</v>
      </c>
      <c r="L364" s="6">
        <v>809.22799999999995</v>
      </c>
      <c r="M364" s="6">
        <v>809.22799999999995</v>
      </c>
      <c r="N364" s="6">
        <v>809.22799999999995</v>
      </c>
      <c r="O364" s="6">
        <v>809.22799999999995</v>
      </c>
      <c r="P364" s="6">
        <v>1652</v>
      </c>
      <c r="Q364" s="4" t="s">
        <v>26</v>
      </c>
      <c r="R364" s="4">
        <v>0</v>
      </c>
      <c r="S364" s="6">
        <v>0</v>
      </c>
      <c r="T364" s="6">
        <v>46</v>
      </c>
      <c r="U364" s="6">
        <v>83</v>
      </c>
      <c r="V364" s="6">
        <f>IF(ISERROR(VLOOKUP($S$364,'TAR FIN'!$A$1:$O$85,15,0)),0,VLOOKUP($S$364,'TAR FIN'!$A$1:$O$85,15,0))</f>
        <v>0</v>
      </c>
      <c r="W364" s="6">
        <f>IF(ISERROR(VLOOKUP($T$364,'TAR FIN'!$A$1:$O$85,15,0)),0,VLOOKUP($T$364,'TAR FIN'!$A$1:$O$85,15,0))</f>
        <v>333.15</v>
      </c>
      <c r="X364" s="6">
        <f>IF(ISERROR(VLOOKUP($U$364,'TAR FIN'!$A$1:$O$85,15,0)),0,VLOOKUP($U$364,'TAR FIN'!$A$1:$O$85,15,0))</f>
        <v>241.85</v>
      </c>
      <c r="Y364" s="6"/>
      <c r="Z364" s="6">
        <f ca="1">('TUSD BE'!$AM$48+'TUSD BF'!$AM$48+'TUSD CVA'!$AM$48)*1</f>
        <v>376.13343594836397</v>
      </c>
      <c r="AA364" s="6">
        <f>('TE BE'!$AB$39+'TE BF'!$AB$39+'TE CVA'!$AB$39)*1</f>
        <v>227.55060294064452</v>
      </c>
      <c r="AB364" s="6">
        <f>$K$364*$V$364</f>
        <v>0</v>
      </c>
      <c r="AC364" s="6">
        <f>$M$364*$W$364</f>
        <v>269594.30819999997</v>
      </c>
      <c r="AD364" s="6">
        <f>$O$364*$X$364</f>
        <v>195711.79179999998</v>
      </c>
      <c r="AE364" s="6">
        <f>$K$364*$Y$364</f>
        <v>0</v>
      </c>
      <c r="AF364" s="6">
        <f ca="1">$M$364*$Z$364</f>
        <v>304377.70810562267</v>
      </c>
      <c r="AG364" s="6">
        <f>$O$364*$AA$364</f>
        <v>184140.31931645187</v>
      </c>
    </row>
    <row r="365" spans="1:33" ht="11.25" customHeight="1" x14ac:dyDescent="0.25">
      <c r="A365" s="4" t="s">
        <v>27</v>
      </c>
      <c r="B365" s="4" t="s">
        <v>32</v>
      </c>
      <c r="C365" s="4" t="s">
        <v>23</v>
      </c>
      <c r="D365" s="4" t="s">
        <v>38</v>
      </c>
      <c r="E365" s="4" t="s">
        <v>25</v>
      </c>
      <c r="F365" s="4" t="s">
        <v>25</v>
      </c>
      <c r="G365" s="4" t="s">
        <v>25</v>
      </c>
      <c r="H365" s="4" t="s">
        <v>25</v>
      </c>
      <c r="I365" s="5">
        <v>44593</v>
      </c>
      <c r="J365" s="6">
        <v>0</v>
      </c>
      <c r="K365" s="6">
        <v>0</v>
      </c>
      <c r="L365" s="6">
        <v>33.889000000000003</v>
      </c>
      <c r="M365" s="6">
        <v>33.889000000000003</v>
      </c>
      <c r="N365" s="6">
        <v>33.889000000000003</v>
      </c>
      <c r="O365" s="6">
        <v>33.889000000000003</v>
      </c>
      <c r="P365" s="6">
        <v>89</v>
      </c>
      <c r="Q365" s="4" t="s">
        <v>26</v>
      </c>
      <c r="R365" s="4">
        <v>0</v>
      </c>
      <c r="S365" s="6">
        <v>0</v>
      </c>
      <c r="T365" s="6">
        <v>46</v>
      </c>
      <c r="U365" s="6">
        <v>83</v>
      </c>
      <c r="V365" s="6">
        <f>IF(ISERROR(VLOOKUP($S$365,'TAR FIN'!$A$1:$O$85,15,0)),0,VLOOKUP($S$365,'TAR FIN'!$A$1:$O$85,15,0))</f>
        <v>0</v>
      </c>
      <c r="W365" s="6">
        <f>IF(ISERROR(VLOOKUP($T$365,'TAR FIN'!$A$1:$O$85,15,0)),0,VLOOKUP($T$365,'TAR FIN'!$A$1:$O$85,15,0))</f>
        <v>333.15</v>
      </c>
      <c r="X365" s="6">
        <f>IF(ISERROR(VLOOKUP($U$365,'TAR FIN'!$A$1:$O$85,15,0)),0,VLOOKUP($U$365,'TAR FIN'!$A$1:$O$85,15,0))</f>
        <v>241.85</v>
      </c>
      <c r="Y365" s="6"/>
      <c r="Z365" s="6">
        <f ca="1">('TUSD BE'!$AM$48+'TUSD BF'!$AM$48+'TUSD CVA'!$AM$48)*1</f>
        <v>376.13343594836397</v>
      </c>
      <c r="AA365" s="6">
        <f>('TE BE'!$AB$39+'TE BF'!$AB$39+'TE CVA'!$AB$39)*1</f>
        <v>227.55060294064452</v>
      </c>
      <c r="AB365" s="6">
        <f>$K$365*$V$365</f>
        <v>0</v>
      </c>
      <c r="AC365" s="6">
        <f>$M$365*$W$365</f>
        <v>11290.120350000001</v>
      </c>
      <c r="AD365" s="6">
        <f>$O$365*$X$365</f>
        <v>8196.05465</v>
      </c>
      <c r="AE365" s="6">
        <f>$K$365*$Y$365</f>
        <v>0</v>
      </c>
      <c r="AF365" s="6">
        <f ca="1">$M$365*$Z$365</f>
        <v>12746.786010854108</v>
      </c>
      <c r="AG365" s="6">
        <f>$O$365*$AA$365</f>
        <v>7711.4623830555029</v>
      </c>
    </row>
    <row r="366" spans="1:33" ht="11.25" customHeight="1" x14ac:dyDescent="0.25">
      <c r="A366" s="4" t="s">
        <v>21</v>
      </c>
      <c r="B366" s="4" t="s">
        <v>32</v>
      </c>
      <c r="C366" s="4" t="s">
        <v>23</v>
      </c>
      <c r="D366" s="4" t="s">
        <v>38</v>
      </c>
      <c r="E366" s="4" t="s">
        <v>25</v>
      </c>
      <c r="F366" s="4" t="s">
        <v>25</v>
      </c>
      <c r="G366" s="4" t="s">
        <v>25</v>
      </c>
      <c r="H366" s="4" t="s">
        <v>25</v>
      </c>
      <c r="I366" s="5">
        <v>44621</v>
      </c>
      <c r="J366" s="6">
        <v>0</v>
      </c>
      <c r="K366" s="6">
        <v>0</v>
      </c>
      <c r="L366" s="6">
        <v>735.19200000000001</v>
      </c>
      <c r="M366" s="6">
        <v>735.19200000000001</v>
      </c>
      <c r="N366" s="6">
        <v>735.19200000000001</v>
      </c>
      <c r="O366" s="6">
        <v>735.19200000000001</v>
      </c>
      <c r="P366" s="6">
        <v>1651</v>
      </c>
      <c r="Q366" s="4" t="s">
        <v>26</v>
      </c>
      <c r="R366" s="4">
        <v>0</v>
      </c>
      <c r="S366" s="6">
        <v>0</v>
      </c>
      <c r="T366" s="6">
        <v>46</v>
      </c>
      <c r="U366" s="6">
        <v>83</v>
      </c>
      <c r="V366" s="6">
        <f>IF(ISERROR(VLOOKUP($S$366,'TAR FIN'!$A$1:$O$85,15,0)),0,VLOOKUP($S$366,'TAR FIN'!$A$1:$O$85,15,0))</f>
        <v>0</v>
      </c>
      <c r="W366" s="6">
        <f>IF(ISERROR(VLOOKUP($T$366,'TAR FIN'!$A$1:$O$85,15,0)),0,VLOOKUP($T$366,'TAR FIN'!$A$1:$O$85,15,0))</f>
        <v>333.15</v>
      </c>
      <c r="X366" s="6">
        <f>IF(ISERROR(VLOOKUP($U$366,'TAR FIN'!$A$1:$O$85,15,0)),0,VLOOKUP($U$366,'TAR FIN'!$A$1:$O$85,15,0))</f>
        <v>241.85</v>
      </c>
      <c r="Y366" s="6"/>
      <c r="Z366" s="6">
        <f ca="1">('TUSD BE'!$AM$48+'TUSD BF'!$AM$48+'TUSD CVA'!$AM$48)*1</f>
        <v>376.13343594836397</v>
      </c>
      <c r="AA366" s="6">
        <f>('TE BE'!$AB$39+'TE BF'!$AB$39+'TE CVA'!$AB$39)*1</f>
        <v>227.55060294064452</v>
      </c>
      <c r="AB366" s="6">
        <f>$K$366*$V$366</f>
        <v>0</v>
      </c>
      <c r="AC366" s="6">
        <f>$M$366*$W$366</f>
        <v>244929.21479999999</v>
      </c>
      <c r="AD366" s="6">
        <f>$O$366*$X$366</f>
        <v>177806.18520000001</v>
      </c>
      <c r="AE366" s="6">
        <f>$K$366*$Y$366</f>
        <v>0</v>
      </c>
      <c r="AF366" s="6">
        <f ca="1">$M$366*$Z$366</f>
        <v>276530.29304174962</v>
      </c>
      <c r="AG366" s="6">
        <f>$O$366*$AA$366</f>
        <v>167293.38287713833</v>
      </c>
    </row>
    <row r="367" spans="1:33" ht="11.25" customHeight="1" x14ac:dyDescent="0.25">
      <c r="A367" s="4" t="s">
        <v>27</v>
      </c>
      <c r="B367" s="4" t="s">
        <v>32</v>
      </c>
      <c r="C367" s="4" t="s">
        <v>23</v>
      </c>
      <c r="D367" s="4" t="s">
        <v>38</v>
      </c>
      <c r="E367" s="4" t="s">
        <v>25</v>
      </c>
      <c r="F367" s="4" t="s">
        <v>25</v>
      </c>
      <c r="G367" s="4" t="s">
        <v>25</v>
      </c>
      <c r="H367" s="4" t="s">
        <v>25</v>
      </c>
      <c r="I367" s="5">
        <v>44621</v>
      </c>
      <c r="J367" s="6">
        <v>0</v>
      </c>
      <c r="K367" s="6">
        <v>0</v>
      </c>
      <c r="L367" s="6">
        <v>38.405000000000001</v>
      </c>
      <c r="M367" s="6">
        <v>38.405000000000001</v>
      </c>
      <c r="N367" s="6">
        <v>38.405000000000001</v>
      </c>
      <c r="O367" s="6">
        <v>38.405000000000001</v>
      </c>
      <c r="P367" s="6">
        <v>95</v>
      </c>
      <c r="Q367" s="4" t="s">
        <v>26</v>
      </c>
      <c r="R367" s="4">
        <v>0</v>
      </c>
      <c r="S367" s="6">
        <v>0</v>
      </c>
      <c r="T367" s="6">
        <v>46</v>
      </c>
      <c r="U367" s="6">
        <v>83</v>
      </c>
      <c r="V367" s="6">
        <f>IF(ISERROR(VLOOKUP($S$367,'TAR FIN'!$A$1:$O$85,15,0)),0,VLOOKUP($S$367,'TAR FIN'!$A$1:$O$85,15,0))</f>
        <v>0</v>
      </c>
      <c r="W367" s="6">
        <f>IF(ISERROR(VLOOKUP($T$367,'TAR FIN'!$A$1:$O$85,15,0)),0,VLOOKUP($T$367,'TAR FIN'!$A$1:$O$85,15,0))</f>
        <v>333.15</v>
      </c>
      <c r="X367" s="6">
        <f>IF(ISERROR(VLOOKUP($U$367,'TAR FIN'!$A$1:$O$85,15,0)),0,VLOOKUP($U$367,'TAR FIN'!$A$1:$O$85,15,0))</f>
        <v>241.85</v>
      </c>
      <c r="Y367" s="6"/>
      <c r="Z367" s="6">
        <f ca="1">('TUSD BE'!$AM$48+'TUSD BF'!$AM$48+'TUSD CVA'!$AM$48)*1</f>
        <v>376.13343594836397</v>
      </c>
      <c r="AA367" s="6">
        <f>('TE BE'!$AB$39+'TE BF'!$AB$39+'TE CVA'!$AB$39)*1</f>
        <v>227.55060294064452</v>
      </c>
      <c r="AB367" s="6">
        <f>$K$367*$V$367</f>
        <v>0</v>
      </c>
      <c r="AC367" s="6">
        <f>$M$367*$W$367</f>
        <v>12794.625749999999</v>
      </c>
      <c r="AD367" s="6">
        <f>$O$367*$X$367</f>
        <v>9288.2492500000008</v>
      </c>
      <c r="AE367" s="6">
        <f>$K$367*$Y$367</f>
        <v>0</v>
      </c>
      <c r="AF367" s="6">
        <f ca="1">$M$367*$Z$367</f>
        <v>14445.404607596918</v>
      </c>
      <c r="AG367" s="6">
        <f>$O$367*$AA$367</f>
        <v>8739.0809059354524</v>
      </c>
    </row>
    <row r="368" spans="1:33" ht="11.25" customHeight="1" x14ac:dyDescent="0.25">
      <c r="A368" s="4" t="s">
        <v>21</v>
      </c>
      <c r="B368" s="4" t="s">
        <v>32</v>
      </c>
      <c r="C368" s="4" t="s">
        <v>23</v>
      </c>
      <c r="D368" s="4" t="s">
        <v>38</v>
      </c>
      <c r="E368" s="4" t="s">
        <v>25</v>
      </c>
      <c r="F368" s="4" t="s">
        <v>25</v>
      </c>
      <c r="G368" s="4" t="s">
        <v>25</v>
      </c>
      <c r="H368" s="4" t="s">
        <v>25</v>
      </c>
      <c r="I368" s="5">
        <v>44652</v>
      </c>
      <c r="J368" s="6">
        <v>0</v>
      </c>
      <c r="K368" s="6">
        <v>0</v>
      </c>
      <c r="L368" s="6">
        <v>630.58000000000004</v>
      </c>
      <c r="M368" s="6">
        <v>630.58000000000004</v>
      </c>
      <c r="N368" s="6">
        <v>630.58000000000004</v>
      </c>
      <c r="O368" s="6">
        <v>630.58000000000004</v>
      </c>
      <c r="P368" s="6">
        <v>1641</v>
      </c>
      <c r="Q368" s="4" t="s">
        <v>26</v>
      </c>
      <c r="R368" s="4">
        <v>0</v>
      </c>
      <c r="S368" s="6">
        <v>0</v>
      </c>
      <c r="T368" s="6">
        <v>46</v>
      </c>
      <c r="U368" s="6">
        <v>83</v>
      </c>
      <c r="V368" s="6">
        <f>IF(ISERROR(VLOOKUP($S$368,'TAR FIN'!$A$1:$O$85,15,0)),0,VLOOKUP($S$368,'TAR FIN'!$A$1:$O$85,15,0))</f>
        <v>0</v>
      </c>
      <c r="W368" s="6">
        <f>IF(ISERROR(VLOOKUP($T$368,'TAR FIN'!$A$1:$O$85,15,0)),0,VLOOKUP($T$368,'TAR FIN'!$A$1:$O$85,15,0))</f>
        <v>333.15</v>
      </c>
      <c r="X368" s="6">
        <f>IF(ISERROR(VLOOKUP($U$368,'TAR FIN'!$A$1:$O$85,15,0)),0,VLOOKUP($U$368,'TAR FIN'!$A$1:$O$85,15,0))</f>
        <v>241.85</v>
      </c>
      <c r="Y368" s="6"/>
      <c r="Z368" s="6">
        <f ca="1">('TUSD BE'!$AM$48+'TUSD BF'!$AM$48+'TUSD CVA'!$AM$48)*1</f>
        <v>376.13343594836397</v>
      </c>
      <c r="AA368" s="6">
        <f>('TE BE'!$AB$39+'TE BF'!$AB$39+'TE CVA'!$AB$39)*1</f>
        <v>227.55060294064452</v>
      </c>
      <c r="AB368" s="6">
        <f>$K$368*$V$368</f>
        <v>0</v>
      </c>
      <c r="AC368" s="6">
        <f>$M$368*$W$368</f>
        <v>210077.72700000001</v>
      </c>
      <c r="AD368" s="6">
        <f>$O$368*$X$368</f>
        <v>152505.77300000002</v>
      </c>
      <c r="AE368" s="6">
        <f>$K$368*$Y$368</f>
        <v>0</v>
      </c>
      <c r="AF368" s="6">
        <f ca="1">$M$368*$Z$368</f>
        <v>237182.22204031938</v>
      </c>
      <c r="AG368" s="6">
        <f>$O$368*$AA$368</f>
        <v>143488.85920231164</v>
      </c>
    </row>
    <row r="369" spans="1:33" ht="11.25" customHeight="1" x14ac:dyDescent="0.25">
      <c r="A369" s="4" t="s">
        <v>48</v>
      </c>
      <c r="B369" s="4" t="s">
        <v>32</v>
      </c>
      <c r="C369" s="4" t="s">
        <v>23</v>
      </c>
      <c r="D369" s="4" t="s">
        <v>38</v>
      </c>
      <c r="E369" s="4" t="s">
        <v>25</v>
      </c>
      <c r="F369" s="4" t="s">
        <v>25</v>
      </c>
      <c r="G369" s="4" t="s">
        <v>25</v>
      </c>
      <c r="H369" s="4" t="s">
        <v>25</v>
      </c>
      <c r="I369" s="5">
        <v>44652</v>
      </c>
      <c r="J369" s="6">
        <v>0</v>
      </c>
      <c r="K369" s="6">
        <v>0</v>
      </c>
      <c r="L369" s="6">
        <v>-4.1440000000000001</v>
      </c>
      <c r="M369" s="6">
        <v>-4.1440000000000001</v>
      </c>
      <c r="N369" s="6">
        <v>-4.1440000000000001</v>
      </c>
      <c r="O369" s="6">
        <v>-4.1440000000000001</v>
      </c>
      <c r="P369" s="6">
        <v>0</v>
      </c>
      <c r="Q369" s="4" t="s">
        <v>26</v>
      </c>
      <c r="R369" s="4">
        <v>0</v>
      </c>
      <c r="S369" s="6">
        <v>0</v>
      </c>
      <c r="T369" s="6">
        <v>46</v>
      </c>
      <c r="U369" s="6">
        <v>83</v>
      </c>
      <c r="V369" s="6">
        <f>IF(ISERROR(VLOOKUP($S$369,'TAR FIN'!$A$1:$O$85,15,0)),0,VLOOKUP($S$369,'TAR FIN'!$A$1:$O$85,15,0))</f>
        <v>0</v>
      </c>
      <c r="W369" s="6">
        <f>IF(ISERROR(VLOOKUP($T$369,'TAR FIN'!$A$1:$O$85,15,0)),0,VLOOKUP($T$369,'TAR FIN'!$A$1:$O$85,15,0))</f>
        <v>333.15</v>
      </c>
      <c r="X369" s="6">
        <f>IF(ISERROR(VLOOKUP($U$369,'TAR FIN'!$A$1:$O$85,15,0)),0,VLOOKUP($U$369,'TAR FIN'!$A$1:$O$85,15,0))</f>
        <v>241.85</v>
      </c>
      <c r="Y369" s="6"/>
      <c r="Z369" s="6">
        <f ca="1">('TUSD BE'!$AM$48+'TUSD BF'!$AM$48+'TUSD CVA'!$AM$48)*1</f>
        <v>376.13343594836397</v>
      </c>
      <c r="AA369" s="6">
        <f>('TE BE'!$AB$39+'TE BF'!$AB$39+'TE CVA'!$AB$39)*1</f>
        <v>227.55060294064452</v>
      </c>
      <c r="AB369" s="6">
        <f>$K$369*$V$369</f>
        <v>0</v>
      </c>
      <c r="AC369" s="6">
        <f>$M$369*$W$369</f>
        <v>-1380.5735999999999</v>
      </c>
      <c r="AD369" s="6">
        <f>$O$369*$X$369</f>
        <v>-1002.2264</v>
      </c>
      <c r="AE369" s="6">
        <f>$K$369*$Y$369</f>
        <v>0</v>
      </c>
      <c r="AF369" s="6">
        <f ca="1">$M$369*$Z$369</f>
        <v>-1558.6969585700203</v>
      </c>
      <c r="AG369" s="6">
        <f>$O$369*$AA$369</f>
        <v>-942.96969858603097</v>
      </c>
    </row>
    <row r="370" spans="1:33" ht="11.25" customHeight="1" x14ac:dyDescent="0.25">
      <c r="A370" s="4" t="s">
        <v>27</v>
      </c>
      <c r="B370" s="4" t="s">
        <v>32</v>
      </c>
      <c r="C370" s="4" t="s">
        <v>23</v>
      </c>
      <c r="D370" s="4" t="s">
        <v>38</v>
      </c>
      <c r="E370" s="4" t="s">
        <v>25</v>
      </c>
      <c r="F370" s="4" t="s">
        <v>25</v>
      </c>
      <c r="G370" s="4" t="s">
        <v>25</v>
      </c>
      <c r="H370" s="4" t="s">
        <v>25</v>
      </c>
      <c r="I370" s="5">
        <v>44652</v>
      </c>
      <c r="J370" s="6">
        <v>0</v>
      </c>
      <c r="K370" s="6">
        <v>0</v>
      </c>
      <c r="L370" s="6">
        <v>58.191000000000003</v>
      </c>
      <c r="M370" s="6">
        <v>58.191000000000003</v>
      </c>
      <c r="N370" s="6">
        <v>58.191000000000003</v>
      </c>
      <c r="O370" s="6">
        <v>58.191000000000003</v>
      </c>
      <c r="P370" s="6">
        <v>105</v>
      </c>
      <c r="Q370" s="4" t="s">
        <v>26</v>
      </c>
      <c r="R370" s="4">
        <v>0</v>
      </c>
      <c r="S370" s="6">
        <v>0</v>
      </c>
      <c r="T370" s="6">
        <v>46</v>
      </c>
      <c r="U370" s="6">
        <v>83</v>
      </c>
      <c r="V370" s="6">
        <f>IF(ISERROR(VLOOKUP($S$370,'TAR FIN'!$A$1:$O$85,15,0)),0,VLOOKUP($S$370,'TAR FIN'!$A$1:$O$85,15,0))</f>
        <v>0</v>
      </c>
      <c r="W370" s="6">
        <f>IF(ISERROR(VLOOKUP($T$370,'TAR FIN'!$A$1:$O$85,15,0)),0,VLOOKUP($T$370,'TAR FIN'!$A$1:$O$85,15,0))</f>
        <v>333.15</v>
      </c>
      <c r="X370" s="6">
        <f>IF(ISERROR(VLOOKUP($U$370,'TAR FIN'!$A$1:$O$85,15,0)),0,VLOOKUP($U$370,'TAR FIN'!$A$1:$O$85,15,0))</f>
        <v>241.85</v>
      </c>
      <c r="Y370" s="6"/>
      <c r="Z370" s="6">
        <f ca="1">('TUSD BE'!$AM$48+'TUSD BF'!$AM$48+'TUSD CVA'!$AM$48)*1</f>
        <v>376.13343594836397</v>
      </c>
      <c r="AA370" s="6">
        <f>('TE BE'!$AB$39+'TE BF'!$AB$39+'TE CVA'!$AB$39)*1</f>
        <v>227.55060294064452</v>
      </c>
      <c r="AB370" s="6">
        <f>$K$370*$V$370</f>
        <v>0</v>
      </c>
      <c r="AC370" s="6">
        <f>$M$370*$W$370</f>
        <v>19386.33165</v>
      </c>
      <c r="AD370" s="6">
        <f>$O$370*$X$370</f>
        <v>14073.493350000001</v>
      </c>
      <c r="AE370" s="6">
        <f>$K$370*$Y$370</f>
        <v>0</v>
      </c>
      <c r="AF370" s="6">
        <f ca="1">$M$370*$Z$370</f>
        <v>21887.580771271249</v>
      </c>
      <c r="AG370" s="6">
        <f>$O$370*$AA$370</f>
        <v>13241.397135719046</v>
      </c>
    </row>
    <row r="371" spans="1:33" ht="11.25" customHeight="1" x14ac:dyDescent="0.25">
      <c r="A371" s="4" t="s">
        <v>21</v>
      </c>
      <c r="B371" s="4" t="s">
        <v>32</v>
      </c>
      <c r="C371" s="4" t="s">
        <v>23</v>
      </c>
      <c r="D371" s="4" t="s">
        <v>38</v>
      </c>
      <c r="E371" s="4" t="s">
        <v>25</v>
      </c>
      <c r="F371" s="4" t="s">
        <v>25</v>
      </c>
      <c r="G371" s="4" t="s">
        <v>25</v>
      </c>
      <c r="H371" s="4" t="s">
        <v>25</v>
      </c>
      <c r="I371" s="5">
        <v>44682</v>
      </c>
      <c r="J371" s="6">
        <v>0</v>
      </c>
      <c r="K371" s="6">
        <v>0</v>
      </c>
      <c r="L371" s="6">
        <v>608.14400000000001</v>
      </c>
      <c r="M371" s="6">
        <v>608.14400000000001</v>
      </c>
      <c r="N371" s="6">
        <v>608.14400000000001</v>
      </c>
      <c r="O371" s="6">
        <v>608.14400000000001</v>
      </c>
      <c r="P371" s="6">
        <v>1641</v>
      </c>
      <c r="Q371" s="4" t="s">
        <v>26</v>
      </c>
      <c r="R371" s="4">
        <v>0</v>
      </c>
      <c r="S371" s="6">
        <v>0</v>
      </c>
      <c r="T371" s="6">
        <v>46</v>
      </c>
      <c r="U371" s="6">
        <v>83</v>
      </c>
      <c r="V371" s="6">
        <f>IF(ISERROR(VLOOKUP($S$371,'TAR FIN'!$A$1:$O$85,15,0)),0,VLOOKUP($S$371,'TAR FIN'!$A$1:$O$85,15,0))</f>
        <v>0</v>
      </c>
      <c r="W371" s="6">
        <f>IF(ISERROR(VLOOKUP($T$371,'TAR FIN'!$A$1:$O$85,15,0)),0,VLOOKUP($T$371,'TAR FIN'!$A$1:$O$85,15,0))</f>
        <v>333.15</v>
      </c>
      <c r="X371" s="6">
        <f>IF(ISERROR(VLOOKUP($U$371,'TAR FIN'!$A$1:$O$85,15,0)),0,VLOOKUP($U$371,'TAR FIN'!$A$1:$O$85,15,0))</f>
        <v>241.85</v>
      </c>
      <c r="Y371" s="6"/>
      <c r="Z371" s="6">
        <f ca="1">('TUSD BE'!$AM$48+'TUSD BF'!$AM$48+'TUSD CVA'!$AM$48)*1</f>
        <v>376.13343594836397</v>
      </c>
      <c r="AA371" s="6">
        <f>('TE BE'!$AB$39+'TE BF'!$AB$39+'TE CVA'!$AB$39)*1</f>
        <v>227.55060294064452</v>
      </c>
      <c r="AB371" s="6">
        <f>$K$371*$V$371</f>
        <v>0</v>
      </c>
      <c r="AC371" s="6">
        <f>$M$371*$W$371</f>
        <v>202603.17359999998</v>
      </c>
      <c r="AD371" s="6">
        <f>$O$371*$X$371</f>
        <v>147079.62640000001</v>
      </c>
      <c r="AE371" s="6">
        <f>$K$371*$Y$371</f>
        <v>0</v>
      </c>
      <c r="AF371" s="6">
        <f ca="1">$M$371*$Z$371</f>
        <v>228743.29227138186</v>
      </c>
      <c r="AG371" s="6">
        <f>$O$371*$AA$371</f>
        <v>138383.53387473532</v>
      </c>
    </row>
    <row r="372" spans="1:33" ht="11.25" customHeight="1" x14ac:dyDescent="0.25">
      <c r="A372" s="4" t="s">
        <v>27</v>
      </c>
      <c r="B372" s="4" t="s">
        <v>32</v>
      </c>
      <c r="C372" s="4" t="s">
        <v>23</v>
      </c>
      <c r="D372" s="4" t="s">
        <v>38</v>
      </c>
      <c r="E372" s="4" t="s">
        <v>25</v>
      </c>
      <c r="F372" s="4" t="s">
        <v>25</v>
      </c>
      <c r="G372" s="4" t="s">
        <v>25</v>
      </c>
      <c r="H372" s="4" t="s">
        <v>25</v>
      </c>
      <c r="I372" s="5">
        <v>44682</v>
      </c>
      <c r="J372" s="6">
        <v>0</v>
      </c>
      <c r="K372" s="6">
        <v>0</v>
      </c>
      <c r="L372" s="6">
        <v>64.507000000000005</v>
      </c>
      <c r="M372" s="6">
        <v>64.507000000000005</v>
      </c>
      <c r="N372" s="6">
        <v>64.507000000000005</v>
      </c>
      <c r="O372" s="6">
        <v>64.507000000000005</v>
      </c>
      <c r="P372" s="6">
        <v>111</v>
      </c>
      <c r="Q372" s="4" t="s">
        <v>26</v>
      </c>
      <c r="R372" s="4">
        <v>0</v>
      </c>
      <c r="S372" s="6">
        <v>0</v>
      </c>
      <c r="T372" s="6">
        <v>46</v>
      </c>
      <c r="U372" s="6">
        <v>83</v>
      </c>
      <c r="V372" s="6">
        <f>IF(ISERROR(VLOOKUP($S$372,'TAR FIN'!$A$1:$O$85,15,0)),0,VLOOKUP($S$372,'TAR FIN'!$A$1:$O$85,15,0))</f>
        <v>0</v>
      </c>
      <c r="W372" s="6">
        <f>IF(ISERROR(VLOOKUP($T$372,'TAR FIN'!$A$1:$O$85,15,0)),0,VLOOKUP($T$372,'TAR FIN'!$A$1:$O$85,15,0))</f>
        <v>333.15</v>
      </c>
      <c r="X372" s="6">
        <f>IF(ISERROR(VLOOKUP($U$372,'TAR FIN'!$A$1:$O$85,15,0)),0,VLOOKUP($U$372,'TAR FIN'!$A$1:$O$85,15,0))</f>
        <v>241.85</v>
      </c>
      <c r="Y372" s="6"/>
      <c r="Z372" s="6">
        <f ca="1">('TUSD BE'!$AM$48+'TUSD BF'!$AM$48+'TUSD CVA'!$AM$48)*1</f>
        <v>376.13343594836397</v>
      </c>
      <c r="AA372" s="6">
        <f>('TE BE'!$AB$39+'TE BF'!$AB$39+'TE CVA'!$AB$39)*1</f>
        <v>227.55060294064452</v>
      </c>
      <c r="AB372" s="6">
        <f>$K$372*$V$372</f>
        <v>0</v>
      </c>
      <c r="AC372" s="6">
        <f>$M$372*$W$372</f>
        <v>21490.50705</v>
      </c>
      <c r="AD372" s="6">
        <f>$O$372*$X$372</f>
        <v>15601.017950000001</v>
      </c>
      <c r="AE372" s="6">
        <f>$K$372*$Y$372</f>
        <v>0</v>
      </c>
      <c r="AF372" s="6">
        <f ca="1">$M$372*$Z$372</f>
        <v>24263.239552721116</v>
      </c>
      <c r="AG372" s="6">
        <f>$O$372*$AA$372</f>
        <v>14678.606743892158</v>
      </c>
    </row>
    <row r="373" spans="1:33" ht="11.25" customHeight="1" x14ac:dyDescent="0.25">
      <c r="A373" s="4" t="s">
        <v>21</v>
      </c>
      <c r="B373" s="4" t="s">
        <v>32</v>
      </c>
      <c r="C373" s="4" t="s">
        <v>23</v>
      </c>
      <c r="D373" s="4" t="s">
        <v>38</v>
      </c>
      <c r="E373" s="4" t="s">
        <v>25</v>
      </c>
      <c r="F373" s="4" t="s">
        <v>25</v>
      </c>
      <c r="G373" s="4" t="s">
        <v>25</v>
      </c>
      <c r="H373" s="4" t="s">
        <v>25</v>
      </c>
      <c r="I373" s="5">
        <v>44713</v>
      </c>
      <c r="J373" s="6">
        <v>0</v>
      </c>
      <c r="K373" s="6">
        <v>0</v>
      </c>
      <c r="L373" s="6">
        <v>633.66899999999998</v>
      </c>
      <c r="M373" s="6">
        <v>633.66899999999998</v>
      </c>
      <c r="N373" s="6">
        <v>633.66899999999998</v>
      </c>
      <c r="O373" s="6">
        <v>633.66899999999998</v>
      </c>
      <c r="P373" s="6">
        <v>1644</v>
      </c>
      <c r="Q373" s="4" t="s">
        <v>26</v>
      </c>
      <c r="R373" s="4">
        <v>0</v>
      </c>
      <c r="S373" s="6">
        <v>0</v>
      </c>
      <c r="T373" s="6">
        <v>46</v>
      </c>
      <c r="U373" s="6">
        <v>83</v>
      </c>
      <c r="V373" s="6">
        <f>IF(ISERROR(VLOOKUP($S$373,'TAR FIN'!$A$1:$O$85,15,0)),0,VLOOKUP($S$373,'TAR FIN'!$A$1:$O$85,15,0))</f>
        <v>0</v>
      </c>
      <c r="W373" s="6">
        <f>IF(ISERROR(VLOOKUP($T$373,'TAR FIN'!$A$1:$O$85,15,0)),0,VLOOKUP($T$373,'TAR FIN'!$A$1:$O$85,15,0))</f>
        <v>333.15</v>
      </c>
      <c r="X373" s="6">
        <f>IF(ISERROR(VLOOKUP($U$373,'TAR FIN'!$A$1:$O$85,15,0)),0,VLOOKUP($U$373,'TAR FIN'!$A$1:$O$85,15,0))</f>
        <v>241.85</v>
      </c>
      <c r="Y373" s="6"/>
      <c r="Z373" s="6">
        <f ca="1">('TUSD BE'!$AM$48+'TUSD BF'!$AM$48+'TUSD CVA'!$AM$48)*1</f>
        <v>376.13343594836397</v>
      </c>
      <c r="AA373" s="6">
        <f>('TE BE'!$AB$39+'TE BF'!$AB$39+'TE CVA'!$AB$39)*1</f>
        <v>227.55060294064452</v>
      </c>
      <c r="AB373" s="6">
        <f>$K$373*$V$373</f>
        <v>0</v>
      </c>
      <c r="AC373" s="6">
        <f>$M$373*$W$373</f>
        <v>211106.82734999998</v>
      </c>
      <c r="AD373" s="6">
        <f>$O$373*$X$373</f>
        <v>153252.84764999998</v>
      </c>
      <c r="AE373" s="6">
        <f>$K$373*$Y$373</f>
        <v>0</v>
      </c>
      <c r="AF373" s="6">
        <f ca="1">$M$373*$Z$373</f>
        <v>238344.09822396384</v>
      </c>
      <c r="AG373" s="6">
        <f>$O$373*$AA$373</f>
        <v>144191.76301479526</v>
      </c>
    </row>
    <row r="374" spans="1:33" ht="11.25" customHeight="1" x14ac:dyDescent="0.25">
      <c r="A374" s="4" t="s">
        <v>27</v>
      </c>
      <c r="B374" s="4" t="s">
        <v>32</v>
      </c>
      <c r="C374" s="4" t="s">
        <v>23</v>
      </c>
      <c r="D374" s="4" t="s">
        <v>38</v>
      </c>
      <c r="E374" s="4" t="s">
        <v>25</v>
      </c>
      <c r="F374" s="4" t="s">
        <v>25</v>
      </c>
      <c r="G374" s="4" t="s">
        <v>25</v>
      </c>
      <c r="H374" s="4" t="s">
        <v>25</v>
      </c>
      <c r="I374" s="5">
        <v>44713</v>
      </c>
      <c r="J374" s="6">
        <v>0</v>
      </c>
      <c r="K374" s="6">
        <v>0</v>
      </c>
      <c r="L374" s="6">
        <v>84.56</v>
      </c>
      <c r="M374" s="6">
        <v>84.56</v>
      </c>
      <c r="N374" s="6">
        <v>84.56</v>
      </c>
      <c r="O374" s="6">
        <v>84.56</v>
      </c>
      <c r="P374" s="6">
        <v>115</v>
      </c>
      <c r="Q374" s="4" t="s">
        <v>26</v>
      </c>
      <c r="R374" s="4">
        <v>0</v>
      </c>
      <c r="S374" s="6">
        <v>0</v>
      </c>
      <c r="T374" s="6">
        <v>46</v>
      </c>
      <c r="U374" s="6">
        <v>83</v>
      </c>
      <c r="V374" s="6">
        <f>IF(ISERROR(VLOOKUP($S$374,'TAR FIN'!$A$1:$O$85,15,0)),0,VLOOKUP($S$374,'TAR FIN'!$A$1:$O$85,15,0))</f>
        <v>0</v>
      </c>
      <c r="W374" s="6">
        <f>IF(ISERROR(VLOOKUP($T$374,'TAR FIN'!$A$1:$O$85,15,0)),0,VLOOKUP($T$374,'TAR FIN'!$A$1:$O$85,15,0))</f>
        <v>333.15</v>
      </c>
      <c r="X374" s="6">
        <f>IF(ISERROR(VLOOKUP($U$374,'TAR FIN'!$A$1:$O$85,15,0)),0,VLOOKUP($U$374,'TAR FIN'!$A$1:$O$85,15,0))</f>
        <v>241.85</v>
      </c>
      <c r="Y374" s="6"/>
      <c r="Z374" s="6">
        <f ca="1">('TUSD BE'!$AM$48+'TUSD BF'!$AM$48+'TUSD CVA'!$AM$48)*1</f>
        <v>376.13343594836397</v>
      </c>
      <c r="AA374" s="6">
        <f>('TE BE'!$AB$39+'TE BF'!$AB$39+'TE CVA'!$AB$39)*1</f>
        <v>227.55060294064452</v>
      </c>
      <c r="AB374" s="6">
        <f>$K$374*$V$374</f>
        <v>0</v>
      </c>
      <c r="AC374" s="6">
        <f>$M$374*$W$374</f>
        <v>28171.163999999997</v>
      </c>
      <c r="AD374" s="6">
        <f>$O$374*$X$374</f>
        <v>20450.835999999999</v>
      </c>
      <c r="AE374" s="6">
        <f>$K$374*$Y$374</f>
        <v>0</v>
      </c>
      <c r="AF374" s="6">
        <f ca="1">$M$374*$Z$374</f>
        <v>31805.843343793658</v>
      </c>
      <c r="AG374" s="6">
        <f>$O$374*$AA$374</f>
        <v>19241.678984660903</v>
      </c>
    </row>
    <row r="375" spans="1:33" ht="11.25" customHeight="1" x14ac:dyDescent="0.25">
      <c r="A375" s="4" t="s">
        <v>21</v>
      </c>
      <c r="B375" s="4" t="s">
        <v>32</v>
      </c>
      <c r="C375" s="4" t="s">
        <v>23</v>
      </c>
      <c r="D375" s="4" t="s">
        <v>47</v>
      </c>
      <c r="E375" s="4" t="s">
        <v>25</v>
      </c>
      <c r="F375" s="4" t="s">
        <v>25</v>
      </c>
      <c r="G375" s="4" t="s">
        <v>25</v>
      </c>
      <c r="H375" s="4" t="s">
        <v>25</v>
      </c>
      <c r="I375" s="5">
        <v>44378</v>
      </c>
      <c r="J375" s="6">
        <v>0</v>
      </c>
      <c r="K375" s="6">
        <v>0</v>
      </c>
      <c r="L375" s="6">
        <v>2.2789999999999999</v>
      </c>
      <c r="M375" s="6">
        <v>2.2789999999999999</v>
      </c>
      <c r="N375" s="6">
        <v>2.2789999999999999</v>
      </c>
      <c r="O375" s="6">
        <v>2.2789999999999999</v>
      </c>
      <c r="P375" s="6">
        <v>4</v>
      </c>
      <c r="Q375" s="4" t="s">
        <v>26</v>
      </c>
      <c r="R375" s="4">
        <v>0</v>
      </c>
      <c r="S375" s="6">
        <v>0</v>
      </c>
      <c r="T375" s="6">
        <v>46</v>
      </c>
      <c r="U375" s="6">
        <v>83</v>
      </c>
      <c r="V375" s="6">
        <f>IF(ISERROR(VLOOKUP($S$375,'TAR FIN'!$A$1:$O$85,15,0)),0,VLOOKUP($S$375,'TAR FIN'!$A$1:$O$85,15,0))</f>
        <v>0</v>
      </c>
      <c r="W375" s="6">
        <f>IF(ISERROR(VLOOKUP($T$375,'TAR FIN'!$A$1:$O$85,15,0)),0,VLOOKUP($T$375,'TAR FIN'!$A$1:$O$85,15,0))</f>
        <v>333.15</v>
      </c>
      <c r="X375" s="6">
        <f>IF(ISERROR(VLOOKUP($U$375,'TAR FIN'!$A$1:$O$85,15,0)),0,VLOOKUP($U$375,'TAR FIN'!$A$1:$O$85,15,0))</f>
        <v>241.85</v>
      </c>
      <c r="Y375" s="6"/>
      <c r="Z375" s="6">
        <f ca="1">('TUSD BE'!$AM$48+'TUSD BF'!$AM$48+'TUSD CVA'!$AM$48)*1</f>
        <v>376.13343594836397</v>
      </c>
      <c r="AA375" s="6">
        <f>('TE BE'!$AB$39+'TE BF'!$AB$39+'TE CVA'!$AB$39)*1</f>
        <v>227.55060294064452</v>
      </c>
      <c r="AB375" s="6">
        <f>$K$375*$V$375</f>
        <v>0</v>
      </c>
      <c r="AC375" s="6">
        <f>$M$375*$W$375</f>
        <v>759.24884999999995</v>
      </c>
      <c r="AD375" s="6">
        <f>$O$375*$X$375</f>
        <v>551.17615000000001</v>
      </c>
      <c r="AE375" s="6">
        <f>$K$375*$Y$375</f>
        <v>0</v>
      </c>
      <c r="AF375" s="6">
        <f ca="1">$M$375*$Z$375</f>
        <v>857.20810052632146</v>
      </c>
      <c r="AG375" s="6">
        <f>$O$375*$AA$375</f>
        <v>518.58782410172887</v>
      </c>
    </row>
    <row r="376" spans="1:33" ht="11.25" customHeight="1" x14ac:dyDescent="0.25">
      <c r="A376" s="4" t="s">
        <v>21</v>
      </c>
      <c r="B376" s="4" t="s">
        <v>32</v>
      </c>
      <c r="C376" s="4" t="s">
        <v>23</v>
      </c>
      <c r="D376" s="4" t="s">
        <v>47</v>
      </c>
      <c r="E376" s="4" t="s">
        <v>25</v>
      </c>
      <c r="F376" s="4" t="s">
        <v>25</v>
      </c>
      <c r="G376" s="4" t="s">
        <v>25</v>
      </c>
      <c r="H376" s="4" t="s">
        <v>25</v>
      </c>
      <c r="I376" s="5">
        <v>44409</v>
      </c>
      <c r="J376" s="6">
        <v>0</v>
      </c>
      <c r="K376" s="6">
        <v>0</v>
      </c>
      <c r="L376" s="6">
        <v>2.1070000000000002</v>
      </c>
      <c r="M376" s="6">
        <v>2.1070000000000002</v>
      </c>
      <c r="N376" s="6">
        <v>2.1070000000000002</v>
      </c>
      <c r="O376" s="6">
        <v>2.1070000000000002</v>
      </c>
      <c r="P376" s="6">
        <v>4</v>
      </c>
      <c r="Q376" s="4" t="s">
        <v>26</v>
      </c>
      <c r="R376" s="4">
        <v>0</v>
      </c>
      <c r="S376" s="6">
        <v>0</v>
      </c>
      <c r="T376" s="6">
        <v>46</v>
      </c>
      <c r="U376" s="6">
        <v>83</v>
      </c>
      <c r="V376" s="6">
        <f>IF(ISERROR(VLOOKUP($S$376,'TAR FIN'!$A$1:$O$85,15,0)),0,VLOOKUP($S$376,'TAR FIN'!$A$1:$O$85,15,0))</f>
        <v>0</v>
      </c>
      <c r="W376" s="6">
        <f>IF(ISERROR(VLOOKUP($T$376,'TAR FIN'!$A$1:$O$85,15,0)),0,VLOOKUP($T$376,'TAR FIN'!$A$1:$O$85,15,0))</f>
        <v>333.15</v>
      </c>
      <c r="X376" s="6">
        <f>IF(ISERROR(VLOOKUP($U$376,'TAR FIN'!$A$1:$O$85,15,0)),0,VLOOKUP($U$376,'TAR FIN'!$A$1:$O$85,15,0))</f>
        <v>241.85</v>
      </c>
      <c r="Y376" s="6"/>
      <c r="Z376" s="6">
        <f ca="1">('TUSD BE'!$AM$48+'TUSD BF'!$AM$48+'TUSD CVA'!$AM$48)*1</f>
        <v>376.13343594836397</v>
      </c>
      <c r="AA376" s="6">
        <f>('TE BE'!$AB$39+'TE BF'!$AB$39+'TE CVA'!$AB$39)*1</f>
        <v>227.55060294064452</v>
      </c>
      <c r="AB376" s="6">
        <f>$K$376*$V$376</f>
        <v>0</v>
      </c>
      <c r="AC376" s="6">
        <f>$M$376*$W$376</f>
        <v>701.94704999999999</v>
      </c>
      <c r="AD376" s="6">
        <f>$O$376*$X$376</f>
        <v>509.57795000000004</v>
      </c>
      <c r="AE376" s="6">
        <f>$K$376*$Y$376</f>
        <v>0</v>
      </c>
      <c r="AF376" s="6">
        <f ca="1">$M$376*$Z$376</f>
        <v>792.51314954320299</v>
      </c>
      <c r="AG376" s="6">
        <f>$O$376*$AA$376</f>
        <v>479.44912039593805</v>
      </c>
    </row>
    <row r="377" spans="1:33" ht="11.25" customHeight="1" x14ac:dyDescent="0.25">
      <c r="A377" s="4" t="s">
        <v>21</v>
      </c>
      <c r="B377" s="4" t="s">
        <v>32</v>
      </c>
      <c r="C377" s="4" t="s">
        <v>23</v>
      </c>
      <c r="D377" s="4" t="s">
        <v>47</v>
      </c>
      <c r="E377" s="4" t="s">
        <v>25</v>
      </c>
      <c r="F377" s="4" t="s">
        <v>25</v>
      </c>
      <c r="G377" s="4" t="s">
        <v>25</v>
      </c>
      <c r="H377" s="4" t="s">
        <v>25</v>
      </c>
      <c r="I377" s="5">
        <v>44440</v>
      </c>
      <c r="J377" s="6">
        <v>0</v>
      </c>
      <c r="K377" s="6">
        <v>0</v>
      </c>
      <c r="L377" s="6">
        <v>1.6970000000000001</v>
      </c>
      <c r="M377" s="6">
        <v>1.6970000000000001</v>
      </c>
      <c r="N377" s="6">
        <v>1.6970000000000001</v>
      </c>
      <c r="O377" s="6">
        <v>1.6970000000000001</v>
      </c>
      <c r="P377" s="6">
        <v>4</v>
      </c>
      <c r="Q377" s="4" t="s">
        <v>26</v>
      </c>
      <c r="R377" s="4">
        <v>0</v>
      </c>
      <c r="S377" s="6">
        <v>0</v>
      </c>
      <c r="T377" s="6">
        <v>46</v>
      </c>
      <c r="U377" s="6">
        <v>83</v>
      </c>
      <c r="V377" s="6">
        <f>IF(ISERROR(VLOOKUP($S$377,'TAR FIN'!$A$1:$O$85,15,0)),0,VLOOKUP($S$377,'TAR FIN'!$A$1:$O$85,15,0))</f>
        <v>0</v>
      </c>
      <c r="W377" s="6">
        <f>IF(ISERROR(VLOOKUP($T$377,'TAR FIN'!$A$1:$O$85,15,0)),0,VLOOKUP($T$377,'TAR FIN'!$A$1:$O$85,15,0))</f>
        <v>333.15</v>
      </c>
      <c r="X377" s="6">
        <f>IF(ISERROR(VLOOKUP($U$377,'TAR FIN'!$A$1:$O$85,15,0)),0,VLOOKUP($U$377,'TAR FIN'!$A$1:$O$85,15,0))</f>
        <v>241.85</v>
      </c>
      <c r="Y377" s="6"/>
      <c r="Z377" s="6">
        <f ca="1">('TUSD BE'!$AM$48+'TUSD BF'!$AM$48+'TUSD CVA'!$AM$48)*1</f>
        <v>376.13343594836397</v>
      </c>
      <c r="AA377" s="6">
        <f>('TE BE'!$AB$39+'TE BF'!$AB$39+'TE CVA'!$AB$39)*1</f>
        <v>227.55060294064452</v>
      </c>
      <c r="AB377" s="6">
        <f>$K$377*$V$377</f>
        <v>0</v>
      </c>
      <c r="AC377" s="6">
        <f>$M$377*$W$377</f>
        <v>565.35554999999999</v>
      </c>
      <c r="AD377" s="6">
        <f>$O$377*$X$377</f>
        <v>410.41944999999998</v>
      </c>
      <c r="AE377" s="6">
        <f>$K$377*$Y$377</f>
        <v>0</v>
      </c>
      <c r="AF377" s="6">
        <f ca="1">$M$377*$Z$377</f>
        <v>638.29844080437363</v>
      </c>
      <c r="AG377" s="6">
        <f>$O$377*$AA$377</f>
        <v>386.15337319027378</v>
      </c>
    </row>
    <row r="378" spans="1:33" ht="11.25" customHeight="1" x14ac:dyDescent="0.25">
      <c r="A378" s="4" t="s">
        <v>21</v>
      </c>
      <c r="B378" s="4" t="s">
        <v>32</v>
      </c>
      <c r="C378" s="4" t="s">
        <v>23</v>
      </c>
      <c r="D378" s="4" t="s">
        <v>47</v>
      </c>
      <c r="E378" s="4" t="s">
        <v>25</v>
      </c>
      <c r="F378" s="4" t="s">
        <v>25</v>
      </c>
      <c r="G378" s="4" t="s">
        <v>25</v>
      </c>
      <c r="H378" s="4" t="s">
        <v>25</v>
      </c>
      <c r="I378" s="5">
        <v>44470</v>
      </c>
      <c r="J378" s="6">
        <v>0</v>
      </c>
      <c r="K378" s="6">
        <v>0</v>
      </c>
      <c r="L378" s="6">
        <v>1.669</v>
      </c>
      <c r="M378" s="6">
        <v>1.669</v>
      </c>
      <c r="N378" s="6">
        <v>1.669</v>
      </c>
      <c r="O378" s="6">
        <v>1.669</v>
      </c>
      <c r="P378" s="6">
        <v>4</v>
      </c>
      <c r="Q378" s="4" t="s">
        <v>26</v>
      </c>
      <c r="R378" s="4">
        <v>0</v>
      </c>
      <c r="S378" s="6">
        <v>0</v>
      </c>
      <c r="T378" s="6">
        <v>46</v>
      </c>
      <c r="U378" s="6">
        <v>83</v>
      </c>
      <c r="V378" s="6">
        <f>IF(ISERROR(VLOOKUP($S$378,'TAR FIN'!$A$1:$O$85,15,0)),0,VLOOKUP($S$378,'TAR FIN'!$A$1:$O$85,15,0))</f>
        <v>0</v>
      </c>
      <c r="W378" s="6">
        <f>IF(ISERROR(VLOOKUP($T$378,'TAR FIN'!$A$1:$O$85,15,0)),0,VLOOKUP($T$378,'TAR FIN'!$A$1:$O$85,15,0))</f>
        <v>333.15</v>
      </c>
      <c r="X378" s="6">
        <f>IF(ISERROR(VLOOKUP($U$378,'TAR FIN'!$A$1:$O$85,15,0)),0,VLOOKUP($U$378,'TAR FIN'!$A$1:$O$85,15,0))</f>
        <v>241.85</v>
      </c>
      <c r="Y378" s="6"/>
      <c r="Z378" s="6">
        <f ca="1">('TUSD BE'!$AM$48+'TUSD BF'!$AM$48+'TUSD CVA'!$AM$48)*1</f>
        <v>376.13343594836397</v>
      </c>
      <c r="AA378" s="6">
        <f>('TE BE'!$AB$39+'TE BF'!$AB$39+'TE CVA'!$AB$39)*1</f>
        <v>227.55060294064452</v>
      </c>
      <c r="AB378" s="6">
        <f>$K$378*$V$378</f>
        <v>0</v>
      </c>
      <c r="AC378" s="6">
        <f>$M$378*$W$378</f>
        <v>556.02734999999996</v>
      </c>
      <c r="AD378" s="6">
        <f>$O$378*$X$378</f>
        <v>403.64765</v>
      </c>
      <c r="AE378" s="6">
        <f>$K$378*$Y$378</f>
        <v>0</v>
      </c>
      <c r="AF378" s="6">
        <f ca="1">$M$378*$Z$378</f>
        <v>627.76670459781951</v>
      </c>
      <c r="AG378" s="6">
        <f>$O$378*$AA$378</f>
        <v>379.78195630793573</v>
      </c>
    </row>
    <row r="379" spans="1:33" ht="11.25" customHeight="1" x14ac:dyDescent="0.25">
      <c r="A379" s="4" t="s">
        <v>21</v>
      </c>
      <c r="B379" s="4" t="s">
        <v>32</v>
      </c>
      <c r="C379" s="4" t="s">
        <v>23</v>
      </c>
      <c r="D379" s="4" t="s">
        <v>47</v>
      </c>
      <c r="E379" s="4" t="s">
        <v>25</v>
      </c>
      <c r="F379" s="4" t="s">
        <v>25</v>
      </c>
      <c r="G379" s="4" t="s">
        <v>25</v>
      </c>
      <c r="H379" s="4" t="s">
        <v>25</v>
      </c>
      <c r="I379" s="5">
        <v>44501</v>
      </c>
      <c r="J379" s="6">
        <v>0</v>
      </c>
      <c r="K379" s="6">
        <v>0</v>
      </c>
      <c r="L379" s="6">
        <v>2.1970000000000001</v>
      </c>
      <c r="M379" s="6">
        <v>2.1970000000000001</v>
      </c>
      <c r="N379" s="6">
        <v>2.1970000000000001</v>
      </c>
      <c r="O379" s="6">
        <v>2.1970000000000001</v>
      </c>
      <c r="P379" s="6">
        <v>4</v>
      </c>
      <c r="Q379" s="4" t="s">
        <v>26</v>
      </c>
      <c r="R379" s="4">
        <v>0</v>
      </c>
      <c r="S379" s="6">
        <v>0</v>
      </c>
      <c r="T379" s="6">
        <v>46</v>
      </c>
      <c r="U379" s="6">
        <v>83</v>
      </c>
      <c r="V379" s="6">
        <f>IF(ISERROR(VLOOKUP($S$379,'TAR FIN'!$A$1:$O$85,15,0)),0,VLOOKUP($S$379,'TAR FIN'!$A$1:$O$85,15,0))</f>
        <v>0</v>
      </c>
      <c r="W379" s="6">
        <f>IF(ISERROR(VLOOKUP($T$379,'TAR FIN'!$A$1:$O$85,15,0)),0,VLOOKUP($T$379,'TAR FIN'!$A$1:$O$85,15,0))</f>
        <v>333.15</v>
      </c>
      <c r="X379" s="6">
        <f>IF(ISERROR(VLOOKUP($U$379,'TAR FIN'!$A$1:$O$85,15,0)),0,VLOOKUP($U$379,'TAR FIN'!$A$1:$O$85,15,0))</f>
        <v>241.85</v>
      </c>
      <c r="Y379" s="6"/>
      <c r="Z379" s="6">
        <f ca="1">('TUSD BE'!$AM$48+'TUSD BF'!$AM$48+'TUSD CVA'!$AM$48)*1</f>
        <v>376.13343594836397</v>
      </c>
      <c r="AA379" s="6">
        <f>('TE BE'!$AB$39+'TE BF'!$AB$39+'TE CVA'!$AB$39)*1</f>
        <v>227.55060294064452</v>
      </c>
      <c r="AB379" s="6">
        <f>$K$379*$V$379</f>
        <v>0</v>
      </c>
      <c r="AC379" s="6">
        <f>$M$379*$W$379</f>
        <v>731.93054999999993</v>
      </c>
      <c r="AD379" s="6">
        <f>$O$379*$X$379</f>
        <v>531.34445000000005</v>
      </c>
      <c r="AE379" s="6">
        <f>$K$379*$Y$379</f>
        <v>0</v>
      </c>
      <c r="AF379" s="6">
        <f ca="1">$M$379*$Z$379</f>
        <v>826.36515877855561</v>
      </c>
      <c r="AG379" s="6">
        <f>$O$379*$AA$379</f>
        <v>499.92867466059602</v>
      </c>
    </row>
    <row r="380" spans="1:33" ht="11.25" customHeight="1" x14ac:dyDescent="0.25">
      <c r="A380" s="4" t="s">
        <v>21</v>
      </c>
      <c r="B380" s="4" t="s">
        <v>32</v>
      </c>
      <c r="C380" s="4" t="s">
        <v>23</v>
      </c>
      <c r="D380" s="4" t="s">
        <v>47</v>
      </c>
      <c r="E380" s="4" t="s">
        <v>25</v>
      </c>
      <c r="F380" s="4" t="s">
        <v>25</v>
      </c>
      <c r="G380" s="4" t="s">
        <v>25</v>
      </c>
      <c r="H380" s="4" t="s">
        <v>25</v>
      </c>
      <c r="I380" s="5">
        <v>44531</v>
      </c>
      <c r="J380" s="6">
        <v>0</v>
      </c>
      <c r="K380" s="6">
        <v>0</v>
      </c>
      <c r="L380" s="6">
        <v>2.5529999999999999</v>
      </c>
      <c r="M380" s="6">
        <v>2.5529999999999999</v>
      </c>
      <c r="N380" s="6">
        <v>2.5529999999999999</v>
      </c>
      <c r="O380" s="6">
        <v>2.5529999999999999</v>
      </c>
      <c r="P380" s="6">
        <v>4</v>
      </c>
      <c r="Q380" s="4" t="s">
        <v>26</v>
      </c>
      <c r="R380" s="4">
        <v>0</v>
      </c>
      <c r="S380" s="6">
        <v>0</v>
      </c>
      <c r="T380" s="6">
        <v>46</v>
      </c>
      <c r="U380" s="6">
        <v>83</v>
      </c>
      <c r="V380" s="6">
        <f>IF(ISERROR(VLOOKUP($S$380,'TAR FIN'!$A$1:$O$85,15,0)),0,VLOOKUP($S$380,'TAR FIN'!$A$1:$O$85,15,0))</f>
        <v>0</v>
      </c>
      <c r="W380" s="6">
        <f>IF(ISERROR(VLOOKUP($T$380,'TAR FIN'!$A$1:$O$85,15,0)),0,VLOOKUP($T$380,'TAR FIN'!$A$1:$O$85,15,0))</f>
        <v>333.15</v>
      </c>
      <c r="X380" s="6">
        <f>IF(ISERROR(VLOOKUP($U$380,'TAR FIN'!$A$1:$O$85,15,0)),0,VLOOKUP($U$380,'TAR FIN'!$A$1:$O$85,15,0))</f>
        <v>241.85</v>
      </c>
      <c r="Y380" s="6"/>
      <c r="Z380" s="6">
        <f ca="1">('TUSD BE'!$AM$48+'TUSD BF'!$AM$48+'TUSD CVA'!$AM$48)*1</f>
        <v>376.13343594836397</v>
      </c>
      <c r="AA380" s="6">
        <f>('TE BE'!$AB$39+'TE BF'!$AB$39+'TE CVA'!$AB$39)*1</f>
        <v>227.55060294064452</v>
      </c>
      <c r="AB380" s="6">
        <f>$K$380*$V$380</f>
        <v>0</v>
      </c>
      <c r="AC380" s="6">
        <f>$M$380*$W$380</f>
        <v>850.53194999999994</v>
      </c>
      <c r="AD380" s="6">
        <f>$O$380*$X$380</f>
        <v>617.44304999999997</v>
      </c>
      <c r="AE380" s="6">
        <f>$K$380*$Y$380</f>
        <v>0</v>
      </c>
      <c r="AF380" s="6">
        <f ca="1">$M$380*$Z$380</f>
        <v>960.26866197617323</v>
      </c>
      <c r="AG380" s="6">
        <f>$O$380*$AA$380</f>
        <v>580.93668930746549</v>
      </c>
    </row>
    <row r="381" spans="1:33" ht="11.25" customHeight="1" x14ac:dyDescent="0.25">
      <c r="A381" s="4" t="s">
        <v>21</v>
      </c>
      <c r="B381" s="4" t="s">
        <v>32</v>
      </c>
      <c r="C381" s="4" t="s">
        <v>23</v>
      </c>
      <c r="D381" s="4" t="s">
        <v>47</v>
      </c>
      <c r="E381" s="4" t="s">
        <v>25</v>
      </c>
      <c r="F381" s="4" t="s">
        <v>25</v>
      </c>
      <c r="G381" s="4" t="s">
        <v>25</v>
      </c>
      <c r="H381" s="4" t="s">
        <v>25</v>
      </c>
      <c r="I381" s="5">
        <v>44562</v>
      </c>
      <c r="J381" s="6">
        <v>0</v>
      </c>
      <c r="K381" s="6">
        <v>0</v>
      </c>
      <c r="L381" s="6">
        <v>3.0910000000000002</v>
      </c>
      <c r="M381" s="6">
        <v>3.0910000000000002</v>
      </c>
      <c r="N381" s="6">
        <v>3.0910000000000002</v>
      </c>
      <c r="O381" s="6">
        <v>3.0910000000000002</v>
      </c>
      <c r="P381" s="6">
        <v>4</v>
      </c>
      <c r="Q381" s="4" t="s">
        <v>26</v>
      </c>
      <c r="R381" s="4">
        <v>0</v>
      </c>
      <c r="S381" s="6">
        <v>0</v>
      </c>
      <c r="T381" s="6">
        <v>46</v>
      </c>
      <c r="U381" s="6">
        <v>83</v>
      </c>
      <c r="V381" s="6">
        <f>IF(ISERROR(VLOOKUP($S$381,'TAR FIN'!$A$1:$O$85,15,0)),0,VLOOKUP($S$381,'TAR FIN'!$A$1:$O$85,15,0))</f>
        <v>0</v>
      </c>
      <c r="W381" s="6">
        <f>IF(ISERROR(VLOOKUP($T$381,'TAR FIN'!$A$1:$O$85,15,0)),0,VLOOKUP($T$381,'TAR FIN'!$A$1:$O$85,15,0))</f>
        <v>333.15</v>
      </c>
      <c r="X381" s="6">
        <f>IF(ISERROR(VLOOKUP($U$381,'TAR FIN'!$A$1:$O$85,15,0)),0,VLOOKUP($U$381,'TAR FIN'!$A$1:$O$85,15,0))</f>
        <v>241.85</v>
      </c>
      <c r="Y381" s="6"/>
      <c r="Z381" s="6">
        <f ca="1">('TUSD BE'!$AM$48+'TUSD BF'!$AM$48+'TUSD CVA'!$AM$48)*1</f>
        <v>376.13343594836397</v>
      </c>
      <c r="AA381" s="6">
        <f>('TE BE'!$AB$39+'TE BF'!$AB$39+'TE CVA'!$AB$39)*1</f>
        <v>227.55060294064452</v>
      </c>
      <c r="AB381" s="6">
        <f>$K$381*$V$381</f>
        <v>0</v>
      </c>
      <c r="AC381" s="6">
        <f>$M$381*$W$381</f>
        <v>1029.76665</v>
      </c>
      <c r="AD381" s="6">
        <f>$O$381*$X$381</f>
        <v>747.55835000000002</v>
      </c>
      <c r="AE381" s="6">
        <f>$K$381*$Y$381</f>
        <v>0</v>
      </c>
      <c r="AF381" s="6">
        <f ca="1">$M$381*$Z$381</f>
        <v>1162.6284505163931</v>
      </c>
      <c r="AG381" s="6">
        <f>$O$381*$AA$381</f>
        <v>703.3589136895323</v>
      </c>
    </row>
    <row r="382" spans="1:33" ht="11.25" customHeight="1" x14ac:dyDescent="0.25">
      <c r="A382" s="4" t="s">
        <v>21</v>
      </c>
      <c r="B382" s="4" t="s">
        <v>32</v>
      </c>
      <c r="C382" s="4" t="s">
        <v>23</v>
      </c>
      <c r="D382" s="4" t="s">
        <v>47</v>
      </c>
      <c r="E382" s="4" t="s">
        <v>25</v>
      </c>
      <c r="F382" s="4" t="s">
        <v>25</v>
      </c>
      <c r="G382" s="4" t="s">
        <v>25</v>
      </c>
      <c r="H382" s="4" t="s">
        <v>25</v>
      </c>
      <c r="I382" s="5">
        <v>44593</v>
      </c>
      <c r="J382" s="6">
        <v>0</v>
      </c>
      <c r="K382" s="6">
        <v>0</v>
      </c>
      <c r="L382" s="6">
        <v>3.4940000000000002</v>
      </c>
      <c r="M382" s="6">
        <v>3.4940000000000002</v>
      </c>
      <c r="N382" s="6">
        <v>3.4940000000000002</v>
      </c>
      <c r="O382" s="6">
        <v>3.4940000000000002</v>
      </c>
      <c r="P382" s="6">
        <v>4</v>
      </c>
      <c r="Q382" s="4" t="s">
        <v>26</v>
      </c>
      <c r="R382" s="4">
        <v>0</v>
      </c>
      <c r="S382" s="6">
        <v>0</v>
      </c>
      <c r="T382" s="6">
        <v>46</v>
      </c>
      <c r="U382" s="6">
        <v>83</v>
      </c>
      <c r="V382" s="6">
        <f>IF(ISERROR(VLOOKUP($S$382,'TAR FIN'!$A$1:$O$85,15,0)),0,VLOOKUP($S$382,'TAR FIN'!$A$1:$O$85,15,0))</f>
        <v>0</v>
      </c>
      <c r="W382" s="6">
        <f>IF(ISERROR(VLOOKUP($T$382,'TAR FIN'!$A$1:$O$85,15,0)),0,VLOOKUP($T$382,'TAR FIN'!$A$1:$O$85,15,0))</f>
        <v>333.15</v>
      </c>
      <c r="X382" s="6">
        <f>IF(ISERROR(VLOOKUP($U$382,'TAR FIN'!$A$1:$O$85,15,0)),0,VLOOKUP($U$382,'TAR FIN'!$A$1:$O$85,15,0))</f>
        <v>241.85</v>
      </c>
      <c r="Y382" s="6"/>
      <c r="Z382" s="6">
        <f ca="1">('TUSD BE'!$AM$48+'TUSD BF'!$AM$48+'TUSD CVA'!$AM$48)*1</f>
        <v>376.13343594836397</v>
      </c>
      <c r="AA382" s="6">
        <f>('TE BE'!$AB$39+'TE BF'!$AB$39+'TE CVA'!$AB$39)*1</f>
        <v>227.55060294064452</v>
      </c>
      <c r="AB382" s="6">
        <f>$K$382*$V$382</f>
        <v>0</v>
      </c>
      <c r="AC382" s="6">
        <f>$M$382*$W$382</f>
        <v>1164.0261</v>
      </c>
      <c r="AD382" s="6">
        <f>$O$382*$X$382</f>
        <v>845.02390000000003</v>
      </c>
      <c r="AE382" s="6">
        <f>$K$382*$Y$382</f>
        <v>0</v>
      </c>
      <c r="AF382" s="6">
        <f ca="1">$M$382*$Z$382</f>
        <v>1314.2102252035838</v>
      </c>
      <c r="AG382" s="6">
        <f>$O$382*$AA$382</f>
        <v>795.06180667461206</v>
      </c>
    </row>
    <row r="383" spans="1:33" ht="11.25" customHeight="1" x14ac:dyDescent="0.25">
      <c r="A383" s="4" t="s">
        <v>21</v>
      </c>
      <c r="B383" s="4" t="s">
        <v>32</v>
      </c>
      <c r="C383" s="4" t="s">
        <v>23</v>
      </c>
      <c r="D383" s="4" t="s">
        <v>47</v>
      </c>
      <c r="E383" s="4" t="s">
        <v>25</v>
      </c>
      <c r="F383" s="4" t="s">
        <v>25</v>
      </c>
      <c r="G383" s="4" t="s">
        <v>25</v>
      </c>
      <c r="H383" s="4" t="s">
        <v>25</v>
      </c>
      <c r="I383" s="5">
        <v>44621</v>
      </c>
      <c r="J383" s="6">
        <v>0</v>
      </c>
      <c r="K383" s="6">
        <v>0</v>
      </c>
      <c r="L383" s="6">
        <v>2.7389999999999999</v>
      </c>
      <c r="M383" s="6">
        <v>2.7389999999999999</v>
      </c>
      <c r="N383" s="6">
        <v>2.7389999999999999</v>
      </c>
      <c r="O383" s="6">
        <v>2.7389999999999999</v>
      </c>
      <c r="P383" s="6">
        <v>4</v>
      </c>
      <c r="Q383" s="4" t="s">
        <v>26</v>
      </c>
      <c r="R383" s="4">
        <v>0</v>
      </c>
      <c r="S383" s="6">
        <v>0</v>
      </c>
      <c r="T383" s="6">
        <v>46</v>
      </c>
      <c r="U383" s="6">
        <v>83</v>
      </c>
      <c r="V383" s="6">
        <f>IF(ISERROR(VLOOKUP($S$383,'TAR FIN'!$A$1:$O$85,15,0)),0,VLOOKUP($S$383,'TAR FIN'!$A$1:$O$85,15,0))</f>
        <v>0</v>
      </c>
      <c r="W383" s="6">
        <f>IF(ISERROR(VLOOKUP($T$383,'TAR FIN'!$A$1:$O$85,15,0)),0,VLOOKUP($T$383,'TAR FIN'!$A$1:$O$85,15,0))</f>
        <v>333.15</v>
      </c>
      <c r="X383" s="6">
        <f>IF(ISERROR(VLOOKUP($U$383,'TAR FIN'!$A$1:$O$85,15,0)),0,VLOOKUP($U$383,'TAR FIN'!$A$1:$O$85,15,0))</f>
        <v>241.85</v>
      </c>
      <c r="Y383" s="6"/>
      <c r="Z383" s="6">
        <f ca="1">('TUSD BE'!$AM$48+'TUSD BF'!$AM$48+'TUSD CVA'!$AM$48)*1</f>
        <v>376.13343594836397</v>
      </c>
      <c r="AA383" s="6">
        <f>('TE BE'!$AB$39+'TE BF'!$AB$39+'TE CVA'!$AB$39)*1</f>
        <v>227.55060294064452</v>
      </c>
      <c r="AB383" s="6">
        <f>$K$383*$V$383</f>
        <v>0</v>
      </c>
      <c r="AC383" s="6">
        <f>$M$383*$W$383</f>
        <v>912.49784999999986</v>
      </c>
      <c r="AD383" s="6">
        <f>$O$383*$X$383</f>
        <v>662.42714999999998</v>
      </c>
      <c r="AE383" s="6">
        <f>$K$383*$Y$383</f>
        <v>0</v>
      </c>
      <c r="AF383" s="6">
        <f ca="1">$M$383*$Z$383</f>
        <v>1030.2294810625688</v>
      </c>
      <c r="AG383" s="6">
        <f>$O$383*$AA$383</f>
        <v>623.26110145442533</v>
      </c>
    </row>
    <row r="384" spans="1:33" ht="11.25" customHeight="1" x14ac:dyDescent="0.25">
      <c r="A384" s="4" t="s">
        <v>21</v>
      </c>
      <c r="B384" s="4" t="s">
        <v>32</v>
      </c>
      <c r="C384" s="4" t="s">
        <v>23</v>
      </c>
      <c r="D384" s="4" t="s">
        <v>47</v>
      </c>
      <c r="E384" s="4" t="s">
        <v>25</v>
      </c>
      <c r="F384" s="4" t="s">
        <v>25</v>
      </c>
      <c r="G384" s="4" t="s">
        <v>25</v>
      </c>
      <c r="H384" s="4" t="s">
        <v>25</v>
      </c>
      <c r="I384" s="5">
        <v>44652</v>
      </c>
      <c r="J384" s="6">
        <v>0</v>
      </c>
      <c r="K384" s="6">
        <v>0</v>
      </c>
      <c r="L384" s="6">
        <v>1.863</v>
      </c>
      <c r="M384" s="6">
        <v>1.863</v>
      </c>
      <c r="N384" s="6">
        <v>1.863</v>
      </c>
      <c r="O384" s="6">
        <v>1.863</v>
      </c>
      <c r="P384" s="6">
        <v>4</v>
      </c>
      <c r="Q384" s="4" t="s">
        <v>26</v>
      </c>
      <c r="R384" s="4">
        <v>0</v>
      </c>
      <c r="S384" s="6">
        <v>0</v>
      </c>
      <c r="T384" s="6">
        <v>46</v>
      </c>
      <c r="U384" s="6">
        <v>83</v>
      </c>
      <c r="V384" s="6">
        <f>IF(ISERROR(VLOOKUP($S$384,'TAR FIN'!$A$1:$O$85,15,0)),0,VLOOKUP($S$384,'TAR FIN'!$A$1:$O$85,15,0))</f>
        <v>0</v>
      </c>
      <c r="W384" s="6">
        <f>IF(ISERROR(VLOOKUP($T$384,'TAR FIN'!$A$1:$O$85,15,0)),0,VLOOKUP($T$384,'TAR FIN'!$A$1:$O$85,15,0))</f>
        <v>333.15</v>
      </c>
      <c r="X384" s="6">
        <f>IF(ISERROR(VLOOKUP($U$384,'TAR FIN'!$A$1:$O$85,15,0)),0,VLOOKUP($U$384,'TAR FIN'!$A$1:$O$85,15,0))</f>
        <v>241.85</v>
      </c>
      <c r="Y384" s="6"/>
      <c r="Z384" s="6">
        <f ca="1">('TUSD BE'!$AM$48+'TUSD BF'!$AM$48+'TUSD CVA'!$AM$48)*1</f>
        <v>376.13343594836397</v>
      </c>
      <c r="AA384" s="6">
        <f>('TE BE'!$AB$39+'TE BF'!$AB$39+'TE CVA'!$AB$39)*1</f>
        <v>227.55060294064452</v>
      </c>
      <c r="AB384" s="6">
        <f>$K$384*$V$384</f>
        <v>0</v>
      </c>
      <c r="AC384" s="6">
        <f>$M$384*$W$384</f>
        <v>620.6584499999999</v>
      </c>
      <c r="AD384" s="6">
        <f>$O$384*$X$384</f>
        <v>450.56655000000001</v>
      </c>
      <c r="AE384" s="6">
        <f>$K$384*$Y$384</f>
        <v>0</v>
      </c>
      <c r="AF384" s="6">
        <f ca="1">$M$384*$Z$384</f>
        <v>700.73659117180205</v>
      </c>
      <c r="AG384" s="6">
        <f>$O$384*$AA$384</f>
        <v>423.92677327842074</v>
      </c>
    </row>
    <row r="385" spans="1:33" ht="11.25" customHeight="1" x14ac:dyDescent="0.25">
      <c r="A385" s="4" t="s">
        <v>21</v>
      </c>
      <c r="B385" s="4" t="s">
        <v>32</v>
      </c>
      <c r="C385" s="4" t="s">
        <v>23</v>
      </c>
      <c r="D385" s="4" t="s">
        <v>47</v>
      </c>
      <c r="E385" s="4" t="s">
        <v>25</v>
      </c>
      <c r="F385" s="4" t="s">
        <v>25</v>
      </c>
      <c r="G385" s="4" t="s">
        <v>25</v>
      </c>
      <c r="H385" s="4" t="s">
        <v>25</v>
      </c>
      <c r="I385" s="5">
        <v>44682</v>
      </c>
      <c r="J385" s="6">
        <v>0</v>
      </c>
      <c r="K385" s="6">
        <v>0</v>
      </c>
      <c r="L385" s="6">
        <v>1.839</v>
      </c>
      <c r="M385" s="6">
        <v>1.839</v>
      </c>
      <c r="N385" s="6">
        <v>1.839</v>
      </c>
      <c r="O385" s="6">
        <v>1.839</v>
      </c>
      <c r="P385" s="6">
        <v>4</v>
      </c>
      <c r="Q385" s="4" t="s">
        <v>26</v>
      </c>
      <c r="R385" s="4">
        <v>0</v>
      </c>
      <c r="S385" s="6">
        <v>0</v>
      </c>
      <c r="T385" s="6">
        <v>46</v>
      </c>
      <c r="U385" s="6">
        <v>83</v>
      </c>
      <c r="V385" s="6">
        <f>IF(ISERROR(VLOOKUP($S$385,'TAR FIN'!$A$1:$O$85,15,0)),0,VLOOKUP($S$385,'TAR FIN'!$A$1:$O$85,15,0))</f>
        <v>0</v>
      </c>
      <c r="W385" s="6">
        <f>IF(ISERROR(VLOOKUP($T$385,'TAR FIN'!$A$1:$O$85,15,0)),0,VLOOKUP($T$385,'TAR FIN'!$A$1:$O$85,15,0))</f>
        <v>333.15</v>
      </c>
      <c r="X385" s="6">
        <f>IF(ISERROR(VLOOKUP($U$385,'TAR FIN'!$A$1:$O$85,15,0)),0,VLOOKUP($U$385,'TAR FIN'!$A$1:$O$85,15,0))</f>
        <v>241.85</v>
      </c>
      <c r="Y385" s="6"/>
      <c r="Z385" s="6">
        <f ca="1">('TUSD BE'!$AM$48+'TUSD BF'!$AM$48+'TUSD CVA'!$AM$48)*1</f>
        <v>376.13343594836397</v>
      </c>
      <c r="AA385" s="6">
        <f>('TE BE'!$AB$39+'TE BF'!$AB$39+'TE CVA'!$AB$39)*1</f>
        <v>227.55060294064452</v>
      </c>
      <c r="AB385" s="6">
        <f>$K$385*$V$385</f>
        <v>0</v>
      </c>
      <c r="AC385" s="6">
        <f>$M$385*$W$385</f>
        <v>612.66284999999993</v>
      </c>
      <c r="AD385" s="6">
        <f>$O$385*$X$385</f>
        <v>444.76214999999996</v>
      </c>
      <c r="AE385" s="6">
        <f>$K$385*$Y$385</f>
        <v>0</v>
      </c>
      <c r="AF385" s="6">
        <f ca="1">$M$385*$Z$385</f>
        <v>691.70938870904138</v>
      </c>
      <c r="AG385" s="6">
        <f>$O$385*$AA$385</f>
        <v>418.4655588078453</v>
      </c>
    </row>
    <row r="386" spans="1:33" ht="11.25" customHeight="1" x14ac:dyDescent="0.25">
      <c r="A386" s="4" t="s">
        <v>21</v>
      </c>
      <c r="B386" s="4" t="s">
        <v>32</v>
      </c>
      <c r="C386" s="4" t="s">
        <v>23</v>
      </c>
      <c r="D386" s="4" t="s">
        <v>47</v>
      </c>
      <c r="E386" s="4" t="s">
        <v>25</v>
      </c>
      <c r="F386" s="4" t="s">
        <v>25</v>
      </c>
      <c r="G386" s="4" t="s">
        <v>25</v>
      </c>
      <c r="H386" s="4" t="s">
        <v>25</v>
      </c>
      <c r="I386" s="5">
        <v>44713</v>
      </c>
      <c r="J386" s="6">
        <v>0</v>
      </c>
      <c r="K386" s="6">
        <v>0</v>
      </c>
      <c r="L386" s="6">
        <v>2.1509999999999998</v>
      </c>
      <c r="M386" s="6">
        <v>2.1509999999999998</v>
      </c>
      <c r="N386" s="6">
        <v>2.1509999999999998</v>
      </c>
      <c r="O386" s="6">
        <v>2.1509999999999998</v>
      </c>
      <c r="P386" s="6">
        <v>4</v>
      </c>
      <c r="Q386" s="4" t="s">
        <v>26</v>
      </c>
      <c r="R386" s="4">
        <v>0</v>
      </c>
      <c r="S386" s="6">
        <v>0</v>
      </c>
      <c r="T386" s="6">
        <v>46</v>
      </c>
      <c r="U386" s="6">
        <v>83</v>
      </c>
      <c r="V386" s="6">
        <f>IF(ISERROR(VLOOKUP($S$386,'TAR FIN'!$A$1:$O$85,15,0)),0,VLOOKUP($S$386,'TAR FIN'!$A$1:$O$85,15,0))</f>
        <v>0</v>
      </c>
      <c r="W386" s="6">
        <f>IF(ISERROR(VLOOKUP($T$386,'TAR FIN'!$A$1:$O$85,15,0)),0,VLOOKUP($T$386,'TAR FIN'!$A$1:$O$85,15,0))</f>
        <v>333.15</v>
      </c>
      <c r="X386" s="6">
        <f>IF(ISERROR(VLOOKUP($U$386,'TAR FIN'!$A$1:$O$85,15,0)),0,VLOOKUP($U$386,'TAR FIN'!$A$1:$O$85,15,0))</f>
        <v>241.85</v>
      </c>
      <c r="Y386" s="6"/>
      <c r="Z386" s="6">
        <f ca="1">('TUSD BE'!$AM$48+'TUSD BF'!$AM$48+'TUSD CVA'!$AM$48)*1</f>
        <v>376.13343594836397</v>
      </c>
      <c r="AA386" s="6">
        <f>('TE BE'!$AB$39+'TE BF'!$AB$39+'TE CVA'!$AB$39)*1</f>
        <v>227.55060294064452</v>
      </c>
      <c r="AB386" s="6">
        <f>$K$386*$V$386</f>
        <v>0</v>
      </c>
      <c r="AC386" s="6">
        <f>$M$386*$W$386</f>
        <v>716.60564999999986</v>
      </c>
      <c r="AD386" s="6">
        <f>$O$386*$X$386</f>
        <v>520.21934999999996</v>
      </c>
      <c r="AE386" s="6">
        <f>$K$386*$Y$386</f>
        <v>0</v>
      </c>
      <c r="AF386" s="6">
        <f ca="1">$M$386*$Z$386</f>
        <v>809.06302072493077</v>
      </c>
      <c r="AG386" s="6">
        <f>$O$386*$AA$386</f>
        <v>489.46134692532632</v>
      </c>
    </row>
    <row r="387" spans="1:33" ht="11.25" customHeight="1" x14ac:dyDescent="0.25">
      <c r="A387" s="4" t="s">
        <v>21</v>
      </c>
      <c r="B387" s="4" t="s">
        <v>32</v>
      </c>
      <c r="C387" s="4" t="s">
        <v>23</v>
      </c>
      <c r="D387" s="4" t="s">
        <v>33</v>
      </c>
      <c r="E387" s="4" t="s">
        <v>25</v>
      </c>
      <c r="F387" s="4" t="s">
        <v>25</v>
      </c>
      <c r="G387" s="4" t="s">
        <v>25</v>
      </c>
      <c r="H387" s="4" t="s">
        <v>25</v>
      </c>
      <c r="I387" s="5">
        <v>44378</v>
      </c>
      <c r="J387" s="6">
        <v>0</v>
      </c>
      <c r="K387" s="6">
        <v>0</v>
      </c>
      <c r="L387" s="6">
        <v>77.58</v>
      </c>
      <c r="M387" s="6">
        <v>77.58</v>
      </c>
      <c r="N387" s="6">
        <v>77.58</v>
      </c>
      <c r="O387" s="6">
        <v>77.58</v>
      </c>
      <c r="P387" s="6">
        <v>48</v>
      </c>
      <c r="Q387" s="4" t="s">
        <v>26</v>
      </c>
      <c r="R387" s="4">
        <v>0</v>
      </c>
      <c r="S387" s="6">
        <v>0</v>
      </c>
      <c r="T387" s="6">
        <v>46</v>
      </c>
      <c r="U387" s="6">
        <v>83</v>
      </c>
      <c r="V387" s="6">
        <f>IF(ISERROR(VLOOKUP($S$387,'TAR FIN'!$A$1:$O$85,15,0)),0,VLOOKUP($S$387,'TAR FIN'!$A$1:$O$85,15,0))</f>
        <v>0</v>
      </c>
      <c r="W387" s="6">
        <f>IF(ISERROR(VLOOKUP($T$387,'TAR FIN'!$A$1:$O$85,15,0)),0,VLOOKUP($T$387,'TAR FIN'!$A$1:$O$85,15,0))</f>
        <v>333.15</v>
      </c>
      <c r="X387" s="6">
        <f>IF(ISERROR(VLOOKUP($U$387,'TAR FIN'!$A$1:$O$85,15,0)),0,VLOOKUP($U$387,'TAR FIN'!$A$1:$O$85,15,0))</f>
        <v>241.85</v>
      </c>
      <c r="Y387" s="6"/>
      <c r="Z387" s="6">
        <f ca="1">('TUSD BE'!$AM$48+'TUSD BF'!$AM$48+'TUSD CVA'!$AM$48)*1</f>
        <v>376.13343594836397</v>
      </c>
      <c r="AA387" s="6">
        <f>('TE BE'!$AB$39+'TE BF'!$AB$39+'TE CVA'!$AB$39)*1</f>
        <v>227.55060294064452</v>
      </c>
      <c r="AB387" s="6">
        <f>$K$387*$V$387</f>
        <v>0</v>
      </c>
      <c r="AC387" s="6">
        <f>$M$387*$W$387</f>
        <v>25845.776999999998</v>
      </c>
      <c r="AD387" s="6">
        <f>$O$387*$X$387</f>
        <v>18762.722999999998</v>
      </c>
      <c r="AE387" s="6">
        <f>$K$387*$Y$387</f>
        <v>0</v>
      </c>
      <c r="AF387" s="6">
        <f ca="1">$M$387*$Z$387</f>
        <v>29180.431960874077</v>
      </c>
      <c r="AG387" s="6">
        <f>$O$387*$AA$387</f>
        <v>17653.375776135203</v>
      </c>
    </row>
    <row r="388" spans="1:33" ht="11.25" customHeight="1" x14ac:dyDescent="0.25">
      <c r="A388" s="4" t="s">
        <v>21</v>
      </c>
      <c r="B388" s="4" t="s">
        <v>32</v>
      </c>
      <c r="C388" s="4" t="s">
        <v>23</v>
      </c>
      <c r="D388" s="4" t="s">
        <v>33</v>
      </c>
      <c r="E388" s="4" t="s">
        <v>25</v>
      </c>
      <c r="F388" s="4" t="s">
        <v>25</v>
      </c>
      <c r="G388" s="4" t="s">
        <v>25</v>
      </c>
      <c r="H388" s="4" t="s">
        <v>25</v>
      </c>
      <c r="I388" s="5">
        <v>44409</v>
      </c>
      <c r="J388" s="6">
        <v>0</v>
      </c>
      <c r="K388" s="6">
        <v>0</v>
      </c>
      <c r="L388" s="6">
        <v>84.409000000000006</v>
      </c>
      <c r="M388" s="6">
        <v>84.409000000000006</v>
      </c>
      <c r="N388" s="6">
        <v>84.409000000000006</v>
      </c>
      <c r="O388" s="6">
        <v>84.409000000000006</v>
      </c>
      <c r="P388" s="6">
        <v>53</v>
      </c>
      <c r="Q388" s="4" t="s">
        <v>26</v>
      </c>
      <c r="R388" s="4">
        <v>0</v>
      </c>
      <c r="S388" s="6">
        <v>0</v>
      </c>
      <c r="T388" s="6">
        <v>46</v>
      </c>
      <c r="U388" s="6">
        <v>83</v>
      </c>
      <c r="V388" s="6">
        <f>IF(ISERROR(VLOOKUP($S$388,'TAR FIN'!$A$1:$O$85,15,0)),0,VLOOKUP($S$388,'TAR FIN'!$A$1:$O$85,15,0))</f>
        <v>0</v>
      </c>
      <c r="W388" s="6">
        <f>IF(ISERROR(VLOOKUP($T$388,'TAR FIN'!$A$1:$O$85,15,0)),0,VLOOKUP($T$388,'TAR FIN'!$A$1:$O$85,15,0))</f>
        <v>333.15</v>
      </c>
      <c r="X388" s="6">
        <f>IF(ISERROR(VLOOKUP($U$388,'TAR FIN'!$A$1:$O$85,15,0)),0,VLOOKUP($U$388,'TAR FIN'!$A$1:$O$85,15,0))</f>
        <v>241.85</v>
      </c>
      <c r="Y388" s="6"/>
      <c r="Z388" s="6">
        <f ca="1">('TUSD BE'!$AM$48+'TUSD BF'!$AM$48+'TUSD CVA'!$AM$48)*1</f>
        <v>376.13343594836397</v>
      </c>
      <c r="AA388" s="6">
        <f>('TE BE'!$AB$39+'TE BF'!$AB$39+'TE CVA'!$AB$39)*1</f>
        <v>227.55060294064452</v>
      </c>
      <c r="AB388" s="6">
        <f>$K$388*$V$388</f>
        <v>0</v>
      </c>
      <c r="AC388" s="6">
        <f>$M$388*$W$388</f>
        <v>28120.858349999999</v>
      </c>
      <c r="AD388" s="6">
        <f>$O$388*$X$388</f>
        <v>20414.316650000001</v>
      </c>
      <c r="AE388" s="6">
        <f>$K$388*$Y$388</f>
        <v>0</v>
      </c>
      <c r="AF388" s="6">
        <f ca="1">$M$388*$Z$388</f>
        <v>31749.047194965457</v>
      </c>
      <c r="AG388" s="6">
        <f>$O$388*$AA$388</f>
        <v>19207.318843616864</v>
      </c>
    </row>
    <row r="389" spans="1:33" ht="11.25" customHeight="1" x14ac:dyDescent="0.25">
      <c r="A389" s="4" t="s">
        <v>21</v>
      </c>
      <c r="B389" s="4" t="s">
        <v>32</v>
      </c>
      <c r="C389" s="4" t="s">
        <v>23</v>
      </c>
      <c r="D389" s="4" t="s">
        <v>33</v>
      </c>
      <c r="E389" s="4" t="s">
        <v>25</v>
      </c>
      <c r="F389" s="4" t="s">
        <v>25</v>
      </c>
      <c r="G389" s="4" t="s">
        <v>25</v>
      </c>
      <c r="H389" s="4" t="s">
        <v>25</v>
      </c>
      <c r="I389" s="5">
        <v>44440</v>
      </c>
      <c r="J389" s="6">
        <v>0</v>
      </c>
      <c r="K389" s="6">
        <v>0</v>
      </c>
      <c r="L389" s="6">
        <v>79.796000000000006</v>
      </c>
      <c r="M389" s="6">
        <v>79.796000000000006</v>
      </c>
      <c r="N389" s="6">
        <v>79.796000000000006</v>
      </c>
      <c r="O389" s="6">
        <v>79.796000000000006</v>
      </c>
      <c r="P389" s="6">
        <v>57</v>
      </c>
      <c r="Q389" s="4" t="s">
        <v>26</v>
      </c>
      <c r="R389" s="4">
        <v>0</v>
      </c>
      <c r="S389" s="6">
        <v>0</v>
      </c>
      <c r="T389" s="6">
        <v>46</v>
      </c>
      <c r="U389" s="6">
        <v>83</v>
      </c>
      <c r="V389" s="6">
        <f>IF(ISERROR(VLOOKUP($S$389,'TAR FIN'!$A$1:$O$85,15,0)),0,VLOOKUP($S$389,'TAR FIN'!$A$1:$O$85,15,0))</f>
        <v>0</v>
      </c>
      <c r="W389" s="6">
        <f>IF(ISERROR(VLOOKUP($T$389,'TAR FIN'!$A$1:$O$85,15,0)),0,VLOOKUP($T$389,'TAR FIN'!$A$1:$O$85,15,0))</f>
        <v>333.15</v>
      </c>
      <c r="X389" s="6">
        <f>IF(ISERROR(VLOOKUP($U$389,'TAR FIN'!$A$1:$O$85,15,0)),0,VLOOKUP($U$389,'TAR FIN'!$A$1:$O$85,15,0))</f>
        <v>241.85</v>
      </c>
      <c r="Y389" s="6"/>
      <c r="Z389" s="6">
        <f ca="1">('TUSD BE'!$AM$48+'TUSD BF'!$AM$48+'TUSD CVA'!$AM$48)*1</f>
        <v>376.13343594836397</v>
      </c>
      <c r="AA389" s="6">
        <f>('TE BE'!$AB$39+'TE BF'!$AB$39+'TE CVA'!$AB$39)*1</f>
        <v>227.55060294064452</v>
      </c>
      <c r="AB389" s="6">
        <f>$K$389*$V$389</f>
        <v>0</v>
      </c>
      <c r="AC389" s="6">
        <f>$M$389*$W$389</f>
        <v>26584.037400000001</v>
      </c>
      <c r="AD389" s="6">
        <f>$O$389*$X$389</f>
        <v>19298.6626</v>
      </c>
      <c r="AE389" s="6">
        <f>$K$389*$Y$389</f>
        <v>0</v>
      </c>
      <c r="AF389" s="6">
        <f ca="1">$M$389*$Z$389</f>
        <v>30013.943654935654</v>
      </c>
      <c r="AG389" s="6">
        <f>$O$389*$AA$389</f>
        <v>18157.627912251672</v>
      </c>
    </row>
    <row r="390" spans="1:33" ht="11.25" customHeight="1" x14ac:dyDescent="0.25">
      <c r="A390" s="4" t="s">
        <v>27</v>
      </c>
      <c r="B390" s="4" t="s">
        <v>32</v>
      </c>
      <c r="C390" s="4" t="s">
        <v>23</v>
      </c>
      <c r="D390" s="4" t="s">
        <v>33</v>
      </c>
      <c r="E390" s="4" t="s">
        <v>25</v>
      </c>
      <c r="F390" s="4" t="s">
        <v>25</v>
      </c>
      <c r="G390" s="4" t="s">
        <v>25</v>
      </c>
      <c r="H390" s="4" t="s">
        <v>25</v>
      </c>
      <c r="I390" s="5">
        <v>44440</v>
      </c>
      <c r="J390" s="6">
        <v>0</v>
      </c>
      <c r="K390" s="6">
        <v>0</v>
      </c>
      <c r="L390" s="6">
        <v>0.39500000000000002</v>
      </c>
      <c r="M390" s="6">
        <v>0.39500000000000002</v>
      </c>
      <c r="N390" s="6">
        <v>0.39500000000000002</v>
      </c>
      <c r="O390" s="6">
        <v>0.39500000000000002</v>
      </c>
      <c r="P390" s="6">
        <v>1</v>
      </c>
      <c r="Q390" s="4" t="s">
        <v>26</v>
      </c>
      <c r="R390" s="4">
        <v>0</v>
      </c>
      <c r="S390" s="6">
        <v>0</v>
      </c>
      <c r="T390" s="6">
        <v>46</v>
      </c>
      <c r="U390" s="6">
        <v>83</v>
      </c>
      <c r="V390" s="6">
        <f>IF(ISERROR(VLOOKUP($S$390,'TAR FIN'!$A$1:$O$85,15,0)),0,VLOOKUP($S$390,'TAR FIN'!$A$1:$O$85,15,0))</f>
        <v>0</v>
      </c>
      <c r="W390" s="6">
        <f>IF(ISERROR(VLOOKUP($T$390,'TAR FIN'!$A$1:$O$85,15,0)),0,VLOOKUP($T$390,'TAR FIN'!$A$1:$O$85,15,0))</f>
        <v>333.15</v>
      </c>
      <c r="X390" s="6">
        <f>IF(ISERROR(VLOOKUP($U$390,'TAR FIN'!$A$1:$O$85,15,0)),0,VLOOKUP($U$390,'TAR FIN'!$A$1:$O$85,15,0))</f>
        <v>241.85</v>
      </c>
      <c r="Y390" s="6"/>
      <c r="Z390" s="6">
        <f ca="1">('TUSD BE'!$AM$48+'TUSD BF'!$AM$48+'TUSD CVA'!$AM$48)*1</f>
        <v>376.13343594836397</v>
      </c>
      <c r="AA390" s="6">
        <f>('TE BE'!$AB$39+'TE BF'!$AB$39+'TE CVA'!$AB$39)*1</f>
        <v>227.55060294064452</v>
      </c>
      <c r="AB390" s="6">
        <f>$K$390*$V$390</f>
        <v>0</v>
      </c>
      <c r="AC390" s="6">
        <f>$M$390*$W$390</f>
        <v>131.59424999999999</v>
      </c>
      <c r="AD390" s="6">
        <f>$O$390*$X$390</f>
        <v>95.530749999999998</v>
      </c>
      <c r="AE390" s="6">
        <f>$K$390*$Y$390</f>
        <v>0</v>
      </c>
      <c r="AF390" s="6">
        <f ca="1">$M$390*$Z$390</f>
        <v>148.57270719960377</v>
      </c>
      <c r="AG390" s="6">
        <f>$O$390*$AA$390</f>
        <v>89.882488161554591</v>
      </c>
    </row>
    <row r="391" spans="1:33" ht="11.25" customHeight="1" x14ac:dyDescent="0.25">
      <c r="A391" s="4" t="s">
        <v>21</v>
      </c>
      <c r="B391" s="4" t="s">
        <v>32</v>
      </c>
      <c r="C391" s="4" t="s">
        <v>23</v>
      </c>
      <c r="D391" s="4" t="s">
        <v>33</v>
      </c>
      <c r="E391" s="4" t="s">
        <v>25</v>
      </c>
      <c r="F391" s="4" t="s">
        <v>25</v>
      </c>
      <c r="G391" s="4" t="s">
        <v>25</v>
      </c>
      <c r="H391" s="4" t="s">
        <v>25</v>
      </c>
      <c r="I391" s="5">
        <v>44470</v>
      </c>
      <c r="J391" s="6">
        <v>0</v>
      </c>
      <c r="K391" s="6">
        <v>0</v>
      </c>
      <c r="L391" s="6">
        <v>74.724999999999994</v>
      </c>
      <c r="M391" s="6">
        <v>74.724999999999994</v>
      </c>
      <c r="N391" s="6">
        <v>74.724999999999994</v>
      </c>
      <c r="O391" s="6">
        <v>74.724999999999994</v>
      </c>
      <c r="P391" s="6">
        <v>52</v>
      </c>
      <c r="Q391" s="4" t="s">
        <v>26</v>
      </c>
      <c r="R391" s="4">
        <v>0</v>
      </c>
      <c r="S391" s="6">
        <v>0</v>
      </c>
      <c r="T391" s="6">
        <v>46</v>
      </c>
      <c r="U391" s="6">
        <v>83</v>
      </c>
      <c r="V391" s="6">
        <f>IF(ISERROR(VLOOKUP($S$391,'TAR FIN'!$A$1:$O$85,15,0)),0,VLOOKUP($S$391,'TAR FIN'!$A$1:$O$85,15,0))</f>
        <v>0</v>
      </c>
      <c r="W391" s="6">
        <f>IF(ISERROR(VLOOKUP($T$391,'TAR FIN'!$A$1:$O$85,15,0)),0,VLOOKUP($T$391,'TAR FIN'!$A$1:$O$85,15,0))</f>
        <v>333.15</v>
      </c>
      <c r="X391" s="6">
        <f>IF(ISERROR(VLOOKUP($U$391,'TAR FIN'!$A$1:$O$85,15,0)),0,VLOOKUP($U$391,'TAR FIN'!$A$1:$O$85,15,0))</f>
        <v>241.85</v>
      </c>
      <c r="Y391" s="6"/>
      <c r="Z391" s="6">
        <f ca="1">('TUSD BE'!$AM$48+'TUSD BF'!$AM$48+'TUSD CVA'!$AM$48)*1</f>
        <v>376.13343594836397</v>
      </c>
      <c r="AA391" s="6">
        <f>('TE BE'!$AB$39+'TE BF'!$AB$39+'TE CVA'!$AB$39)*1</f>
        <v>227.55060294064452</v>
      </c>
      <c r="AB391" s="6">
        <f>$K$391*$V$391</f>
        <v>0</v>
      </c>
      <c r="AC391" s="6">
        <f>$M$391*$W$391</f>
        <v>24894.633749999997</v>
      </c>
      <c r="AD391" s="6">
        <f>$O$391*$X$391</f>
        <v>18072.241249999999</v>
      </c>
      <c r="AE391" s="6">
        <f>$K$391*$Y$391</f>
        <v>0</v>
      </c>
      <c r="AF391" s="6">
        <f ca="1">$M$391*$Z$391</f>
        <v>28106.571001241497</v>
      </c>
      <c r="AG391" s="6">
        <f>$O$391*$AA$391</f>
        <v>17003.718804739659</v>
      </c>
    </row>
    <row r="392" spans="1:33" ht="11.25" customHeight="1" x14ac:dyDescent="0.25">
      <c r="A392" s="4" t="s">
        <v>27</v>
      </c>
      <c r="B392" s="4" t="s">
        <v>32</v>
      </c>
      <c r="C392" s="4" t="s">
        <v>23</v>
      </c>
      <c r="D392" s="4" t="s">
        <v>33</v>
      </c>
      <c r="E392" s="4" t="s">
        <v>25</v>
      </c>
      <c r="F392" s="4" t="s">
        <v>25</v>
      </c>
      <c r="G392" s="4" t="s">
        <v>25</v>
      </c>
      <c r="H392" s="4" t="s">
        <v>25</v>
      </c>
      <c r="I392" s="5">
        <v>44470</v>
      </c>
      <c r="J392" s="6">
        <v>0</v>
      </c>
      <c r="K392" s="6">
        <v>0</v>
      </c>
      <c r="L392" s="6">
        <v>0.68400000000000005</v>
      </c>
      <c r="M392" s="6">
        <v>0.68400000000000005</v>
      </c>
      <c r="N392" s="6">
        <v>0.68400000000000005</v>
      </c>
      <c r="O392" s="6">
        <v>0.68400000000000005</v>
      </c>
      <c r="P392" s="6">
        <v>2</v>
      </c>
      <c r="Q392" s="4" t="s">
        <v>26</v>
      </c>
      <c r="R392" s="4">
        <v>0</v>
      </c>
      <c r="S392" s="6">
        <v>0</v>
      </c>
      <c r="T392" s="6">
        <v>46</v>
      </c>
      <c r="U392" s="6">
        <v>83</v>
      </c>
      <c r="V392" s="6">
        <f>IF(ISERROR(VLOOKUP($S$392,'TAR FIN'!$A$1:$O$85,15,0)),0,VLOOKUP($S$392,'TAR FIN'!$A$1:$O$85,15,0))</f>
        <v>0</v>
      </c>
      <c r="W392" s="6">
        <f>IF(ISERROR(VLOOKUP($T$392,'TAR FIN'!$A$1:$O$85,15,0)),0,VLOOKUP($T$392,'TAR FIN'!$A$1:$O$85,15,0))</f>
        <v>333.15</v>
      </c>
      <c r="X392" s="6">
        <f>IF(ISERROR(VLOOKUP($U$392,'TAR FIN'!$A$1:$O$85,15,0)),0,VLOOKUP($U$392,'TAR FIN'!$A$1:$O$85,15,0))</f>
        <v>241.85</v>
      </c>
      <c r="Y392" s="6"/>
      <c r="Z392" s="6">
        <f ca="1">('TUSD BE'!$AM$48+'TUSD BF'!$AM$48+'TUSD CVA'!$AM$48)*1</f>
        <v>376.13343594836397</v>
      </c>
      <c r="AA392" s="6">
        <f>('TE BE'!$AB$39+'TE BF'!$AB$39+'TE CVA'!$AB$39)*1</f>
        <v>227.55060294064452</v>
      </c>
      <c r="AB392" s="6">
        <f>$K$392*$V$392</f>
        <v>0</v>
      </c>
      <c r="AC392" s="6">
        <f>$M$392*$W$392</f>
        <v>227.87460000000002</v>
      </c>
      <c r="AD392" s="6">
        <f>$O$392*$X$392</f>
        <v>165.4254</v>
      </c>
      <c r="AE392" s="6">
        <f>$K$392*$Y$392</f>
        <v>0</v>
      </c>
      <c r="AF392" s="6">
        <f ca="1">$M$392*$Z$392</f>
        <v>257.27527018868096</v>
      </c>
      <c r="AG392" s="6">
        <f>$O$392*$AA$392</f>
        <v>155.64461241140086</v>
      </c>
    </row>
    <row r="393" spans="1:33" ht="11.25" customHeight="1" x14ac:dyDescent="0.25">
      <c r="A393" s="4" t="s">
        <v>21</v>
      </c>
      <c r="B393" s="4" t="s">
        <v>32</v>
      </c>
      <c r="C393" s="4" t="s">
        <v>23</v>
      </c>
      <c r="D393" s="4" t="s">
        <v>33</v>
      </c>
      <c r="E393" s="4" t="s">
        <v>25</v>
      </c>
      <c r="F393" s="4" t="s">
        <v>25</v>
      </c>
      <c r="G393" s="4" t="s">
        <v>25</v>
      </c>
      <c r="H393" s="4" t="s">
        <v>25</v>
      </c>
      <c r="I393" s="5">
        <v>44501</v>
      </c>
      <c r="J393" s="6">
        <v>0</v>
      </c>
      <c r="K393" s="6">
        <v>0</v>
      </c>
      <c r="L393" s="6">
        <v>80.14</v>
      </c>
      <c r="M393" s="6">
        <v>80.14</v>
      </c>
      <c r="N393" s="6">
        <v>80.14</v>
      </c>
      <c r="O393" s="6">
        <v>80.14</v>
      </c>
      <c r="P393" s="6">
        <v>51</v>
      </c>
      <c r="Q393" s="4" t="s">
        <v>26</v>
      </c>
      <c r="R393" s="4">
        <v>0</v>
      </c>
      <c r="S393" s="6">
        <v>0</v>
      </c>
      <c r="T393" s="6">
        <v>46</v>
      </c>
      <c r="U393" s="6">
        <v>83</v>
      </c>
      <c r="V393" s="6">
        <f>IF(ISERROR(VLOOKUP($S$393,'TAR FIN'!$A$1:$O$85,15,0)),0,VLOOKUP($S$393,'TAR FIN'!$A$1:$O$85,15,0))</f>
        <v>0</v>
      </c>
      <c r="W393" s="6">
        <f>IF(ISERROR(VLOOKUP($T$393,'TAR FIN'!$A$1:$O$85,15,0)),0,VLOOKUP($T$393,'TAR FIN'!$A$1:$O$85,15,0))</f>
        <v>333.15</v>
      </c>
      <c r="X393" s="6">
        <f>IF(ISERROR(VLOOKUP($U$393,'TAR FIN'!$A$1:$O$85,15,0)),0,VLOOKUP($U$393,'TAR FIN'!$A$1:$O$85,15,0))</f>
        <v>241.85</v>
      </c>
      <c r="Y393" s="6"/>
      <c r="Z393" s="6">
        <f ca="1">('TUSD BE'!$AM$48+'TUSD BF'!$AM$48+'TUSD CVA'!$AM$48)*1</f>
        <v>376.13343594836397</v>
      </c>
      <c r="AA393" s="6">
        <f>('TE BE'!$AB$39+'TE BF'!$AB$39+'TE CVA'!$AB$39)*1</f>
        <v>227.55060294064452</v>
      </c>
      <c r="AB393" s="6">
        <f>$K$393*$V$393</f>
        <v>0</v>
      </c>
      <c r="AC393" s="6">
        <f>$M$393*$W$393</f>
        <v>26698.641</v>
      </c>
      <c r="AD393" s="6">
        <f>$O$393*$X$393</f>
        <v>19381.859</v>
      </c>
      <c r="AE393" s="6">
        <f>$K$393*$Y$393</f>
        <v>0</v>
      </c>
      <c r="AF393" s="6">
        <f ca="1">$M$393*$Z$393</f>
        <v>30143.333556901889</v>
      </c>
      <c r="AG393" s="6">
        <f>$O$393*$AA$393</f>
        <v>18235.905319663252</v>
      </c>
    </row>
    <row r="394" spans="1:33" ht="11.25" customHeight="1" x14ac:dyDescent="0.25">
      <c r="A394" s="4" t="s">
        <v>27</v>
      </c>
      <c r="B394" s="4" t="s">
        <v>32</v>
      </c>
      <c r="C394" s="4" t="s">
        <v>23</v>
      </c>
      <c r="D394" s="4" t="s">
        <v>33</v>
      </c>
      <c r="E394" s="4" t="s">
        <v>25</v>
      </c>
      <c r="F394" s="4" t="s">
        <v>25</v>
      </c>
      <c r="G394" s="4" t="s">
        <v>25</v>
      </c>
      <c r="H394" s="4" t="s">
        <v>25</v>
      </c>
      <c r="I394" s="5">
        <v>44501</v>
      </c>
      <c r="J394" s="6">
        <v>0</v>
      </c>
      <c r="K394" s="6">
        <v>0</v>
      </c>
      <c r="L394" s="6">
        <v>0.2</v>
      </c>
      <c r="M394" s="6">
        <v>0.2</v>
      </c>
      <c r="N394" s="6">
        <v>0.2</v>
      </c>
      <c r="O394" s="6">
        <v>0.2</v>
      </c>
      <c r="P394" s="6">
        <v>2</v>
      </c>
      <c r="Q394" s="4" t="s">
        <v>26</v>
      </c>
      <c r="R394" s="4">
        <v>0</v>
      </c>
      <c r="S394" s="6">
        <v>0</v>
      </c>
      <c r="T394" s="6">
        <v>46</v>
      </c>
      <c r="U394" s="6">
        <v>83</v>
      </c>
      <c r="V394" s="6">
        <f>IF(ISERROR(VLOOKUP($S$394,'TAR FIN'!$A$1:$O$85,15,0)),0,VLOOKUP($S$394,'TAR FIN'!$A$1:$O$85,15,0))</f>
        <v>0</v>
      </c>
      <c r="W394" s="6">
        <f>IF(ISERROR(VLOOKUP($T$394,'TAR FIN'!$A$1:$O$85,15,0)),0,VLOOKUP($T$394,'TAR FIN'!$A$1:$O$85,15,0))</f>
        <v>333.15</v>
      </c>
      <c r="X394" s="6">
        <f>IF(ISERROR(VLOOKUP($U$394,'TAR FIN'!$A$1:$O$85,15,0)),0,VLOOKUP($U$394,'TAR FIN'!$A$1:$O$85,15,0))</f>
        <v>241.85</v>
      </c>
      <c r="Y394" s="6"/>
      <c r="Z394" s="6">
        <f ca="1">('TUSD BE'!$AM$48+'TUSD BF'!$AM$48+'TUSD CVA'!$AM$48)*1</f>
        <v>376.13343594836397</v>
      </c>
      <c r="AA394" s="6">
        <f>('TE BE'!$AB$39+'TE BF'!$AB$39+'TE CVA'!$AB$39)*1</f>
        <v>227.55060294064452</v>
      </c>
      <c r="AB394" s="6">
        <f>$K$394*$V$394</f>
        <v>0</v>
      </c>
      <c r="AC394" s="6">
        <f>$M$394*$W$394</f>
        <v>66.63</v>
      </c>
      <c r="AD394" s="6">
        <f>$O$394*$X$394</f>
        <v>48.370000000000005</v>
      </c>
      <c r="AE394" s="6">
        <f>$K$394*$Y$394</f>
        <v>0</v>
      </c>
      <c r="AF394" s="6">
        <f ca="1">$M$394*$Z$394</f>
        <v>75.226687189672802</v>
      </c>
      <c r="AG394" s="6">
        <f>$O$394*$AA$394</f>
        <v>45.510120588128906</v>
      </c>
    </row>
    <row r="395" spans="1:33" ht="11.25" customHeight="1" x14ac:dyDescent="0.25">
      <c r="A395" s="4" t="s">
        <v>21</v>
      </c>
      <c r="B395" s="4" t="s">
        <v>32</v>
      </c>
      <c r="C395" s="4" t="s">
        <v>23</v>
      </c>
      <c r="D395" s="4" t="s">
        <v>33</v>
      </c>
      <c r="E395" s="4" t="s">
        <v>25</v>
      </c>
      <c r="F395" s="4" t="s">
        <v>25</v>
      </c>
      <c r="G395" s="4" t="s">
        <v>25</v>
      </c>
      <c r="H395" s="4" t="s">
        <v>25</v>
      </c>
      <c r="I395" s="5">
        <v>44531</v>
      </c>
      <c r="J395" s="6">
        <v>0</v>
      </c>
      <c r="K395" s="6">
        <v>0</v>
      </c>
      <c r="L395" s="6">
        <v>84.402000000000001</v>
      </c>
      <c r="M395" s="6">
        <v>84.402000000000001</v>
      </c>
      <c r="N395" s="6">
        <v>84.402000000000001</v>
      </c>
      <c r="O395" s="6">
        <v>84.402000000000001</v>
      </c>
      <c r="P395" s="6">
        <v>51</v>
      </c>
      <c r="Q395" s="4" t="s">
        <v>26</v>
      </c>
      <c r="R395" s="4">
        <v>0</v>
      </c>
      <c r="S395" s="6">
        <v>0</v>
      </c>
      <c r="T395" s="6">
        <v>46</v>
      </c>
      <c r="U395" s="6">
        <v>83</v>
      </c>
      <c r="V395" s="6">
        <f>IF(ISERROR(VLOOKUP($S$395,'TAR FIN'!$A$1:$O$85,15,0)),0,VLOOKUP($S$395,'TAR FIN'!$A$1:$O$85,15,0))</f>
        <v>0</v>
      </c>
      <c r="W395" s="6">
        <f>IF(ISERROR(VLOOKUP($T$395,'TAR FIN'!$A$1:$O$85,15,0)),0,VLOOKUP($T$395,'TAR FIN'!$A$1:$O$85,15,0))</f>
        <v>333.15</v>
      </c>
      <c r="X395" s="6">
        <f>IF(ISERROR(VLOOKUP($U$395,'TAR FIN'!$A$1:$O$85,15,0)),0,VLOOKUP($U$395,'TAR FIN'!$A$1:$O$85,15,0))</f>
        <v>241.85</v>
      </c>
      <c r="Y395" s="6"/>
      <c r="Z395" s="6">
        <f ca="1">('TUSD BE'!$AM$48+'TUSD BF'!$AM$48+'TUSD CVA'!$AM$48)*1</f>
        <v>376.13343594836397</v>
      </c>
      <c r="AA395" s="6">
        <f>('TE BE'!$AB$39+'TE BF'!$AB$39+'TE CVA'!$AB$39)*1</f>
        <v>227.55060294064452</v>
      </c>
      <c r="AB395" s="6">
        <f>$K$395*$V$395</f>
        <v>0</v>
      </c>
      <c r="AC395" s="6">
        <f>$M$395*$W$395</f>
        <v>28118.526299999998</v>
      </c>
      <c r="AD395" s="6">
        <f>$O$395*$X$395</f>
        <v>20412.6237</v>
      </c>
      <c r="AE395" s="6">
        <f>$K$395*$Y$395</f>
        <v>0</v>
      </c>
      <c r="AF395" s="6">
        <f ca="1">$M$395*$Z$395</f>
        <v>31746.414260913814</v>
      </c>
      <c r="AG395" s="6">
        <f>$O$395*$AA$395</f>
        <v>19205.72598939628</v>
      </c>
    </row>
    <row r="396" spans="1:33" ht="11.25" customHeight="1" x14ac:dyDescent="0.25">
      <c r="A396" s="4" t="s">
        <v>27</v>
      </c>
      <c r="B396" s="4" t="s">
        <v>32</v>
      </c>
      <c r="C396" s="4" t="s">
        <v>23</v>
      </c>
      <c r="D396" s="4" t="s">
        <v>33</v>
      </c>
      <c r="E396" s="4" t="s">
        <v>25</v>
      </c>
      <c r="F396" s="4" t="s">
        <v>25</v>
      </c>
      <c r="G396" s="4" t="s">
        <v>25</v>
      </c>
      <c r="H396" s="4" t="s">
        <v>25</v>
      </c>
      <c r="I396" s="5">
        <v>44531</v>
      </c>
      <c r="J396" s="6">
        <v>0</v>
      </c>
      <c r="K396" s="6">
        <v>0</v>
      </c>
      <c r="L396" s="6">
        <v>0.21299999999999999</v>
      </c>
      <c r="M396" s="6">
        <v>0.21299999999999999</v>
      </c>
      <c r="N396" s="6">
        <v>0.21299999999999999</v>
      </c>
      <c r="O396" s="6">
        <v>0.21299999999999999</v>
      </c>
      <c r="P396" s="6">
        <v>2</v>
      </c>
      <c r="Q396" s="4" t="s">
        <v>26</v>
      </c>
      <c r="R396" s="4">
        <v>0</v>
      </c>
      <c r="S396" s="6">
        <v>0</v>
      </c>
      <c r="T396" s="6">
        <v>46</v>
      </c>
      <c r="U396" s="6">
        <v>83</v>
      </c>
      <c r="V396" s="6">
        <f>IF(ISERROR(VLOOKUP($S$396,'TAR FIN'!$A$1:$O$85,15,0)),0,VLOOKUP($S$396,'TAR FIN'!$A$1:$O$85,15,0))</f>
        <v>0</v>
      </c>
      <c r="W396" s="6">
        <f>IF(ISERROR(VLOOKUP($T$396,'TAR FIN'!$A$1:$O$85,15,0)),0,VLOOKUP($T$396,'TAR FIN'!$A$1:$O$85,15,0))</f>
        <v>333.15</v>
      </c>
      <c r="X396" s="6">
        <f>IF(ISERROR(VLOOKUP($U$396,'TAR FIN'!$A$1:$O$85,15,0)),0,VLOOKUP($U$396,'TAR FIN'!$A$1:$O$85,15,0))</f>
        <v>241.85</v>
      </c>
      <c r="Y396" s="6"/>
      <c r="Z396" s="6">
        <f ca="1">('TUSD BE'!$AM$48+'TUSD BF'!$AM$48+'TUSD CVA'!$AM$48)*1</f>
        <v>376.13343594836397</v>
      </c>
      <c r="AA396" s="6">
        <f>('TE BE'!$AB$39+'TE BF'!$AB$39+'TE CVA'!$AB$39)*1</f>
        <v>227.55060294064452</v>
      </c>
      <c r="AB396" s="6">
        <f>$K$396*$V$396</f>
        <v>0</v>
      </c>
      <c r="AC396" s="6">
        <f>$M$396*$W$396</f>
        <v>70.960949999999997</v>
      </c>
      <c r="AD396" s="6">
        <f>$O$396*$X$396</f>
        <v>51.514049999999997</v>
      </c>
      <c r="AE396" s="6">
        <f>$K$396*$Y$396</f>
        <v>0</v>
      </c>
      <c r="AF396" s="6">
        <f ca="1">$M$396*$Z$396</f>
        <v>80.116421857001527</v>
      </c>
      <c r="AG396" s="6">
        <f>$O$396*$AA$396</f>
        <v>48.46827842635728</v>
      </c>
    </row>
    <row r="397" spans="1:33" ht="11.25" customHeight="1" x14ac:dyDescent="0.25">
      <c r="A397" s="4" t="s">
        <v>21</v>
      </c>
      <c r="B397" s="4" t="s">
        <v>32</v>
      </c>
      <c r="C397" s="4" t="s">
        <v>23</v>
      </c>
      <c r="D397" s="4" t="s">
        <v>33</v>
      </c>
      <c r="E397" s="4" t="s">
        <v>25</v>
      </c>
      <c r="F397" s="4" t="s">
        <v>25</v>
      </c>
      <c r="G397" s="4" t="s">
        <v>25</v>
      </c>
      <c r="H397" s="4" t="s">
        <v>25</v>
      </c>
      <c r="I397" s="5">
        <v>44562</v>
      </c>
      <c r="J397" s="6">
        <v>0</v>
      </c>
      <c r="K397" s="6">
        <v>0</v>
      </c>
      <c r="L397" s="6">
        <v>76.555999999999997</v>
      </c>
      <c r="M397" s="6">
        <v>76.555999999999997</v>
      </c>
      <c r="N397" s="6">
        <v>76.555999999999997</v>
      </c>
      <c r="O397" s="6">
        <v>76.555999999999997</v>
      </c>
      <c r="P397" s="6">
        <v>50</v>
      </c>
      <c r="Q397" s="4" t="s">
        <v>26</v>
      </c>
      <c r="R397" s="4">
        <v>0</v>
      </c>
      <c r="S397" s="6">
        <v>0</v>
      </c>
      <c r="T397" s="6">
        <v>46</v>
      </c>
      <c r="U397" s="6">
        <v>83</v>
      </c>
      <c r="V397" s="6">
        <f>IF(ISERROR(VLOOKUP($S$397,'TAR FIN'!$A$1:$O$85,15,0)),0,VLOOKUP($S$397,'TAR FIN'!$A$1:$O$85,15,0))</f>
        <v>0</v>
      </c>
      <c r="W397" s="6">
        <f>IF(ISERROR(VLOOKUP($T$397,'TAR FIN'!$A$1:$O$85,15,0)),0,VLOOKUP($T$397,'TAR FIN'!$A$1:$O$85,15,0))</f>
        <v>333.15</v>
      </c>
      <c r="X397" s="6">
        <f>IF(ISERROR(VLOOKUP($U$397,'TAR FIN'!$A$1:$O$85,15,0)),0,VLOOKUP($U$397,'TAR FIN'!$A$1:$O$85,15,0))</f>
        <v>241.85</v>
      </c>
      <c r="Y397" s="6"/>
      <c r="Z397" s="6">
        <f ca="1">('TUSD BE'!$AM$48+'TUSD BF'!$AM$48+'TUSD CVA'!$AM$48)*1</f>
        <v>376.13343594836397</v>
      </c>
      <c r="AA397" s="6">
        <f>('TE BE'!$AB$39+'TE BF'!$AB$39+'TE CVA'!$AB$39)*1</f>
        <v>227.55060294064452</v>
      </c>
      <c r="AB397" s="6">
        <f>$K$397*$V$397</f>
        <v>0</v>
      </c>
      <c r="AC397" s="6">
        <f>$M$397*$W$397</f>
        <v>25504.631399999998</v>
      </c>
      <c r="AD397" s="6">
        <f>$O$397*$X$397</f>
        <v>18515.068599999999</v>
      </c>
      <c r="AE397" s="6">
        <f>$K$397*$Y$397</f>
        <v>0</v>
      </c>
      <c r="AF397" s="6">
        <f ca="1">$M$397*$Z$397</f>
        <v>28795.271322462952</v>
      </c>
      <c r="AG397" s="6">
        <f>$O$397*$AA$397</f>
        <v>17420.363958723981</v>
      </c>
    </row>
    <row r="398" spans="1:33" ht="11.25" customHeight="1" x14ac:dyDescent="0.25">
      <c r="A398" s="4" t="s">
        <v>27</v>
      </c>
      <c r="B398" s="4" t="s">
        <v>32</v>
      </c>
      <c r="C398" s="4" t="s">
        <v>23</v>
      </c>
      <c r="D398" s="4" t="s">
        <v>33</v>
      </c>
      <c r="E398" s="4" t="s">
        <v>25</v>
      </c>
      <c r="F398" s="4" t="s">
        <v>25</v>
      </c>
      <c r="G398" s="4" t="s">
        <v>25</v>
      </c>
      <c r="H398" s="4" t="s">
        <v>25</v>
      </c>
      <c r="I398" s="5">
        <v>44562</v>
      </c>
      <c r="J398" s="6">
        <v>0</v>
      </c>
      <c r="K398" s="6">
        <v>0</v>
      </c>
      <c r="L398" s="6">
        <v>0.2</v>
      </c>
      <c r="M398" s="6">
        <v>0.2</v>
      </c>
      <c r="N398" s="6">
        <v>0.2</v>
      </c>
      <c r="O398" s="6">
        <v>0.2</v>
      </c>
      <c r="P398" s="6">
        <v>2</v>
      </c>
      <c r="Q398" s="4" t="s">
        <v>26</v>
      </c>
      <c r="R398" s="4">
        <v>0</v>
      </c>
      <c r="S398" s="6">
        <v>0</v>
      </c>
      <c r="T398" s="6">
        <v>46</v>
      </c>
      <c r="U398" s="6">
        <v>83</v>
      </c>
      <c r="V398" s="6">
        <f>IF(ISERROR(VLOOKUP($S$398,'TAR FIN'!$A$1:$O$85,15,0)),0,VLOOKUP($S$398,'TAR FIN'!$A$1:$O$85,15,0))</f>
        <v>0</v>
      </c>
      <c r="W398" s="6">
        <f>IF(ISERROR(VLOOKUP($T$398,'TAR FIN'!$A$1:$O$85,15,0)),0,VLOOKUP($T$398,'TAR FIN'!$A$1:$O$85,15,0))</f>
        <v>333.15</v>
      </c>
      <c r="X398" s="6">
        <f>IF(ISERROR(VLOOKUP($U$398,'TAR FIN'!$A$1:$O$85,15,0)),0,VLOOKUP($U$398,'TAR FIN'!$A$1:$O$85,15,0))</f>
        <v>241.85</v>
      </c>
      <c r="Y398" s="6"/>
      <c r="Z398" s="6">
        <f ca="1">('TUSD BE'!$AM$48+'TUSD BF'!$AM$48+'TUSD CVA'!$AM$48)*1</f>
        <v>376.13343594836397</v>
      </c>
      <c r="AA398" s="6">
        <f>('TE BE'!$AB$39+'TE BF'!$AB$39+'TE CVA'!$AB$39)*1</f>
        <v>227.55060294064452</v>
      </c>
      <c r="AB398" s="6">
        <f>$K$398*$V$398</f>
        <v>0</v>
      </c>
      <c r="AC398" s="6">
        <f>$M$398*$W$398</f>
        <v>66.63</v>
      </c>
      <c r="AD398" s="6">
        <f>$O$398*$X$398</f>
        <v>48.370000000000005</v>
      </c>
      <c r="AE398" s="6">
        <f>$K$398*$Y$398</f>
        <v>0</v>
      </c>
      <c r="AF398" s="6">
        <f ca="1">$M$398*$Z$398</f>
        <v>75.226687189672802</v>
      </c>
      <c r="AG398" s="6">
        <f>$O$398*$AA$398</f>
        <v>45.510120588128906</v>
      </c>
    </row>
    <row r="399" spans="1:33" ht="11.25" customHeight="1" x14ac:dyDescent="0.25">
      <c r="A399" s="4" t="s">
        <v>21</v>
      </c>
      <c r="B399" s="4" t="s">
        <v>32</v>
      </c>
      <c r="C399" s="4" t="s">
        <v>23</v>
      </c>
      <c r="D399" s="4" t="s">
        <v>33</v>
      </c>
      <c r="E399" s="4" t="s">
        <v>25</v>
      </c>
      <c r="F399" s="4" t="s">
        <v>25</v>
      </c>
      <c r="G399" s="4" t="s">
        <v>25</v>
      </c>
      <c r="H399" s="4" t="s">
        <v>25</v>
      </c>
      <c r="I399" s="5">
        <v>44593</v>
      </c>
      <c r="J399" s="6">
        <v>0</v>
      </c>
      <c r="K399" s="6">
        <v>0</v>
      </c>
      <c r="L399" s="6">
        <v>82.58</v>
      </c>
      <c r="M399" s="6">
        <v>82.58</v>
      </c>
      <c r="N399" s="6">
        <v>82.58</v>
      </c>
      <c r="O399" s="6">
        <v>82.58</v>
      </c>
      <c r="P399" s="6">
        <v>51</v>
      </c>
      <c r="Q399" s="4" t="s">
        <v>26</v>
      </c>
      <c r="R399" s="4">
        <v>0</v>
      </c>
      <c r="S399" s="6">
        <v>0</v>
      </c>
      <c r="T399" s="6">
        <v>46</v>
      </c>
      <c r="U399" s="6">
        <v>83</v>
      </c>
      <c r="V399" s="6">
        <f>IF(ISERROR(VLOOKUP($S$399,'TAR FIN'!$A$1:$O$85,15,0)),0,VLOOKUP($S$399,'TAR FIN'!$A$1:$O$85,15,0))</f>
        <v>0</v>
      </c>
      <c r="W399" s="6">
        <f>IF(ISERROR(VLOOKUP($T$399,'TAR FIN'!$A$1:$O$85,15,0)),0,VLOOKUP($T$399,'TAR FIN'!$A$1:$O$85,15,0))</f>
        <v>333.15</v>
      </c>
      <c r="X399" s="6">
        <f>IF(ISERROR(VLOOKUP($U$399,'TAR FIN'!$A$1:$O$85,15,0)),0,VLOOKUP($U$399,'TAR FIN'!$A$1:$O$85,15,0))</f>
        <v>241.85</v>
      </c>
      <c r="Y399" s="6"/>
      <c r="Z399" s="6">
        <f ca="1">('TUSD BE'!$AM$48+'TUSD BF'!$AM$48+'TUSD CVA'!$AM$48)*1</f>
        <v>376.13343594836397</v>
      </c>
      <c r="AA399" s="6">
        <f>('TE BE'!$AB$39+'TE BF'!$AB$39+'TE CVA'!$AB$39)*1</f>
        <v>227.55060294064452</v>
      </c>
      <c r="AB399" s="6">
        <f>$K$399*$V$399</f>
        <v>0</v>
      </c>
      <c r="AC399" s="6">
        <f>$M$399*$W$399</f>
        <v>27511.526999999998</v>
      </c>
      <c r="AD399" s="6">
        <f>$O$399*$X$399</f>
        <v>19971.972999999998</v>
      </c>
      <c r="AE399" s="6">
        <f>$K$399*$Y$399</f>
        <v>0</v>
      </c>
      <c r="AF399" s="6">
        <f ca="1">$M$399*$Z$399</f>
        <v>31061.099140615897</v>
      </c>
      <c r="AG399" s="6">
        <f>$O$399*$AA$399</f>
        <v>18791.128790838426</v>
      </c>
    </row>
    <row r="400" spans="1:33" ht="11.25" customHeight="1" x14ac:dyDescent="0.25">
      <c r="A400" s="4" t="s">
        <v>27</v>
      </c>
      <c r="B400" s="4" t="s">
        <v>32</v>
      </c>
      <c r="C400" s="4" t="s">
        <v>23</v>
      </c>
      <c r="D400" s="4" t="s">
        <v>33</v>
      </c>
      <c r="E400" s="4" t="s">
        <v>25</v>
      </c>
      <c r="F400" s="4" t="s">
        <v>25</v>
      </c>
      <c r="G400" s="4" t="s">
        <v>25</v>
      </c>
      <c r="H400" s="4" t="s">
        <v>25</v>
      </c>
      <c r="I400" s="5">
        <v>44593</v>
      </c>
      <c r="J400" s="6">
        <v>0</v>
      </c>
      <c r="K400" s="6">
        <v>0</v>
      </c>
      <c r="L400" s="6">
        <v>0.2</v>
      </c>
      <c r="M400" s="6">
        <v>0.2</v>
      </c>
      <c r="N400" s="6">
        <v>0.2</v>
      </c>
      <c r="O400" s="6">
        <v>0.2</v>
      </c>
      <c r="P400" s="6">
        <v>2</v>
      </c>
      <c r="Q400" s="4" t="s">
        <v>26</v>
      </c>
      <c r="R400" s="4">
        <v>0</v>
      </c>
      <c r="S400" s="6">
        <v>0</v>
      </c>
      <c r="T400" s="6">
        <v>46</v>
      </c>
      <c r="U400" s="6">
        <v>83</v>
      </c>
      <c r="V400" s="6">
        <f>IF(ISERROR(VLOOKUP($S$400,'TAR FIN'!$A$1:$O$85,15,0)),0,VLOOKUP($S$400,'TAR FIN'!$A$1:$O$85,15,0))</f>
        <v>0</v>
      </c>
      <c r="W400" s="6">
        <f>IF(ISERROR(VLOOKUP($T$400,'TAR FIN'!$A$1:$O$85,15,0)),0,VLOOKUP($T$400,'TAR FIN'!$A$1:$O$85,15,0))</f>
        <v>333.15</v>
      </c>
      <c r="X400" s="6">
        <f>IF(ISERROR(VLOOKUP($U$400,'TAR FIN'!$A$1:$O$85,15,0)),0,VLOOKUP($U$400,'TAR FIN'!$A$1:$O$85,15,0))</f>
        <v>241.85</v>
      </c>
      <c r="Y400" s="6"/>
      <c r="Z400" s="6">
        <f ca="1">('TUSD BE'!$AM$48+'TUSD BF'!$AM$48+'TUSD CVA'!$AM$48)*1</f>
        <v>376.13343594836397</v>
      </c>
      <c r="AA400" s="6">
        <f>('TE BE'!$AB$39+'TE BF'!$AB$39+'TE CVA'!$AB$39)*1</f>
        <v>227.55060294064452</v>
      </c>
      <c r="AB400" s="6">
        <f>$K$400*$V$400</f>
        <v>0</v>
      </c>
      <c r="AC400" s="6">
        <f>$M$400*$W$400</f>
        <v>66.63</v>
      </c>
      <c r="AD400" s="6">
        <f>$O$400*$X$400</f>
        <v>48.370000000000005</v>
      </c>
      <c r="AE400" s="6">
        <f>$K$400*$Y$400</f>
        <v>0</v>
      </c>
      <c r="AF400" s="6">
        <f ca="1">$M$400*$Z$400</f>
        <v>75.226687189672802</v>
      </c>
      <c r="AG400" s="6">
        <f>$O$400*$AA$400</f>
        <v>45.510120588128906</v>
      </c>
    </row>
    <row r="401" spans="1:33" ht="11.25" customHeight="1" x14ac:dyDescent="0.25">
      <c r="A401" s="4" t="s">
        <v>21</v>
      </c>
      <c r="B401" s="4" t="s">
        <v>32</v>
      </c>
      <c r="C401" s="4" t="s">
        <v>23</v>
      </c>
      <c r="D401" s="4" t="s">
        <v>33</v>
      </c>
      <c r="E401" s="4" t="s">
        <v>25</v>
      </c>
      <c r="F401" s="4" t="s">
        <v>25</v>
      </c>
      <c r="G401" s="4" t="s">
        <v>25</v>
      </c>
      <c r="H401" s="4" t="s">
        <v>25</v>
      </c>
      <c r="I401" s="5">
        <v>44621</v>
      </c>
      <c r="J401" s="6">
        <v>0</v>
      </c>
      <c r="K401" s="6">
        <v>0</v>
      </c>
      <c r="L401" s="6">
        <v>75.680999999999997</v>
      </c>
      <c r="M401" s="6">
        <v>75.680999999999997</v>
      </c>
      <c r="N401" s="6">
        <v>75.680999999999997</v>
      </c>
      <c r="O401" s="6">
        <v>75.680999999999997</v>
      </c>
      <c r="P401" s="6">
        <v>51</v>
      </c>
      <c r="Q401" s="4" t="s">
        <v>26</v>
      </c>
      <c r="R401" s="4">
        <v>0</v>
      </c>
      <c r="S401" s="6">
        <v>0</v>
      </c>
      <c r="T401" s="6">
        <v>46</v>
      </c>
      <c r="U401" s="6">
        <v>83</v>
      </c>
      <c r="V401" s="6">
        <f>IF(ISERROR(VLOOKUP($S$401,'TAR FIN'!$A$1:$O$85,15,0)),0,VLOOKUP($S$401,'TAR FIN'!$A$1:$O$85,15,0))</f>
        <v>0</v>
      </c>
      <c r="W401" s="6">
        <f>IF(ISERROR(VLOOKUP($T$401,'TAR FIN'!$A$1:$O$85,15,0)),0,VLOOKUP($T$401,'TAR FIN'!$A$1:$O$85,15,0))</f>
        <v>333.15</v>
      </c>
      <c r="X401" s="6">
        <f>IF(ISERROR(VLOOKUP($U$401,'TAR FIN'!$A$1:$O$85,15,0)),0,VLOOKUP($U$401,'TAR FIN'!$A$1:$O$85,15,0))</f>
        <v>241.85</v>
      </c>
      <c r="Y401" s="6"/>
      <c r="Z401" s="6">
        <f ca="1">('TUSD BE'!$AM$48+'TUSD BF'!$AM$48+'TUSD CVA'!$AM$48)*1</f>
        <v>376.13343594836397</v>
      </c>
      <c r="AA401" s="6">
        <f>('TE BE'!$AB$39+'TE BF'!$AB$39+'TE CVA'!$AB$39)*1</f>
        <v>227.55060294064452</v>
      </c>
      <c r="AB401" s="6">
        <f>$K$401*$V$401</f>
        <v>0</v>
      </c>
      <c r="AC401" s="6">
        <f>$M$401*$W$401</f>
        <v>25213.125149999996</v>
      </c>
      <c r="AD401" s="6">
        <f>$O$401*$X$401</f>
        <v>18303.449849999997</v>
      </c>
      <c r="AE401" s="6">
        <f>$K$401*$Y$401</f>
        <v>0</v>
      </c>
      <c r="AF401" s="6">
        <f ca="1">$M$401*$Z$401</f>
        <v>28466.154566008132</v>
      </c>
      <c r="AG401" s="6">
        <f>$O$401*$AA$401</f>
        <v>17221.257181150919</v>
      </c>
    </row>
    <row r="402" spans="1:33" ht="11.25" customHeight="1" x14ac:dyDescent="0.25">
      <c r="A402" s="4" t="s">
        <v>27</v>
      </c>
      <c r="B402" s="4" t="s">
        <v>32</v>
      </c>
      <c r="C402" s="4" t="s">
        <v>23</v>
      </c>
      <c r="D402" s="4" t="s">
        <v>33</v>
      </c>
      <c r="E402" s="4" t="s">
        <v>25</v>
      </c>
      <c r="F402" s="4" t="s">
        <v>25</v>
      </c>
      <c r="G402" s="4" t="s">
        <v>25</v>
      </c>
      <c r="H402" s="4" t="s">
        <v>25</v>
      </c>
      <c r="I402" s="5">
        <v>44621</v>
      </c>
      <c r="J402" s="6">
        <v>0</v>
      </c>
      <c r="K402" s="6">
        <v>0</v>
      </c>
      <c r="L402" s="6">
        <v>0.2</v>
      </c>
      <c r="M402" s="6">
        <v>0.2</v>
      </c>
      <c r="N402" s="6">
        <v>0.2</v>
      </c>
      <c r="O402" s="6">
        <v>0.2</v>
      </c>
      <c r="P402" s="6">
        <v>2</v>
      </c>
      <c r="Q402" s="4" t="s">
        <v>26</v>
      </c>
      <c r="R402" s="4">
        <v>0</v>
      </c>
      <c r="S402" s="6">
        <v>0</v>
      </c>
      <c r="T402" s="6">
        <v>46</v>
      </c>
      <c r="U402" s="6">
        <v>83</v>
      </c>
      <c r="V402" s="6">
        <f>IF(ISERROR(VLOOKUP($S$402,'TAR FIN'!$A$1:$O$85,15,0)),0,VLOOKUP($S$402,'TAR FIN'!$A$1:$O$85,15,0))</f>
        <v>0</v>
      </c>
      <c r="W402" s="6">
        <f>IF(ISERROR(VLOOKUP($T$402,'TAR FIN'!$A$1:$O$85,15,0)),0,VLOOKUP($T$402,'TAR FIN'!$A$1:$O$85,15,0))</f>
        <v>333.15</v>
      </c>
      <c r="X402" s="6">
        <f>IF(ISERROR(VLOOKUP($U$402,'TAR FIN'!$A$1:$O$85,15,0)),0,VLOOKUP($U$402,'TAR FIN'!$A$1:$O$85,15,0))</f>
        <v>241.85</v>
      </c>
      <c r="Y402" s="6"/>
      <c r="Z402" s="6">
        <f ca="1">('TUSD BE'!$AM$48+'TUSD BF'!$AM$48+'TUSD CVA'!$AM$48)*1</f>
        <v>376.13343594836397</v>
      </c>
      <c r="AA402" s="6">
        <f>('TE BE'!$AB$39+'TE BF'!$AB$39+'TE CVA'!$AB$39)*1</f>
        <v>227.55060294064452</v>
      </c>
      <c r="AB402" s="6">
        <f>$K$402*$V$402</f>
        <v>0</v>
      </c>
      <c r="AC402" s="6">
        <f>$M$402*$W$402</f>
        <v>66.63</v>
      </c>
      <c r="AD402" s="6">
        <f>$O$402*$X$402</f>
        <v>48.370000000000005</v>
      </c>
      <c r="AE402" s="6">
        <f>$K$402*$Y$402</f>
        <v>0</v>
      </c>
      <c r="AF402" s="6">
        <f ca="1">$M$402*$Z$402</f>
        <v>75.226687189672802</v>
      </c>
      <c r="AG402" s="6">
        <f>$O$402*$AA$402</f>
        <v>45.510120588128906</v>
      </c>
    </row>
    <row r="403" spans="1:33" ht="11.25" customHeight="1" x14ac:dyDescent="0.25">
      <c r="A403" s="4" t="s">
        <v>21</v>
      </c>
      <c r="B403" s="4" t="s">
        <v>32</v>
      </c>
      <c r="C403" s="4" t="s">
        <v>23</v>
      </c>
      <c r="D403" s="4" t="s">
        <v>33</v>
      </c>
      <c r="E403" s="4" t="s">
        <v>25</v>
      </c>
      <c r="F403" s="4" t="s">
        <v>25</v>
      </c>
      <c r="G403" s="4" t="s">
        <v>25</v>
      </c>
      <c r="H403" s="4" t="s">
        <v>25</v>
      </c>
      <c r="I403" s="5">
        <v>44652</v>
      </c>
      <c r="J403" s="6">
        <v>0</v>
      </c>
      <c r="K403" s="6">
        <v>0</v>
      </c>
      <c r="L403" s="6">
        <v>59.23</v>
      </c>
      <c r="M403" s="6">
        <v>59.23</v>
      </c>
      <c r="N403" s="6">
        <v>59.23</v>
      </c>
      <c r="O403" s="6">
        <v>59.23</v>
      </c>
      <c r="P403" s="6">
        <v>50</v>
      </c>
      <c r="Q403" s="4" t="s">
        <v>26</v>
      </c>
      <c r="R403" s="4">
        <v>0</v>
      </c>
      <c r="S403" s="6">
        <v>0</v>
      </c>
      <c r="T403" s="6">
        <v>46</v>
      </c>
      <c r="U403" s="6">
        <v>83</v>
      </c>
      <c r="V403" s="6">
        <f>IF(ISERROR(VLOOKUP($S$403,'TAR FIN'!$A$1:$O$85,15,0)),0,VLOOKUP($S$403,'TAR FIN'!$A$1:$O$85,15,0))</f>
        <v>0</v>
      </c>
      <c r="W403" s="6">
        <f>IF(ISERROR(VLOOKUP($T$403,'TAR FIN'!$A$1:$O$85,15,0)),0,VLOOKUP($T$403,'TAR FIN'!$A$1:$O$85,15,0))</f>
        <v>333.15</v>
      </c>
      <c r="X403" s="6">
        <f>IF(ISERROR(VLOOKUP($U$403,'TAR FIN'!$A$1:$O$85,15,0)),0,VLOOKUP($U$403,'TAR FIN'!$A$1:$O$85,15,0))</f>
        <v>241.85</v>
      </c>
      <c r="Y403" s="6"/>
      <c r="Z403" s="6">
        <f ca="1">('TUSD BE'!$AM$48+'TUSD BF'!$AM$48+'TUSD CVA'!$AM$48)*1</f>
        <v>376.13343594836397</v>
      </c>
      <c r="AA403" s="6">
        <f>('TE BE'!$AB$39+'TE BF'!$AB$39+'TE CVA'!$AB$39)*1</f>
        <v>227.55060294064452</v>
      </c>
      <c r="AB403" s="6">
        <f>$K$403*$V$403</f>
        <v>0</v>
      </c>
      <c r="AC403" s="6">
        <f>$M$403*$W$403</f>
        <v>19732.474499999997</v>
      </c>
      <c r="AD403" s="6">
        <f>$O$403*$X$403</f>
        <v>14324.7755</v>
      </c>
      <c r="AE403" s="6">
        <f>$K$403*$Y$403</f>
        <v>0</v>
      </c>
      <c r="AF403" s="6">
        <f ca="1">$M$403*$Z$403</f>
        <v>22278.383411221595</v>
      </c>
      <c r="AG403" s="6">
        <f>$O$403*$AA$403</f>
        <v>13477.822212174375</v>
      </c>
    </row>
    <row r="404" spans="1:33" ht="11.25" customHeight="1" x14ac:dyDescent="0.25">
      <c r="A404" s="4" t="s">
        <v>27</v>
      </c>
      <c r="B404" s="4" t="s">
        <v>32</v>
      </c>
      <c r="C404" s="4" t="s">
        <v>23</v>
      </c>
      <c r="D404" s="4" t="s">
        <v>33</v>
      </c>
      <c r="E404" s="4" t="s">
        <v>25</v>
      </c>
      <c r="F404" s="4" t="s">
        <v>25</v>
      </c>
      <c r="G404" s="4" t="s">
        <v>25</v>
      </c>
      <c r="H404" s="4" t="s">
        <v>25</v>
      </c>
      <c r="I404" s="5">
        <v>44652</v>
      </c>
      <c r="J404" s="6">
        <v>0</v>
      </c>
      <c r="K404" s="6">
        <v>0</v>
      </c>
      <c r="L404" s="6">
        <v>7.2889999999999997</v>
      </c>
      <c r="M404" s="6">
        <v>7.2889999999999997</v>
      </c>
      <c r="N404" s="6">
        <v>7.2889999999999997</v>
      </c>
      <c r="O404" s="6">
        <v>7.2889999999999997</v>
      </c>
      <c r="P404" s="6">
        <v>3</v>
      </c>
      <c r="Q404" s="4" t="s">
        <v>26</v>
      </c>
      <c r="R404" s="4">
        <v>0</v>
      </c>
      <c r="S404" s="6">
        <v>0</v>
      </c>
      <c r="T404" s="6">
        <v>46</v>
      </c>
      <c r="U404" s="6">
        <v>83</v>
      </c>
      <c r="V404" s="6">
        <f>IF(ISERROR(VLOOKUP($S$404,'TAR FIN'!$A$1:$O$85,15,0)),0,VLOOKUP($S$404,'TAR FIN'!$A$1:$O$85,15,0))</f>
        <v>0</v>
      </c>
      <c r="W404" s="6">
        <f>IF(ISERROR(VLOOKUP($T$404,'TAR FIN'!$A$1:$O$85,15,0)),0,VLOOKUP($T$404,'TAR FIN'!$A$1:$O$85,15,0))</f>
        <v>333.15</v>
      </c>
      <c r="X404" s="6">
        <f>IF(ISERROR(VLOOKUP($U$404,'TAR FIN'!$A$1:$O$85,15,0)),0,VLOOKUP($U$404,'TAR FIN'!$A$1:$O$85,15,0))</f>
        <v>241.85</v>
      </c>
      <c r="Y404" s="6"/>
      <c r="Z404" s="6">
        <f ca="1">('TUSD BE'!$AM$48+'TUSD BF'!$AM$48+'TUSD CVA'!$AM$48)*1</f>
        <v>376.13343594836397</v>
      </c>
      <c r="AA404" s="6">
        <f>('TE BE'!$AB$39+'TE BF'!$AB$39+'TE CVA'!$AB$39)*1</f>
        <v>227.55060294064452</v>
      </c>
      <c r="AB404" s="6">
        <f>$K$404*$V$404</f>
        <v>0</v>
      </c>
      <c r="AC404" s="6">
        <f>$M$404*$W$404</f>
        <v>2428.3303499999997</v>
      </c>
      <c r="AD404" s="6">
        <f>$O$404*$X$404</f>
        <v>1762.8446499999998</v>
      </c>
      <c r="AE404" s="6">
        <f>$K$404*$Y$404</f>
        <v>0</v>
      </c>
      <c r="AF404" s="6">
        <f ca="1">$M$404*$Z$404</f>
        <v>2741.636614627625</v>
      </c>
      <c r="AG404" s="6">
        <f>$O$404*$AA$404</f>
        <v>1658.616344834358</v>
      </c>
    </row>
    <row r="405" spans="1:33" ht="11.25" customHeight="1" x14ac:dyDescent="0.25">
      <c r="A405" s="4" t="s">
        <v>21</v>
      </c>
      <c r="B405" s="4" t="s">
        <v>32</v>
      </c>
      <c r="C405" s="4" t="s">
        <v>23</v>
      </c>
      <c r="D405" s="4" t="s">
        <v>33</v>
      </c>
      <c r="E405" s="4" t="s">
        <v>25</v>
      </c>
      <c r="F405" s="4" t="s">
        <v>25</v>
      </c>
      <c r="G405" s="4" t="s">
        <v>25</v>
      </c>
      <c r="H405" s="4" t="s">
        <v>25</v>
      </c>
      <c r="I405" s="5">
        <v>44682</v>
      </c>
      <c r="J405" s="6">
        <v>0</v>
      </c>
      <c r="K405" s="6">
        <v>0</v>
      </c>
      <c r="L405" s="6">
        <v>56.985999999999997</v>
      </c>
      <c r="M405" s="6">
        <v>56.985999999999997</v>
      </c>
      <c r="N405" s="6">
        <v>56.985999999999997</v>
      </c>
      <c r="O405" s="6">
        <v>56.985999999999997</v>
      </c>
      <c r="P405" s="6">
        <v>50</v>
      </c>
      <c r="Q405" s="4" t="s">
        <v>26</v>
      </c>
      <c r="R405" s="4">
        <v>0</v>
      </c>
      <c r="S405" s="6">
        <v>0</v>
      </c>
      <c r="T405" s="6">
        <v>46</v>
      </c>
      <c r="U405" s="6">
        <v>83</v>
      </c>
      <c r="V405" s="6">
        <f>IF(ISERROR(VLOOKUP($S$405,'TAR FIN'!$A$1:$O$85,15,0)),0,VLOOKUP($S$405,'TAR FIN'!$A$1:$O$85,15,0))</f>
        <v>0</v>
      </c>
      <c r="W405" s="6">
        <f>IF(ISERROR(VLOOKUP($T$405,'TAR FIN'!$A$1:$O$85,15,0)),0,VLOOKUP($T$405,'TAR FIN'!$A$1:$O$85,15,0))</f>
        <v>333.15</v>
      </c>
      <c r="X405" s="6">
        <f>IF(ISERROR(VLOOKUP($U$405,'TAR FIN'!$A$1:$O$85,15,0)),0,VLOOKUP($U$405,'TAR FIN'!$A$1:$O$85,15,0))</f>
        <v>241.85</v>
      </c>
      <c r="Y405" s="6"/>
      <c r="Z405" s="6">
        <f ca="1">('TUSD BE'!$AM$48+'TUSD BF'!$AM$48+'TUSD CVA'!$AM$48)*1</f>
        <v>376.13343594836397</v>
      </c>
      <c r="AA405" s="6">
        <f>('TE BE'!$AB$39+'TE BF'!$AB$39+'TE CVA'!$AB$39)*1</f>
        <v>227.55060294064452</v>
      </c>
      <c r="AB405" s="6">
        <f>$K$405*$V$405</f>
        <v>0</v>
      </c>
      <c r="AC405" s="6">
        <f>$M$405*$W$405</f>
        <v>18984.885899999997</v>
      </c>
      <c r="AD405" s="6">
        <f>$O$405*$X$405</f>
        <v>13782.0641</v>
      </c>
      <c r="AE405" s="6">
        <f>$K$405*$Y$405</f>
        <v>0</v>
      </c>
      <c r="AF405" s="6">
        <f ca="1">$M$405*$Z$405</f>
        <v>21434.339980953468</v>
      </c>
      <c r="AG405" s="6">
        <f>$O$405*$AA$405</f>
        <v>12967.198659175569</v>
      </c>
    </row>
    <row r="406" spans="1:33" ht="11.25" customHeight="1" x14ac:dyDescent="0.25">
      <c r="A406" s="4" t="s">
        <v>27</v>
      </c>
      <c r="B406" s="4" t="s">
        <v>32</v>
      </c>
      <c r="C406" s="4" t="s">
        <v>23</v>
      </c>
      <c r="D406" s="4" t="s">
        <v>33</v>
      </c>
      <c r="E406" s="4" t="s">
        <v>25</v>
      </c>
      <c r="F406" s="4" t="s">
        <v>25</v>
      </c>
      <c r="G406" s="4" t="s">
        <v>25</v>
      </c>
      <c r="H406" s="4" t="s">
        <v>25</v>
      </c>
      <c r="I406" s="5">
        <v>44682</v>
      </c>
      <c r="J406" s="6">
        <v>0</v>
      </c>
      <c r="K406" s="6">
        <v>0</v>
      </c>
      <c r="L406" s="6">
        <v>7.9249999999999998</v>
      </c>
      <c r="M406" s="6">
        <v>7.9249999999999998</v>
      </c>
      <c r="N406" s="6">
        <v>7.9249999999999998</v>
      </c>
      <c r="O406" s="6">
        <v>7.9249999999999998</v>
      </c>
      <c r="P406" s="6">
        <v>3</v>
      </c>
      <c r="Q406" s="4" t="s">
        <v>26</v>
      </c>
      <c r="R406" s="4">
        <v>0</v>
      </c>
      <c r="S406" s="6">
        <v>0</v>
      </c>
      <c r="T406" s="6">
        <v>46</v>
      </c>
      <c r="U406" s="6">
        <v>83</v>
      </c>
      <c r="V406" s="6">
        <f>IF(ISERROR(VLOOKUP($S$406,'TAR FIN'!$A$1:$O$85,15,0)),0,VLOOKUP($S$406,'TAR FIN'!$A$1:$O$85,15,0))</f>
        <v>0</v>
      </c>
      <c r="W406" s="6">
        <f>IF(ISERROR(VLOOKUP($T$406,'TAR FIN'!$A$1:$O$85,15,0)),0,VLOOKUP($T$406,'TAR FIN'!$A$1:$O$85,15,0))</f>
        <v>333.15</v>
      </c>
      <c r="X406" s="6">
        <f>IF(ISERROR(VLOOKUP($U$406,'TAR FIN'!$A$1:$O$85,15,0)),0,VLOOKUP($U$406,'TAR FIN'!$A$1:$O$85,15,0))</f>
        <v>241.85</v>
      </c>
      <c r="Y406" s="6"/>
      <c r="Z406" s="6">
        <f ca="1">('TUSD BE'!$AM$48+'TUSD BF'!$AM$48+'TUSD CVA'!$AM$48)*1</f>
        <v>376.13343594836397</v>
      </c>
      <c r="AA406" s="6">
        <f>('TE BE'!$AB$39+'TE BF'!$AB$39+'TE CVA'!$AB$39)*1</f>
        <v>227.55060294064452</v>
      </c>
      <c r="AB406" s="6">
        <f>$K$406*$V$406</f>
        <v>0</v>
      </c>
      <c r="AC406" s="6">
        <f>$M$406*$W$406</f>
        <v>2640.2137499999999</v>
      </c>
      <c r="AD406" s="6">
        <f>$O$406*$X$406</f>
        <v>1916.6612499999999</v>
      </c>
      <c r="AE406" s="6">
        <f>$K$406*$Y$406</f>
        <v>0</v>
      </c>
      <c r="AF406" s="6">
        <f ca="1">$M$406*$Z$406</f>
        <v>2980.8574798907844</v>
      </c>
      <c r="AG406" s="6">
        <f>$O$406*$AA$406</f>
        <v>1803.3385283046077</v>
      </c>
    </row>
    <row r="407" spans="1:33" ht="11.25" customHeight="1" x14ac:dyDescent="0.25">
      <c r="A407" s="4" t="s">
        <v>21</v>
      </c>
      <c r="B407" s="4" t="s">
        <v>32</v>
      </c>
      <c r="C407" s="4" t="s">
        <v>23</v>
      </c>
      <c r="D407" s="4" t="s">
        <v>33</v>
      </c>
      <c r="E407" s="4" t="s">
        <v>25</v>
      </c>
      <c r="F407" s="4" t="s">
        <v>25</v>
      </c>
      <c r="G407" s="4" t="s">
        <v>25</v>
      </c>
      <c r="H407" s="4" t="s">
        <v>25</v>
      </c>
      <c r="I407" s="5">
        <v>44713</v>
      </c>
      <c r="J407" s="6">
        <v>0</v>
      </c>
      <c r="K407" s="6">
        <v>0</v>
      </c>
      <c r="L407" s="6">
        <v>58.13</v>
      </c>
      <c r="M407" s="6">
        <v>58.13</v>
      </c>
      <c r="N407" s="6">
        <v>58.13</v>
      </c>
      <c r="O407" s="6">
        <v>58.13</v>
      </c>
      <c r="P407" s="6">
        <v>50</v>
      </c>
      <c r="Q407" s="4" t="s">
        <v>26</v>
      </c>
      <c r="R407" s="4">
        <v>0</v>
      </c>
      <c r="S407" s="6">
        <v>0</v>
      </c>
      <c r="T407" s="6">
        <v>46</v>
      </c>
      <c r="U407" s="6">
        <v>83</v>
      </c>
      <c r="V407" s="6">
        <f>IF(ISERROR(VLOOKUP($S$407,'TAR FIN'!$A$1:$O$85,15,0)),0,VLOOKUP($S$407,'TAR FIN'!$A$1:$O$85,15,0))</f>
        <v>0</v>
      </c>
      <c r="W407" s="6">
        <f>IF(ISERROR(VLOOKUP($T$407,'TAR FIN'!$A$1:$O$85,15,0)),0,VLOOKUP($T$407,'TAR FIN'!$A$1:$O$85,15,0))</f>
        <v>333.15</v>
      </c>
      <c r="X407" s="6">
        <f>IF(ISERROR(VLOOKUP($U$407,'TAR FIN'!$A$1:$O$85,15,0)),0,VLOOKUP($U$407,'TAR FIN'!$A$1:$O$85,15,0))</f>
        <v>241.85</v>
      </c>
      <c r="Y407" s="6"/>
      <c r="Z407" s="6">
        <f ca="1">('TUSD BE'!$AM$48+'TUSD BF'!$AM$48+'TUSD CVA'!$AM$48)*1</f>
        <v>376.13343594836397</v>
      </c>
      <c r="AA407" s="6">
        <f>('TE BE'!$AB$39+'TE BF'!$AB$39+'TE CVA'!$AB$39)*1</f>
        <v>227.55060294064452</v>
      </c>
      <c r="AB407" s="6">
        <f>$K$407*$V$407</f>
        <v>0</v>
      </c>
      <c r="AC407" s="6">
        <f>$M$407*$W$407</f>
        <v>19366.0095</v>
      </c>
      <c r="AD407" s="6">
        <f>$O$407*$X$407</f>
        <v>14058.7405</v>
      </c>
      <c r="AE407" s="6">
        <f>$K$407*$Y$407</f>
        <v>0</v>
      </c>
      <c r="AF407" s="6">
        <f ca="1">$M$407*$Z$407</f>
        <v>21864.636631678397</v>
      </c>
      <c r="AG407" s="6">
        <f>$O$407*$AA$407</f>
        <v>13227.516548939666</v>
      </c>
    </row>
    <row r="408" spans="1:33" ht="11.25" customHeight="1" x14ac:dyDescent="0.25">
      <c r="A408" s="4" t="s">
        <v>27</v>
      </c>
      <c r="B408" s="4" t="s">
        <v>32</v>
      </c>
      <c r="C408" s="4" t="s">
        <v>23</v>
      </c>
      <c r="D408" s="4" t="s">
        <v>33</v>
      </c>
      <c r="E408" s="4" t="s">
        <v>25</v>
      </c>
      <c r="F408" s="4" t="s">
        <v>25</v>
      </c>
      <c r="G408" s="4" t="s">
        <v>25</v>
      </c>
      <c r="H408" s="4" t="s">
        <v>25</v>
      </c>
      <c r="I408" s="5">
        <v>44713</v>
      </c>
      <c r="J408" s="6">
        <v>0</v>
      </c>
      <c r="K408" s="6">
        <v>0</v>
      </c>
      <c r="L408" s="6">
        <v>8.8469999999999995</v>
      </c>
      <c r="M408" s="6">
        <v>8.8469999999999995</v>
      </c>
      <c r="N408" s="6">
        <v>8.8469999999999995</v>
      </c>
      <c r="O408" s="6">
        <v>8.8469999999999995</v>
      </c>
      <c r="P408" s="6">
        <v>3</v>
      </c>
      <c r="Q408" s="4" t="s">
        <v>26</v>
      </c>
      <c r="R408" s="4">
        <v>0</v>
      </c>
      <c r="S408" s="6">
        <v>0</v>
      </c>
      <c r="T408" s="6">
        <v>46</v>
      </c>
      <c r="U408" s="6">
        <v>83</v>
      </c>
      <c r="V408" s="6">
        <f>IF(ISERROR(VLOOKUP($S$408,'TAR FIN'!$A$1:$O$85,15,0)),0,VLOOKUP($S$408,'TAR FIN'!$A$1:$O$85,15,0))</f>
        <v>0</v>
      </c>
      <c r="W408" s="6">
        <f>IF(ISERROR(VLOOKUP($T$408,'TAR FIN'!$A$1:$O$85,15,0)),0,VLOOKUP($T$408,'TAR FIN'!$A$1:$O$85,15,0))</f>
        <v>333.15</v>
      </c>
      <c r="X408" s="6">
        <f>IF(ISERROR(VLOOKUP($U$408,'TAR FIN'!$A$1:$O$85,15,0)),0,VLOOKUP($U$408,'TAR FIN'!$A$1:$O$85,15,0))</f>
        <v>241.85</v>
      </c>
      <c r="Y408" s="6"/>
      <c r="Z408" s="6">
        <f ca="1">('TUSD BE'!$AM$48+'TUSD BF'!$AM$48+'TUSD CVA'!$AM$48)*1</f>
        <v>376.13343594836397</v>
      </c>
      <c r="AA408" s="6">
        <f>('TE BE'!$AB$39+'TE BF'!$AB$39+'TE CVA'!$AB$39)*1</f>
        <v>227.55060294064452</v>
      </c>
      <c r="AB408" s="6">
        <f>$K$408*$V$408</f>
        <v>0</v>
      </c>
      <c r="AC408" s="6">
        <f>$M$408*$W$408</f>
        <v>2947.3780499999998</v>
      </c>
      <c r="AD408" s="6">
        <f>$O$408*$X$408</f>
        <v>2139.6469499999998</v>
      </c>
      <c r="AE408" s="6">
        <f>$K$408*$Y$408</f>
        <v>0</v>
      </c>
      <c r="AF408" s="6">
        <f ca="1">$M$408*$Z$408</f>
        <v>3327.652507835176</v>
      </c>
      <c r="AG408" s="6">
        <f>$O$408*$AA$408</f>
        <v>2013.1401842158821</v>
      </c>
    </row>
    <row r="409" spans="1:33" ht="11.25" customHeight="1" x14ac:dyDescent="0.25">
      <c r="A409" s="4" t="s">
        <v>21</v>
      </c>
      <c r="B409" s="4" t="s">
        <v>32</v>
      </c>
      <c r="C409" s="4" t="s">
        <v>23</v>
      </c>
      <c r="D409" s="4" t="s">
        <v>41</v>
      </c>
      <c r="E409" s="4" t="s">
        <v>25</v>
      </c>
      <c r="F409" s="4" t="s">
        <v>25</v>
      </c>
      <c r="G409" s="4" t="s">
        <v>25</v>
      </c>
      <c r="H409" s="4" t="s">
        <v>25</v>
      </c>
      <c r="I409" s="5">
        <v>44378</v>
      </c>
      <c r="J409" s="6">
        <v>0</v>
      </c>
      <c r="K409" s="6">
        <v>0</v>
      </c>
      <c r="L409" s="6">
        <v>75.864999999999995</v>
      </c>
      <c r="M409" s="6">
        <v>75.864999999999995</v>
      </c>
      <c r="N409" s="6">
        <v>75.864999999999995</v>
      </c>
      <c r="O409" s="6">
        <v>75.864999999999995</v>
      </c>
      <c r="P409" s="6">
        <v>74</v>
      </c>
      <c r="Q409" s="4" t="s">
        <v>26</v>
      </c>
      <c r="R409" s="4">
        <v>0</v>
      </c>
      <c r="S409" s="6">
        <v>0</v>
      </c>
      <c r="T409" s="6">
        <v>46</v>
      </c>
      <c r="U409" s="6">
        <v>83</v>
      </c>
      <c r="V409" s="6">
        <f>IF(ISERROR(VLOOKUP($S$409,'TAR FIN'!$A$1:$O$85,15,0)),0,VLOOKUP($S$409,'TAR FIN'!$A$1:$O$85,15,0))</f>
        <v>0</v>
      </c>
      <c r="W409" s="6">
        <f>IF(ISERROR(VLOOKUP($T$409,'TAR FIN'!$A$1:$O$85,15,0)),0,VLOOKUP($T$409,'TAR FIN'!$A$1:$O$85,15,0))</f>
        <v>333.15</v>
      </c>
      <c r="X409" s="6">
        <f>IF(ISERROR(VLOOKUP($U$409,'TAR FIN'!$A$1:$O$85,15,0)),0,VLOOKUP($U$409,'TAR FIN'!$A$1:$O$85,15,0))</f>
        <v>241.85</v>
      </c>
      <c r="Y409" s="6"/>
      <c r="Z409" s="6">
        <f ca="1">('TUSD BE'!$AM$48+'TUSD BF'!$AM$48+'TUSD CVA'!$AM$48)*1</f>
        <v>376.13343594836397</v>
      </c>
      <c r="AA409" s="6">
        <f>('TE BE'!$AB$39+'TE BF'!$AB$39+'TE CVA'!$AB$39)*1</f>
        <v>227.55060294064452</v>
      </c>
      <c r="AB409" s="6">
        <f>$K$409*$V$409</f>
        <v>0</v>
      </c>
      <c r="AC409" s="6">
        <f>$M$409*$W$409</f>
        <v>25274.424749999998</v>
      </c>
      <c r="AD409" s="6">
        <f>$O$409*$X$409</f>
        <v>18347.950249999998</v>
      </c>
      <c r="AE409" s="6">
        <f>$K$409*$Y$409</f>
        <v>0</v>
      </c>
      <c r="AF409" s="6">
        <f ca="1">$M$409*$Z$409</f>
        <v>28535.363118222631</v>
      </c>
      <c r="AG409" s="6">
        <f>$O$409*$AA$409</f>
        <v>17263.126492091997</v>
      </c>
    </row>
    <row r="410" spans="1:33" ht="11.25" customHeight="1" x14ac:dyDescent="0.25">
      <c r="A410" s="4" t="s">
        <v>21</v>
      </c>
      <c r="B410" s="4" t="s">
        <v>32</v>
      </c>
      <c r="C410" s="4" t="s">
        <v>23</v>
      </c>
      <c r="D410" s="4" t="s">
        <v>41</v>
      </c>
      <c r="E410" s="4" t="s">
        <v>25</v>
      </c>
      <c r="F410" s="4" t="s">
        <v>25</v>
      </c>
      <c r="G410" s="4" t="s">
        <v>25</v>
      </c>
      <c r="H410" s="4" t="s">
        <v>25</v>
      </c>
      <c r="I410" s="5">
        <v>44409</v>
      </c>
      <c r="J410" s="6">
        <v>0</v>
      </c>
      <c r="K410" s="6">
        <v>0</v>
      </c>
      <c r="L410" s="6">
        <v>72.569999999999993</v>
      </c>
      <c r="M410" s="6">
        <v>72.569999999999993</v>
      </c>
      <c r="N410" s="6">
        <v>72.569999999999993</v>
      </c>
      <c r="O410" s="6">
        <v>72.569999999999993</v>
      </c>
      <c r="P410" s="6">
        <v>73</v>
      </c>
      <c r="Q410" s="4" t="s">
        <v>26</v>
      </c>
      <c r="R410" s="4">
        <v>0</v>
      </c>
      <c r="S410" s="6">
        <v>0</v>
      </c>
      <c r="T410" s="6">
        <v>46</v>
      </c>
      <c r="U410" s="6">
        <v>83</v>
      </c>
      <c r="V410" s="6">
        <f>IF(ISERROR(VLOOKUP($S$410,'TAR FIN'!$A$1:$O$85,15,0)),0,VLOOKUP($S$410,'TAR FIN'!$A$1:$O$85,15,0))</f>
        <v>0</v>
      </c>
      <c r="W410" s="6">
        <f>IF(ISERROR(VLOOKUP($T$410,'TAR FIN'!$A$1:$O$85,15,0)),0,VLOOKUP($T$410,'TAR FIN'!$A$1:$O$85,15,0))</f>
        <v>333.15</v>
      </c>
      <c r="X410" s="6">
        <f>IF(ISERROR(VLOOKUP($U$410,'TAR FIN'!$A$1:$O$85,15,0)),0,VLOOKUP($U$410,'TAR FIN'!$A$1:$O$85,15,0))</f>
        <v>241.85</v>
      </c>
      <c r="Y410" s="6"/>
      <c r="Z410" s="6">
        <f ca="1">('TUSD BE'!$AM$48+'TUSD BF'!$AM$48+'TUSD CVA'!$AM$48)*1</f>
        <v>376.13343594836397</v>
      </c>
      <c r="AA410" s="6">
        <f>('TE BE'!$AB$39+'TE BF'!$AB$39+'TE CVA'!$AB$39)*1</f>
        <v>227.55060294064452</v>
      </c>
      <c r="AB410" s="6">
        <f>$K$410*$V$410</f>
        <v>0</v>
      </c>
      <c r="AC410" s="6">
        <f>$M$410*$W$410</f>
        <v>24176.695499999994</v>
      </c>
      <c r="AD410" s="6">
        <f>$O$410*$X$410</f>
        <v>17551.054499999998</v>
      </c>
      <c r="AE410" s="6">
        <f>$K$410*$Y$410</f>
        <v>0</v>
      </c>
      <c r="AF410" s="6">
        <f ca="1">$M$410*$Z$410</f>
        <v>27296.003446772771</v>
      </c>
      <c r="AG410" s="6">
        <f>$O$410*$AA$410</f>
        <v>16513.347255402572</v>
      </c>
    </row>
    <row r="411" spans="1:33" ht="11.25" customHeight="1" x14ac:dyDescent="0.25">
      <c r="A411" s="4" t="s">
        <v>21</v>
      </c>
      <c r="B411" s="4" t="s">
        <v>32</v>
      </c>
      <c r="C411" s="4" t="s">
        <v>23</v>
      </c>
      <c r="D411" s="4" t="s">
        <v>41</v>
      </c>
      <c r="E411" s="4" t="s">
        <v>25</v>
      </c>
      <c r="F411" s="4" t="s">
        <v>25</v>
      </c>
      <c r="G411" s="4" t="s">
        <v>25</v>
      </c>
      <c r="H411" s="4" t="s">
        <v>25</v>
      </c>
      <c r="I411" s="5">
        <v>44440</v>
      </c>
      <c r="J411" s="6">
        <v>0</v>
      </c>
      <c r="K411" s="6">
        <v>0</v>
      </c>
      <c r="L411" s="6">
        <v>56.506</v>
      </c>
      <c r="M411" s="6">
        <v>56.506</v>
      </c>
      <c r="N411" s="6">
        <v>56.506</v>
      </c>
      <c r="O411" s="6">
        <v>56.506</v>
      </c>
      <c r="P411" s="6">
        <v>73</v>
      </c>
      <c r="Q411" s="4" t="s">
        <v>26</v>
      </c>
      <c r="R411" s="4">
        <v>0</v>
      </c>
      <c r="S411" s="6">
        <v>0</v>
      </c>
      <c r="T411" s="6">
        <v>46</v>
      </c>
      <c r="U411" s="6">
        <v>83</v>
      </c>
      <c r="V411" s="6">
        <f>IF(ISERROR(VLOOKUP($S$411,'TAR FIN'!$A$1:$O$85,15,0)),0,VLOOKUP($S$411,'TAR FIN'!$A$1:$O$85,15,0))</f>
        <v>0</v>
      </c>
      <c r="W411" s="6">
        <f>IF(ISERROR(VLOOKUP($T$411,'TAR FIN'!$A$1:$O$85,15,0)),0,VLOOKUP($T$411,'TAR FIN'!$A$1:$O$85,15,0))</f>
        <v>333.15</v>
      </c>
      <c r="X411" s="6">
        <f>IF(ISERROR(VLOOKUP($U$411,'TAR FIN'!$A$1:$O$85,15,0)),0,VLOOKUP($U$411,'TAR FIN'!$A$1:$O$85,15,0))</f>
        <v>241.85</v>
      </c>
      <c r="Y411" s="6"/>
      <c r="Z411" s="6">
        <f ca="1">('TUSD BE'!$AM$48+'TUSD BF'!$AM$48+'TUSD CVA'!$AM$48)*1</f>
        <v>376.13343594836397</v>
      </c>
      <c r="AA411" s="6">
        <f>('TE BE'!$AB$39+'TE BF'!$AB$39+'TE CVA'!$AB$39)*1</f>
        <v>227.55060294064452</v>
      </c>
      <c r="AB411" s="6">
        <f>$K$411*$V$411</f>
        <v>0</v>
      </c>
      <c r="AC411" s="6">
        <f>$M$411*$W$411</f>
        <v>18824.973899999997</v>
      </c>
      <c r="AD411" s="6">
        <f>$O$411*$X$411</f>
        <v>13665.9761</v>
      </c>
      <c r="AE411" s="6">
        <f>$K$411*$Y$411</f>
        <v>0</v>
      </c>
      <c r="AF411" s="6">
        <f ca="1">$M$411*$Z$411</f>
        <v>21253.795931698256</v>
      </c>
      <c r="AG411" s="6">
        <f>$O$411*$AA$411</f>
        <v>12857.974369764059</v>
      </c>
    </row>
    <row r="412" spans="1:33" ht="11.25" customHeight="1" x14ac:dyDescent="0.25">
      <c r="A412" s="4" t="s">
        <v>21</v>
      </c>
      <c r="B412" s="4" t="s">
        <v>32</v>
      </c>
      <c r="C412" s="4" t="s">
        <v>23</v>
      </c>
      <c r="D412" s="4" t="s">
        <v>41</v>
      </c>
      <c r="E412" s="4" t="s">
        <v>25</v>
      </c>
      <c r="F412" s="4" t="s">
        <v>25</v>
      </c>
      <c r="G412" s="4" t="s">
        <v>25</v>
      </c>
      <c r="H412" s="4" t="s">
        <v>25</v>
      </c>
      <c r="I412" s="5">
        <v>44470</v>
      </c>
      <c r="J412" s="6">
        <v>0</v>
      </c>
      <c r="K412" s="6">
        <v>0</v>
      </c>
      <c r="L412" s="6">
        <v>51.398000000000003</v>
      </c>
      <c r="M412" s="6">
        <v>51.398000000000003</v>
      </c>
      <c r="N412" s="6">
        <v>51.398000000000003</v>
      </c>
      <c r="O412" s="6">
        <v>51.398000000000003</v>
      </c>
      <c r="P412" s="6">
        <v>72</v>
      </c>
      <c r="Q412" s="4" t="s">
        <v>26</v>
      </c>
      <c r="R412" s="4">
        <v>0</v>
      </c>
      <c r="S412" s="6">
        <v>0</v>
      </c>
      <c r="T412" s="6">
        <v>46</v>
      </c>
      <c r="U412" s="6">
        <v>83</v>
      </c>
      <c r="V412" s="6">
        <f>IF(ISERROR(VLOOKUP($S$412,'TAR FIN'!$A$1:$O$85,15,0)),0,VLOOKUP($S$412,'TAR FIN'!$A$1:$O$85,15,0))</f>
        <v>0</v>
      </c>
      <c r="W412" s="6">
        <f>IF(ISERROR(VLOOKUP($T$412,'TAR FIN'!$A$1:$O$85,15,0)),0,VLOOKUP($T$412,'TAR FIN'!$A$1:$O$85,15,0))</f>
        <v>333.15</v>
      </c>
      <c r="X412" s="6">
        <f>IF(ISERROR(VLOOKUP($U$412,'TAR FIN'!$A$1:$O$85,15,0)),0,VLOOKUP($U$412,'TAR FIN'!$A$1:$O$85,15,0))</f>
        <v>241.85</v>
      </c>
      <c r="Y412" s="6"/>
      <c r="Z412" s="6">
        <f ca="1">('TUSD BE'!$AM$48+'TUSD BF'!$AM$48+'TUSD CVA'!$AM$48)*1</f>
        <v>376.13343594836397</v>
      </c>
      <c r="AA412" s="6">
        <f>('TE BE'!$AB$39+'TE BF'!$AB$39+'TE CVA'!$AB$39)*1</f>
        <v>227.55060294064452</v>
      </c>
      <c r="AB412" s="6">
        <f>$K$412*$V$412</f>
        <v>0</v>
      </c>
      <c r="AC412" s="6">
        <f>$M$412*$W$412</f>
        <v>17123.243699999999</v>
      </c>
      <c r="AD412" s="6">
        <f>$O$412*$X$412</f>
        <v>12430.606300000001</v>
      </c>
      <c r="AE412" s="6">
        <f>$K$412*$Y$412</f>
        <v>0</v>
      </c>
      <c r="AF412" s="6">
        <f ca="1">$M$412*$Z$412</f>
        <v>19332.506340874013</v>
      </c>
      <c r="AG412" s="6">
        <f>$O$412*$AA$412</f>
        <v>11695.645889943247</v>
      </c>
    </row>
    <row r="413" spans="1:33" ht="11.25" customHeight="1" x14ac:dyDescent="0.25">
      <c r="A413" s="4" t="s">
        <v>21</v>
      </c>
      <c r="B413" s="4" t="s">
        <v>32</v>
      </c>
      <c r="C413" s="4" t="s">
        <v>23</v>
      </c>
      <c r="D413" s="4" t="s">
        <v>41</v>
      </c>
      <c r="E413" s="4" t="s">
        <v>25</v>
      </c>
      <c r="F413" s="4" t="s">
        <v>25</v>
      </c>
      <c r="G413" s="4" t="s">
        <v>25</v>
      </c>
      <c r="H413" s="4" t="s">
        <v>25</v>
      </c>
      <c r="I413" s="5">
        <v>44501</v>
      </c>
      <c r="J413" s="6">
        <v>0</v>
      </c>
      <c r="K413" s="6">
        <v>0</v>
      </c>
      <c r="L413" s="6">
        <v>58.618000000000002</v>
      </c>
      <c r="M413" s="6">
        <v>58.618000000000002</v>
      </c>
      <c r="N413" s="6">
        <v>58.618000000000002</v>
      </c>
      <c r="O413" s="6">
        <v>58.618000000000002</v>
      </c>
      <c r="P413" s="6">
        <v>74</v>
      </c>
      <c r="Q413" s="4" t="s">
        <v>26</v>
      </c>
      <c r="R413" s="4">
        <v>0</v>
      </c>
      <c r="S413" s="6">
        <v>0</v>
      </c>
      <c r="T413" s="6">
        <v>46</v>
      </c>
      <c r="U413" s="6">
        <v>83</v>
      </c>
      <c r="V413" s="6">
        <f>IF(ISERROR(VLOOKUP($S$413,'TAR FIN'!$A$1:$O$85,15,0)),0,VLOOKUP($S$413,'TAR FIN'!$A$1:$O$85,15,0))</f>
        <v>0</v>
      </c>
      <c r="W413" s="6">
        <f>IF(ISERROR(VLOOKUP($T$413,'TAR FIN'!$A$1:$O$85,15,0)),0,VLOOKUP($T$413,'TAR FIN'!$A$1:$O$85,15,0))</f>
        <v>333.15</v>
      </c>
      <c r="X413" s="6">
        <f>IF(ISERROR(VLOOKUP($U$413,'TAR FIN'!$A$1:$O$85,15,0)),0,VLOOKUP($U$413,'TAR FIN'!$A$1:$O$85,15,0))</f>
        <v>241.85</v>
      </c>
      <c r="Y413" s="6"/>
      <c r="Z413" s="6">
        <f ca="1">('TUSD BE'!$AM$48+'TUSD BF'!$AM$48+'TUSD CVA'!$AM$48)*1</f>
        <v>376.13343594836397</v>
      </c>
      <c r="AA413" s="6">
        <f>('TE BE'!$AB$39+'TE BF'!$AB$39+'TE CVA'!$AB$39)*1</f>
        <v>227.55060294064452</v>
      </c>
      <c r="AB413" s="6">
        <f>$K$413*$V$413</f>
        <v>0</v>
      </c>
      <c r="AC413" s="6">
        <f>$M$413*$W$413</f>
        <v>19528.5867</v>
      </c>
      <c r="AD413" s="6">
        <f>$O$413*$X$413</f>
        <v>14176.763300000001</v>
      </c>
      <c r="AE413" s="6">
        <f>$K$413*$Y$413</f>
        <v>0</v>
      </c>
      <c r="AF413" s="6">
        <f ca="1">$M$413*$Z$413</f>
        <v>22048.189748421199</v>
      </c>
      <c r="AG413" s="6">
        <f>$O$413*$AA$413</f>
        <v>13338.561243174701</v>
      </c>
    </row>
    <row r="414" spans="1:33" ht="11.25" customHeight="1" x14ac:dyDescent="0.25">
      <c r="A414" s="4" t="s">
        <v>21</v>
      </c>
      <c r="B414" s="4" t="s">
        <v>32</v>
      </c>
      <c r="C414" s="4" t="s">
        <v>23</v>
      </c>
      <c r="D414" s="4" t="s">
        <v>41</v>
      </c>
      <c r="E414" s="4" t="s">
        <v>25</v>
      </c>
      <c r="F414" s="4" t="s">
        <v>25</v>
      </c>
      <c r="G414" s="4" t="s">
        <v>25</v>
      </c>
      <c r="H414" s="4" t="s">
        <v>25</v>
      </c>
      <c r="I414" s="5">
        <v>44531</v>
      </c>
      <c r="J414" s="6">
        <v>0</v>
      </c>
      <c r="K414" s="6">
        <v>0</v>
      </c>
      <c r="L414" s="6">
        <v>73.353999999999999</v>
      </c>
      <c r="M414" s="6">
        <v>73.353999999999999</v>
      </c>
      <c r="N414" s="6">
        <v>73.353999999999999</v>
      </c>
      <c r="O414" s="6">
        <v>73.353999999999999</v>
      </c>
      <c r="P414" s="6">
        <v>75</v>
      </c>
      <c r="Q414" s="4" t="s">
        <v>26</v>
      </c>
      <c r="R414" s="4">
        <v>0</v>
      </c>
      <c r="S414" s="6">
        <v>0</v>
      </c>
      <c r="T414" s="6">
        <v>46</v>
      </c>
      <c r="U414" s="6">
        <v>83</v>
      </c>
      <c r="V414" s="6">
        <f>IF(ISERROR(VLOOKUP($S$414,'TAR FIN'!$A$1:$O$85,15,0)),0,VLOOKUP($S$414,'TAR FIN'!$A$1:$O$85,15,0))</f>
        <v>0</v>
      </c>
      <c r="W414" s="6">
        <f>IF(ISERROR(VLOOKUP($T$414,'TAR FIN'!$A$1:$O$85,15,0)),0,VLOOKUP($T$414,'TAR FIN'!$A$1:$O$85,15,0))</f>
        <v>333.15</v>
      </c>
      <c r="X414" s="6">
        <f>IF(ISERROR(VLOOKUP($U$414,'TAR FIN'!$A$1:$O$85,15,0)),0,VLOOKUP($U$414,'TAR FIN'!$A$1:$O$85,15,0))</f>
        <v>241.85</v>
      </c>
      <c r="Y414" s="6"/>
      <c r="Z414" s="6">
        <f ca="1">('TUSD BE'!$AM$48+'TUSD BF'!$AM$48+'TUSD CVA'!$AM$48)*1</f>
        <v>376.13343594836397</v>
      </c>
      <c r="AA414" s="6">
        <f>('TE BE'!$AB$39+'TE BF'!$AB$39+'TE CVA'!$AB$39)*1</f>
        <v>227.55060294064452</v>
      </c>
      <c r="AB414" s="6">
        <f>$K$414*$V$414</f>
        <v>0</v>
      </c>
      <c r="AC414" s="6">
        <f>$M$414*$W$414</f>
        <v>24437.8851</v>
      </c>
      <c r="AD414" s="6">
        <f>$O$414*$X$414</f>
        <v>17740.6649</v>
      </c>
      <c r="AE414" s="6">
        <f>$K$414*$Y$414</f>
        <v>0</v>
      </c>
      <c r="AF414" s="6">
        <f ca="1">$M$414*$Z$414</f>
        <v>27590.892060556289</v>
      </c>
      <c r="AG414" s="6">
        <f>$O$414*$AA$414</f>
        <v>16691.746928108038</v>
      </c>
    </row>
    <row r="415" spans="1:33" ht="11.25" customHeight="1" x14ac:dyDescent="0.25">
      <c r="A415" s="4" t="s">
        <v>21</v>
      </c>
      <c r="B415" s="4" t="s">
        <v>32</v>
      </c>
      <c r="C415" s="4" t="s">
        <v>23</v>
      </c>
      <c r="D415" s="4" t="s">
        <v>41</v>
      </c>
      <c r="E415" s="4" t="s">
        <v>25</v>
      </c>
      <c r="F415" s="4" t="s">
        <v>25</v>
      </c>
      <c r="G415" s="4" t="s">
        <v>25</v>
      </c>
      <c r="H415" s="4" t="s">
        <v>25</v>
      </c>
      <c r="I415" s="5">
        <v>44562</v>
      </c>
      <c r="J415" s="6">
        <v>0</v>
      </c>
      <c r="K415" s="6">
        <v>0</v>
      </c>
      <c r="L415" s="6">
        <v>61.228999999999999</v>
      </c>
      <c r="M415" s="6">
        <v>61.228999999999999</v>
      </c>
      <c r="N415" s="6">
        <v>61.228999999999999</v>
      </c>
      <c r="O415" s="6">
        <v>61.228999999999999</v>
      </c>
      <c r="P415" s="6">
        <v>75</v>
      </c>
      <c r="Q415" s="4" t="s">
        <v>26</v>
      </c>
      <c r="R415" s="4">
        <v>0</v>
      </c>
      <c r="S415" s="6">
        <v>0</v>
      </c>
      <c r="T415" s="6">
        <v>46</v>
      </c>
      <c r="U415" s="6">
        <v>83</v>
      </c>
      <c r="V415" s="6">
        <f>IF(ISERROR(VLOOKUP($S$415,'TAR FIN'!$A$1:$O$85,15,0)),0,VLOOKUP($S$415,'TAR FIN'!$A$1:$O$85,15,0))</f>
        <v>0</v>
      </c>
      <c r="W415" s="6">
        <f>IF(ISERROR(VLOOKUP($T$415,'TAR FIN'!$A$1:$O$85,15,0)),0,VLOOKUP($T$415,'TAR FIN'!$A$1:$O$85,15,0))</f>
        <v>333.15</v>
      </c>
      <c r="X415" s="6">
        <f>IF(ISERROR(VLOOKUP($U$415,'TAR FIN'!$A$1:$O$85,15,0)),0,VLOOKUP($U$415,'TAR FIN'!$A$1:$O$85,15,0))</f>
        <v>241.85</v>
      </c>
      <c r="Y415" s="6"/>
      <c r="Z415" s="6">
        <f ca="1">('TUSD BE'!$AM$48+'TUSD BF'!$AM$48+'TUSD CVA'!$AM$48)*1</f>
        <v>376.13343594836397</v>
      </c>
      <c r="AA415" s="6">
        <f>('TE BE'!$AB$39+'TE BF'!$AB$39+'TE CVA'!$AB$39)*1</f>
        <v>227.55060294064452</v>
      </c>
      <c r="AB415" s="6">
        <f>$K$415*$V$415</f>
        <v>0</v>
      </c>
      <c r="AC415" s="6">
        <f>$M$415*$W$415</f>
        <v>20398.441349999997</v>
      </c>
      <c r="AD415" s="6">
        <f>$O$415*$X$415</f>
        <v>14808.23365</v>
      </c>
      <c r="AE415" s="6">
        <f>$K$415*$Y$415</f>
        <v>0</v>
      </c>
      <c r="AF415" s="6">
        <f ca="1">$M$415*$Z$415</f>
        <v>23030.274149682376</v>
      </c>
      <c r="AG415" s="6">
        <f>$O$415*$AA$415</f>
        <v>13932.695867452723</v>
      </c>
    </row>
    <row r="416" spans="1:33" ht="11.25" customHeight="1" x14ac:dyDescent="0.25">
      <c r="A416" s="4" t="s">
        <v>21</v>
      </c>
      <c r="B416" s="4" t="s">
        <v>32</v>
      </c>
      <c r="C416" s="4" t="s">
        <v>23</v>
      </c>
      <c r="D416" s="4" t="s">
        <v>41</v>
      </c>
      <c r="E416" s="4" t="s">
        <v>25</v>
      </c>
      <c r="F416" s="4" t="s">
        <v>25</v>
      </c>
      <c r="G416" s="4" t="s">
        <v>25</v>
      </c>
      <c r="H416" s="4" t="s">
        <v>25</v>
      </c>
      <c r="I416" s="5">
        <v>44593</v>
      </c>
      <c r="J416" s="6">
        <v>0</v>
      </c>
      <c r="K416" s="6">
        <v>0</v>
      </c>
      <c r="L416" s="6">
        <v>73.075000000000003</v>
      </c>
      <c r="M416" s="6">
        <v>73.075000000000003</v>
      </c>
      <c r="N416" s="6">
        <v>73.075000000000003</v>
      </c>
      <c r="O416" s="6">
        <v>73.075000000000003</v>
      </c>
      <c r="P416" s="6">
        <v>75</v>
      </c>
      <c r="Q416" s="4" t="s">
        <v>26</v>
      </c>
      <c r="R416" s="4">
        <v>0</v>
      </c>
      <c r="S416" s="6">
        <v>0</v>
      </c>
      <c r="T416" s="6">
        <v>46</v>
      </c>
      <c r="U416" s="6">
        <v>83</v>
      </c>
      <c r="V416" s="6">
        <f>IF(ISERROR(VLOOKUP($S$416,'TAR FIN'!$A$1:$O$85,15,0)),0,VLOOKUP($S$416,'TAR FIN'!$A$1:$O$85,15,0))</f>
        <v>0</v>
      </c>
      <c r="W416" s="6">
        <f>IF(ISERROR(VLOOKUP($T$416,'TAR FIN'!$A$1:$O$85,15,0)),0,VLOOKUP($T$416,'TAR FIN'!$A$1:$O$85,15,0))</f>
        <v>333.15</v>
      </c>
      <c r="X416" s="6">
        <f>IF(ISERROR(VLOOKUP($U$416,'TAR FIN'!$A$1:$O$85,15,0)),0,VLOOKUP($U$416,'TAR FIN'!$A$1:$O$85,15,0))</f>
        <v>241.85</v>
      </c>
      <c r="Y416" s="6"/>
      <c r="Z416" s="6">
        <f ca="1">('TUSD BE'!$AM$48+'TUSD BF'!$AM$48+'TUSD CVA'!$AM$48)*1</f>
        <v>376.13343594836397</v>
      </c>
      <c r="AA416" s="6">
        <f>('TE BE'!$AB$39+'TE BF'!$AB$39+'TE CVA'!$AB$39)*1</f>
        <v>227.55060294064452</v>
      </c>
      <c r="AB416" s="6">
        <f>$K$416*$V$416</f>
        <v>0</v>
      </c>
      <c r="AC416" s="6">
        <f>$M$416*$W$416</f>
        <v>24344.936249999999</v>
      </c>
      <c r="AD416" s="6">
        <f>$O$416*$X$416</f>
        <v>17673.188750000001</v>
      </c>
      <c r="AE416" s="6">
        <f>$K$416*$Y$416</f>
        <v>0</v>
      </c>
      <c r="AF416" s="6">
        <f ca="1">$M$416*$Z$416</f>
        <v>27485.950831926697</v>
      </c>
      <c r="AG416" s="6">
        <f>$O$416*$AA$416</f>
        <v>16628.260309887599</v>
      </c>
    </row>
    <row r="417" spans="1:33" ht="11.25" customHeight="1" x14ac:dyDescent="0.25">
      <c r="A417" s="4" t="s">
        <v>21</v>
      </c>
      <c r="B417" s="4" t="s">
        <v>32</v>
      </c>
      <c r="C417" s="4" t="s">
        <v>23</v>
      </c>
      <c r="D417" s="4" t="s">
        <v>41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44621</v>
      </c>
      <c r="J417" s="6">
        <v>0</v>
      </c>
      <c r="K417" s="6">
        <v>0</v>
      </c>
      <c r="L417" s="6">
        <v>72.114999999999995</v>
      </c>
      <c r="M417" s="6">
        <v>72.114999999999995</v>
      </c>
      <c r="N417" s="6">
        <v>72.114999999999995</v>
      </c>
      <c r="O417" s="6">
        <v>72.114999999999995</v>
      </c>
      <c r="P417" s="6">
        <v>74</v>
      </c>
      <c r="Q417" s="4" t="s">
        <v>26</v>
      </c>
      <c r="R417" s="4">
        <v>0</v>
      </c>
      <c r="S417" s="6">
        <v>0</v>
      </c>
      <c r="T417" s="6">
        <v>46</v>
      </c>
      <c r="U417" s="6">
        <v>83</v>
      </c>
      <c r="V417" s="6">
        <f>IF(ISERROR(VLOOKUP($S$417,'TAR FIN'!$A$1:$O$85,15,0)),0,VLOOKUP($S$417,'TAR FIN'!$A$1:$O$85,15,0))</f>
        <v>0</v>
      </c>
      <c r="W417" s="6">
        <f>IF(ISERROR(VLOOKUP($T$417,'TAR FIN'!$A$1:$O$85,15,0)),0,VLOOKUP($T$417,'TAR FIN'!$A$1:$O$85,15,0))</f>
        <v>333.15</v>
      </c>
      <c r="X417" s="6">
        <f>IF(ISERROR(VLOOKUP($U$417,'TAR FIN'!$A$1:$O$85,15,0)),0,VLOOKUP($U$417,'TAR FIN'!$A$1:$O$85,15,0))</f>
        <v>241.85</v>
      </c>
      <c r="Y417" s="6"/>
      <c r="Z417" s="6">
        <f ca="1">('TUSD BE'!$AM$48+'TUSD BF'!$AM$48+'TUSD CVA'!$AM$48)*1</f>
        <v>376.13343594836397</v>
      </c>
      <c r="AA417" s="6">
        <f>('TE BE'!$AB$39+'TE BF'!$AB$39+'TE CVA'!$AB$39)*1</f>
        <v>227.55060294064452</v>
      </c>
      <c r="AB417" s="6">
        <f>$K$417*$V$417</f>
        <v>0</v>
      </c>
      <c r="AC417" s="6">
        <f>$M$417*$W$417</f>
        <v>24025.112249999998</v>
      </c>
      <c r="AD417" s="6">
        <f>$O$417*$X$417</f>
        <v>17441.012749999998</v>
      </c>
      <c r="AE417" s="6">
        <f>$K$417*$Y$417</f>
        <v>0</v>
      </c>
      <c r="AF417" s="6">
        <f ca="1">$M$417*$Z$417</f>
        <v>27124.862733416267</v>
      </c>
      <c r="AG417" s="6">
        <f>$O$417*$AA$417</f>
        <v>16409.811731064579</v>
      </c>
    </row>
    <row r="418" spans="1:33" ht="11.25" customHeight="1" x14ac:dyDescent="0.25">
      <c r="A418" s="4" t="s">
        <v>21</v>
      </c>
      <c r="B418" s="4" t="s">
        <v>32</v>
      </c>
      <c r="C418" s="4" t="s">
        <v>23</v>
      </c>
      <c r="D418" s="4" t="s">
        <v>41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44652</v>
      </c>
      <c r="J418" s="6">
        <v>0</v>
      </c>
      <c r="K418" s="6">
        <v>0</v>
      </c>
      <c r="L418" s="6">
        <v>65.207999999999998</v>
      </c>
      <c r="M418" s="6">
        <v>65.207999999999998</v>
      </c>
      <c r="N418" s="6">
        <v>65.207999999999998</v>
      </c>
      <c r="O418" s="6">
        <v>65.207999999999998</v>
      </c>
      <c r="P418" s="6">
        <v>74</v>
      </c>
      <c r="Q418" s="4" t="s">
        <v>26</v>
      </c>
      <c r="R418" s="4">
        <v>0</v>
      </c>
      <c r="S418" s="6">
        <v>0</v>
      </c>
      <c r="T418" s="6">
        <v>46</v>
      </c>
      <c r="U418" s="6">
        <v>83</v>
      </c>
      <c r="V418" s="6">
        <f>IF(ISERROR(VLOOKUP($S$418,'TAR FIN'!$A$1:$O$85,15,0)),0,VLOOKUP($S$418,'TAR FIN'!$A$1:$O$85,15,0))</f>
        <v>0</v>
      </c>
      <c r="W418" s="6">
        <f>IF(ISERROR(VLOOKUP($T$418,'TAR FIN'!$A$1:$O$85,15,0)),0,VLOOKUP($T$418,'TAR FIN'!$A$1:$O$85,15,0))</f>
        <v>333.15</v>
      </c>
      <c r="X418" s="6">
        <f>IF(ISERROR(VLOOKUP($U$418,'TAR FIN'!$A$1:$O$85,15,0)),0,VLOOKUP($U$418,'TAR FIN'!$A$1:$O$85,15,0))</f>
        <v>241.85</v>
      </c>
      <c r="Y418" s="6"/>
      <c r="Z418" s="6">
        <f ca="1">('TUSD BE'!$AM$48+'TUSD BF'!$AM$48+'TUSD CVA'!$AM$48)*1</f>
        <v>376.13343594836397</v>
      </c>
      <c r="AA418" s="6">
        <f>('TE BE'!$AB$39+'TE BF'!$AB$39+'TE CVA'!$AB$39)*1</f>
        <v>227.55060294064452</v>
      </c>
      <c r="AB418" s="6">
        <f>$K$418*$V$418</f>
        <v>0</v>
      </c>
      <c r="AC418" s="6">
        <f>$M$418*$W$418</f>
        <v>21724.045199999997</v>
      </c>
      <c r="AD418" s="6">
        <f>$O$418*$X$418</f>
        <v>15770.5548</v>
      </c>
      <c r="AE418" s="6">
        <f>$K$418*$Y$418</f>
        <v>0</v>
      </c>
      <c r="AF418" s="6">
        <f ca="1">$M$418*$Z$418</f>
        <v>24526.909091320918</v>
      </c>
      <c r="AG418" s="6">
        <f>$O$418*$AA$418</f>
        <v>14838.119716553549</v>
      </c>
    </row>
    <row r="419" spans="1:33" ht="11.25" customHeight="1" x14ac:dyDescent="0.25">
      <c r="A419" s="4" t="s">
        <v>21</v>
      </c>
      <c r="B419" s="4" t="s">
        <v>32</v>
      </c>
      <c r="C419" s="4" t="s">
        <v>23</v>
      </c>
      <c r="D419" s="4" t="s">
        <v>41</v>
      </c>
      <c r="E419" s="4" t="s">
        <v>25</v>
      </c>
      <c r="F419" s="4" t="s">
        <v>25</v>
      </c>
      <c r="G419" s="4" t="s">
        <v>25</v>
      </c>
      <c r="H419" s="4" t="s">
        <v>25</v>
      </c>
      <c r="I419" s="5">
        <v>44682</v>
      </c>
      <c r="J419" s="6">
        <v>0</v>
      </c>
      <c r="K419" s="6">
        <v>0</v>
      </c>
      <c r="L419" s="6">
        <v>68.908000000000001</v>
      </c>
      <c r="M419" s="6">
        <v>68.908000000000001</v>
      </c>
      <c r="N419" s="6">
        <v>68.908000000000001</v>
      </c>
      <c r="O419" s="6">
        <v>68.908000000000001</v>
      </c>
      <c r="P419" s="6">
        <v>74</v>
      </c>
      <c r="Q419" s="4" t="s">
        <v>26</v>
      </c>
      <c r="R419" s="4">
        <v>0</v>
      </c>
      <c r="S419" s="6">
        <v>0</v>
      </c>
      <c r="T419" s="6">
        <v>46</v>
      </c>
      <c r="U419" s="6">
        <v>83</v>
      </c>
      <c r="V419" s="6">
        <f>IF(ISERROR(VLOOKUP($S$419,'TAR FIN'!$A$1:$O$85,15,0)),0,VLOOKUP($S$419,'TAR FIN'!$A$1:$O$85,15,0))</f>
        <v>0</v>
      </c>
      <c r="W419" s="6">
        <f>IF(ISERROR(VLOOKUP($T$419,'TAR FIN'!$A$1:$O$85,15,0)),0,VLOOKUP($T$419,'TAR FIN'!$A$1:$O$85,15,0))</f>
        <v>333.15</v>
      </c>
      <c r="X419" s="6">
        <f>IF(ISERROR(VLOOKUP($U$419,'TAR FIN'!$A$1:$O$85,15,0)),0,VLOOKUP($U$419,'TAR FIN'!$A$1:$O$85,15,0))</f>
        <v>241.85</v>
      </c>
      <c r="Y419" s="6"/>
      <c r="Z419" s="6">
        <f ca="1">('TUSD BE'!$AM$48+'TUSD BF'!$AM$48+'TUSD CVA'!$AM$48)*1</f>
        <v>376.13343594836397</v>
      </c>
      <c r="AA419" s="6">
        <f>('TE BE'!$AB$39+'TE BF'!$AB$39+'TE CVA'!$AB$39)*1</f>
        <v>227.55060294064452</v>
      </c>
      <c r="AB419" s="6">
        <f>$K$419*$V$419</f>
        <v>0</v>
      </c>
      <c r="AC419" s="6">
        <f>$M$419*$W$419</f>
        <v>22956.700199999999</v>
      </c>
      <c r="AD419" s="6">
        <f>$O$419*$X$419</f>
        <v>16665.399799999999</v>
      </c>
      <c r="AE419" s="6">
        <f>$K$419*$Y$419</f>
        <v>0</v>
      </c>
      <c r="AF419" s="6">
        <f ca="1">$M$419*$Z$419</f>
        <v>25918.602804329865</v>
      </c>
      <c r="AG419" s="6">
        <f>$O$419*$AA$419</f>
        <v>15680.056947433934</v>
      </c>
    </row>
    <row r="420" spans="1:33" ht="11.25" customHeight="1" x14ac:dyDescent="0.25">
      <c r="A420" s="4" t="s">
        <v>21</v>
      </c>
      <c r="B420" s="4" t="s">
        <v>32</v>
      </c>
      <c r="C420" s="4" t="s">
        <v>23</v>
      </c>
      <c r="D420" s="4" t="s">
        <v>41</v>
      </c>
      <c r="E420" s="4" t="s">
        <v>25</v>
      </c>
      <c r="F420" s="4" t="s">
        <v>25</v>
      </c>
      <c r="G420" s="4" t="s">
        <v>25</v>
      </c>
      <c r="H420" s="4" t="s">
        <v>25</v>
      </c>
      <c r="I420" s="5">
        <v>44713</v>
      </c>
      <c r="J420" s="6">
        <v>0</v>
      </c>
      <c r="K420" s="6">
        <v>0</v>
      </c>
      <c r="L420" s="6">
        <v>89.245000000000005</v>
      </c>
      <c r="M420" s="6">
        <v>89.245000000000005</v>
      </c>
      <c r="N420" s="6">
        <v>89.245000000000005</v>
      </c>
      <c r="O420" s="6">
        <v>89.245000000000005</v>
      </c>
      <c r="P420" s="6">
        <v>74</v>
      </c>
      <c r="Q420" s="4" t="s">
        <v>26</v>
      </c>
      <c r="R420" s="4">
        <v>0</v>
      </c>
      <c r="S420" s="6">
        <v>0</v>
      </c>
      <c r="T420" s="6">
        <v>46</v>
      </c>
      <c r="U420" s="6">
        <v>83</v>
      </c>
      <c r="V420" s="6">
        <f>IF(ISERROR(VLOOKUP($S$420,'TAR FIN'!$A$1:$O$85,15,0)),0,VLOOKUP($S$420,'TAR FIN'!$A$1:$O$85,15,0))</f>
        <v>0</v>
      </c>
      <c r="W420" s="6">
        <f>IF(ISERROR(VLOOKUP($T$420,'TAR FIN'!$A$1:$O$85,15,0)),0,VLOOKUP($T$420,'TAR FIN'!$A$1:$O$85,15,0))</f>
        <v>333.15</v>
      </c>
      <c r="X420" s="6">
        <f>IF(ISERROR(VLOOKUP($U$420,'TAR FIN'!$A$1:$O$85,15,0)),0,VLOOKUP($U$420,'TAR FIN'!$A$1:$O$85,15,0))</f>
        <v>241.85</v>
      </c>
      <c r="Y420" s="6"/>
      <c r="Z420" s="6">
        <f ca="1">('TUSD BE'!$AM$48+'TUSD BF'!$AM$48+'TUSD CVA'!$AM$48)*1</f>
        <v>376.13343594836397</v>
      </c>
      <c r="AA420" s="6">
        <f>('TE BE'!$AB$39+'TE BF'!$AB$39+'TE CVA'!$AB$39)*1</f>
        <v>227.55060294064452</v>
      </c>
      <c r="AB420" s="6">
        <f>$K$420*$V$420</f>
        <v>0</v>
      </c>
      <c r="AC420" s="6">
        <f>$M$420*$W$420</f>
        <v>29731.971750000001</v>
      </c>
      <c r="AD420" s="6">
        <f>$O$420*$X$420</f>
        <v>21583.903249999999</v>
      </c>
      <c r="AE420" s="6">
        <f>$K$420*$Y$420</f>
        <v>0</v>
      </c>
      <c r="AF420" s="6">
        <f ca="1">$M$420*$Z$420</f>
        <v>33568.028491211742</v>
      </c>
      <c r="AG420" s="6">
        <f>$O$420*$AA$420</f>
        <v>20307.753559437821</v>
      </c>
    </row>
    <row r="421" spans="1:33" ht="11.25" customHeight="1" x14ac:dyDescent="0.25">
      <c r="A421" s="4" t="s">
        <v>21</v>
      </c>
      <c r="B421" s="4" t="s">
        <v>32</v>
      </c>
      <c r="C421" s="4" t="s">
        <v>23</v>
      </c>
      <c r="D421" s="4" t="s">
        <v>45</v>
      </c>
      <c r="E421" s="4" t="s">
        <v>46</v>
      </c>
      <c r="F421" s="4" t="s">
        <v>25</v>
      </c>
      <c r="G421" s="4" t="s">
        <v>25</v>
      </c>
      <c r="H421" s="4" t="s">
        <v>25</v>
      </c>
      <c r="I421" s="5">
        <v>44378</v>
      </c>
      <c r="J421" s="6">
        <v>0</v>
      </c>
      <c r="K421" s="65">
        <v>0</v>
      </c>
      <c r="L421" s="6">
        <v>145.33199999999999</v>
      </c>
      <c r="M421" s="65">
        <v>145.33199999999999</v>
      </c>
      <c r="N421" s="6">
        <v>145.33199999999999</v>
      </c>
      <c r="O421" s="65">
        <v>145.33199999999999</v>
      </c>
      <c r="P421" s="6">
        <v>17</v>
      </c>
      <c r="Q421" s="4" t="s">
        <v>26</v>
      </c>
      <c r="R421" s="4">
        <v>0</v>
      </c>
      <c r="S421" s="6">
        <v>0</v>
      </c>
      <c r="T421" s="6">
        <v>46</v>
      </c>
      <c r="U421" s="6">
        <v>83</v>
      </c>
      <c r="V421" s="65">
        <f>IF(ISERROR(VLOOKUP($S$421,'TAR FIN'!$A$1:$O$85,15,0)),0,VLOOKUP($S$421,'TAR FIN'!$A$1:$O$85,15,0))</f>
        <v>0</v>
      </c>
      <c r="W421" s="65">
        <f>IF(ISERROR(VLOOKUP($T$421,'TAR FIN'!$A$1:$O$85,15,0)),0,VLOOKUP($T$421,'TAR FIN'!$A$1:$O$85,15,0))*(1-0.06)</f>
        <v>313.16099999999994</v>
      </c>
      <c r="X421" s="65">
        <f>IF(ISERROR(VLOOKUP($U$421,'TAR FIN'!$A$1:$O$85,15,0)),0,VLOOKUP($U$421,'TAR FIN'!$A$1:$O$85,15,0))*(1-0.06)</f>
        <v>227.33899999999997</v>
      </c>
      <c r="Y421" s="65"/>
      <c r="Z421" s="65">
        <f ca="1">('TUSD BE'!$AM$48+'TUSD BF'!$AM$48+'TUSD CVA'!$AM$48)*1*(1-0.03)</f>
        <v>364.84943286991302</v>
      </c>
      <c r="AA421" s="65">
        <f>('TE BE'!$AB$39+'TE BF'!$AB$39+'TE CVA'!$AB$39)*1*(1-0.03)</f>
        <v>220.72408485242519</v>
      </c>
      <c r="AB421" s="6">
        <f>$K$421*$V$421</f>
        <v>0</v>
      </c>
      <c r="AC421" s="6">
        <f>$M$421*$W$421</f>
        <v>45512.314451999991</v>
      </c>
      <c r="AD421" s="6">
        <f>$O$421*$X$421</f>
        <v>33039.631547999998</v>
      </c>
      <c r="AE421" s="6">
        <f>$K$421*$Y$421</f>
        <v>0</v>
      </c>
      <c r="AF421" s="6">
        <f ca="1">$M$421*$Z$421</f>
        <v>53024.297777850195</v>
      </c>
      <c r="AG421" s="6">
        <f>$O$421*$AA$421</f>
        <v>32078.272699772657</v>
      </c>
    </row>
    <row r="422" spans="1:33" ht="11.25" customHeight="1" x14ac:dyDescent="0.25">
      <c r="A422" s="4" t="s">
        <v>21</v>
      </c>
      <c r="B422" s="4" t="s">
        <v>32</v>
      </c>
      <c r="C422" s="4" t="s">
        <v>23</v>
      </c>
      <c r="D422" s="4" t="s">
        <v>45</v>
      </c>
      <c r="E422" s="4" t="s">
        <v>46</v>
      </c>
      <c r="F422" s="4" t="s">
        <v>25</v>
      </c>
      <c r="G422" s="4" t="s">
        <v>25</v>
      </c>
      <c r="H422" s="4" t="s">
        <v>25</v>
      </c>
      <c r="I422" s="5">
        <v>44409</v>
      </c>
      <c r="J422" s="6">
        <v>0</v>
      </c>
      <c r="K422" s="65">
        <v>0</v>
      </c>
      <c r="L422" s="6">
        <v>154.017</v>
      </c>
      <c r="M422" s="65">
        <v>154.017</v>
      </c>
      <c r="N422" s="6">
        <v>154.017</v>
      </c>
      <c r="O422" s="65">
        <v>154.017</v>
      </c>
      <c r="P422" s="6">
        <v>18</v>
      </c>
      <c r="Q422" s="4" t="s">
        <v>26</v>
      </c>
      <c r="R422" s="4">
        <v>0</v>
      </c>
      <c r="S422" s="6">
        <v>0</v>
      </c>
      <c r="T422" s="6">
        <v>46</v>
      </c>
      <c r="U422" s="6">
        <v>83</v>
      </c>
      <c r="V422" s="65">
        <f>IF(ISERROR(VLOOKUP($S$422,'TAR FIN'!$A$1:$O$85,15,0)),0,VLOOKUP($S$422,'TAR FIN'!$A$1:$O$85,15,0))</f>
        <v>0</v>
      </c>
      <c r="W422" s="65">
        <f>IF(ISERROR(VLOOKUP($T$422,'TAR FIN'!$A$1:$O$85,15,0)),0,VLOOKUP($T$422,'TAR FIN'!$A$1:$O$85,15,0))*(1-0.06)</f>
        <v>313.16099999999994</v>
      </c>
      <c r="X422" s="65">
        <f>IF(ISERROR(VLOOKUP($U$422,'TAR FIN'!$A$1:$O$85,15,0)),0,VLOOKUP($U$422,'TAR FIN'!$A$1:$O$85,15,0))*(1-0.06)</f>
        <v>227.33899999999997</v>
      </c>
      <c r="Y422" s="65"/>
      <c r="Z422" s="65">
        <f ca="1">('TUSD BE'!$AM$48+'TUSD BF'!$AM$48+'TUSD CVA'!$AM$48)*1*(1-0.03)</f>
        <v>364.84943286991302</v>
      </c>
      <c r="AA422" s="65">
        <f>('TE BE'!$AB$39+'TE BF'!$AB$39+'TE CVA'!$AB$39)*1*(1-0.03)</f>
        <v>220.72408485242519</v>
      </c>
      <c r="AB422" s="6">
        <f>$K$422*$V$422</f>
        <v>0</v>
      </c>
      <c r="AC422" s="6">
        <f>$M$422*$W$422</f>
        <v>48232.117736999993</v>
      </c>
      <c r="AD422" s="6">
        <f>$O$422*$X$422</f>
        <v>35014.070762999996</v>
      </c>
      <c r="AE422" s="6">
        <f>$K$422*$Y$422</f>
        <v>0</v>
      </c>
      <c r="AF422" s="6">
        <f ca="1">$M$422*$Z$422</f>
        <v>56193.015102325393</v>
      </c>
      <c r="AG422" s="6">
        <f>$O$422*$AA$422</f>
        <v>33995.261376715971</v>
      </c>
    </row>
    <row r="423" spans="1:33" ht="11.25" customHeight="1" x14ac:dyDescent="0.25">
      <c r="A423" s="4" t="s">
        <v>21</v>
      </c>
      <c r="B423" s="4" t="s">
        <v>32</v>
      </c>
      <c r="C423" s="4" t="s">
        <v>23</v>
      </c>
      <c r="D423" s="4" t="s">
        <v>45</v>
      </c>
      <c r="E423" s="4" t="s">
        <v>46</v>
      </c>
      <c r="F423" s="4" t="s">
        <v>25</v>
      </c>
      <c r="G423" s="4" t="s">
        <v>25</v>
      </c>
      <c r="H423" s="4" t="s">
        <v>25</v>
      </c>
      <c r="I423" s="5">
        <v>44440</v>
      </c>
      <c r="J423" s="6">
        <v>0</v>
      </c>
      <c r="K423" s="65">
        <v>0</v>
      </c>
      <c r="L423" s="6">
        <v>155.10900000000001</v>
      </c>
      <c r="M423" s="65">
        <v>155.10900000000001</v>
      </c>
      <c r="N423" s="6">
        <v>155.10900000000001</v>
      </c>
      <c r="O423" s="65">
        <v>155.10900000000001</v>
      </c>
      <c r="P423" s="6">
        <v>18</v>
      </c>
      <c r="Q423" s="4" t="s">
        <v>26</v>
      </c>
      <c r="R423" s="4">
        <v>0</v>
      </c>
      <c r="S423" s="6">
        <v>0</v>
      </c>
      <c r="T423" s="6">
        <v>46</v>
      </c>
      <c r="U423" s="6">
        <v>83</v>
      </c>
      <c r="V423" s="65">
        <f>IF(ISERROR(VLOOKUP($S$423,'TAR FIN'!$A$1:$O$85,15,0)),0,VLOOKUP($S$423,'TAR FIN'!$A$1:$O$85,15,0))</f>
        <v>0</v>
      </c>
      <c r="W423" s="65">
        <f>IF(ISERROR(VLOOKUP($T$423,'TAR FIN'!$A$1:$O$85,15,0)),0,VLOOKUP($T$423,'TAR FIN'!$A$1:$O$85,15,0))*(1-0.06)</f>
        <v>313.16099999999994</v>
      </c>
      <c r="X423" s="65">
        <f>IF(ISERROR(VLOOKUP($U$423,'TAR FIN'!$A$1:$O$85,15,0)),0,VLOOKUP($U$423,'TAR FIN'!$A$1:$O$85,15,0))*(1-0.06)</f>
        <v>227.33899999999997</v>
      </c>
      <c r="Y423" s="65"/>
      <c r="Z423" s="65">
        <f ca="1">('TUSD BE'!$AM$48+'TUSD BF'!$AM$48+'TUSD CVA'!$AM$48)*1*(1-0.03)</f>
        <v>364.84943286991302</v>
      </c>
      <c r="AA423" s="65">
        <f>('TE BE'!$AB$39+'TE BF'!$AB$39+'TE CVA'!$AB$39)*1*(1-0.03)</f>
        <v>220.72408485242519</v>
      </c>
      <c r="AB423" s="6">
        <f>$K$423*$V$423</f>
        <v>0</v>
      </c>
      <c r="AC423" s="6">
        <f>$M$423*$W$423</f>
        <v>48574.089548999997</v>
      </c>
      <c r="AD423" s="6">
        <f>$O$423*$X$423</f>
        <v>35262.324950999995</v>
      </c>
      <c r="AE423" s="6">
        <f>$K$423*$Y$423</f>
        <v>0</v>
      </c>
      <c r="AF423" s="6">
        <f ca="1">$M$423*$Z$423</f>
        <v>56591.430683019338</v>
      </c>
      <c r="AG423" s="6">
        <f>$O$423*$AA$423</f>
        <v>34236.292077374819</v>
      </c>
    </row>
    <row r="424" spans="1:33" ht="11.25" customHeight="1" x14ac:dyDescent="0.25">
      <c r="A424" s="4" t="s">
        <v>21</v>
      </c>
      <c r="B424" s="4" t="s">
        <v>32</v>
      </c>
      <c r="C424" s="4" t="s">
        <v>23</v>
      </c>
      <c r="D424" s="4" t="s">
        <v>45</v>
      </c>
      <c r="E424" s="4" t="s">
        <v>46</v>
      </c>
      <c r="F424" s="4" t="s">
        <v>25</v>
      </c>
      <c r="G424" s="4" t="s">
        <v>25</v>
      </c>
      <c r="H424" s="4" t="s">
        <v>25</v>
      </c>
      <c r="I424" s="5">
        <v>44470</v>
      </c>
      <c r="J424" s="6">
        <v>0</v>
      </c>
      <c r="K424" s="65">
        <v>0</v>
      </c>
      <c r="L424" s="6">
        <v>151.489</v>
      </c>
      <c r="M424" s="65">
        <v>151.489</v>
      </c>
      <c r="N424" s="6">
        <v>151.489</v>
      </c>
      <c r="O424" s="65">
        <v>151.489</v>
      </c>
      <c r="P424" s="6">
        <v>18</v>
      </c>
      <c r="Q424" s="4" t="s">
        <v>26</v>
      </c>
      <c r="R424" s="4">
        <v>0</v>
      </c>
      <c r="S424" s="6">
        <v>0</v>
      </c>
      <c r="T424" s="6">
        <v>46</v>
      </c>
      <c r="U424" s="6">
        <v>83</v>
      </c>
      <c r="V424" s="65">
        <f>IF(ISERROR(VLOOKUP($S$424,'TAR FIN'!$A$1:$O$85,15,0)),0,VLOOKUP($S$424,'TAR FIN'!$A$1:$O$85,15,0))</f>
        <v>0</v>
      </c>
      <c r="W424" s="65">
        <f>IF(ISERROR(VLOOKUP($T$424,'TAR FIN'!$A$1:$O$85,15,0)),0,VLOOKUP($T$424,'TAR FIN'!$A$1:$O$85,15,0))*(1-0.06)</f>
        <v>313.16099999999994</v>
      </c>
      <c r="X424" s="65">
        <f>IF(ISERROR(VLOOKUP($U$424,'TAR FIN'!$A$1:$O$85,15,0)),0,VLOOKUP($U$424,'TAR FIN'!$A$1:$O$85,15,0))*(1-0.06)</f>
        <v>227.33899999999997</v>
      </c>
      <c r="Y424" s="65"/>
      <c r="Z424" s="65">
        <f ca="1">('TUSD BE'!$AM$48+'TUSD BF'!$AM$48+'TUSD CVA'!$AM$48)*1*(1-0.03)</f>
        <v>364.84943286991302</v>
      </c>
      <c r="AA424" s="65">
        <f>('TE BE'!$AB$39+'TE BF'!$AB$39+'TE CVA'!$AB$39)*1*(1-0.03)</f>
        <v>220.72408485242519</v>
      </c>
      <c r="AB424" s="6">
        <f>$K$424*$V$424</f>
        <v>0</v>
      </c>
      <c r="AC424" s="6">
        <f>$M$424*$W$424</f>
        <v>47440.446728999996</v>
      </c>
      <c r="AD424" s="6">
        <f>$O$424*$X$424</f>
        <v>34439.357770999995</v>
      </c>
      <c r="AE424" s="6">
        <f>$K$424*$Y$424</f>
        <v>0</v>
      </c>
      <c r="AF424" s="6">
        <f ca="1">$M$424*$Z$424</f>
        <v>55270.675736030258</v>
      </c>
      <c r="AG424" s="6">
        <f>$O$424*$AA$424</f>
        <v>33437.270890209038</v>
      </c>
    </row>
    <row r="425" spans="1:33" ht="11.25" customHeight="1" x14ac:dyDescent="0.25">
      <c r="A425" s="4" t="s">
        <v>21</v>
      </c>
      <c r="B425" s="4" t="s">
        <v>32</v>
      </c>
      <c r="C425" s="4" t="s">
        <v>23</v>
      </c>
      <c r="D425" s="4" t="s">
        <v>45</v>
      </c>
      <c r="E425" s="4" t="s">
        <v>46</v>
      </c>
      <c r="F425" s="4" t="s">
        <v>25</v>
      </c>
      <c r="G425" s="4" t="s">
        <v>25</v>
      </c>
      <c r="H425" s="4" t="s">
        <v>25</v>
      </c>
      <c r="I425" s="5">
        <v>44501</v>
      </c>
      <c r="J425" s="6">
        <v>0</v>
      </c>
      <c r="K425" s="65">
        <v>0</v>
      </c>
      <c r="L425" s="6">
        <v>161.55500000000001</v>
      </c>
      <c r="M425" s="65">
        <v>161.55500000000001</v>
      </c>
      <c r="N425" s="6">
        <v>161.55500000000001</v>
      </c>
      <c r="O425" s="65">
        <v>161.55500000000001</v>
      </c>
      <c r="P425" s="6">
        <v>18</v>
      </c>
      <c r="Q425" s="4" t="s">
        <v>26</v>
      </c>
      <c r="R425" s="4">
        <v>0</v>
      </c>
      <c r="S425" s="6">
        <v>0</v>
      </c>
      <c r="T425" s="6">
        <v>46</v>
      </c>
      <c r="U425" s="6">
        <v>83</v>
      </c>
      <c r="V425" s="65">
        <f>IF(ISERROR(VLOOKUP($S$425,'TAR FIN'!$A$1:$O$85,15,0)),0,VLOOKUP($S$425,'TAR FIN'!$A$1:$O$85,15,0))</f>
        <v>0</v>
      </c>
      <c r="W425" s="65">
        <f>IF(ISERROR(VLOOKUP($T$425,'TAR FIN'!$A$1:$O$85,15,0)),0,VLOOKUP($T$425,'TAR FIN'!$A$1:$O$85,15,0))*(1-0.06)</f>
        <v>313.16099999999994</v>
      </c>
      <c r="X425" s="65">
        <f>IF(ISERROR(VLOOKUP($U$425,'TAR FIN'!$A$1:$O$85,15,0)),0,VLOOKUP($U$425,'TAR FIN'!$A$1:$O$85,15,0))*(1-0.06)</f>
        <v>227.33899999999997</v>
      </c>
      <c r="Y425" s="65"/>
      <c r="Z425" s="65">
        <f ca="1">('TUSD BE'!$AM$48+'TUSD BF'!$AM$48+'TUSD CVA'!$AM$48)*1*(1-0.03)</f>
        <v>364.84943286991302</v>
      </c>
      <c r="AA425" s="65">
        <f>('TE BE'!$AB$39+'TE BF'!$AB$39+'TE CVA'!$AB$39)*1*(1-0.03)</f>
        <v>220.72408485242519</v>
      </c>
      <c r="AB425" s="6">
        <f>$K$425*$V$425</f>
        <v>0</v>
      </c>
      <c r="AC425" s="6">
        <f>$M$425*$W$425</f>
        <v>50592.725354999995</v>
      </c>
      <c r="AD425" s="6">
        <f>$O$425*$X$425</f>
        <v>36727.752144999999</v>
      </c>
      <c r="AE425" s="6">
        <f>$K$425*$Y$425</f>
        <v>0</v>
      </c>
      <c r="AF425" s="6">
        <f ca="1">$M$425*$Z$425</f>
        <v>58943.250127298801</v>
      </c>
      <c r="AG425" s="6">
        <f>$O$425*$AA$425</f>
        <v>35659.079528333554</v>
      </c>
    </row>
    <row r="426" spans="1:33" ht="11.25" customHeight="1" x14ac:dyDescent="0.25">
      <c r="A426" s="4" t="s">
        <v>21</v>
      </c>
      <c r="B426" s="4" t="s">
        <v>32</v>
      </c>
      <c r="C426" s="4" t="s">
        <v>23</v>
      </c>
      <c r="D426" s="4" t="s">
        <v>45</v>
      </c>
      <c r="E426" s="4" t="s">
        <v>46</v>
      </c>
      <c r="F426" s="4" t="s">
        <v>25</v>
      </c>
      <c r="G426" s="4" t="s">
        <v>25</v>
      </c>
      <c r="H426" s="4" t="s">
        <v>25</v>
      </c>
      <c r="I426" s="5">
        <v>44531</v>
      </c>
      <c r="J426" s="6">
        <v>0</v>
      </c>
      <c r="K426" s="65">
        <v>0</v>
      </c>
      <c r="L426" s="6">
        <v>156.51300000000001</v>
      </c>
      <c r="M426" s="65">
        <v>156.51300000000001</v>
      </c>
      <c r="N426" s="6">
        <v>156.51300000000001</v>
      </c>
      <c r="O426" s="65">
        <v>156.51300000000001</v>
      </c>
      <c r="P426" s="6">
        <v>18</v>
      </c>
      <c r="Q426" s="4" t="s">
        <v>26</v>
      </c>
      <c r="R426" s="4">
        <v>0</v>
      </c>
      <c r="S426" s="6">
        <v>0</v>
      </c>
      <c r="T426" s="6">
        <v>46</v>
      </c>
      <c r="U426" s="6">
        <v>83</v>
      </c>
      <c r="V426" s="65">
        <f>IF(ISERROR(VLOOKUP($S$426,'TAR FIN'!$A$1:$O$85,15,0)),0,VLOOKUP($S$426,'TAR FIN'!$A$1:$O$85,15,0))</f>
        <v>0</v>
      </c>
      <c r="W426" s="65">
        <f>IF(ISERROR(VLOOKUP($T$426,'TAR FIN'!$A$1:$O$85,15,0)),0,VLOOKUP($T$426,'TAR FIN'!$A$1:$O$85,15,0))*(1-0.06)</f>
        <v>313.16099999999994</v>
      </c>
      <c r="X426" s="65">
        <f>IF(ISERROR(VLOOKUP($U$426,'TAR FIN'!$A$1:$O$85,15,0)),0,VLOOKUP($U$426,'TAR FIN'!$A$1:$O$85,15,0))*(1-0.06)</f>
        <v>227.33899999999997</v>
      </c>
      <c r="Y426" s="65"/>
      <c r="Z426" s="65">
        <f ca="1">('TUSD BE'!$AM$48+'TUSD BF'!$AM$48+'TUSD CVA'!$AM$48)*1*(1-0.03)</f>
        <v>364.84943286991302</v>
      </c>
      <c r="AA426" s="65">
        <f>('TE BE'!$AB$39+'TE BF'!$AB$39+'TE CVA'!$AB$39)*1*(1-0.03)</f>
        <v>220.72408485242519</v>
      </c>
      <c r="AB426" s="6">
        <f>$K$426*$V$426</f>
        <v>0</v>
      </c>
      <c r="AC426" s="6">
        <f>$M$426*$W$426</f>
        <v>49013.76759299999</v>
      </c>
      <c r="AD426" s="6">
        <f>$O$426*$X$426</f>
        <v>35581.508906999996</v>
      </c>
      <c r="AE426" s="6">
        <f>$K$426*$Y$426</f>
        <v>0</v>
      </c>
      <c r="AF426" s="6">
        <f ca="1">$M$426*$Z$426</f>
        <v>57103.679286768696</v>
      </c>
      <c r="AG426" s="6">
        <f>$O$426*$AA$426</f>
        <v>34546.188692507625</v>
      </c>
    </row>
    <row r="427" spans="1:33" ht="11.25" customHeight="1" x14ac:dyDescent="0.25">
      <c r="A427" s="4" t="s">
        <v>21</v>
      </c>
      <c r="B427" s="4" t="s">
        <v>32</v>
      </c>
      <c r="C427" s="4" t="s">
        <v>23</v>
      </c>
      <c r="D427" s="4" t="s">
        <v>45</v>
      </c>
      <c r="E427" s="4" t="s">
        <v>46</v>
      </c>
      <c r="F427" s="4" t="s">
        <v>25</v>
      </c>
      <c r="G427" s="4" t="s">
        <v>25</v>
      </c>
      <c r="H427" s="4" t="s">
        <v>25</v>
      </c>
      <c r="I427" s="5">
        <v>44562</v>
      </c>
      <c r="J427" s="6">
        <v>0</v>
      </c>
      <c r="K427" s="65">
        <v>0</v>
      </c>
      <c r="L427" s="6">
        <v>180.785</v>
      </c>
      <c r="M427" s="65">
        <v>180.785</v>
      </c>
      <c r="N427" s="6">
        <v>180.785</v>
      </c>
      <c r="O427" s="65">
        <v>180.785</v>
      </c>
      <c r="P427" s="6">
        <v>18</v>
      </c>
      <c r="Q427" s="4" t="s">
        <v>26</v>
      </c>
      <c r="R427" s="4">
        <v>0</v>
      </c>
      <c r="S427" s="6">
        <v>0</v>
      </c>
      <c r="T427" s="6">
        <v>46</v>
      </c>
      <c r="U427" s="6">
        <v>83</v>
      </c>
      <c r="V427" s="65">
        <f>IF(ISERROR(VLOOKUP($S$427,'TAR FIN'!$A$1:$O$85,15,0)),0,VLOOKUP($S$427,'TAR FIN'!$A$1:$O$85,15,0))</f>
        <v>0</v>
      </c>
      <c r="W427" s="65">
        <f>IF(ISERROR(VLOOKUP($T$427,'TAR FIN'!$A$1:$O$85,15,0)),0,VLOOKUP($T$427,'TAR FIN'!$A$1:$O$85,15,0))*(1-0.06)</f>
        <v>313.16099999999994</v>
      </c>
      <c r="X427" s="65">
        <f>IF(ISERROR(VLOOKUP($U$427,'TAR FIN'!$A$1:$O$85,15,0)),0,VLOOKUP($U$427,'TAR FIN'!$A$1:$O$85,15,0))*(1-0.06)</f>
        <v>227.33899999999997</v>
      </c>
      <c r="Y427" s="65"/>
      <c r="Z427" s="65">
        <f ca="1">('TUSD BE'!$AM$48+'TUSD BF'!$AM$48+'TUSD CVA'!$AM$48)*1*(1-0.03)</f>
        <v>364.84943286991302</v>
      </c>
      <c r="AA427" s="65">
        <f>('TE BE'!$AB$39+'TE BF'!$AB$39+'TE CVA'!$AB$39)*1*(1-0.03)</f>
        <v>220.72408485242519</v>
      </c>
      <c r="AB427" s="6">
        <f>$K$427*$V$427</f>
        <v>0</v>
      </c>
      <c r="AC427" s="6">
        <f>$M$427*$W$427</f>
        <v>56614.811384999986</v>
      </c>
      <c r="AD427" s="6">
        <f>$O$427*$X$427</f>
        <v>41099.481114999995</v>
      </c>
      <c r="AE427" s="6">
        <f>$K$427*$Y$427</f>
        <v>0</v>
      </c>
      <c r="AF427" s="6">
        <f ca="1">$M$427*$Z$427</f>
        <v>65959.30472138722</v>
      </c>
      <c r="AG427" s="6">
        <f>$O$427*$AA$427</f>
        <v>39903.603680045686</v>
      </c>
    </row>
    <row r="428" spans="1:33" ht="11.25" customHeight="1" x14ac:dyDescent="0.25">
      <c r="A428" s="4" t="s">
        <v>21</v>
      </c>
      <c r="B428" s="4" t="s">
        <v>32</v>
      </c>
      <c r="C428" s="4" t="s">
        <v>23</v>
      </c>
      <c r="D428" s="4" t="s">
        <v>45</v>
      </c>
      <c r="E428" s="4" t="s">
        <v>46</v>
      </c>
      <c r="F428" s="4" t="s">
        <v>25</v>
      </c>
      <c r="G428" s="4" t="s">
        <v>25</v>
      </c>
      <c r="H428" s="4" t="s">
        <v>25</v>
      </c>
      <c r="I428" s="5">
        <v>44593</v>
      </c>
      <c r="J428" s="6">
        <v>0</v>
      </c>
      <c r="K428" s="65">
        <v>0</v>
      </c>
      <c r="L428" s="6">
        <v>169.27</v>
      </c>
      <c r="M428" s="65">
        <v>169.27</v>
      </c>
      <c r="N428" s="6">
        <v>169.27</v>
      </c>
      <c r="O428" s="65">
        <v>169.27</v>
      </c>
      <c r="P428" s="6">
        <v>18</v>
      </c>
      <c r="Q428" s="4" t="s">
        <v>26</v>
      </c>
      <c r="R428" s="4">
        <v>0</v>
      </c>
      <c r="S428" s="6">
        <v>0</v>
      </c>
      <c r="T428" s="6">
        <v>46</v>
      </c>
      <c r="U428" s="6">
        <v>83</v>
      </c>
      <c r="V428" s="65">
        <f>IF(ISERROR(VLOOKUP($S$428,'TAR FIN'!$A$1:$O$85,15,0)),0,VLOOKUP($S$428,'TAR FIN'!$A$1:$O$85,15,0))</f>
        <v>0</v>
      </c>
      <c r="W428" s="65">
        <f>IF(ISERROR(VLOOKUP($T$428,'TAR FIN'!$A$1:$O$85,15,0)),0,VLOOKUP($T$428,'TAR FIN'!$A$1:$O$85,15,0))*(1-0.06)</f>
        <v>313.16099999999994</v>
      </c>
      <c r="X428" s="65">
        <f>IF(ISERROR(VLOOKUP($U$428,'TAR FIN'!$A$1:$O$85,15,0)),0,VLOOKUP($U$428,'TAR FIN'!$A$1:$O$85,15,0))*(1-0.06)</f>
        <v>227.33899999999997</v>
      </c>
      <c r="Y428" s="65"/>
      <c r="Z428" s="65">
        <f ca="1">('TUSD BE'!$AM$48+'TUSD BF'!$AM$48+'TUSD CVA'!$AM$48)*1*(1-0.03)</f>
        <v>364.84943286991302</v>
      </c>
      <c r="AA428" s="65">
        <f>('TE BE'!$AB$39+'TE BF'!$AB$39+'TE CVA'!$AB$39)*1*(1-0.03)</f>
        <v>220.72408485242519</v>
      </c>
      <c r="AB428" s="6">
        <f>$K$428*$V$428</f>
        <v>0</v>
      </c>
      <c r="AC428" s="6">
        <f>$M$428*$W$428</f>
        <v>53008.762469999994</v>
      </c>
      <c r="AD428" s="6">
        <f>$O$428*$X$428</f>
        <v>38481.672529999996</v>
      </c>
      <c r="AE428" s="6">
        <f>$K$428*$Y$428</f>
        <v>0</v>
      </c>
      <c r="AF428" s="6">
        <f ca="1">$M$428*$Z$428</f>
        <v>61758.063501890181</v>
      </c>
      <c r="AG428" s="6">
        <f>$O$428*$AA$428</f>
        <v>37361.965842970014</v>
      </c>
    </row>
    <row r="429" spans="1:33" ht="11.25" customHeight="1" x14ac:dyDescent="0.25">
      <c r="A429" s="4" t="s">
        <v>21</v>
      </c>
      <c r="B429" s="4" t="s">
        <v>32</v>
      </c>
      <c r="C429" s="4" t="s">
        <v>23</v>
      </c>
      <c r="D429" s="4" t="s">
        <v>45</v>
      </c>
      <c r="E429" s="4" t="s">
        <v>46</v>
      </c>
      <c r="F429" s="4" t="s">
        <v>25</v>
      </c>
      <c r="G429" s="4" t="s">
        <v>25</v>
      </c>
      <c r="H429" s="4" t="s">
        <v>25</v>
      </c>
      <c r="I429" s="5">
        <v>44621</v>
      </c>
      <c r="J429" s="6">
        <v>0</v>
      </c>
      <c r="K429" s="65">
        <v>0</v>
      </c>
      <c r="L429" s="6">
        <v>156.37100000000001</v>
      </c>
      <c r="M429" s="65">
        <v>156.37100000000001</v>
      </c>
      <c r="N429" s="6">
        <v>156.37100000000001</v>
      </c>
      <c r="O429" s="65">
        <v>156.37100000000001</v>
      </c>
      <c r="P429" s="6">
        <v>19</v>
      </c>
      <c r="Q429" s="4" t="s">
        <v>26</v>
      </c>
      <c r="R429" s="4">
        <v>0</v>
      </c>
      <c r="S429" s="6">
        <v>0</v>
      </c>
      <c r="T429" s="6">
        <v>46</v>
      </c>
      <c r="U429" s="6">
        <v>83</v>
      </c>
      <c r="V429" s="65">
        <f>IF(ISERROR(VLOOKUP($S$429,'TAR FIN'!$A$1:$O$85,15,0)),0,VLOOKUP($S$429,'TAR FIN'!$A$1:$O$85,15,0))</f>
        <v>0</v>
      </c>
      <c r="W429" s="65">
        <f>IF(ISERROR(VLOOKUP($T$429,'TAR FIN'!$A$1:$O$85,15,0)),0,VLOOKUP($T$429,'TAR FIN'!$A$1:$O$85,15,0))*(1-0.06)</f>
        <v>313.16099999999994</v>
      </c>
      <c r="X429" s="65">
        <f>IF(ISERROR(VLOOKUP($U$429,'TAR FIN'!$A$1:$O$85,15,0)),0,VLOOKUP($U$429,'TAR FIN'!$A$1:$O$85,15,0))*(1-0.06)</f>
        <v>227.33899999999997</v>
      </c>
      <c r="Y429" s="65"/>
      <c r="Z429" s="65">
        <f ca="1">('TUSD BE'!$AM$48+'TUSD BF'!$AM$48+'TUSD CVA'!$AM$48)*1*(1-0.03)</f>
        <v>364.84943286991302</v>
      </c>
      <c r="AA429" s="65">
        <f>('TE BE'!$AB$39+'TE BF'!$AB$39+'TE CVA'!$AB$39)*1*(1-0.03)</f>
        <v>220.72408485242519</v>
      </c>
      <c r="AB429" s="6">
        <f>$K$429*$V$429</f>
        <v>0</v>
      </c>
      <c r="AC429" s="6">
        <f>$M$429*$W$429</f>
        <v>48969.298730999995</v>
      </c>
      <c r="AD429" s="6">
        <f>$O$429*$X$429</f>
        <v>35549.226769000001</v>
      </c>
      <c r="AE429" s="6">
        <f>$K$429*$Y$429</f>
        <v>0</v>
      </c>
      <c r="AF429" s="6">
        <f ca="1">$M$429*$Z$429</f>
        <v>57051.870667301169</v>
      </c>
      <c r="AG429" s="6">
        <f>$O$429*$AA$429</f>
        <v>34514.84587245858</v>
      </c>
    </row>
    <row r="430" spans="1:33" ht="11.25" customHeight="1" x14ac:dyDescent="0.25">
      <c r="A430" s="4" t="s">
        <v>21</v>
      </c>
      <c r="B430" s="4" t="s">
        <v>32</v>
      </c>
      <c r="C430" s="4" t="s">
        <v>23</v>
      </c>
      <c r="D430" s="4" t="s">
        <v>45</v>
      </c>
      <c r="E430" s="4" t="s">
        <v>46</v>
      </c>
      <c r="F430" s="4" t="s">
        <v>25</v>
      </c>
      <c r="G430" s="4" t="s">
        <v>25</v>
      </c>
      <c r="H430" s="4" t="s">
        <v>25</v>
      </c>
      <c r="I430" s="5">
        <v>44652</v>
      </c>
      <c r="J430" s="6">
        <v>0</v>
      </c>
      <c r="K430" s="65">
        <v>0</v>
      </c>
      <c r="L430" s="6">
        <v>163.58500000000001</v>
      </c>
      <c r="M430" s="65">
        <v>163.58500000000001</v>
      </c>
      <c r="N430" s="6">
        <v>163.58500000000001</v>
      </c>
      <c r="O430" s="65">
        <v>163.58500000000001</v>
      </c>
      <c r="P430" s="6">
        <v>19</v>
      </c>
      <c r="Q430" s="4" t="s">
        <v>26</v>
      </c>
      <c r="R430" s="4">
        <v>0</v>
      </c>
      <c r="S430" s="6">
        <v>0</v>
      </c>
      <c r="T430" s="6">
        <v>46</v>
      </c>
      <c r="U430" s="6">
        <v>83</v>
      </c>
      <c r="V430" s="65">
        <f>IF(ISERROR(VLOOKUP($S$430,'TAR FIN'!$A$1:$O$85,15,0)),0,VLOOKUP($S$430,'TAR FIN'!$A$1:$O$85,15,0))</f>
        <v>0</v>
      </c>
      <c r="W430" s="65">
        <f>IF(ISERROR(VLOOKUP($T$430,'TAR FIN'!$A$1:$O$85,15,0)),0,VLOOKUP($T$430,'TAR FIN'!$A$1:$O$85,15,0))*(1-0.06)</f>
        <v>313.16099999999994</v>
      </c>
      <c r="X430" s="65">
        <f>IF(ISERROR(VLOOKUP($U$430,'TAR FIN'!$A$1:$O$85,15,0)),0,VLOOKUP($U$430,'TAR FIN'!$A$1:$O$85,15,0))*(1-0.06)</f>
        <v>227.33899999999997</v>
      </c>
      <c r="Y430" s="65"/>
      <c r="Z430" s="65">
        <f ca="1">('TUSD BE'!$AM$48+'TUSD BF'!$AM$48+'TUSD CVA'!$AM$48)*1*(1-0.03)</f>
        <v>364.84943286991302</v>
      </c>
      <c r="AA430" s="65">
        <f>('TE BE'!$AB$39+'TE BF'!$AB$39+'TE CVA'!$AB$39)*1*(1-0.03)</f>
        <v>220.72408485242519</v>
      </c>
      <c r="AB430" s="6">
        <f>$K$430*$V$430</f>
        <v>0</v>
      </c>
      <c r="AC430" s="6">
        <f>$M$430*$W$430</f>
        <v>51228.442184999993</v>
      </c>
      <c r="AD430" s="6">
        <f>$O$430*$X$430</f>
        <v>37189.250314999997</v>
      </c>
      <c r="AE430" s="6">
        <f>$K$430*$Y$430</f>
        <v>0</v>
      </c>
      <c r="AF430" s="6">
        <f ca="1">$M$430*$Z$430</f>
        <v>59683.894476024725</v>
      </c>
      <c r="AG430" s="6">
        <f>$O$430*$AA$430</f>
        <v>36107.149420583977</v>
      </c>
    </row>
    <row r="431" spans="1:33" ht="11.25" customHeight="1" x14ac:dyDescent="0.25">
      <c r="A431" s="4" t="s">
        <v>21</v>
      </c>
      <c r="B431" s="4" t="s">
        <v>32</v>
      </c>
      <c r="C431" s="4" t="s">
        <v>23</v>
      </c>
      <c r="D431" s="4" t="s">
        <v>45</v>
      </c>
      <c r="E431" s="4" t="s">
        <v>46</v>
      </c>
      <c r="F431" s="4" t="s">
        <v>25</v>
      </c>
      <c r="G431" s="4" t="s">
        <v>25</v>
      </c>
      <c r="H431" s="4" t="s">
        <v>25</v>
      </c>
      <c r="I431" s="5">
        <v>44682</v>
      </c>
      <c r="J431" s="6">
        <v>0</v>
      </c>
      <c r="K431" s="65">
        <v>0</v>
      </c>
      <c r="L431" s="6">
        <v>163.441</v>
      </c>
      <c r="M431" s="65">
        <v>163.441</v>
      </c>
      <c r="N431" s="6">
        <v>163.441</v>
      </c>
      <c r="O431" s="65">
        <v>163.441</v>
      </c>
      <c r="P431" s="6">
        <v>19</v>
      </c>
      <c r="Q431" s="4" t="s">
        <v>26</v>
      </c>
      <c r="R431" s="4">
        <v>0</v>
      </c>
      <c r="S431" s="6">
        <v>0</v>
      </c>
      <c r="T431" s="6">
        <v>46</v>
      </c>
      <c r="U431" s="6">
        <v>83</v>
      </c>
      <c r="V431" s="65">
        <f>IF(ISERROR(VLOOKUP($S$431,'TAR FIN'!$A$1:$O$85,15,0)),0,VLOOKUP($S$431,'TAR FIN'!$A$1:$O$85,15,0))</f>
        <v>0</v>
      </c>
      <c r="W431" s="65">
        <f>IF(ISERROR(VLOOKUP($T$431,'TAR FIN'!$A$1:$O$85,15,0)),0,VLOOKUP($T$431,'TAR FIN'!$A$1:$O$85,15,0))*(1-0.06)</f>
        <v>313.16099999999994</v>
      </c>
      <c r="X431" s="65">
        <f>IF(ISERROR(VLOOKUP($U$431,'TAR FIN'!$A$1:$O$85,15,0)),0,VLOOKUP($U$431,'TAR FIN'!$A$1:$O$85,15,0))*(1-0.06)</f>
        <v>227.33899999999997</v>
      </c>
      <c r="Y431" s="65"/>
      <c r="Z431" s="65">
        <f ca="1">('TUSD BE'!$AM$48+'TUSD BF'!$AM$48+'TUSD CVA'!$AM$48)*1*(1-0.03)</f>
        <v>364.84943286991302</v>
      </c>
      <c r="AA431" s="65">
        <f>('TE BE'!$AB$39+'TE BF'!$AB$39+'TE CVA'!$AB$39)*1*(1-0.03)</f>
        <v>220.72408485242519</v>
      </c>
      <c r="AB431" s="6">
        <f>$K$431*$V$431</f>
        <v>0</v>
      </c>
      <c r="AC431" s="6">
        <f>$M$431*$W$431</f>
        <v>51183.347000999995</v>
      </c>
      <c r="AD431" s="6">
        <f>$O$431*$X$431</f>
        <v>37156.513498999993</v>
      </c>
      <c r="AE431" s="6">
        <f>$K$431*$Y$431</f>
        <v>0</v>
      </c>
      <c r="AF431" s="6">
        <f ca="1">$M$431*$Z$431</f>
        <v>59631.356157691451</v>
      </c>
      <c r="AG431" s="6">
        <f>$O$431*$AA$431</f>
        <v>36075.36515236523</v>
      </c>
    </row>
    <row r="432" spans="1:33" ht="11.25" customHeight="1" x14ac:dyDescent="0.25">
      <c r="A432" s="4" t="s">
        <v>21</v>
      </c>
      <c r="B432" s="4" t="s">
        <v>32</v>
      </c>
      <c r="C432" s="4" t="s">
        <v>23</v>
      </c>
      <c r="D432" s="4" t="s">
        <v>45</v>
      </c>
      <c r="E432" s="4" t="s">
        <v>46</v>
      </c>
      <c r="F432" s="4" t="s">
        <v>25</v>
      </c>
      <c r="G432" s="4" t="s">
        <v>25</v>
      </c>
      <c r="H432" s="4" t="s">
        <v>25</v>
      </c>
      <c r="I432" s="5">
        <v>44713</v>
      </c>
      <c r="J432" s="6">
        <v>0</v>
      </c>
      <c r="K432" s="65">
        <v>0</v>
      </c>
      <c r="L432" s="6">
        <v>165.161</v>
      </c>
      <c r="M432" s="65">
        <v>165.161</v>
      </c>
      <c r="N432" s="6">
        <v>165.161</v>
      </c>
      <c r="O432" s="65">
        <v>165.161</v>
      </c>
      <c r="P432" s="6">
        <v>19</v>
      </c>
      <c r="Q432" s="4" t="s">
        <v>26</v>
      </c>
      <c r="R432" s="4">
        <v>0</v>
      </c>
      <c r="S432" s="6">
        <v>0</v>
      </c>
      <c r="T432" s="6">
        <v>46</v>
      </c>
      <c r="U432" s="6">
        <v>83</v>
      </c>
      <c r="V432" s="65">
        <f>IF(ISERROR(VLOOKUP($S$432,'TAR FIN'!$A$1:$O$85,15,0)),0,VLOOKUP($S$432,'TAR FIN'!$A$1:$O$85,15,0))</f>
        <v>0</v>
      </c>
      <c r="W432" s="65">
        <f>IF(ISERROR(VLOOKUP($T$432,'TAR FIN'!$A$1:$O$85,15,0)),0,VLOOKUP($T$432,'TAR FIN'!$A$1:$O$85,15,0))*(1-0.06)</f>
        <v>313.16099999999994</v>
      </c>
      <c r="X432" s="65">
        <f>IF(ISERROR(VLOOKUP($U$432,'TAR FIN'!$A$1:$O$85,15,0)),0,VLOOKUP($U$432,'TAR FIN'!$A$1:$O$85,15,0))*(1-0.06)</f>
        <v>227.33899999999997</v>
      </c>
      <c r="Y432" s="65"/>
      <c r="Z432" s="65">
        <f ca="1">('TUSD BE'!$AM$48+'TUSD BF'!$AM$48+'TUSD CVA'!$AM$48)*1*(1-0.03)</f>
        <v>364.84943286991302</v>
      </c>
      <c r="AA432" s="65">
        <f>('TE BE'!$AB$39+'TE BF'!$AB$39+'TE CVA'!$AB$39)*1*(1-0.03)</f>
        <v>220.72408485242519</v>
      </c>
      <c r="AB432" s="6">
        <f>$K$432*$V$432</f>
        <v>0</v>
      </c>
      <c r="AC432" s="6">
        <f>$M$432*$W$432</f>
        <v>51721.983920999992</v>
      </c>
      <c r="AD432" s="6">
        <f>$O$432*$X$432</f>
        <v>37547.536578999992</v>
      </c>
      <c r="AE432" s="6">
        <f>$K$432*$Y$432</f>
        <v>0</v>
      </c>
      <c r="AF432" s="6">
        <f ca="1">$M$432*$Z$432</f>
        <v>60258.897182227702</v>
      </c>
      <c r="AG432" s="6">
        <f>$O$432*$AA$432</f>
        <v>36455.010578311398</v>
      </c>
    </row>
    <row r="433" spans="1:33" ht="11.25" customHeight="1" x14ac:dyDescent="0.25">
      <c r="A433" s="4" t="s">
        <v>21</v>
      </c>
      <c r="B433" s="4" t="s">
        <v>42</v>
      </c>
      <c r="C433" s="4" t="s">
        <v>23</v>
      </c>
      <c r="D433" s="4" t="s">
        <v>43</v>
      </c>
      <c r="E433" s="4" t="s">
        <v>44</v>
      </c>
      <c r="F433" s="4" t="s">
        <v>25</v>
      </c>
      <c r="G433" s="4" t="s">
        <v>25</v>
      </c>
      <c r="H433" s="4" t="s">
        <v>25</v>
      </c>
      <c r="I433" s="5">
        <v>44378</v>
      </c>
      <c r="J433" s="6">
        <v>0</v>
      </c>
      <c r="K433" s="6">
        <v>0</v>
      </c>
      <c r="L433" s="6">
        <v>361.29700000000003</v>
      </c>
      <c r="M433" s="6">
        <v>361.29700000000003</v>
      </c>
      <c r="N433" s="6">
        <v>361.29700000000003</v>
      </c>
      <c r="O433" s="6">
        <v>361.29700000000003</v>
      </c>
      <c r="P433" s="6">
        <v>6</v>
      </c>
      <c r="Q433" s="4" t="s">
        <v>26</v>
      </c>
      <c r="R433" s="4">
        <v>0</v>
      </c>
      <c r="S433" s="6">
        <v>0</v>
      </c>
      <c r="T433" s="6">
        <v>20</v>
      </c>
      <c r="U433" s="6">
        <v>70</v>
      </c>
      <c r="V433" s="6">
        <f>IF(ISERROR(VLOOKUP($S$433,'TAR FIN'!$A$1:$O$85,15,0)),0,VLOOKUP($S$433,'TAR FIN'!$A$1:$O$85,15,0))</f>
        <v>0</v>
      </c>
      <c r="W433" s="6">
        <f>IF(ISERROR(VLOOKUP($T$433,'TAR FIN'!$A$1:$O$85,15,0)),0,VLOOKUP($T$433,'TAR FIN'!$A$1:$O$85,15,0))</f>
        <v>183.23</v>
      </c>
      <c r="X433" s="6">
        <f>IF(ISERROR(VLOOKUP($U$433,'TAR FIN'!$A$1:$O$85,15,0)),0,VLOOKUP($U$433,'TAR FIN'!$A$1:$O$85,15,0))</f>
        <v>133.02000000000001</v>
      </c>
      <c r="Y433" s="6"/>
      <c r="Z433" s="6">
        <f ca="1">('TUSD BE'!$AM$50+'TUSD BF'!$AM$50+'TUSD CVA'!$AM$50)*1</f>
        <v>206.87338977160022</v>
      </c>
      <c r="AA433" s="6">
        <f>('TE BE'!$AB$41+'TE BF'!$AB$41+'TE CVA'!$AB$41)*1</f>
        <v>125.15283161735451</v>
      </c>
      <c r="AB433" s="6">
        <f>$K$433*$V$433</f>
        <v>0</v>
      </c>
      <c r="AC433" s="6">
        <f>$M$433*$W$433</f>
        <v>66200.449309999996</v>
      </c>
      <c r="AD433" s="6">
        <f>$O$433*$X$433</f>
        <v>48059.726940000008</v>
      </c>
      <c r="AE433" s="6">
        <f>$K$433*$Y$433</f>
        <v>0</v>
      </c>
      <c r="AF433" s="6">
        <f ca="1">$M$433*$Z$433</f>
        <v>74742.735104309846</v>
      </c>
      <c r="AG433" s="6">
        <f>$O$433*$AA$433</f>
        <v>45217.342604855337</v>
      </c>
    </row>
    <row r="434" spans="1:33" ht="11.25" customHeight="1" x14ac:dyDescent="0.25">
      <c r="A434" s="4" t="s">
        <v>21</v>
      </c>
      <c r="B434" s="4" t="s">
        <v>42</v>
      </c>
      <c r="C434" s="4" t="s">
        <v>23</v>
      </c>
      <c r="D434" s="4" t="s">
        <v>43</v>
      </c>
      <c r="E434" s="4" t="s">
        <v>44</v>
      </c>
      <c r="F434" s="4" t="s">
        <v>25</v>
      </c>
      <c r="G434" s="4" t="s">
        <v>25</v>
      </c>
      <c r="H434" s="4" t="s">
        <v>25</v>
      </c>
      <c r="I434" s="5">
        <v>44409</v>
      </c>
      <c r="J434" s="6">
        <v>0</v>
      </c>
      <c r="K434" s="6">
        <v>0</v>
      </c>
      <c r="L434" s="6">
        <v>323.56400000000002</v>
      </c>
      <c r="M434" s="6">
        <v>323.56400000000002</v>
      </c>
      <c r="N434" s="6">
        <v>323.56400000000002</v>
      </c>
      <c r="O434" s="6">
        <v>323.56400000000002</v>
      </c>
      <c r="P434" s="6">
        <v>6</v>
      </c>
      <c r="Q434" s="4" t="s">
        <v>26</v>
      </c>
      <c r="R434" s="4">
        <v>0</v>
      </c>
      <c r="S434" s="6">
        <v>0</v>
      </c>
      <c r="T434" s="6">
        <v>20</v>
      </c>
      <c r="U434" s="6">
        <v>70</v>
      </c>
      <c r="V434" s="6">
        <f>IF(ISERROR(VLOOKUP($S$434,'TAR FIN'!$A$1:$O$85,15,0)),0,VLOOKUP($S$434,'TAR FIN'!$A$1:$O$85,15,0))</f>
        <v>0</v>
      </c>
      <c r="W434" s="6">
        <f>IF(ISERROR(VLOOKUP($T$434,'TAR FIN'!$A$1:$O$85,15,0)),0,VLOOKUP($T$434,'TAR FIN'!$A$1:$O$85,15,0))</f>
        <v>183.23</v>
      </c>
      <c r="X434" s="6">
        <f>IF(ISERROR(VLOOKUP($U$434,'TAR FIN'!$A$1:$O$85,15,0)),0,VLOOKUP($U$434,'TAR FIN'!$A$1:$O$85,15,0))</f>
        <v>133.02000000000001</v>
      </c>
      <c r="Y434" s="6"/>
      <c r="Z434" s="6">
        <f ca="1">('TUSD BE'!$AM$50+'TUSD BF'!$AM$50+'TUSD CVA'!$AM$50)*1</f>
        <v>206.87338977160022</v>
      </c>
      <c r="AA434" s="6">
        <f>('TE BE'!$AB$41+'TE BF'!$AB$41+'TE CVA'!$AB$41)*1</f>
        <v>125.15283161735451</v>
      </c>
      <c r="AB434" s="6">
        <f>$K$434*$V$434</f>
        <v>0</v>
      </c>
      <c r="AC434" s="6">
        <f>$M$434*$W$434</f>
        <v>59286.631719999998</v>
      </c>
      <c r="AD434" s="6">
        <f>$O$434*$X$434</f>
        <v>43040.483280000008</v>
      </c>
      <c r="AE434" s="6">
        <f>$K$434*$Y$434</f>
        <v>0</v>
      </c>
      <c r="AF434" s="6">
        <f ca="1">$M$434*$Z$434</f>
        <v>66936.781488058055</v>
      </c>
      <c r="AG434" s="6">
        <f>$O$434*$AA$434</f>
        <v>40494.950809437694</v>
      </c>
    </row>
    <row r="435" spans="1:33" ht="11.25" customHeight="1" x14ac:dyDescent="0.25">
      <c r="A435" s="4" t="s">
        <v>21</v>
      </c>
      <c r="B435" s="4" t="s">
        <v>42</v>
      </c>
      <c r="C435" s="4" t="s">
        <v>23</v>
      </c>
      <c r="D435" s="4" t="s">
        <v>43</v>
      </c>
      <c r="E435" s="4" t="s">
        <v>44</v>
      </c>
      <c r="F435" s="4" t="s">
        <v>25</v>
      </c>
      <c r="G435" s="4" t="s">
        <v>25</v>
      </c>
      <c r="H435" s="4" t="s">
        <v>25</v>
      </c>
      <c r="I435" s="5">
        <v>44440</v>
      </c>
      <c r="J435" s="6">
        <v>0</v>
      </c>
      <c r="K435" s="6">
        <v>0</v>
      </c>
      <c r="L435" s="6">
        <v>293.35199999999998</v>
      </c>
      <c r="M435" s="6">
        <v>293.35199999999998</v>
      </c>
      <c r="N435" s="6">
        <v>293.35199999999998</v>
      </c>
      <c r="O435" s="6">
        <v>293.35199999999998</v>
      </c>
      <c r="P435" s="6">
        <v>6</v>
      </c>
      <c r="Q435" s="4" t="s">
        <v>26</v>
      </c>
      <c r="R435" s="4">
        <v>0</v>
      </c>
      <c r="S435" s="6">
        <v>0</v>
      </c>
      <c r="T435" s="6">
        <v>20</v>
      </c>
      <c r="U435" s="6">
        <v>70</v>
      </c>
      <c r="V435" s="6">
        <f>IF(ISERROR(VLOOKUP($S$435,'TAR FIN'!$A$1:$O$85,15,0)),0,VLOOKUP($S$435,'TAR FIN'!$A$1:$O$85,15,0))</f>
        <v>0</v>
      </c>
      <c r="W435" s="6">
        <f>IF(ISERROR(VLOOKUP($T$435,'TAR FIN'!$A$1:$O$85,15,0)),0,VLOOKUP($T$435,'TAR FIN'!$A$1:$O$85,15,0))</f>
        <v>183.23</v>
      </c>
      <c r="X435" s="6">
        <f>IF(ISERROR(VLOOKUP($U$435,'TAR FIN'!$A$1:$O$85,15,0)),0,VLOOKUP($U$435,'TAR FIN'!$A$1:$O$85,15,0))</f>
        <v>133.02000000000001</v>
      </c>
      <c r="Y435" s="6"/>
      <c r="Z435" s="6">
        <f ca="1">('TUSD BE'!$AM$50+'TUSD BF'!$AM$50+'TUSD CVA'!$AM$50)*1</f>
        <v>206.87338977160022</v>
      </c>
      <c r="AA435" s="6">
        <f>('TE BE'!$AB$41+'TE BF'!$AB$41+'TE CVA'!$AB$41)*1</f>
        <v>125.15283161735451</v>
      </c>
      <c r="AB435" s="6">
        <f>$K$435*$V$435</f>
        <v>0</v>
      </c>
      <c r="AC435" s="6">
        <f>$M$435*$W$435</f>
        <v>53750.886959999989</v>
      </c>
      <c r="AD435" s="6">
        <f>$O$435*$X$435</f>
        <v>39021.683039999996</v>
      </c>
      <c r="AE435" s="6">
        <f>$K$435*$Y$435</f>
        <v>0</v>
      </c>
      <c r="AF435" s="6">
        <f ca="1">$M$435*$Z$435</f>
        <v>60686.722636278464</v>
      </c>
      <c r="AG435" s="6">
        <f>$O$435*$AA$435</f>
        <v>36713.83346061418</v>
      </c>
    </row>
    <row r="436" spans="1:33" ht="11.25" customHeight="1" x14ac:dyDescent="0.25">
      <c r="A436" s="4" t="s">
        <v>21</v>
      </c>
      <c r="B436" s="4" t="s">
        <v>42</v>
      </c>
      <c r="C436" s="4" t="s">
        <v>23</v>
      </c>
      <c r="D436" s="4" t="s">
        <v>43</v>
      </c>
      <c r="E436" s="4" t="s">
        <v>44</v>
      </c>
      <c r="F436" s="4" t="s">
        <v>25</v>
      </c>
      <c r="G436" s="4" t="s">
        <v>25</v>
      </c>
      <c r="H436" s="4" t="s">
        <v>25</v>
      </c>
      <c r="I436" s="5">
        <v>44470</v>
      </c>
      <c r="J436" s="6">
        <v>0</v>
      </c>
      <c r="K436" s="6">
        <v>0</v>
      </c>
      <c r="L436" s="6">
        <v>281.81599999999997</v>
      </c>
      <c r="M436" s="6">
        <v>281.81599999999997</v>
      </c>
      <c r="N436" s="6">
        <v>281.81599999999997</v>
      </c>
      <c r="O436" s="6">
        <v>281.81599999999997</v>
      </c>
      <c r="P436" s="6">
        <v>6</v>
      </c>
      <c r="Q436" s="4" t="s">
        <v>26</v>
      </c>
      <c r="R436" s="4">
        <v>0</v>
      </c>
      <c r="S436" s="6">
        <v>0</v>
      </c>
      <c r="T436" s="6">
        <v>20</v>
      </c>
      <c r="U436" s="6">
        <v>70</v>
      </c>
      <c r="V436" s="6">
        <f>IF(ISERROR(VLOOKUP($S$436,'TAR FIN'!$A$1:$O$85,15,0)),0,VLOOKUP($S$436,'TAR FIN'!$A$1:$O$85,15,0))</f>
        <v>0</v>
      </c>
      <c r="W436" s="6">
        <f>IF(ISERROR(VLOOKUP($T$436,'TAR FIN'!$A$1:$O$85,15,0)),0,VLOOKUP($T$436,'TAR FIN'!$A$1:$O$85,15,0))</f>
        <v>183.23</v>
      </c>
      <c r="X436" s="6">
        <f>IF(ISERROR(VLOOKUP($U$436,'TAR FIN'!$A$1:$O$85,15,0)),0,VLOOKUP($U$436,'TAR FIN'!$A$1:$O$85,15,0))</f>
        <v>133.02000000000001</v>
      </c>
      <c r="Y436" s="6"/>
      <c r="Z436" s="6">
        <f ca="1">('TUSD BE'!$AM$50+'TUSD BF'!$AM$50+'TUSD CVA'!$AM$50)*1</f>
        <v>206.87338977160022</v>
      </c>
      <c r="AA436" s="6">
        <f>('TE BE'!$AB$41+'TE BF'!$AB$41+'TE CVA'!$AB$41)*1</f>
        <v>125.15283161735451</v>
      </c>
      <c r="AB436" s="6">
        <f>$K$436*$V$436</f>
        <v>0</v>
      </c>
      <c r="AC436" s="6">
        <f>$M$436*$W$436</f>
        <v>51637.145679999994</v>
      </c>
      <c r="AD436" s="6">
        <f>$O$436*$X$436</f>
        <v>37487.164319999996</v>
      </c>
      <c r="AE436" s="6">
        <f>$K$436*$Y$436</f>
        <v>0</v>
      </c>
      <c r="AF436" s="6">
        <f ca="1">$M$436*$Z$436</f>
        <v>58300.231211873281</v>
      </c>
      <c r="AG436" s="6">
        <f>$O$436*$AA$436</f>
        <v>35270.070395076378</v>
      </c>
    </row>
    <row r="437" spans="1:33" ht="11.25" customHeight="1" x14ac:dyDescent="0.25">
      <c r="A437" s="4" t="s">
        <v>21</v>
      </c>
      <c r="B437" s="4" t="s">
        <v>42</v>
      </c>
      <c r="C437" s="4" t="s">
        <v>23</v>
      </c>
      <c r="D437" s="4" t="s">
        <v>43</v>
      </c>
      <c r="E437" s="4" t="s">
        <v>44</v>
      </c>
      <c r="F437" s="4" t="s">
        <v>25</v>
      </c>
      <c r="G437" s="4" t="s">
        <v>25</v>
      </c>
      <c r="H437" s="4" t="s">
        <v>25</v>
      </c>
      <c r="I437" s="5">
        <v>44501</v>
      </c>
      <c r="J437" s="6">
        <v>0</v>
      </c>
      <c r="K437" s="6">
        <v>0</v>
      </c>
      <c r="L437" s="6">
        <v>258.72500000000002</v>
      </c>
      <c r="M437" s="6">
        <v>258.72500000000002</v>
      </c>
      <c r="N437" s="6">
        <v>258.72500000000002</v>
      </c>
      <c r="O437" s="6">
        <v>258.72500000000002</v>
      </c>
      <c r="P437" s="6">
        <v>5</v>
      </c>
      <c r="Q437" s="4" t="s">
        <v>26</v>
      </c>
      <c r="R437" s="4">
        <v>0</v>
      </c>
      <c r="S437" s="6">
        <v>0</v>
      </c>
      <c r="T437" s="6">
        <v>20</v>
      </c>
      <c r="U437" s="6">
        <v>70</v>
      </c>
      <c r="V437" s="6">
        <f>IF(ISERROR(VLOOKUP($S$437,'TAR FIN'!$A$1:$O$85,15,0)),0,VLOOKUP($S$437,'TAR FIN'!$A$1:$O$85,15,0))</f>
        <v>0</v>
      </c>
      <c r="W437" s="6">
        <f>IF(ISERROR(VLOOKUP($T$437,'TAR FIN'!$A$1:$O$85,15,0)),0,VLOOKUP($T$437,'TAR FIN'!$A$1:$O$85,15,0))</f>
        <v>183.23</v>
      </c>
      <c r="X437" s="6">
        <f>IF(ISERROR(VLOOKUP($U$437,'TAR FIN'!$A$1:$O$85,15,0)),0,VLOOKUP($U$437,'TAR FIN'!$A$1:$O$85,15,0))</f>
        <v>133.02000000000001</v>
      </c>
      <c r="Y437" s="6"/>
      <c r="Z437" s="6">
        <f ca="1">('TUSD BE'!$AM$50+'TUSD BF'!$AM$50+'TUSD CVA'!$AM$50)*1</f>
        <v>206.87338977160022</v>
      </c>
      <c r="AA437" s="6">
        <f>('TE BE'!$AB$41+'TE BF'!$AB$41+'TE CVA'!$AB$41)*1</f>
        <v>125.15283161735451</v>
      </c>
      <c r="AB437" s="6">
        <f>$K$437*$V$437</f>
        <v>0</v>
      </c>
      <c r="AC437" s="6">
        <f>$M$437*$W$437</f>
        <v>47406.181750000003</v>
      </c>
      <c r="AD437" s="6">
        <f>$O$437*$X$437</f>
        <v>34415.599500000004</v>
      </c>
      <c r="AE437" s="6">
        <f>$K$437*$Y$437</f>
        <v>0</v>
      </c>
      <c r="AF437" s="6">
        <f ca="1">$M$437*$Z$437</f>
        <v>53523.317768657267</v>
      </c>
      <c r="AG437" s="6">
        <f>$O$437*$AA$437</f>
        <v>32380.166360200048</v>
      </c>
    </row>
    <row r="438" spans="1:33" ht="11.25" customHeight="1" x14ac:dyDescent="0.25">
      <c r="A438" s="4" t="s">
        <v>21</v>
      </c>
      <c r="B438" s="4" t="s">
        <v>42</v>
      </c>
      <c r="C438" s="4" t="s">
        <v>23</v>
      </c>
      <c r="D438" s="4" t="s">
        <v>43</v>
      </c>
      <c r="E438" s="4" t="s">
        <v>44</v>
      </c>
      <c r="F438" s="4" t="s">
        <v>25</v>
      </c>
      <c r="G438" s="4" t="s">
        <v>25</v>
      </c>
      <c r="H438" s="4" t="s">
        <v>25</v>
      </c>
      <c r="I438" s="5">
        <v>44531</v>
      </c>
      <c r="J438" s="6">
        <v>0</v>
      </c>
      <c r="K438" s="6">
        <v>0</v>
      </c>
      <c r="L438" s="6">
        <v>265.32</v>
      </c>
      <c r="M438" s="6">
        <v>265.32</v>
      </c>
      <c r="N438" s="6">
        <v>265.32</v>
      </c>
      <c r="O438" s="6">
        <v>265.32</v>
      </c>
      <c r="P438" s="6">
        <v>5</v>
      </c>
      <c r="Q438" s="4" t="s">
        <v>26</v>
      </c>
      <c r="R438" s="4">
        <v>0</v>
      </c>
      <c r="S438" s="6">
        <v>0</v>
      </c>
      <c r="T438" s="6">
        <v>20</v>
      </c>
      <c r="U438" s="6">
        <v>70</v>
      </c>
      <c r="V438" s="6">
        <f>IF(ISERROR(VLOOKUP($S$438,'TAR FIN'!$A$1:$O$85,15,0)),0,VLOOKUP($S$438,'TAR FIN'!$A$1:$O$85,15,0))</f>
        <v>0</v>
      </c>
      <c r="W438" s="6">
        <f>IF(ISERROR(VLOOKUP($T$438,'TAR FIN'!$A$1:$O$85,15,0)),0,VLOOKUP($T$438,'TAR FIN'!$A$1:$O$85,15,0))</f>
        <v>183.23</v>
      </c>
      <c r="X438" s="6">
        <f>IF(ISERROR(VLOOKUP($U$438,'TAR FIN'!$A$1:$O$85,15,0)),0,VLOOKUP($U$438,'TAR FIN'!$A$1:$O$85,15,0))</f>
        <v>133.02000000000001</v>
      </c>
      <c r="Y438" s="6"/>
      <c r="Z438" s="6">
        <f ca="1">('TUSD BE'!$AM$50+'TUSD BF'!$AM$50+'TUSD CVA'!$AM$50)*1</f>
        <v>206.87338977160022</v>
      </c>
      <c r="AA438" s="6">
        <f>('TE BE'!$AB$41+'TE BF'!$AB$41+'TE CVA'!$AB$41)*1</f>
        <v>125.15283161735451</v>
      </c>
      <c r="AB438" s="6">
        <f>$K$438*$V$438</f>
        <v>0</v>
      </c>
      <c r="AC438" s="6">
        <f>$M$438*$W$438</f>
        <v>48614.583599999998</v>
      </c>
      <c r="AD438" s="6">
        <f>$O$438*$X$438</f>
        <v>35292.866399999999</v>
      </c>
      <c r="AE438" s="6">
        <f>$K$438*$Y$438</f>
        <v>0</v>
      </c>
      <c r="AF438" s="6">
        <f ca="1">$M$438*$Z$438</f>
        <v>54887.647774200967</v>
      </c>
      <c r="AG438" s="6">
        <f>$O$438*$AA$438</f>
        <v>33205.549284716501</v>
      </c>
    </row>
    <row r="439" spans="1:33" ht="11.25" customHeight="1" x14ac:dyDescent="0.25">
      <c r="A439" s="4" t="s">
        <v>21</v>
      </c>
      <c r="B439" s="4" t="s">
        <v>42</v>
      </c>
      <c r="C439" s="4" t="s">
        <v>23</v>
      </c>
      <c r="D439" s="4" t="s">
        <v>43</v>
      </c>
      <c r="E439" s="4" t="s">
        <v>44</v>
      </c>
      <c r="F439" s="4" t="s">
        <v>25</v>
      </c>
      <c r="G439" s="4" t="s">
        <v>25</v>
      </c>
      <c r="H439" s="4" t="s">
        <v>25</v>
      </c>
      <c r="I439" s="5">
        <v>44562</v>
      </c>
      <c r="J439" s="6">
        <v>0</v>
      </c>
      <c r="K439" s="6">
        <v>0</v>
      </c>
      <c r="L439" s="6">
        <v>260.32100000000003</v>
      </c>
      <c r="M439" s="6">
        <v>260.32100000000003</v>
      </c>
      <c r="N439" s="6">
        <v>260.32100000000003</v>
      </c>
      <c r="O439" s="6">
        <v>260.32100000000003</v>
      </c>
      <c r="P439" s="6">
        <v>5</v>
      </c>
      <c r="Q439" s="4" t="s">
        <v>26</v>
      </c>
      <c r="R439" s="4">
        <v>0</v>
      </c>
      <c r="S439" s="6">
        <v>0</v>
      </c>
      <c r="T439" s="6">
        <v>20</v>
      </c>
      <c r="U439" s="6">
        <v>70</v>
      </c>
      <c r="V439" s="6">
        <f>IF(ISERROR(VLOOKUP($S$439,'TAR FIN'!$A$1:$O$85,15,0)),0,VLOOKUP($S$439,'TAR FIN'!$A$1:$O$85,15,0))</f>
        <v>0</v>
      </c>
      <c r="W439" s="6">
        <f>IF(ISERROR(VLOOKUP($T$439,'TAR FIN'!$A$1:$O$85,15,0)),0,VLOOKUP($T$439,'TAR FIN'!$A$1:$O$85,15,0))</f>
        <v>183.23</v>
      </c>
      <c r="X439" s="6">
        <f>IF(ISERROR(VLOOKUP($U$439,'TAR FIN'!$A$1:$O$85,15,0)),0,VLOOKUP($U$439,'TAR FIN'!$A$1:$O$85,15,0))</f>
        <v>133.02000000000001</v>
      </c>
      <c r="Y439" s="6"/>
      <c r="Z439" s="6">
        <f ca="1">('TUSD BE'!$AM$50+'TUSD BF'!$AM$50+'TUSD CVA'!$AM$50)*1</f>
        <v>206.87338977160022</v>
      </c>
      <c r="AA439" s="6">
        <f>('TE BE'!$AB$41+'TE BF'!$AB$41+'TE CVA'!$AB$41)*1</f>
        <v>125.15283161735451</v>
      </c>
      <c r="AB439" s="6">
        <f>$K$439*$V$439</f>
        <v>0</v>
      </c>
      <c r="AC439" s="6">
        <f>$M$439*$W$439</f>
        <v>47698.616829999999</v>
      </c>
      <c r="AD439" s="6">
        <f>$O$439*$X$439</f>
        <v>34627.899420000009</v>
      </c>
      <c r="AE439" s="6">
        <f>$K$439*$Y$439</f>
        <v>0</v>
      </c>
      <c r="AF439" s="6">
        <f ca="1">$M$439*$Z$439</f>
        <v>53853.487698732744</v>
      </c>
      <c r="AG439" s="6">
        <f>$O$439*$AA$439</f>
        <v>32579.910279461346</v>
      </c>
    </row>
    <row r="440" spans="1:33" ht="11.25" customHeight="1" x14ac:dyDescent="0.25">
      <c r="A440" s="4" t="s">
        <v>21</v>
      </c>
      <c r="B440" s="4" t="s">
        <v>42</v>
      </c>
      <c r="C440" s="4" t="s">
        <v>23</v>
      </c>
      <c r="D440" s="4" t="s">
        <v>43</v>
      </c>
      <c r="E440" s="4" t="s">
        <v>44</v>
      </c>
      <c r="F440" s="4" t="s">
        <v>25</v>
      </c>
      <c r="G440" s="4" t="s">
        <v>25</v>
      </c>
      <c r="H440" s="4" t="s">
        <v>25</v>
      </c>
      <c r="I440" s="5">
        <v>44593</v>
      </c>
      <c r="J440" s="6">
        <v>0</v>
      </c>
      <c r="K440" s="6">
        <v>0</v>
      </c>
      <c r="L440" s="6">
        <v>249.749</v>
      </c>
      <c r="M440" s="6">
        <v>249.749</v>
      </c>
      <c r="N440" s="6">
        <v>249.749</v>
      </c>
      <c r="O440" s="6">
        <v>249.749</v>
      </c>
      <c r="P440" s="6">
        <v>5</v>
      </c>
      <c r="Q440" s="4" t="s">
        <v>26</v>
      </c>
      <c r="R440" s="4">
        <v>0</v>
      </c>
      <c r="S440" s="6">
        <v>0</v>
      </c>
      <c r="T440" s="6">
        <v>20</v>
      </c>
      <c r="U440" s="6">
        <v>70</v>
      </c>
      <c r="V440" s="6">
        <f>IF(ISERROR(VLOOKUP($S$440,'TAR FIN'!$A$1:$O$85,15,0)),0,VLOOKUP($S$440,'TAR FIN'!$A$1:$O$85,15,0))</f>
        <v>0</v>
      </c>
      <c r="W440" s="6">
        <f>IF(ISERROR(VLOOKUP($T$440,'TAR FIN'!$A$1:$O$85,15,0)),0,VLOOKUP($T$440,'TAR FIN'!$A$1:$O$85,15,0))</f>
        <v>183.23</v>
      </c>
      <c r="X440" s="6">
        <f>IF(ISERROR(VLOOKUP($U$440,'TAR FIN'!$A$1:$O$85,15,0)),0,VLOOKUP($U$440,'TAR FIN'!$A$1:$O$85,15,0))</f>
        <v>133.02000000000001</v>
      </c>
      <c r="Y440" s="6"/>
      <c r="Z440" s="6">
        <f ca="1">('TUSD BE'!$AM$50+'TUSD BF'!$AM$50+'TUSD CVA'!$AM$50)*1</f>
        <v>206.87338977160022</v>
      </c>
      <c r="AA440" s="6">
        <f>('TE BE'!$AB$41+'TE BF'!$AB$41+'TE CVA'!$AB$41)*1</f>
        <v>125.15283161735451</v>
      </c>
      <c r="AB440" s="6">
        <f>$K$440*$V$440</f>
        <v>0</v>
      </c>
      <c r="AC440" s="6">
        <f>$M$440*$W$440</f>
        <v>45761.509269999995</v>
      </c>
      <c r="AD440" s="6">
        <f>$O$440*$X$440</f>
        <v>33221.611980000001</v>
      </c>
      <c r="AE440" s="6">
        <f>$K$440*$Y$440</f>
        <v>0</v>
      </c>
      <c r="AF440" s="6">
        <f ca="1">$M$440*$Z$440</f>
        <v>51666.422222067384</v>
      </c>
      <c r="AG440" s="6">
        <f>$O$440*$AA$440</f>
        <v>31256.794543602671</v>
      </c>
    </row>
    <row r="441" spans="1:33" ht="11.25" customHeight="1" x14ac:dyDescent="0.25">
      <c r="A441" s="4" t="s">
        <v>21</v>
      </c>
      <c r="B441" s="4" t="s">
        <v>42</v>
      </c>
      <c r="C441" s="4" t="s">
        <v>23</v>
      </c>
      <c r="D441" s="4" t="s">
        <v>43</v>
      </c>
      <c r="E441" s="4" t="s">
        <v>44</v>
      </c>
      <c r="F441" s="4" t="s">
        <v>25</v>
      </c>
      <c r="G441" s="4" t="s">
        <v>25</v>
      </c>
      <c r="H441" s="4" t="s">
        <v>25</v>
      </c>
      <c r="I441" s="5">
        <v>44621</v>
      </c>
      <c r="J441" s="6">
        <v>0</v>
      </c>
      <c r="K441" s="6">
        <v>0</v>
      </c>
      <c r="L441" s="6">
        <v>298.02699999999999</v>
      </c>
      <c r="M441" s="6">
        <v>298.02699999999999</v>
      </c>
      <c r="N441" s="6">
        <v>298.02699999999999</v>
      </c>
      <c r="O441" s="6">
        <v>298.02699999999999</v>
      </c>
      <c r="P441" s="6">
        <v>5</v>
      </c>
      <c r="Q441" s="4" t="s">
        <v>26</v>
      </c>
      <c r="R441" s="4">
        <v>0</v>
      </c>
      <c r="S441" s="6">
        <v>0</v>
      </c>
      <c r="T441" s="6">
        <v>20</v>
      </c>
      <c r="U441" s="6">
        <v>70</v>
      </c>
      <c r="V441" s="6">
        <f>IF(ISERROR(VLOOKUP($S$441,'TAR FIN'!$A$1:$O$85,15,0)),0,VLOOKUP($S$441,'TAR FIN'!$A$1:$O$85,15,0))</f>
        <v>0</v>
      </c>
      <c r="W441" s="6">
        <f>IF(ISERROR(VLOOKUP($T$441,'TAR FIN'!$A$1:$O$85,15,0)),0,VLOOKUP($T$441,'TAR FIN'!$A$1:$O$85,15,0))</f>
        <v>183.23</v>
      </c>
      <c r="X441" s="6">
        <f>IF(ISERROR(VLOOKUP($U$441,'TAR FIN'!$A$1:$O$85,15,0)),0,VLOOKUP($U$441,'TAR FIN'!$A$1:$O$85,15,0))</f>
        <v>133.02000000000001</v>
      </c>
      <c r="Y441" s="6"/>
      <c r="Z441" s="6">
        <f ca="1">('TUSD BE'!$AM$50+'TUSD BF'!$AM$50+'TUSD CVA'!$AM$50)*1</f>
        <v>206.87338977160022</v>
      </c>
      <c r="AA441" s="6">
        <f>('TE BE'!$AB$41+'TE BF'!$AB$41+'TE CVA'!$AB$41)*1</f>
        <v>125.15283161735451</v>
      </c>
      <c r="AB441" s="6">
        <f>$K$441*$V$441</f>
        <v>0</v>
      </c>
      <c r="AC441" s="6">
        <f>$M$441*$W$441</f>
        <v>54607.487209999992</v>
      </c>
      <c r="AD441" s="6">
        <f>$O$441*$X$441</f>
        <v>39643.55154</v>
      </c>
      <c r="AE441" s="6">
        <f>$K$441*$Y$441</f>
        <v>0</v>
      </c>
      <c r="AF441" s="6">
        <f ca="1">$M$441*$Z$441</f>
        <v>61653.855733460696</v>
      </c>
      <c r="AG441" s="6">
        <f>$O$441*$AA$441</f>
        <v>37298.922948425308</v>
      </c>
    </row>
    <row r="442" spans="1:33" ht="11.25" customHeight="1" x14ac:dyDescent="0.25">
      <c r="A442" s="4" t="s">
        <v>21</v>
      </c>
      <c r="B442" s="4" t="s">
        <v>42</v>
      </c>
      <c r="C442" s="4" t="s">
        <v>23</v>
      </c>
      <c r="D442" s="4" t="s">
        <v>43</v>
      </c>
      <c r="E442" s="4" t="s">
        <v>44</v>
      </c>
      <c r="F442" s="4" t="s">
        <v>25</v>
      </c>
      <c r="G442" s="4" t="s">
        <v>25</v>
      </c>
      <c r="H442" s="4" t="s">
        <v>25</v>
      </c>
      <c r="I442" s="5">
        <v>44652</v>
      </c>
      <c r="J442" s="6">
        <v>0</v>
      </c>
      <c r="K442" s="6">
        <v>0</v>
      </c>
      <c r="L442" s="6">
        <v>310.37</v>
      </c>
      <c r="M442" s="6">
        <v>310.37</v>
      </c>
      <c r="N442" s="6">
        <v>310.37</v>
      </c>
      <c r="O442" s="6">
        <v>310.37</v>
      </c>
      <c r="P442" s="6">
        <v>5</v>
      </c>
      <c r="Q442" s="4" t="s">
        <v>26</v>
      </c>
      <c r="R442" s="4">
        <v>0</v>
      </c>
      <c r="S442" s="6">
        <v>0</v>
      </c>
      <c r="T442" s="6">
        <v>20</v>
      </c>
      <c r="U442" s="6">
        <v>70</v>
      </c>
      <c r="V442" s="6">
        <f>IF(ISERROR(VLOOKUP($S$442,'TAR FIN'!$A$1:$O$85,15,0)),0,VLOOKUP($S$442,'TAR FIN'!$A$1:$O$85,15,0))</f>
        <v>0</v>
      </c>
      <c r="W442" s="6">
        <f>IF(ISERROR(VLOOKUP($T$442,'TAR FIN'!$A$1:$O$85,15,0)),0,VLOOKUP($T$442,'TAR FIN'!$A$1:$O$85,15,0))</f>
        <v>183.23</v>
      </c>
      <c r="X442" s="6">
        <f>IF(ISERROR(VLOOKUP($U$442,'TAR FIN'!$A$1:$O$85,15,0)),0,VLOOKUP($U$442,'TAR FIN'!$A$1:$O$85,15,0))</f>
        <v>133.02000000000001</v>
      </c>
      <c r="Y442" s="6"/>
      <c r="Z442" s="6">
        <f ca="1">('TUSD BE'!$AM$50+'TUSD BF'!$AM$50+'TUSD CVA'!$AM$50)*1</f>
        <v>206.87338977160022</v>
      </c>
      <c r="AA442" s="6">
        <f>('TE BE'!$AB$41+'TE BF'!$AB$41+'TE CVA'!$AB$41)*1</f>
        <v>125.15283161735451</v>
      </c>
      <c r="AB442" s="6">
        <f>$K$442*$V$442</f>
        <v>0</v>
      </c>
      <c r="AC442" s="6">
        <f>$M$442*$W$442</f>
        <v>56869.095099999999</v>
      </c>
      <c r="AD442" s="6">
        <f>$O$442*$X$442</f>
        <v>41285.417400000006</v>
      </c>
      <c r="AE442" s="6">
        <f>$K$442*$Y$442</f>
        <v>0</v>
      </c>
      <c r="AF442" s="6">
        <f ca="1">$M$442*$Z$442</f>
        <v>64207.29398341156</v>
      </c>
      <c r="AG442" s="6">
        <f>$O$442*$AA$442</f>
        <v>38843.684349078321</v>
      </c>
    </row>
    <row r="443" spans="1:33" ht="11.25" customHeight="1" x14ac:dyDescent="0.25">
      <c r="A443" s="4" t="s">
        <v>21</v>
      </c>
      <c r="B443" s="4" t="s">
        <v>42</v>
      </c>
      <c r="C443" s="4" t="s">
        <v>23</v>
      </c>
      <c r="D443" s="4" t="s">
        <v>43</v>
      </c>
      <c r="E443" s="4" t="s">
        <v>44</v>
      </c>
      <c r="F443" s="4" t="s">
        <v>25</v>
      </c>
      <c r="G443" s="4" t="s">
        <v>25</v>
      </c>
      <c r="H443" s="4" t="s">
        <v>25</v>
      </c>
      <c r="I443" s="5">
        <v>44682</v>
      </c>
      <c r="J443" s="6">
        <v>0</v>
      </c>
      <c r="K443" s="6">
        <v>0</v>
      </c>
      <c r="L443" s="6">
        <v>338.00400000000002</v>
      </c>
      <c r="M443" s="6">
        <v>338.00400000000002</v>
      </c>
      <c r="N443" s="6">
        <v>338.00400000000002</v>
      </c>
      <c r="O443" s="6">
        <v>338.00400000000002</v>
      </c>
      <c r="P443" s="6">
        <v>5</v>
      </c>
      <c r="Q443" s="4" t="s">
        <v>26</v>
      </c>
      <c r="R443" s="4">
        <v>0</v>
      </c>
      <c r="S443" s="6">
        <v>0</v>
      </c>
      <c r="T443" s="6">
        <v>20</v>
      </c>
      <c r="U443" s="6">
        <v>70</v>
      </c>
      <c r="V443" s="6">
        <f>IF(ISERROR(VLOOKUP($S$443,'TAR FIN'!$A$1:$O$85,15,0)),0,VLOOKUP($S$443,'TAR FIN'!$A$1:$O$85,15,0))</f>
        <v>0</v>
      </c>
      <c r="W443" s="6">
        <f>IF(ISERROR(VLOOKUP($T$443,'TAR FIN'!$A$1:$O$85,15,0)),0,VLOOKUP($T$443,'TAR FIN'!$A$1:$O$85,15,0))</f>
        <v>183.23</v>
      </c>
      <c r="X443" s="6">
        <f>IF(ISERROR(VLOOKUP($U$443,'TAR FIN'!$A$1:$O$85,15,0)),0,VLOOKUP($U$443,'TAR FIN'!$A$1:$O$85,15,0))</f>
        <v>133.02000000000001</v>
      </c>
      <c r="Y443" s="6"/>
      <c r="Z443" s="6">
        <f ca="1">('TUSD BE'!$AM$50+'TUSD BF'!$AM$50+'TUSD CVA'!$AM$50)*1</f>
        <v>206.87338977160022</v>
      </c>
      <c r="AA443" s="6">
        <f>('TE BE'!$AB$41+'TE BF'!$AB$41+'TE CVA'!$AB$41)*1</f>
        <v>125.15283161735451</v>
      </c>
      <c r="AB443" s="6">
        <f>$K$443*$V$443</f>
        <v>0</v>
      </c>
      <c r="AC443" s="6">
        <f>$M$443*$W$443</f>
        <v>61932.47292</v>
      </c>
      <c r="AD443" s="6">
        <f>$O$443*$X$443</f>
        <v>44961.292080000007</v>
      </c>
      <c r="AE443" s="6">
        <f>$K$443*$Y$443</f>
        <v>0</v>
      </c>
      <c r="AF443" s="6">
        <f ca="1">$M$443*$Z$443</f>
        <v>69924.033236359959</v>
      </c>
      <c r="AG443" s="6">
        <f>$O$443*$AA$443</f>
        <v>42302.157697992297</v>
      </c>
    </row>
    <row r="444" spans="1:33" ht="11.25" customHeight="1" x14ac:dyDescent="0.25">
      <c r="A444" s="4" t="s">
        <v>21</v>
      </c>
      <c r="B444" s="4" t="s">
        <v>42</v>
      </c>
      <c r="C444" s="4" t="s">
        <v>23</v>
      </c>
      <c r="D444" s="4" t="s">
        <v>43</v>
      </c>
      <c r="E444" s="4" t="s">
        <v>44</v>
      </c>
      <c r="F444" s="4" t="s">
        <v>25</v>
      </c>
      <c r="G444" s="4" t="s">
        <v>25</v>
      </c>
      <c r="H444" s="4" t="s">
        <v>25</v>
      </c>
      <c r="I444" s="5">
        <v>44713</v>
      </c>
      <c r="J444" s="6">
        <v>0</v>
      </c>
      <c r="K444" s="6">
        <v>0</v>
      </c>
      <c r="L444" s="6">
        <v>335.22500000000002</v>
      </c>
      <c r="M444" s="6">
        <v>335.22500000000002</v>
      </c>
      <c r="N444" s="6">
        <v>335.22500000000002</v>
      </c>
      <c r="O444" s="6">
        <v>335.22500000000002</v>
      </c>
      <c r="P444" s="6">
        <v>5</v>
      </c>
      <c r="Q444" s="4" t="s">
        <v>26</v>
      </c>
      <c r="R444" s="4">
        <v>0</v>
      </c>
      <c r="S444" s="6">
        <v>0</v>
      </c>
      <c r="T444" s="6">
        <v>20</v>
      </c>
      <c r="U444" s="6">
        <v>70</v>
      </c>
      <c r="V444" s="6">
        <f>IF(ISERROR(VLOOKUP($S$444,'TAR FIN'!$A$1:$O$85,15,0)),0,VLOOKUP($S$444,'TAR FIN'!$A$1:$O$85,15,0))</f>
        <v>0</v>
      </c>
      <c r="W444" s="6">
        <f>IF(ISERROR(VLOOKUP($T$444,'TAR FIN'!$A$1:$O$85,15,0)),0,VLOOKUP($T$444,'TAR FIN'!$A$1:$O$85,15,0))</f>
        <v>183.23</v>
      </c>
      <c r="X444" s="6">
        <f>IF(ISERROR(VLOOKUP($U$444,'TAR FIN'!$A$1:$O$85,15,0)),0,VLOOKUP($U$444,'TAR FIN'!$A$1:$O$85,15,0))</f>
        <v>133.02000000000001</v>
      </c>
      <c r="Y444" s="6"/>
      <c r="Z444" s="6">
        <f ca="1">('TUSD BE'!$AM$50+'TUSD BF'!$AM$50+'TUSD CVA'!$AM$50)*1</f>
        <v>206.87338977160022</v>
      </c>
      <c r="AA444" s="6">
        <f>('TE BE'!$AB$41+'TE BF'!$AB$41+'TE CVA'!$AB$41)*1</f>
        <v>125.15283161735451</v>
      </c>
      <c r="AB444" s="6">
        <f>$K$444*$V$444</f>
        <v>0</v>
      </c>
      <c r="AC444" s="6">
        <f>$M$444*$W$444</f>
        <v>61423.276749999997</v>
      </c>
      <c r="AD444" s="6">
        <f>$O$444*$X$444</f>
        <v>44591.62950000001</v>
      </c>
      <c r="AE444" s="6">
        <f>$K$444*$Y$444</f>
        <v>0</v>
      </c>
      <c r="AF444" s="6">
        <f ca="1">$M$444*$Z$444</f>
        <v>69349.132086184691</v>
      </c>
      <c r="AG444" s="6">
        <f>$O$444*$AA$444</f>
        <v>41954.35797892767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E1E57-B237-4719-A4DC-C9AE1D5E0799}">
  <dimension ref="A1:AK445"/>
  <sheetViews>
    <sheetView showGridLines="0" tabSelected="1" topLeftCell="AH1" workbookViewId="0">
      <selection activeCell="AK8" sqref="AK8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1.5703125" style="4" bestFit="1" customWidth="1"/>
    <col min="5" max="5" width="25.140625" style="4" bestFit="1" customWidth="1"/>
    <col min="6" max="6" width="13.28515625" style="4" bestFit="1" customWidth="1"/>
    <col min="7" max="7" width="11.28515625" style="4" bestFit="1" customWidth="1"/>
    <col min="8" max="8" width="10.28515625" style="4" bestFit="1" customWidth="1"/>
    <col min="9" max="9" width="12.140625" style="5" bestFit="1" customWidth="1"/>
    <col min="10" max="10" width="7" style="6" bestFit="1" customWidth="1"/>
    <col min="11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71093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19.140625" style="4" bestFit="1" customWidth="1"/>
    <col min="29" max="29" width="20.5703125" style="4" bestFit="1" customWidth="1"/>
    <col min="30" max="30" width="19" style="4" bestFit="1" customWidth="1"/>
    <col min="31" max="31" width="20.42578125" style="4" bestFit="1" customWidth="1"/>
    <col min="32" max="32" width="32.140625" style="4" bestFit="1" customWidth="1"/>
    <col min="33" max="33" width="9.140625" style="4"/>
    <col min="34" max="34" width="32.140625" style="4" bestFit="1" customWidth="1"/>
    <col min="35" max="36" width="8.7109375" style="4" bestFit="1" customWidth="1"/>
    <col min="37" max="16384" width="9.140625" style="4"/>
  </cols>
  <sheetData>
    <row r="1" spans="1:37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551</v>
      </c>
      <c r="W1" s="1" t="s">
        <v>552</v>
      </c>
      <c r="X1" s="1" t="s">
        <v>553</v>
      </c>
      <c r="Y1" s="1" t="s">
        <v>554</v>
      </c>
      <c r="Z1" s="1" t="s">
        <v>555</v>
      </c>
      <c r="AA1" s="1" t="s">
        <v>556</v>
      </c>
      <c r="AB1" s="1" t="s">
        <v>594</v>
      </c>
      <c r="AC1" s="1" t="s">
        <v>595</v>
      </c>
      <c r="AD1" s="1" t="s">
        <v>596</v>
      </c>
      <c r="AE1" s="1" t="s">
        <v>597</v>
      </c>
      <c r="AF1" s="1" t="s">
        <v>598</v>
      </c>
      <c r="AH1" s="59" t="s">
        <v>598</v>
      </c>
      <c r="AI1" s="59" t="s">
        <v>603</v>
      </c>
      <c r="AJ1" s="59" t="s">
        <v>604</v>
      </c>
    </row>
    <row r="2" spans="1:37" ht="11.25" customHeight="1" x14ac:dyDescent="0.25">
      <c r="A2" s="4" t="s">
        <v>21</v>
      </c>
      <c r="B2" s="4" t="s">
        <v>34</v>
      </c>
      <c r="C2" s="4" t="s">
        <v>51</v>
      </c>
      <c r="D2" s="4" t="s">
        <v>33</v>
      </c>
      <c r="E2" s="4" t="s">
        <v>25</v>
      </c>
      <c r="F2" s="4" t="s">
        <v>52</v>
      </c>
      <c r="G2" s="4" t="s">
        <v>25</v>
      </c>
      <c r="H2" s="4" t="s">
        <v>37</v>
      </c>
      <c r="I2" s="5">
        <v>44378</v>
      </c>
      <c r="J2" s="6">
        <v>1800</v>
      </c>
      <c r="K2" s="6">
        <v>905.36929199999997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53</v>
      </c>
      <c r="R2" s="4">
        <v>0</v>
      </c>
      <c r="S2" s="4">
        <v>2</v>
      </c>
      <c r="T2" s="4">
        <v>0</v>
      </c>
      <c r="U2" s="4">
        <v>0</v>
      </c>
      <c r="V2" s="6">
        <f>IF(ISERROR(VLOOKUP($S$2,'TAR FIN'!$A$1:$O$85,15,0)),0,VLOOKUP($S$2,'TAR FIN'!$A$1:$O$85,15,0))</f>
        <v>14.94</v>
      </c>
      <c r="W2" s="6">
        <f>IF(ISERROR(VLOOKUP($T$2,'TAR FIN'!$A$1:$O$85,15,0)),0,VLOOKUP($T$2,'TAR FIN'!$A$1:$O$85,15,0))</f>
        <v>0</v>
      </c>
      <c r="X2" s="6">
        <f>IF(ISERROR(VLOOKUP($U$2,'TAR FIN'!$A$1:$O$85,15,0)),0,VLOOKUP($U$2,'TAR FIN'!$A$1:$O$85,15,0))</f>
        <v>0</v>
      </c>
      <c r="Y2" s="6">
        <f ca="1">('TUSD BE'!$AM$6+'TUSD BF'!$AM$6+'TUSD CVA'!$AM$6)*1</f>
        <v>19.63429077280307</v>
      </c>
      <c r="Z2" s="6">
        <f ca="1">('TUSD BE'!$AM$7+'TUSD BF'!$AM$7+'TUSD CVA'!$AM$7)*1</f>
        <v>114.48039155571371</v>
      </c>
      <c r="AA2" s="6"/>
      <c r="AB2" s="6">
        <f t="shared" ref="AB2:AB33" si="0">(J2-K2)*V2</f>
        <v>13365.78277752</v>
      </c>
      <c r="AC2" s="6">
        <f t="shared" ref="AC2:AC33" si="1">(L2-M2)*W2+(N2-O2)*X2</f>
        <v>0</v>
      </c>
      <c r="AD2" s="6">
        <f t="shared" ref="AD2:AD33" ca="1" si="2">(J2-K2)*Y2</f>
        <v>17565.439455150678</v>
      </c>
      <c r="AE2" s="6">
        <f t="shared" ref="AE2:AE33" ca="1" si="3">(L2-M2)*Z2+(N2-O2)*AA2</f>
        <v>0</v>
      </c>
      <c r="AF2" s="4" t="s">
        <v>599</v>
      </c>
      <c r="AH2" s="60" t="s">
        <v>599</v>
      </c>
      <c r="AI2" s="61">
        <f t="shared" ref="AI2:AI9" si="4">SUMIF($AF$2:$AF$445,AH2,$AB$2:$AB$445)+SUMIF($AF$2:$AF$445,AH2,$AC$2:$AC$445)</f>
        <v>762394.75688673684</v>
      </c>
      <c r="AJ2" s="61">
        <f t="shared" ref="AJ2:AJ9" ca="1" si="5">SUMIF($AF$2:$AF$445,AH2,$AD$2:$AD$445)+SUMIF($AF$2:$AF$445,AH2,$AE$2:$AE$445)</f>
        <v>837262.90024926641</v>
      </c>
      <c r="AK2" s="160">
        <f ca="1">AJ2/12</f>
        <v>69771.90835410553</v>
      </c>
    </row>
    <row r="3" spans="1:37" ht="11.25" customHeight="1" x14ac:dyDescent="0.25">
      <c r="A3" s="4" t="s">
        <v>21</v>
      </c>
      <c r="B3" s="4" t="s">
        <v>34</v>
      </c>
      <c r="C3" s="4" t="s">
        <v>51</v>
      </c>
      <c r="D3" s="4" t="s">
        <v>33</v>
      </c>
      <c r="E3" s="4" t="s">
        <v>25</v>
      </c>
      <c r="F3" s="4" t="s">
        <v>52</v>
      </c>
      <c r="G3" s="4" t="s">
        <v>25</v>
      </c>
      <c r="H3" s="4" t="s">
        <v>37</v>
      </c>
      <c r="I3" s="5">
        <v>44409</v>
      </c>
      <c r="J3" s="6">
        <v>1802</v>
      </c>
      <c r="K3" s="6">
        <v>918.92490845999998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53</v>
      </c>
      <c r="R3" s="4">
        <v>0</v>
      </c>
      <c r="S3" s="4">
        <v>2</v>
      </c>
      <c r="T3" s="4">
        <v>0</v>
      </c>
      <c r="U3" s="4">
        <v>0</v>
      </c>
      <c r="V3" s="6">
        <f>IF(ISERROR(VLOOKUP($S$3,'TAR FIN'!$A$1:$O$85,15,0)),0,VLOOKUP($S$3,'TAR FIN'!$A$1:$O$85,15,0))</f>
        <v>14.94</v>
      </c>
      <c r="W3" s="6">
        <f>IF(ISERROR(VLOOKUP($T$3,'TAR FIN'!$A$1:$O$85,15,0)),0,VLOOKUP($T$3,'TAR FIN'!$A$1:$O$85,15,0))</f>
        <v>0</v>
      </c>
      <c r="X3" s="6">
        <f>IF(ISERROR(VLOOKUP($U$3,'TAR FIN'!$A$1:$O$85,15,0)),0,VLOOKUP($U$3,'TAR FIN'!$A$1:$O$85,15,0))</f>
        <v>0</v>
      </c>
      <c r="Y3" s="6">
        <f ca="1">('TUSD BE'!$AM$6+'TUSD BF'!$AM$6+'TUSD CVA'!$AM$6)*1</f>
        <v>19.63429077280307</v>
      </c>
      <c r="Z3" s="6">
        <f ca="1">('TUSD BE'!$AM$7+'TUSD BF'!$AM$7+'TUSD CVA'!$AM$7)*1</f>
        <v>114.48039155571371</v>
      </c>
      <c r="AA3" s="6"/>
      <c r="AB3" s="6">
        <f t="shared" si="0"/>
        <v>13193.141867607599</v>
      </c>
      <c r="AC3" s="6">
        <f t="shared" si="1"/>
        <v>0</v>
      </c>
      <c r="AD3" s="6">
        <f t="shared" ca="1" si="2"/>
        <v>17338.553121516048</v>
      </c>
      <c r="AE3" s="6">
        <f t="shared" ca="1" si="3"/>
        <v>0</v>
      </c>
      <c r="AF3" s="4" t="s">
        <v>599</v>
      </c>
      <c r="AH3" s="60" t="s">
        <v>605</v>
      </c>
      <c r="AI3" s="61">
        <f t="shared" si="4"/>
        <v>0</v>
      </c>
      <c r="AJ3" s="61">
        <f t="shared" si="5"/>
        <v>0</v>
      </c>
      <c r="AK3" s="160">
        <f t="shared" ref="AK3:AK9" si="6">AJ3/12</f>
        <v>0</v>
      </c>
    </row>
    <row r="4" spans="1:37" ht="11.25" customHeight="1" x14ac:dyDescent="0.25">
      <c r="A4" s="4" t="s">
        <v>21</v>
      </c>
      <c r="B4" s="4" t="s">
        <v>34</v>
      </c>
      <c r="C4" s="4" t="s">
        <v>51</v>
      </c>
      <c r="D4" s="4" t="s">
        <v>33</v>
      </c>
      <c r="E4" s="4" t="s">
        <v>25</v>
      </c>
      <c r="F4" s="4" t="s">
        <v>52</v>
      </c>
      <c r="G4" s="4" t="s">
        <v>25</v>
      </c>
      <c r="H4" s="4" t="s">
        <v>37</v>
      </c>
      <c r="I4" s="5">
        <v>44440</v>
      </c>
      <c r="J4" s="6">
        <v>1800</v>
      </c>
      <c r="K4" s="6">
        <v>907.34920199999999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53</v>
      </c>
      <c r="R4" s="4">
        <v>0</v>
      </c>
      <c r="S4" s="4">
        <v>2</v>
      </c>
      <c r="T4" s="4">
        <v>0</v>
      </c>
      <c r="U4" s="4">
        <v>0</v>
      </c>
      <c r="V4" s="6">
        <f>IF(ISERROR(VLOOKUP($S$4,'TAR FIN'!$A$1:$O$85,15,0)),0,VLOOKUP($S$4,'TAR FIN'!$A$1:$O$85,15,0))</f>
        <v>14.94</v>
      </c>
      <c r="W4" s="6">
        <f>IF(ISERROR(VLOOKUP($T$4,'TAR FIN'!$A$1:$O$85,15,0)),0,VLOOKUP($T$4,'TAR FIN'!$A$1:$O$85,15,0))</f>
        <v>0</v>
      </c>
      <c r="X4" s="6">
        <f>IF(ISERROR(VLOOKUP($U$4,'TAR FIN'!$A$1:$O$85,15,0)),0,VLOOKUP($U$4,'TAR FIN'!$A$1:$O$85,15,0))</f>
        <v>0</v>
      </c>
      <c r="Y4" s="6">
        <f ca="1">('TUSD BE'!$AM$6+'TUSD BF'!$AM$6+'TUSD CVA'!$AM$6)*1</f>
        <v>19.63429077280307</v>
      </c>
      <c r="Z4" s="6">
        <f ca="1">('TUSD BE'!$AM$7+'TUSD BF'!$AM$7+'TUSD CVA'!$AM$7)*1</f>
        <v>114.48039155571371</v>
      </c>
      <c r="AA4" s="6"/>
      <c r="AB4" s="6">
        <f t="shared" si="0"/>
        <v>13336.202922119999</v>
      </c>
      <c r="AC4" s="6">
        <f t="shared" si="1"/>
        <v>0</v>
      </c>
      <c r="AD4" s="6">
        <f t="shared" ca="1" si="2"/>
        <v>17526.565326506698</v>
      </c>
      <c r="AE4" s="6">
        <f t="shared" ca="1" si="3"/>
        <v>0</v>
      </c>
      <c r="AF4" s="4" t="s">
        <v>599</v>
      </c>
      <c r="AH4" s="60" t="s">
        <v>606</v>
      </c>
      <c r="AI4" s="61">
        <f t="shared" si="4"/>
        <v>0</v>
      </c>
      <c r="AJ4" s="61">
        <f t="shared" si="5"/>
        <v>0</v>
      </c>
      <c r="AK4" s="160">
        <f t="shared" si="6"/>
        <v>0</v>
      </c>
    </row>
    <row r="5" spans="1:37" ht="11.25" customHeight="1" x14ac:dyDescent="0.25">
      <c r="A5" s="4" t="s">
        <v>21</v>
      </c>
      <c r="B5" s="4" t="s">
        <v>34</v>
      </c>
      <c r="C5" s="4" t="s">
        <v>51</v>
      </c>
      <c r="D5" s="4" t="s">
        <v>33</v>
      </c>
      <c r="E5" s="4" t="s">
        <v>25</v>
      </c>
      <c r="F5" s="4" t="s">
        <v>52</v>
      </c>
      <c r="G5" s="4" t="s">
        <v>25</v>
      </c>
      <c r="H5" s="4" t="s">
        <v>37</v>
      </c>
      <c r="I5" s="5">
        <v>44470</v>
      </c>
      <c r="J5" s="6">
        <v>1813</v>
      </c>
      <c r="K5" s="6">
        <v>906.93687861000001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53</v>
      </c>
      <c r="R5" s="4">
        <v>0</v>
      </c>
      <c r="S5" s="4">
        <v>2</v>
      </c>
      <c r="T5" s="4">
        <v>0</v>
      </c>
      <c r="U5" s="4">
        <v>0</v>
      </c>
      <c r="V5" s="6">
        <f>IF(ISERROR(VLOOKUP($S$5,'TAR FIN'!$A$1:$O$85,15,0)),0,VLOOKUP($S$5,'TAR FIN'!$A$1:$O$85,15,0))</f>
        <v>14.94</v>
      </c>
      <c r="W5" s="6">
        <f>IF(ISERROR(VLOOKUP($T$5,'TAR FIN'!$A$1:$O$85,15,0)),0,VLOOKUP($T$5,'TAR FIN'!$A$1:$O$85,15,0))</f>
        <v>0</v>
      </c>
      <c r="X5" s="6">
        <f>IF(ISERROR(VLOOKUP($U$5,'TAR FIN'!$A$1:$O$85,15,0)),0,VLOOKUP($U$5,'TAR FIN'!$A$1:$O$85,15,0))</f>
        <v>0</v>
      </c>
      <c r="Y5" s="6">
        <f ca="1">('TUSD BE'!$AM$6+'TUSD BF'!$AM$6+'TUSD CVA'!$AM$6)*1</f>
        <v>19.63429077280307</v>
      </c>
      <c r="Z5" s="6">
        <f ca="1">('TUSD BE'!$AM$7+'TUSD BF'!$AM$7+'TUSD CVA'!$AM$7)*1</f>
        <v>114.48039155571371</v>
      </c>
      <c r="AA5" s="6"/>
      <c r="AB5" s="6">
        <f t="shared" si="0"/>
        <v>13536.5830335666</v>
      </c>
      <c r="AC5" s="6">
        <f t="shared" si="1"/>
        <v>0</v>
      </c>
      <c r="AD5" s="6">
        <f t="shared" ca="1" si="2"/>
        <v>17789.906783884824</v>
      </c>
      <c r="AE5" s="6">
        <f t="shared" ca="1" si="3"/>
        <v>0</v>
      </c>
      <c r="AF5" s="4" t="s">
        <v>599</v>
      </c>
      <c r="AH5" s="60" t="s">
        <v>602</v>
      </c>
      <c r="AI5" s="61">
        <f t="shared" si="4"/>
        <v>66330.665999999997</v>
      </c>
      <c r="AJ5" s="61">
        <f t="shared" ca="1" si="5"/>
        <v>34819.795089632898</v>
      </c>
      <c r="AK5" s="160">
        <f t="shared" ca="1" si="6"/>
        <v>2901.6495908027414</v>
      </c>
    </row>
    <row r="6" spans="1:37" ht="11.25" customHeight="1" x14ac:dyDescent="0.25">
      <c r="A6" s="4" t="s">
        <v>21</v>
      </c>
      <c r="B6" s="4" t="s">
        <v>34</v>
      </c>
      <c r="C6" s="4" t="s">
        <v>51</v>
      </c>
      <c r="D6" s="4" t="s">
        <v>33</v>
      </c>
      <c r="E6" s="4" t="s">
        <v>25</v>
      </c>
      <c r="F6" s="4" t="s">
        <v>52</v>
      </c>
      <c r="G6" s="4" t="s">
        <v>25</v>
      </c>
      <c r="H6" s="4" t="s">
        <v>37</v>
      </c>
      <c r="I6" s="5">
        <v>44501</v>
      </c>
      <c r="J6" s="6">
        <v>1809</v>
      </c>
      <c r="K6" s="6">
        <v>904.5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53</v>
      </c>
      <c r="R6" s="4">
        <v>0</v>
      </c>
      <c r="S6" s="4">
        <v>2</v>
      </c>
      <c r="T6" s="4">
        <v>0</v>
      </c>
      <c r="U6" s="4">
        <v>0</v>
      </c>
      <c r="V6" s="6">
        <f>IF(ISERROR(VLOOKUP($S$6,'TAR FIN'!$A$1:$O$85,15,0)),0,VLOOKUP($S$6,'TAR FIN'!$A$1:$O$85,15,0))</f>
        <v>14.94</v>
      </c>
      <c r="W6" s="6">
        <f>IF(ISERROR(VLOOKUP($T$6,'TAR FIN'!$A$1:$O$85,15,0)),0,VLOOKUP($T$6,'TAR FIN'!$A$1:$O$85,15,0))</f>
        <v>0</v>
      </c>
      <c r="X6" s="6">
        <f>IF(ISERROR(VLOOKUP($U$6,'TAR FIN'!$A$1:$O$85,15,0)),0,VLOOKUP($U$6,'TAR FIN'!$A$1:$O$85,15,0))</f>
        <v>0</v>
      </c>
      <c r="Y6" s="6">
        <f ca="1">('TUSD BE'!$AM$6+'TUSD BF'!$AM$6+'TUSD CVA'!$AM$6)*1</f>
        <v>19.63429077280307</v>
      </c>
      <c r="Z6" s="6">
        <f ca="1">('TUSD BE'!$AM$7+'TUSD BF'!$AM$7+'TUSD CVA'!$AM$7)*1</f>
        <v>114.48039155571371</v>
      </c>
      <c r="AA6" s="6"/>
      <c r="AB6" s="6">
        <f t="shared" si="0"/>
        <v>13513.23</v>
      </c>
      <c r="AC6" s="6">
        <f t="shared" si="1"/>
        <v>0</v>
      </c>
      <c r="AD6" s="6">
        <f t="shared" ca="1" si="2"/>
        <v>17759.216004000376</v>
      </c>
      <c r="AE6" s="6">
        <f t="shared" ca="1" si="3"/>
        <v>0</v>
      </c>
      <c r="AF6" s="4" t="s">
        <v>599</v>
      </c>
      <c r="AH6" s="60" t="s">
        <v>600</v>
      </c>
      <c r="AI6" s="61">
        <f t="shared" si="4"/>
        <v>4465.8625407999989</v>
      </c>
      <c r="AJ6" s="61">
        <f t="shared" ca="1" si="5"/>
        <v>2470.7464144223277</v>
      </c>
      <c r="AK6" s="160">
        <f t="shared" ca="1" si="6"/>
        <v>205.89553453519397</v>
      </c>
    </row>
    <row r="7" spans="1:37" ht="11.25" customHeight="1" x14ac:dyDescent="0.25">
      <c r="A7" s="4" t="s">
        <v>21</v>
      </c>
      <c r="B7" s="4" t="s">
        <v>34</v>
      </c>
      <c r="C7" s="4" t="s">
        <v>51</v>
      </c>
      <c r="D7" s="4" t="s">
        <v>33</v>
      </c>
      <c r="E7" s="4" t="s">
        <v>25</v>
      </c>
      <c r="F7" s="4" t="s">
        <v>52</v>
      </c>
      <c r="G7" s="4" t="s">
        <v>25</v>
      </c>
      <c r="H7" s="4" t="s">
        <v>37</v>
      </c>
      <c r="I7" s="5">
        <v>44531</v>
      </c>
      <c r="J7" s="6">
        <v>1800</v>
      </c>
      <c r="K7" s="6">
        <v>932.78597400000001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53</v>
      </c>
      <c r="R7" s="4">
        <v>0</v>
      </c>
      <c r="S7" s="4">
        <v>2</v>
      </c>
      <c r="T7" s="4">
        <v>0</v>
      </c>
      <c r="U7" s="4">
        <v>0</v>
      </c>
      <c r="V7" s="6">
        <f>IF(ISERROR(VLOOKUP($S$7,'TAR FIN'!$A$1:$O$85,15,0)),0,VLOOKUP($S$7,'TAR FIN'!$A$1:$O$85,15,0))</f>
        <v>14.94</v>
      </c>
      <c r="W7" s="6">
        <f>IF(ISERROR(VLOOKUP($T$7,'TAR FIN'!$A$1:$O$85,15,0)),0,VLOOKUP($T$7,'TAR FIN'!$A$1:$O$85,15,0))</f>
        <v>0</v>
      </c>
      <c r="X7" s="6">
        <f>IF(ISERROR(VLOOKUP($U$7,'TAR FIN'!$A$1:$O$85,15,0)),0,VLOOKUP($U$7,'TAR FIN'!$A$1:$O$85,15,0))</f>
        <v>0</v>
      </c>
      <c r="Y7" s="6">
        <f ca="1">('TUSD BE'!$AM$6+'TUSD BF'!$AM$6+'TUSD CVA'!$AM$6)*1</f>
        <v>19.63429077280307</v>
      </c>
      <c r="Z7" s="6">
        <f ca="1">('TUSD BE'!$AM$7+'TUSD BF'!$AM$7+'TUSD CVA'!$AM$7)*1</f>
        <v>114.48039155571371</v>
      </c>
      <c r="AA7" s="6"/>
      <c r="AB7" s="6">
        <f t="shared" si="0"/>
        <v>12956.177548439999</v>
      </c>
      <c r="AC7" s="6">
        <f t="shared" si="1"/>
        <v>0</v>
      </c>
      <c r="AD7" s="6">
        <f t="shared" ca="1" si="2"/>
        <v>17027.132348737203</v>
      </c>
      <c r="AE7" s="6">
        <f t="shared" ca="1" si="3"/>
        <v>0</v>
      </c>
      <c r="AF7" s="4" t="s">
        <v>599</v>
      </c>
      <c r="AH7" s="60" t="s">
        <v>607</v>
      </c>
      <c r="AI7" s="61">
        <f t="shared" si="4"/>
        <v>0</v>
      </c>
      <c r="AJ7" s="61">
        <f t="shared" si="5"/>
        <v>0</v>
      </c>
      <c r="AK7" s="160">
        <f t="shared" si="6"/>
        <v>0</v>
      </c>
    </row>
    <row r="8" spans="1:37" ht="11.25" customHeight="1" x14ac:dyDescent="0.25">
      <c r="A8" s="4" t="s">
        <v>21</v>
      </c>
      <c r="B8" s="4" t="s">
        <v>34</v>
      </c>
      <c r="C8" s="4" t="s">
        <v>51</v>
      </c>
      <c r="D8" s="4" t="s">
        <v>33</v>
      </c>
      <c r="E8" s="4" t="s">
        <v>25</v>
      </c>
      <c r="F8" s="4" t="s">
        <v>52</v>
      </c>
      <c r="G8" s="4" t="s">
        <v>25</v>
      </c>
      <c r="H8" s="4" t="s">
        <v>37</v>
      </c>
      <c r="I8" s="5">
        <v>44562</v>
      </c>
      <c r="J8" s="6">
        <v>1800</v>
      </c>
      <c r="K8" s="6">
        <v>901.16834400000005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53</v>
      </c>
      <c r="R8" s="4">
        <v>0</v>
      </c>
      <c r="S8" s="4">
        <v>2</v>
      </c>
      <c r="T8" s="4">
        <v>0</v>
      </c>
      <c r="U8" s="4">
        <v>0</v>
      </c>
      <c r="V8" s="6">
        <f>IF(ISERROR(VLOOKUP($S$8,'TAR FIN'!$A$1:$O$85,15,0)),0,VLOOKUP($S$8,'TAR FIN'!$A$1:$O$85,15,0))</f>
        <v>14.94</v>
      </c>
      <c r="W8" s="6">
        <f>IF(ISERROR(VLOOKUP($T$8,'TAR FIN'!$A$1:$O$85,15,0)),0,VLOOKUP($T$8,'TAR FIN'!$A$1:$O$85,15,0))</f>
        <v>0</v>
      </c>
      <c r="X8" s="6">
        <f>IF(ISERROR(VLOOKUP($U$8,'TAR FIN'!$A$1:$O$85,15,0)),0,VLOOKUP($U$8,'TAR FIN'!$A$1:$O$85,15,0))</f>
        <v>0</v>
      </c>
      <c r="Y8" s="6">
        <f ca="1">('TUSD BE'!$AM$6+'TUSD BF'!$AM$6+'TUSD CVA'!$AM$6)*1</f>
        <v>19.63429077280307</v>
      </c>
      <c r="Z8" s="6">
        <f ca="1">('TUSD BE'!$AM$7+'TUSD BF'!$AM$7+'TUSD CVA'!$AM$7)*1</f>
        <v>114.48039155571371</v>
      </c>
      <c r="AA8" s="6"/>
      <c r="AB8" s="6">
        <f t="shared" si="0"/>
        <v>13428.544940639998</v>
      </c>
      <c r="AC8" s="6">
        <f t="shared" si="1"/>
        <v>0</v>
      </c>
      <c r="AD8" s="6">
        <f t="shared" ca="1" si="2"/>
        <v>17647.922089704101</v>
      </c>
      <c r="AE8" s="6">
        <f t="shared" ca="1" si="3"/>
        <v>0</v>
      </c>
      <c r="AF8" s="4" t="s">
        <v>599</v>
      </c>
      <c r="AH8" s="60" t="s">
        <v>601</v>
      </c>
      <c r="AI8" s="61">
        <f t="shared" si="4"/>
        <v>140884.29077999995</v>
      </c>
      <c r="AJ8" s="61">
        <f t="shared" ca="1" si="5"/>
        <v>136464.97127976519</v>
      </c>
      <c r="AK8" s="160">
        <f t="shared" ca="1" si="6"/>
        <v>11372.080939980433</v>
      </c>
    </row>
    <row r="9" spans="1:37" ht="11.25" customHeight="1" x14ac:dyDescent="0.25">
      <c r="A9" s="4" t="s">
        <v>21</v>
      </c>
      <c r="B9" s="4" t="s">
        <v>34</v>
      </c>
      <c r="C9" s="4" t="s">
        <v>51</v>
      </c>
      <c r="D9" s="4" t="s">
        <v>33</v>
      </c>
      <c r="E9" s="4" t="s">
        <v>25</v>
      </c>
      <c r="F9" s="4" t="s">
        <v>52</v>
      </c>
      <c r="G9" s="4" t="s">
        <v>25</v>
      </c>
      <c r="H9" s="4" t="s">
        <v>37</v>
      </c>
      <c r="I9" s="5">
        <v>44593</v>
      </c>
      <c r="J9" s="6">
        <v>1800</v>
      </c>
      <c r="K9" s="6">
        <v>900.80544599999996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53</v>
      </c>
      <c r="R9" s="4">
        <v>0</v>
      </c>
      <c r="S9" s="4">
        <v>2</v>
      </c>
      <c r="T9" s="4">
        <v>0</v>
      </c>
      <c r="U9" s="4">
        <v>0</v>
      </c>
      <c r="V9" s="6">
        <f>IF(ISERROR(VLOOKUP($S$9,'TAR FIN'!$A$1:$O$85,15,0)),0,VLOOKUP($S$9,'TAR FIN'!$A$1:$O$85,15,0))</f>
        <v>14.94</v>
      </c>
      <c r="W9" s="6">
        <f>IF(ISERROR(VLOOKUP($T$9,'TAR FIN'!$A$1:$O$85,15,0)),0,VLOOKUP($T$9,'TAR FIN'!$A$1:$O$85,15,0))</f>
        <v>0</v>
      </c>
      <c r="X9" s="6">
        <f>IF(ISERROR(VLOOKUP($U$9,'TAR FIN'!$A$1:$O$85,15,0)),0,VLOOKUP($U$9,'TAR FIN'!$A$1:$O$85,15,0))</f>
        <v>0</v>
      </c>
      <c r="Y9" s="6">
        <f ca="1">('TUSD BE'!$AM$6+'TUSD BF'!$AM$6+'TUSD CVA'!$AM$6)*1</f>
        <v>19.63429077280307</v>
      </c>
      <c r="Z9" s="6">
        <f ca="1">('TUSD BE'!$AM$7+'TUSD BF'!$AM$7+'TUSD CVA'!$AM$7)*1</f>
        <v>114.48039155571371</v>
      </c>
      <c r="AA9" s="6"/>
      <c r="AB9" s="6">
        <f t="shared" si="0"/>
        <v>13433.96663676</v>
      </c>
      <c r="AC9" s="6">
        <f t="shared" si="1"/>
        <v>0</v>
      </c>
      <c r="AD9" s="6">
        <f t="shared" ca="1" si="2"/>
        <v>17655.047334556974</v>
      </c>
      <c r="AE9" s="6">
        <f t="shared" ca="1" si="3"/>
        <v>0</v>
      </c>
      <c r="AF9" s="4" t="s">
        <v>599</v>
      </c>
      <c r="AH9" s="60" t="s">
        <v>608</v>
      </c>
      <c r="AI9" s="61">
        <f t="shared" si="4"/>
        <v>0</v>
      </c>
      <c r="AJ9" s="61">
        <f t="shared" si="5"/>
        <v>0</v>
      </c>
      <c r="AK9" s="160">
        <f t="shared" si="6"/>
        <v>0</v>
      </c>
    </row>
    <row r="10" spans="1:37" ht="11.25" customHeight="1" x14ac:dyDescent="0.25">
      <c r="A10" s="4" t="s">
        <v>21</v>
      </c>
      <c r="B10" s="4" t="s">
        <v>34</v>
      </c>
      <c r="C10" s="4" t="s">
        <v>51</v>
      </c>
      <c r="D10" s="4" t="s">
        <v>33</v>
      </c>
      <c r="E10" s="4" t="s">
        <v>25</v>
      </c>
      <c r="F10" s="4" t="s">
        <v>52</v>
      </c>
      <c r="G10" s="4" t="s">
        <v>25</v>
      </c>
      <c r="H10" s="4" t="s">
        <v>37</v>
      </c>
      <c r="I10" s="5">
        <v>44621</v>
      </c>
      <c r="J10" s="6">
        <v>1800</v>
      </c>
      <c r="K10" s="6">
        <v>901.23863400000005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53</v>
      </c>
      <c r="R10" s="4">
        <v>0</v>
      </c>
      <c r="S10" s="4">
        <v>2</v>
      </c>
      <c r="T10" s="4">
        <v>0</v>
      </c>
      <c r="U10" s="4">
        <v>0</v>
      </c>
      <c r="V10" s="6">
        <f>IF(ISERROR(VLOOKUP($S$10,'TAR FIN'!$A$1:$O$85,15,0)),0,VLOOKUP($S$10,'TAR FIN'!$A$1:$O$85,15,0))</f>
        <v>14.94</v>
      </c>
      <c r="W10" s="6">
        <f>IF(ISERROR(VLOOKUP($T$10,'TAR FIN'!$A$1:$O$85,15,0)),0,VLOOKUP($T$10,'TAR FIN'!$A$1:$O$85,15,0))</f>
        <v>0</v>
      </c>
      <c r="X10" s="6">
        <f>IF(ISERROR(VLOOKUP($U$10,'TAR FIN'!$A$1:$O$85,15,0)),0,VLOOKUP($U$10,'TAR FIN'!$A$1:$O$85,15,0))</f>
        <v>0</v>
      </c>
      <c r="Y10" s="6">
        <f ca="1">('TUSD BE'!$AM$6+'TUSD BF'!$AM$6+'TUSD CVA'!$AM$6)*1</f>
        <v>19.63429077280307</v>
      </c>
      <c r="Z10" s="6">
        <f ca="1">('TUSD BE'!$AM$7+'TUSD BF'!$AM$7+'TUSD CVA'!$AM$7)*1</f>
        <v>114.48039155571371</v>
      </c>
      <c r="AA10" s="6"/>
      <c r="AB10" s="6">
        <f t="shared" si="0"/>
        <v>13427.494808039999</v>
      </c>
      <c r="AC10" s="6">
        <f t="shared" si="1"/>
        <v>0</v>
      </c>
      <c r="AD10" s="6">
        <f t="shared" ca="1" si="2"/>
        <v>17646.541995405682</v>
      </c>
      <c r="AE10" s="6">
        <f t="shared" ca="1" si="3"/>
        <v>0</v>
      </c>
      <c r="AF10" s="4" t="s">
        <v>599</v>
      </c>
    </row>
    <row r="11" spans="1:37" ht="11.25" customHeight="1" x14ac:dyDescent="0.25">
      <c r="A11" s="4" t="s">
        <v>21</v>
      </c>
      <c r="B11" s="4" t="s">
        <v>34</v>
      </c>
      <c r="C11" s="4" t="s">
        <v>51</v>
      </c>
      <c r="D11" s="4" t="s">
        <v>33</v>
      </c>
      <c r="E11" s="4" t="s">
        <v>25</v>
      </c>
      <c r="F11" s="4" t="s">
        <v>52</v>
      </c>
      <c r="G11" s="4" t="s">
        <v>25</v>
      </c>
      <c r="H11" s="4" t="s">
        <v>37</v>
      </c>
      <c r="I11" s="5">
        <v>44652</v>
      </c>
      <c r="J11" s="6">
        <v>1800</v>
      </c>
      <c r="K11" s="6">
        <v>901.65754800000002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53</v>
      </c>
      <c r="R11" s="4">
        <v>0</v>
      </c>
      <c r="S11" s="4">
        <v>2</v>
      </c>
      <c r="T11" s="4">
        <v>0</v>
      </c>
      <c r="U11" s="4">
        <v>0</v>
      </c>
      <c r="V11" s="6">
        <f>IF(ISERROR(VLOOKUP($S$11,'TAR FIN'!$A$1:$O$85,15,0)),0,VLOOKUP($S$11,'TAR FIN'!$A$1:$O$85,15,0))</f>
        <v>14.94</v>
      </c>
      <c r="W11" s="6">
        <f>IF(ISERROR(VLOOKUP($T$11,'TAR FIN'!$A$1:$O$85,15,0)),0,VLOOKUP($T$11,'TAR FIN'!$A$1:$O$85,15,0))</f>
        <v>0</v>
      </c>
      <c r="X11" s="6">
        <f>IF(ISERROR(VLOOKUP($U$11,'TAR FIN'!$A$1:$O$85,15,0)),0,VLOOKUP($U$11,'TAR FIN'!$A$1:$O$85,15,0))</f>
        <v>0</v>
      </c>
      <c r="Y11" s="6">
        <f ca="1">('TUSD BE'!$AM$6+'TUSD BF'!$AM$6+'TUSD CVA'!$AM$6)*1</f>
        <v>19.63429077280307</v>
      </c>
      <c r="Z11" s="6">
        <f ca="1">('TUSD BE'!$AM$7+'TUSD BF'!$AM$7+'TUSD CVA'!$AM$7)*1</f>
        <v>114.48039155571371</v>
      </c>
      <c r="AA11" s="6"/>
      <c r="AB11" s="6">
        <f t="shared" si="0"/>
        <v>13421.236232879999</v>
      </c>
      <c r="AC11" s="6">
        <f t="shared" si="1"/>
        <v>0</v>
      </c>
      <c r="AD11" s="6">
        <f t="shared" ca="1" si="2"/>
        <v>17638.316916120883</v>
      </c>
      <c r="AE11" s="6">
        <f t="shared" ca="1" si="3"/>
        <v>0</v>
      </c>
      <c r="AF11" s="4" t="s">
        <v>599</v>
      </c>
    </row>
    <row r="12" spans="1:37" ht="11.25" customHeight="1" x14ac:dyDescent="0.25">
      <c r="A12" s="4" t="s">
        <v>21</v>
      </c>
      <c r="B12" s="4" t="s">
        <v>34</v>
      </c>
      <c r="C12" s="4" t="s">
        <v>51</v>
      </c>
      <c r="D12" s="4" t="s">
        <v>33</v>
      </c>
      <c r="E12" s="4" t="s">
        <v>25</v>
      </c>
      <c r="F12" s="4" t="s">
        <v>52</v>
      </c>
      <c r="G12" s="4" t="s">
        <v>25</v>
      </c>
      <c r="H12" s="4" t="s">
        <v>37</v>
      </c>
      <c r="I12" s="5">
        <v>44682</v>
      </c>
      <c r="J12" s="6">
        <v>1800</v>
      </c>
      <c r="K12" s="6">
        <v>990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53</v>
      </c>
      <c r="R12" s="4">
        <v>0</v>
      </c>
      <c r="S12" s="4">
        <v>2</v>
      </c>
      <c r="T12" s="4">
        <v>0</v>
      </c>
      <c r="U12" s="4">
        <v>0</v>
      </c>
      <c r="V12" s="6">
        <f>IF(ISERROR(VLOOKUP($S$12,'TAR FIN'!$A$1:$O$85,15,0)),0,VLOOKUP($S$12,'TAR FIN'!$A$1:$O$85,15,0))</f>
        <v>14.94</v>
      </c>
      <c r="W12" s="6">
        <f>IF(ISERROR(VLOOKUP($T$12,'TAR FIN'!$A$1:$O$85,15,0)),0,VLOOKUP($T$12,'TAR FIN'!$A$1:$O$85,15,0))</f>
        <v>0</v>
      </c>
      <c r="X12" s="6">
        <f>IF(ISERROR(VLOOKUP($U$12,'TAR FIN'!$A$1:$O$85,15,0)),0,VLOOKUP($U$12,'TAR FIN'!$A$1:$O$85,15,0))</f>
        <v>0</v>
      </c>
      <c r="Y12" s="6">
        <f ca="1">('TUSD BE'!$AM$6+'TUSD BF'!$AM$6+'TUSD CVA'!$AM$6)*1</f>
        <v>19.63429077280307</v>
      </c>
      <c r="Z12" s="6">
        <f ca="1">('TUSD BE'!$AM$7+'TUSD BF'!$AM$7+'TUSD CVA'!$AM$7)*1</f>
        <v>114.48039155571371</v>
      </c>
      <c r="AA12" s="6"/>
      <c r="AB12" s="6">
        <f t="shared" si="0"/>
        <v>12101.4</v>
      </c>
      <c r="AC12" s="6">
        <f t="shared" si="1"/>
        <v>0</v>
      </c>
      <c r="AD12" s="6">
        <f t="shared" ca="1" si="2"/>
        <v>15903.775525970486</v>
      </c>
      <c r="AE12" s="6">
        <f t="shared" ca="1" si="3"/>
        <v>0</v>
      </c>
      <c r="AF12" s="4" t="s">
        <v>599</v>
      </c>
    </row>
    <row r="13" spans="1:37" ht="11.25" customHeight="1" x14ac:dyDescent="0.25">
      <c r="A13" s="4" t="s">
        <v>21</v>
      </c>
      <c r="B13" s="4" t="s">
        <v>34</v>
      </c>
      <c r="C13" s="4" t="s">
        <v>51</v>
      </c>
      <c r="D13" s="4" t="s">
        <v>33</v>
      </c>
      <c r="E13" s="4" t="s">
        <v>25</v>
      </c>
      <c r="F13" s="4" t="s">
        <v>52</v>
      </c>
      <c r="G13" s="4" t="s">
        <v>25</v>
      </c>
      <c r="H13" s="4" t="s">
        <v>37</v>
      </c>
      <c r="I13" s="5">
        <v>44713</v>
      </c>
      <c r="J13" s="6">
        <v>1800</v>
      </c>
      <c r="K13" s="6">
        <v>990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53</v>
      </c>
      <c r="R13" s="4">
        <v>0</v>
      </c>
      <c r="S13" s="4">
        <v>2</v>
      </c>
      <c r="T13" s="4">
        <v>0</v>
      </c>
      <c r="U13" s="4">
        <v>0</v>
      </c>
      <c r="V13" s="6">
        <f>IF(ISERROR(VLOOKUP($S$13,'TAR FIN'!$A$1:$O$85,15,0)),0,VLOOKUP($S$13,'TAR FIN'!$A$1:$O$85,15,0))</f>
        <v>14.94</v>
      </c>
      <c r="W13" s="6">
        <f>IF(ISERROR(VLOOKUP($T$13,'TAR FIN'!$A$1:$O$85,15,0)),0,VLOOKUP($T$13,'TAR FIN'!$A$1:$O$85,15,0))</f>
        <v>0</v>
      </c>
      <c r="X13" s="6">
        <f>IF(ISERROR(VLOOKUP($U$13,'TAR FIN'!$A$1:$O$85,15,0)),0,VLOOKUP($U$13,'TAR FIN'!$A$1:$O$85,15,0))</f>
        <v>0</v>
      </c>
      <c r="Y13" s="6">
        <f ca="1">('TUSD BE'!$AM$6+'TUSD BF'!$AM$6+'TUSD CVA'!$AM$6)*1</f>
        <v>19.63429077280307</v>
      </c>
      <c r="Z13" s="6">
        <f ca="1">('TUSD BE'!$AM$7+'TUSD BF'!$AM$7+'TUSD CVA'!$AM$7)*1</f>
        <v>114.48039155571371</v>
      </c>
      <c r="AA13" s="6"/>
      <c r="AB13" s="6">
        <f t="shared" si="0"/>
        <v>12101.4</v>
      </c>
      <c r="AC13" s="6">
        <f t="shared" si="1"/>
        <v>0</v>
      </c>
      <c r="AD13" s="6">
        <f t="shared" ca="1" si="2"/>
        <v>15903.775525970486</v>
      </c>
      <c r="AE13" s="6">
        <f t="shared" ca="1" si="3"/>
        <v>0</v>
      </c>
      <c r="AF13" s="4" t="s">
        <v>599</v>
      </c>
    </row>
    <row r="14" spans="1:37" ht="11.25" customHeight="1" x14ac:dyDescent="0.25">
      <c r="A14" s="4" t="s">
        <v>21</v>
      </c>
      <c r="B14" s="4" t="s">
        <v>34</v>
      </c>
      <c r="C14" s="4" t="s">
        <v>51</v>
      </c>
      <c r="D14" s="4" t="s">
        <v>33</v>
      </c>
      <c r="E14" s="4" t="s">
        <v>25</v>
      </c>
      <c r="F14" s="4" t="s">
        <v>52</v>
      </c>
      <c r="G14" s="4" t="s">
        <v>25</v>
      </c>
      <c r="H14" s="4" t="s">
        <v>25</v>
      </c>
      <c r="I14" s="5">
        <v>44378</v>
      </c>
      <c r="J14" s="6">
        <v>0</v>
      </c>
      <c r="K14" s="6">
        <v>0</v>
      </c>
      <c r="L14" s="6">
        <v>816.21</v>
      </c>
      <c r="M14" s="6">
        <v>816.21</v>
      </c>
      <c r="N14" s="6">
        <v>0</v>
      </c>
      <c r="O14" s="6">
        <v>0</v>
      </c>
      <c r="P14" s="6">
        <v>1</v>
      </c>
      <c r="Q14" s="4" t="s">
        <v>53</v>
      </c>
      <c r="R14" s="4">
        <v>0</v>
      </c>
      <c r="S14" s="4">
        <v>0</v>
      </c>
      <c r="T14" s="4">
        <v>19</v>
      </c>
      <c r="U14" s="4">
        <v>0</v>
      </c>
      <c r="V14" s="6">
        <f>IF(ISERROR(VLOOKUP($S$14,'TAR FIN'!$A$1:$O$85,15,0)),0,VLOOKUP($S$14,'TAR FIN'!$A$1:$O$85,15,0))</f>
        <v>0</v>
      </c>
      <c r="W14" s="6">
        <f>IF(ISERROR(VLOOKUP($T$14,'TAR FIN'!$A$1:$O$85,15,0)),0,VLOOKUP($T$14,'TAR FIN'!$A$1:$O$85,15,0))</f>
        <v>78.650000000000006</v>
      </c>
      <c r="X14" s="6">
        <f>IF(ISERROR(VLOOKUP($U$14,'TAR FIN'!$A$1:$O$85,15,0)),0,VLOOKUP($U$14,'TAR FIN'!$A$1:$O$85,15,0))</f>
        <v>0</v>
      </c>
      <c r="Y14" s="6"/>
      <c r="Z14" s="6">
        <f ca="1">('TUSD BE'!$AM$7+'TUSD BF'!$AM$7+'TUSD CVA'!$AM$7)*1</f>
        <v>114.48039155571371</v>
      </c>
      <c r="AA14" s="6"/>
      <c r="AB14" s="6">
        <f t="shared" si="0"/>
        <v>0</v>
      </c>
      <c r="AC14" s="6">
        <f t="shared" si="1"/>
        <v>0</v>
      </c>
      <c r="AD14" s="6">
        <f t="shared" si="2"/>
        <v>0</v>
      </c>
      <c r="AE14" s="6">
        <f t="shared" ca="1" si="3"/>
        <v>0</v>
      </c>
      <c r="AF14" s="4" t="s">
        <v>599</v>
      </c>
    </row>
    <row r="15" spans="1:37" ht="11.25" customHeight="1" x14ac:dyDescent="0.25">
      <c r="A15" s="4" t="s">
        <v>21</v>
      </c>
      <c r="B15" s="4" t="s">
        <v>34</v>
      </c>
      <c r="C15" s="4" t="s">
        <v>51</v>
      </c>
      <c r="D15" s="4" t="s">
        <v>33</v>
      </c>
      <c r="E15" s="4" t="s">
        <v>25</v>
      </c>
      <c r="F15" s="4" t="s">
        <v>52</v>
      </c>
      <c r="G15" s="4" t="s">
        <v>25</v>
      </c>
      <c r="H15" s="4" t="s">
        <v>25</v>
      </c>
      <c r="I15" s="5">
        <v>44409</v>
      </c>
      <c r="J15" s="6">
        <v>0</v>
      </c>
      <c r="K15" s="6">
        <v>0</v>
      </c>
      <c r="L15" s="6">
        <v>769.80899999999997</v>
      </c>
      <c r="M15" s="6">
        <v>769.80899999999997</v>
      </c>
      <c r="N15" s="6">
        <v>0</v>
      </c>
      <c r="O15" s="6">
        <v>0</v>
      </c>
      <c r="P15" s="6">
        <v>1</v>
      </c>
      <c r="Q15" s="4" t="s">
        <v>53</v>
      </c>
      <c r="R15" s="4">
        <v>0</v>
      </c>
      <c r="S15" s="4">
        <v>0</v>
      </c>
      <c r="T15" s="4">
        <v>19</v>
      </c>
      <c r="U15" s="4">
        <v>0</v>
      </c>
      <c r="V15" s="6">
        <f>IF(ISERROR(VLOOKUP($S$15,'TAR FIN'!$A$1:$O$85,15,0)),0,VLOOKUP($S$15,'TAR FIN'!$A$1:$O$85,15,0))</f>
        <v>0</v>
      </c>
      <c r="W15" s="6">
        <f>IF(ISERROR(VLOOKUP($T$15,'TAR FIN'!$A$1:$O$85,15,0)),0,VLOOKUP($T$15,'TAR FIN'!$A$1:$O$85,15,0))</f>
        <v>78.650000000000006</v>
      </c>
      <c r="X15" s="6">
        <f>IF(ISERROR(VLOOKUP($U$15,'TAR FIN'!$A$1:$O$85,15,0)),0,VLOOKUP($U$15,'TAR FIN'!$A$1:$O$85,15,0))</f>
        <v>0</v>
      </c>
      <c r="Y15" s="6"/>
      <c r="Z15" s="6">
        <f ca="1">('TUSD BE'!$AM$7+'TUSD BF'!$AM$7+'TUSD CVA'!$AM$7)*1</f>
        <v>114.48039155571371</v>
      </c>
      <c r="AA15" s="6"/>
      <c r="AB15" s="6">
        <f t="shared" si="0"/>
        <v>0</v>
      </c>
      <c r="AC15" s="6">
        <f t="shared" si="1"/>
        <v>0</v>
      </c>
      <c r="AD15" s="6">
        <f t="shared" si="2"/>
        <v>0</v>
      </c>
      <c r="AE15" s="6">
        <f t="shared" ca="1" si="3"/>
        <v>0</v>
      </c>
      <c r="AF15" s="4" t="s">
        <v>599</v>
      </c>
    </row>
    <row r="16" spans="1:37" ht="11.25" customHeight="1" x14ac:dyDescent="0.25">
      <c r="A16" s="4" t="s">
        <v>21</v>
      </c>
      <c r="B16" s="4" t="s">
        <v>34</v>
      </c>
      <c r="C16" s="4" t="s">
        <v>51</v>
      </c>
      <c r="D16" s="4" t="s">
        <v>33</v>
      </c>
      <c r="E16" s="4" t="s">
        <v>25</v>
      </c>
      <c r="F16" s="4" t="s">
        <v>52</v>
      </c>
      <c r="G16" s="4" t="s">
        <v>25</v>
      </c>
      <c r="H16" s="4" t="s">
        <v>25</v>
      </c>
      <c r="I16" s="5">
        <v>44440</v>
      </c>
      <c r="J16" s="6">
        <v>0</v>
      </c>
      <c r="K16" s="6">
        <v>0</v>
      </c>
      <c r="L16" s="6">
        <v>736.49300000000005</v>
      </c>
      <c r="M16" s="6">
        <v>736.49300000000005</v>
      </c>
      <c r="N16" s="6">
        <v>0</v>
      </c>
      <c r="O16" s="6">
        <v>0</v>
      </c>
      <c r="P16" s="6">
        <v>1</v>
      </c>
      <c r="Q16" s="4" t="s">
        <v>53</v>
      </c>
      <c r="R16" s="4">
        <v>0</v>
      </c>
      <c r="S16" s="4">
        <v>0</v>
      </c>
      <c r="T16" s="4">
        <v>19</v>
      </c>
      <c r="U16" s="4">
        <v>0</v>
      </c>
      <c r="V16" s="6">
        <f>IF(ISERROR(VLOOKUP($S$16,'TAR FIN'!$A$1:$O$85,15,0)),0,VLOOKUP($S$16,'TAR FIN'!$A$1:$O$85,15,0))</f>
        <v>0</v>
      </c>
      <c r="W16" s="6">
        <f>IF(ISERROR(VLOOKUP($T$16,'TAR FIN'!$A$1:$O$85,15,0)),0,VLOOKUP($T$16,'TAR FIN'!$A$1:$O$85,15,0))</f>
        <v>78.650000000000006</v>
      </c>
      <c r="X16" s="6">
        <f>IF(ISERROR(VLOOKUP($U$16,'TAR FIN'!$A$1:$O$85,15,0)),0,VLOOKUP($U$16,'TAR FIN'!$A$1:$O$85,15,0))</f>
        <v>0</v>
      </c>
      <c r="Y16" s="6"/>
      <c r="Z16" s="6">
        <f ca="1">('TUSD BE'!$AM$7+'TUSD BF'!$AM$7+'TUSD CVA'!$AM$7)*1</f>
        <v>114.48039155571371</v>
      </c>
      <c r="AA16" s="6"/>
      <c r="AB16" s="6">
        <f t="shared" si="0"/>
        <v>0</v>
      </c>
      <c r="AC16" s="6">
        <f t="shared" si="1"/>
        <v>0</v>
      </c>
      <c r="AD16" s="6">
        <f t="shared" si="2"/>
        <v>0</v>
      </c>
      <c r="AE16" s="6">
        <f t="shared" ca="1" si="3"/>
        <v>0</v>
      </c>
      <c r="AF16" s="4" t="s">
        <v>599</v>
      </c>
    </row>
    <row r="17" spans="1:32" ht="11.25" customHeight="1" x14ac:dyDescent="0.25">
      <c r="A17" s="4" t="s">
        <v>21</v>
      </c>
      <c r="B17" s="4" t="s">
        <v>34</v>
      </c>
      <c r="C17" s="4" t="s">
        <v>51</v>
      </c>
      <c r="D17" s="4" t="s">
        <v>33</v>
      </c>
      <c r="E17" s="4" t="s">
        <v>25</v>
      </c>
      <c r="F17" s="4" t="s">
        <v>52</v>
      </c>
      <c r="G17" s="4" t="s">
        <v>25</v>
      </c>
      <c r="H17" s="4" t="s">
        <v>25</v>
      </c>
      <c r="I17" s="5">
        <v>44470</v>
      </c>
      <c r="J17" s="6">
        <v>0</v>
      </c>
      <c r="K17" s="6">
        <v>0</v>
      </c>
      <c r="L17" s="6">
        <v>814.29600000000005</v>
      </c>
      <c r="M17" s="6">
        <v>814.29600000000005</v>
      </c>
      <c r="N17" s="6">
        <v>0</v>
      </c>
      <c r="O17" s="6">
        <v>0</v>
      </c>
      <c r="P17" s="6">
        <v>1</v>
      </c>
      <c r="Q17" s="4" t="s">
        <v>53</v>
      </c>
      <c r="R17" s="4">
        <v>0</v>
      </c>
      <c r="S17" s="4">
        <v>0</v>
      </c>
      <c r="T17" s="4">
        <v>19</v>
      </c>
      <c r="U17" s="4">
        <v>0</v>
      </c>
      <c r="V17" s="6">
        <f>IF(ISERROR(VLOOKUP($S$17,'TAR FIN'!$A$1:$O$85,15,0)),0,VLOOKUP($S$17,'TAR FIN'!$A$1:$O$85,15,0))</f>
        <v>0</v>
      </c>
      <c r="W17" s="6">
        <f>IF(ISERROR(VLOOKUP($T$17,'TAR FIN'!$A$1:$O$85,15,0)),0,VLOOKUP($T$17,'TAR FIN'!$A$1:$O$85,15,0))</f>
        <v>78.650000000000006</v>
      </c>
      <c r="X17" s="6">
        <f>IF(ISERROR(VLOOKUP($U$17,'TAR FIN'!$A$1:$O$85,15,0)),0,VLOOKUP($U$17,'TAR FIN'!$A$1:$O$85,15,0))</f>
        <v>0</v>
      </c>
      <c r="Y17" s="6"/>
      <c r="Z17" s="6">
        <f ca="1">('TUSD BE'!$AM$7+'TUSD BF'!$AM$7+'TUSD CVA'!$AM$7)*1</f>
        <v>114.48039155571371</v>
      </c>
      <c r="AA17" s="6"/>
      <c r="AB17" s="6">
        <f t="shared" si="0"/>
        <v>0</v>
      </c>
      <c r="AC17" s="6">
        <f t="shared" si="1"/>
        <v>0</v>
      </c>
      <c r="AD17" s="6">
        <f t="shared" si="2"/>
        <v>0</v>
      </c>
      <c r="AE17" s="6">
        <f t="shared" ca="1" si="3"/>
        <v>0</v>
      </c>
      <c r="AF17" s="4" t="s">
        <v>599</v>
      </c>
    </row>
    <row r="18" spans="1:32" ht="11.25" customHeight="1" x14ac:dyDescent="0.25">
      <c r="A18" s="4" t="s">
        <v>21</v>
      </c>
      <c r="B18" s="4" t="s">
        <v>34</v>
      </c>
      <c r="C18" s="4" t="s">
        <v>51</v>
      </c>
      <c r="D18" s="4" t="s">
        <v>33</v>
      </c>
      <c r="E18" s="4" t="s">
        <v>25</v>
      </c>
      <c r="F18" s="4" t="s">
        <v>52</v>
      </c>
      <c r="G18" s="4" t="s">
        <v>25</v>
      </c>
      <c r="H18" s="4" t="s">
        <v>25</v>
      </c>
      <c r="I18" s="5">
        <v>44501</v>
      </c>
      <c r="J18" s="6">
        <v>0</v>
      </c>
      <c r="K18" s="6">
        <v>0</v>
      </c>
      <c r="L18" s="6">
        <v>772.84299999999996</v>
      </c>
      <c r="M18" s="6">
        <v>772.84299999999996</v>
      </c>
      <c r="N18" s="6">
        <v>0</v>
      </c>
      <c r="O18" s="6">
        <v>0</v>
      </c>
      <c r="P18" s="6">
        <v>1</v>
      </c>
      <c r="Q18" s="4" t="s">
        <v>53</v>
      </c>
      <c r="R18" s="4">
        <v>0</v>
      </c>
      <c r="S18" s="4">
        <v>0</v>
      </c>
      <c r="T18" s="4">
        <v>19</v>
      </c>
      <c r="U18" s="4">
        <v>0</v>
      </c>
      <c r="V18" s="6">
        <f>IF(ISERROR(VLOOKUP($S$18,'TAR FIN'!$A$1:$O$85,15,0)),0,VLOOKUP($S$18,'TAR FIN'!$A$1:$O$85,15,0))</f>
        <v>0</v>
      </c>
      <c r="W18" s="6">
        <f>IF(ISERROR(VLOOKUP($T$18,'TAR FIN'!$A$1:$O$85,15,0)),0,VLOOKUP($T$18,'TAR FIN'!$A$1:$O$85,15,0))</f>
        <v>78.650000000000006</v>
      </c>
      <c r="X18" s="6">
        <f>IF(ISERROR(VLOOKUP($U$18,'TAR FIN'!$A$1:$O$85,15,0)),0,VLOOKUP($U$18,'TAR FIN'!$A$1:$O$85,15,0))</f>
        <v>0</v>
      </c>
      <c r="Y18" s="6"/>
      <c r="Z18" s="6">
        <f ca="1">('TUSD BE'!$AM$7+'TUSD BF'!$AM$7+'TUSD CVA'!$AM$7)*1</f>
        <v>114.48039155571371</v>
      </c>
      <c r="AA18" s="6"/>
      <c r="AB18" s="6">
        <f t="shared" si="0"/>
        <v>0</v>
      </c>
      <c r="AC18" s="6">
        <f t="shared" si="1"/>
        <v>0</v>
      </c>
      <c r="AD18" s="6">
        <f t="shared" si="2"/>
        <v>0</v>
      </c>
      <c r="AE18" s="6">
        <f t="shared" ca="1" si="3"/>
        <v>0</v>
      </c>
      <c r="AF18" s="4" t="s">
        <v>599</v>
      </c>
    </row>
    <row r="19" spans="1:32" ht="11.25" customHeight="1" x14ac:dyDescent="0.25">
      <c r="A19" s="4" t="s">
        <v>21</v>
      </c>
      <c r="B19" s="4" t="s">
        <v>34</v>
      </c>
      <c r="C19" s="4" t="s">
        <v>51</v>
      </c>
      <c r="D19" s="4" t="s">
        <v>33</v>
      </c>
      <c r="E19" s="4" t="s">
        <v>25</v>
      </c>
      <c r="F19" s="4" t="s">
        <v>52</v>
      </c>
      <c r="G19" s="4" t="s">
        <v>25</v>
      </c>
      <c r="H19" s="4" t="s">
        <v>25</v>
      </c>
      <c r="I19" s="5">
        <v>44531</v>
      </c>
      <c r="J19" s="6">
        <v>0</v>
      </c>
      <c r="K19" s="6">
        <v>0</v>
      </c>
      <c r="L19" s="6">
        <v>596.46600000000001</v>
      </c>
      <c r="M19" s="6">
        <v>596.46600000000001</v>
      </c>
      <c r="N19" s="6">
        <v>0</v>
      </c>
      <c r="O19" s="6">
        <v>0</v>
      </c>
      <c r="P19" s="6">
        <v>1</v>
      </c>
      <c r="Q19" s="4" t="s">
        <v>53</v>
      </c>
      <c r="R19" s="4">
        <v>0</v>
      </c>
      <c r="S19" s="4">
        <v>0</v>
      </c>
      <c r="T19" s="4">
        <v>19</v>
      </c>
      <c r="U19" s="4">
        <v>0</v>
      </c>
      <c r="V19" s="6">
        <f>IF(ISERROR(VLOOKUP($S$19,'TAR FIN'!$A$1:$O$85,15,0)),0,VLOOKUP($S$19,'TAR FIN'!$A$1:$O$85,15,0))</f>
        <v>0</v>
      </c>
      <c r="W19" s="6">
        <f>IF(ISERROR(VLOOKUP($T$19,'TAR FIN'!$A$1:$O$85,15,0)),0,VLOOKUP($T$19,'TAR FIN'!$A$1:$O$85,15,0))</f>
        <v>78.650000000000006</v>
      </c>
      <c r="X19" s="6">
        <f>IF(ISERROR(VLOOKUP($U$19,'TAR FIN'!$A$1:$O$85,15,0)),0,VLOOKUP($U$19,'TAR FIN'!$A$1:$O$85,15,0))</f>
        <v>0</v>
      </c>
      <c r="Y19" s="6"/>
      <c r="Z19" s="6">
        <f ca="1">('TUSD BE'!$AM$7+'TUSD BF'!$AM$7+'TUSD CVA'!$AM$7)*1</f>
        <v>114.48039155571371</v>
      </c>
      <c r="AA19" s="6"/>
      <c r="AB19" s="6">
        <f t="shared" si="0"/>
        <v>0</v>
      </c>
      <c r="AC19" s="6">
        <f t="shared" si="1"/>
        <v>0</v>
      </c>
      <c r="AD19" s="6">
        <f t="shared" si="2"/>
        <v>0</v>
      </c>
      <c r="AE19" s="6">
        <f t="shared" ca="1" si="3"/>
        <v>0</v>
      </c>
      <c r="AF19" s="4" t="s">
        <v>599</v>
      </c>
    </row>
    <row r="20" spans="1:32" ht="11.25" customHeight="1" x14ac:dyDescent="0.25">
      <c r="A20" s="4" t="s">
        <v>21</v>
      </c>
      <c r="B20" s="4" t="s">
        <v>34</v>
      </c>
      <c r="C20" s="4" t="s">
        <v>51</v>
      </c>
      <c r="D20" s="4" t="s">
        <v>33</v>
      </c>
      <c r="E20" s="4" t="s">
        <v>25</v>
      </c>
      <c r="F20" s="4" t="s">
        <v>52</v>
      </c>
      <c r="G20" s="4" t="s">
        <v>25</v>
      </c>
      <c r="H20" s="4" t="s">
        <v>25</v>
      </c>
      <c r="I20" s="5">
        <v>44562</v>
      </c>
      <c r="J20" s="6">
        <v>0</v>
      </c>
      <c r="K20" s="6">
        <v>0</v>
      </c>
      <c r="L20" s="6">
        <v>601.54100000000005</v>
      </c>
      <c r="M20" s="6">
        <v>601.54100000000005</v>
      </c>
      <c r="N20" s="6">
        <v>0</v>
      </c>
      <c r="O20" s="6">
        <v>0</v>
      </c>
      <c r="P20" s="6">
        <v>1</v>
      </c>
      <c r="Q20" s="4" t="s">
        <v>53</v>
      </c>
      <c r="R20" s="4">
        <v>0</v>
      </c>
      <c r="S20" s="4">
        <v>0</v>
      </c>
      <c r="T20" s="4">
        <v>19</v>
      </c>
      <c r="U20" s="4">
        <v>0</v>
      </c>
      <c r="V20" s="6">
        <f>IF(ISERROR(VLOOKUP($S$20,'TAR FIN'!$A$1:$O$85,15,0)),0,VLOOKUP($S$20,'TAR FIN'!$A$1:$O$85,15,0))</f>
        <v>0</v>
      </c>
      <c r="W20" s="6">
        <f>IF(ISERROR(VLOOKUP($T$20,'TAR FIN'!$A$1:$O$85,15,0)),0,VLOOKUP($T$20,'TAR FIN'!$A$1:$O$85,15,0))</f>
        <v>78.650000000000006</v>
      </c>
      <c r="X20" s="6">
        <f>IF(ISERROR(VLOOKUP($U$20,'TAR FIN'!$A$1:$O$85,15,0)),0,VLOOKUP($U$20,'TAR FIN'!$A$1:$O$85,15,0))</f>
        <v>0</v>
      </c>
      <c r="Y20" s="6"/>
      <c r="Z20" s="6">
        <f ca="1">('TUSD BE'!$AM$7+'TUSD BF'!$AM$7+'TUSD CVA'!$AM$7)*1</f>
        <v>114.48039155571371</v>
      </c>
      <c r="AA20" s="6"/>
      <c r="AB20" s="6">
        <f t="shared" si="0"/>
        <v>0</v>
      </c>
      <c r="AC20" s="6">
        <f t="shared" si="1"/>
        <v>0</v>
      </c>
      <c r="AD20" s="6">
        <f t="shared" si="2"/>
        <v>0</v>
      </c>
      <c r="AE20" s="6">
        <f t="shared" ca="1" si="3"/>
        <v>0</v>
      </c>
      <c r="AF20" s="4" t="s">
        <v>599</v>
      </c>
    </row>
    <row r="21" spans="1:32" ht="11.25" customHeight="1" x14ac:dyDescent="0.25">
      <c r="A21" s="4" t="s">
        <v>21</v>
      </c>
      <c r="B21" s="4" t="s">
        <v>34</v>
      </c>
      <c r="C21" s="4" t="s">
        <v>51</v>
      </c>
      <c r="D21" s="4" t="s">
        <v>33</v>
      </c>
      <c r="E21" s="4" t="s">
        <v>25</v>
      </c>
      <c r="F21" s="4" t="s">
        <v>52</v>
      </c>
      <c r="G21" s="4" t="s">
        <v>25</v>
      </c>
      <c r="H21" s="4" t="s">
        <v>25</v>
      </c>
      <c r="I21" s="5">
        <v>44593</v>
      </c>
      <c r="J21" s="6">
        <v>0</v>
      </c>
      <c r="K21" s="6">
        <v>0</v>
      </c>
      <c r="L21" s="6">
        <v>705.21699999999998</v>
      </c>
      <c r="M21" s="6">
        <v>705.21699999999998</v>
      </c>
      <c r="N21" s="6">
        <v>0</v>
      </c>
      <c r="O21" s="6">
        <v>0</v>
      </c>
      <c r="P21" s="6">
        <v>1</v>
      </c>
      <c r="Q21" s="4" t="s">
        <v>53</v>
      </c>
      <c r="R21" s="4">
        <v>0</v>
      </c>
      <c r="S21" s="4">
        <v>0</v>
      </c>
      <c r="T21" s="4">
        <v>19</v>
      </c>
      <c r="U21" s="4">
        <v>0</v>
      </c>
      <c r="V21" s="6">
        <f>IF(ISERROR(VLOOKUP($S$21,'TAR FIN'!$A$1:$O$85,15,0)),0,VLOOKUP($S$21,'TAR FIN'!$A$1:$O$85,15,0))</f>
        <v>0</v>
      </c>
      <c r="W21" s="6">
        <f>IF(ISERROR(VLOOKUP($T$21,'TAR FIN'!$A$1:$O$85,15,0)),0,VLOOKUP($T$21,'TAR FIN'!$A$1:$O$85,15,0))</f>
        <v>78.650000000000006</v>
      </c>
      <c r="X21" s="6">
        <f>IF(ISERROR(VLOOKUP($U$21,'TAR FIN'!$A$1:$O$85,15,0)),0,VLOOKUP($U$21,'TAR FIN'!$A$1:$O$85,15,0))</f>
        <v>0</v>
      </c>
      <c r="Y21" s="6"/>
      <c r="Z21" s="6">
        <f ca="1">('TUSD BE'!$AM$7+'TUSD BF'!$AM$7+'TUSD CVA'!$AM$7)*1</f>
        <v>114.48039155571371</v>
      </c>
      <c r="AA21" s="6"/>
      <c r="AB21" s="6">
        <f t="shared" si="0"/>
        <v>0</v>
      </c>
      <c r="AC21" s="6">
        <f t="shared" si="1"/>
        <v>0</v>
      </c>
      <c r="AD21" s="6">
        <f t="shared" si="2"/>
        <v>0</v>
      </c>
      <c r="AE21" s="6">
        <f t="shared" ca="1" si="3"/>
        <v>0</v>
      </c>
      <c r="AF21" s="4" t="s">
        <v>599</v>
      </c>
    </row>
    <row r="22" spans="1:32" ht="11.25" customHeight="1" x14ac:dyDescent="0.25">
      <c r="A22" s="4" t="s">
        <v>21</v>
      </c>
      <c r="B22" s="4" t="s">
        <v>34</v>
      </c>
      <c r="C22" s="4" t="s">
        <v>51</v>
      </c>
      <c r="D22" s="4" t="s">
        <v>33</v>
      </c>
      <c r="E22" s="4" t="s">
        <v>25</v>
      </c>
      <c r="F22" s="4" t="s">
        <v>52</v>
      </c>
      <c r="G22" s="4" t="s">
        <v>25</v>
      </c>
      <c r="H22" s="4" t="s">
        <v>25</v>
      </c>
      <c r="I22" s="5">
        <v>44621</v>
      </c>
      <c r="J22" s="6">
        <v>0</v>
      </c>
      <c r="K22" s="6">
        <v>0</v>
      </c>
      <c r="L22" s="6">
        <v>761.19200000000001</v>
      </c>
      <c r="M22" s="6">
        <v>761.19200000000001</v>
      </c>
      <c r="N22" s="6">
        <v>0</v>
      </c>
      <c r="O22" s="6">
        <v>0</v>
      </c>
      <c r="P22" s="6">
        <v>1</v>
      </c>
      <c r="Q22" s="4" t="s">
        <v>53</v>
      </c>
      <c r="R22" s="4">
        <v>0</v>
      </c>
      <c r="S22" s="4">
        <v>0</v>
      </c>
      <c r="T22" s="4">
        <v>19</v>
      </c>
      <c r="U22" s="4">
        <v>0</v>
      </c>
      <c r="V22" s="6">
        <f>IF(ISERROR(VLOOKUP($S$22,'TAR FIN'!$A$1:$O$85,15,0)),0,VLOOKUP($S$22,'TAR FIN'!$A$1:$O$85,15,0))</f>
        <v>0</v>
      </c>
      <c r="W22" s="6">
        <f>IF(ISERROR(VLOOKUP($T$22,'TAR FIN'!$A$1:$O$85,15,0)),0,VLOOKUP($T$22,'TAR FIN'!$A$1:$O$85,15,0))</f>
        <v>78.650000000000006</v>
      </c>
      <c r="X22" s="6">
        <f>IF(ISERROR(VLOOKUP($U$22,'TAR FIN'!$A$1:$O$85,15,0)),0,VLOOKUP($U$22,'TAR FIN'!$A$1:$O$85,15,0))</f>
        <v>0</v>
      </c>
      <c r="Y22" s="6"/>
      <c r="Z22" s="6">
        <f ca="1">('TUSD BE'!$AM$7+'TUSD BF'!$AM$7+'TUSD CVA'!$AM$7)*1</f>
        <v>114.48039155571371</v>
      </c>
      <c r="AA22" s="6"/>
      <c r="AB22" s="6">
        <f t="shared" si="0"/>
        <v>0</v>
      </c>
      <c r="AC22" s="6">
        <f t="shared" si="1"/>
        <v>0</v>
      </c>
      <c r="AD22" s="6">
        <f t="shared" si="2"/>
        <v>0</v>
      </c>
      <c r="AE22" s="6">
        <f t="shared" ca="1" si="3"/>
        <v>0</v>
      </c>
      <c r="AF22" s="4" t="s">
        <v>599</v>
      </c>
    </row>
    <row r="23" spans="1:32" ht="11.25" customHeight="1" x14ac:dyDescent="0.25">
      <c r="A23" s="4" t="s">
        <v>21</v>
      </c>
      <c r="B23" s="4" t="s">
        <v>34</v>
      </c>
      <c r="C23" s="4" t="s">
        <v>51</v>
      </c>
      <c r="D23" s="4" t="s">
        <v>33</v>
      </c>
      <c r="E23" s="4" t="s">
        <v>25</v>
      </c>
      <c r="F23" s="4" t="s">
        <v>52</v>
      </c>
      <c r="G23" s="4" t="s">
        <v>25</v>
      </c>
      <c r="H23" s="4" t="s">
        <v>25</v>
      </c>
      <c r="I23" s="5">
        <v>44652</v>
      </c>
      <c r="J23" s="6">
        <v>0</v>
      </c>
      <c r="K23" s="6">
        <v>0</v>
      </c>
      <c r="L23" s="6">
        <v>683.74400000000003</v>
      </c>
      <c r="M23" s="6">
        <v>683.74400000000003</v>
      </c>
      <c r="N23" s="6">
        <v>0</v>
      </c>
      <c r="O23" s="6">
        <v>0</v>
      </c>
      <c r="P23" s="6">
        <v>1</v>
      </c>
      <c r="Q23" s="4" t="s">
        <v>53</v>
      </c>
      <c r="R23" s="4">
        <v>0</v>
      </c>
      <c r="S23" s="4">
        <v>0</v>
      </c>
      <c r="T23" s="4">
        <v>19</v>
      </c>
      <c r="U23" s="4">
        <v>0</v>
      </c>
      <c r="V23" s="6">
        <f>IF(ISERROR(VLOOKUP($S$23,'TAR FIN'!$A$1:$O$85,15,0)),0,VLOOKUP($S$23,'TAR FIN'!$A$1:$O$85,15,0))</f>
        <v>0</v>
      </c>
      <c r="W23" s="6">
        <f>IF(ISERROR(VLOOKUP($T$23,'TAR FIN'!$A$1:$O$85,15,0)),0,VLOOKUP($T$23,'TAR FIN'!$A$1:$O$85,15,0))</f>
        <v>78.650000000000006</v>
      </c>
      <c r="X23" s="6">
        <f>IF(ISERROR(VLOOKUP($U$23,'TAR FIN'!$A$1:$O$85,15,0)),0,VLOOKUP($U$23,'TAR FIN'!$A$1:$O$85,15,0))</f>
        <v>0</v>
      </c>
      <c r="Y23" s="6"/>
      <c r="Z23" s="6">
        <f ca="1">('TUSD BE'!$AM$7+'TUSD BF'!$AM$7+'TUSD CVA'!$AM$7)*1</f>
        <v>114.48039155571371</v>
      </c>
      <c r="AA23" s="6"/>
      <c r="AB23" s="6">
        <f t="shared" si="0"/>
        <v>0</v>
      </c>
      <c r="AC23" s="6">
        <f t="shared" si="1"/>
        <v>0</v>
      </c>
      <c r="AD23" s="6">
        <f t="shared" si="2"/>
        <v>0</v>
      </c>
      <c r="AE23" s="6">
        <f t="shared" ca="1" si="3"/>
        <v>0</v>
      </c>
      <c r="AF23" s="4" t="s">
        <v>599</v>
      </c>
    </row>
    <row r="24" spans="1:32" ht="11.25" customHeight="1" x14ac:dyDescent="0.25">
      <c r="A24" s="4" t="s">
        <v>21</v>
      </c>
      <c r="B24" s="4" t="s">
        <v>34</v>
      </c>
      <c r="C24" s="4" t="s">
        <v>51</v>
      </c>
      <c r="D24" s="4" t="s">
        <v>33</v>
      </c>
      <c r="E24" s="4" t="s">
        <v>25</v>
      </c>
      <c r="F24" s="4" t="s">
        <v>52</v>
      </c>
      <c r="G24" s="4" t="s">
        <v>25</v>
      </c>
      <c r="H24" s="4" t="s">
        <v>25</v>
      </c>
      <c r="I24" s="5">
        <v>44682</v>
      </c>
      <c r="J24" s="6">
        <v>0</v>
      </c>
      <c r="K24" s="6">
        <v>0</v>
      </c>
      <c r="L24" s="6">
        <v>709.04</v>
      </c>
      <c r="M24" s="6">
        <v>709.04</v>
      </c>
      <c r="N24" s="6">
        <v>0</v>
      </c>
      <c r="O24" s="6">
        <v>0</v>
      </c>
      <c r="P24" s="6">
        <v>1</v>
      </c>
      <c r="Q24" s="4" t="s">
        <v>53</v>
      </c>
      <c r="R24" s="4">
        <v>0</v>
      </c>
      <c r="S24" s="4">
        <v>0</v>
      </c>
      <c r="T24" s="4">
        <v>19</v>
      </c>
      <c r="U24" s="4">
        <v>0</v>
      </c>
      <c r="V24" s="6">
        <f>IF(ISERROR(VLOOKUP($S$24,'TAR FIN'!$A$1:$O$85,15,0)),0,VLOOKUP($S$24,'TAR FIN'!$A$1:$O$85,15,0))</f>
        <v>0</v>
      </c>
      <c r="W24" s="6">
        <f>IF(ISERROR(VLOOKUP($T$24,'TAR FIN'!$A$1:$O$85,15,0)),0,VLOOKUP($T$24,'TAR FIN'!$A$1:$O$85,15,0))</f>
        <v>78.650000000000006</v>
      </c>
      <c r="X24" s="6">
        <f>IF(ISERROR(VLOOKUP($U$24,'TAR FIN'!$A$1:$O$85,15,0)),0,VLOOKUP($U$24,'TAR FIN'!$A$1:$O$85,15,0))</f>
        <v>0</v>
      </c>
      <c r="Y24" s="6"/>
      <c r="Z24" s="6">
        <f ca="1">('TUSD BE'!$AM$7+'TUSD BF'!$AM$7+'TUSD CVA'!$AM$7)*1</f>
        <v>114.48039155571371</v>
      </c>
      <c r="AA24" s="6"/>
      <c r="AB24" s="6">
        <f t="shared" si="0"/>
        <v>0</v>
      </c>
      <c r="AC24" s="6">
        <f t="shared" si="1"/>
        <v>0</v>
      </c>
      <c r="AD24" s="6">
        <f t="shared" si="2"/>
        <v>0</v>
      </c>
      <c r="AE24" s="6">
        <f t="shared" ca="1" si="3"/>
        <v>0</v>
      </c>
      <c r="AF24" s="4" t="s">
        <v>599</v>
      </c>
    </row>
    <row r="25" spans="1:32" ht="11.25" customHeight="1" x14ac:dyDescent="0.25">
      <c r="A25" s="4" t="s">
        <v>21</v>
      </c>
      <c r="B25" s="4" t="s">
        <v>34</v>
      </c>
      <c r="C25" s="4" t="s">
        <v>51</v>
      </c>
      <c r="D25" s="4" t="s">
        <v>33</v>
      </c>
      <c r="E25" s="4" t="s">
        <v>25</v>
      </c>
      <c r="F25" s="4" t="s">
        <v>52</v>
      </c>
      <c r="G25" s="4" t="s">
        <v>25</v>
      </c>
      <c r="H25" s="4" t="s">
        <v>25</v>
      </c>
      <c r="I25" s="5">
        <v>44713</v>
      </c>
      <c r="J25" s="6">
        <v>0</v>
      </c>
      <c r="K25" s="6">
        <v>0</v>
      </c>
      <c r="L25" s="6">
        <v>709.08799999999997</v>
      </c>
      <c r="M25" s="6">
        <v>709.08799999999997</v>
      </c>
      <c r="N25" s="6">
        <v>0</v>
      </c>
      <c r="O25" s="6">
        <v>0</v>
      </c>
      <c r="P25" s="6">
        <v>1</v>
      </c>
      <c r="Q25" s="4" t="s">
        <v>53</v>
      </c>
      <c r="R25" s="4">
        <v>0</v>
      </c>
      <c r="S25" s="4">
        <v>0</v>
      </c>
      <c r="T25" s="4">
        <v>19</v>
      </c>
      <c r="U25" s="4">
        <v>0</v>
      </c>
      <c r="V25" s="6">
        <f>IF(ISERROR(VLOOKUP($S$25,'TAR FIN'!$A$1:$O$85,15,0)),0,VLOOKUP($S$25,'TAR FIN'!$A$1:$O$85,15,0))</f>
        <v>0</v>
      </c>
      <c r="W25" s="6">
        <f>IF(ISERROR(VLOOKUP($T$25,'TAR FIN'!$A$1:$O$85,15,0)),0,VLOOKUP($T$25,'TAR FIN'!$A$1:$O$85,15,0))</f>
        <v>78.650000000000006</v>
      </c>
      <c r="X25" s="6">
        <f>IF(ISERROR(VLOOKUP($U$25,'TAR FIN'!$A$1:$O$85,15,0)),0,VLOOKUP($U$25,'TAR FIN'!$A$1:$O$85,15,0))</f>
        <v>0</v>
      </c>
      <c r="Y25" s="6"/>
      <c r="Z25" s="6">
        <f ca="1">('TUSD BE'!$AM$7+'TUSD BF'!$AM$7+'TUSD CVA'!$AM$7)*1</f>
        <v>114.48039155571371</v>
      </c>
      <c r="AA25" s="6"/>
      <c r="AB25" s="6">
        <f t="shared" si="0"/>
        <v>0</v>
      </c>
      <c r="AC25" s="6">
        <f t="shared" si="1"/>
        <v>0</v>
      </c>
      <c r="AD25" s="6">
        <f t="shared" si="2"/>
        <v>0</v>
      </c>
      <c r="AE25" s="6">
        <f t="shared" ca="1" si="3"/>
        <v>0</v>
      </c>
      <c r="AF25" s="4" t="s">
        <v>599</v>
      </c>
    </row>
    <row r="26" spans="1:32" ht="11.25" customHeight="1" x14ac:dyDescent="0.25">
      <c r="A26" s="4" t="s">
        <v>21</v>
      </c>
      <c r="B26" s="4" t="s">
        <v>34</v>
      </c>
      <c r="C26" s="4" t="s">
        <v>51</v>
      </c>
      <c r="D26" s="4" t="s">
        <v>33</v>
      </c>
      <c r="E26" s="4" t="s">
        <v>25</v>
      </c>
      <c r="F26" s="4" t="s">
        <v>52</v>
      </c>
      <c r="G26" s="4" t="s">
        <v>25</v>
      </c>
      <c r="H26" s="4" t="s">
        <v>36</v>
      </c>
      <c r="I26" s="5">
        <v>44378</v>
      </c>
      <c r="J26" s="6">
        <v>1700</v>
      </c>
      <c r="K26" s="6">
        <v>855.07099800000003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53</v>
      </c>
      <c r="R26" s="4">
        <v>0</v>
      </c>
      <c r="S26" s="4">
        <v>8</v>
      </c>
      <c r="T26" s="4">
        <v>0</v>
      </c>
      <c r="U26" s="4">
        <v>0</v>
      </c>
      <c r="V26" s="6">
        <f>IF(ISERROR(VLOOKUP($S$26,'TAR FIN'!$A$1:$O$85,15,0)),0,VLOOKUP($S$26,'TAR FIN'!$A$1:$O$85,15,0))</f>
        <v>35.54</v>
      </c>
      <c r="W26" s="6">
        <f>IF(ISERROR(VLOOKUP($T$26,'TAR FIN'!$A$1:$O$85,15,0)),0,VLOOKUP($T$26,'TAR FIN'!$A$1:$O$85,15,0))</f>
        <v>0</v>
      </c>
      <c r="X26" s="6">
        <f>IF(ISERROR(VLOOKUP($U$26,'TAR FIN'!$A$1:$O$85,15,0)),0,VLOOKUP($U$26,'TAR FIN'!$A$1:$O$85,15,0))</f>
        <v>0</v>
      </c>
      <c r="Y26" s="6">
        <f ca="1">('TUSD BE'!$AM$5+'TUSD BF'!$AM$5+'TUSD CVA'!$AM$5)*1</f>
        <v>35.086170133817248</v>
      </c>
      <c r="Z26" s="6">
        <f ca="1">('TUSD BE'!$AM$7+'TUSD BF'!$AM$7+'TUSD CVA'!$AM$7)*1</f>
        <v>114.48039155571371</v>
      </c>
      <c r="AA26" s="6"/>
      <c r="AB26" s="6">
        <f t="shared" si="0"/>
        <v>30028.776731079997</v>
      </c>
      <c r="AC26" s="6">
        <f t="shared" si="1"/>
        <v>0</v>
      </c>
      <c r="AD26" s="6">
        <f t="shared" ca="1" si="2"/>
        <v>29645.322715168411</v>
      </c>
      <c r="AE26" s="6">
        <f t="shared" ca="1" si="3"/>
        <v>0</v>
      </c>
      <c r="AF26" s="4" t="s">
        <v>599</v>
      </c>
    </row>
    <row r="27" spans="1:32" ht="11.25" customHeight="1" x14ac:dyDescent="0.25">
      <c r="A27" s="4" t="s">
        <v>21</v>
      </c>
      <c r="B27" s="4" t="s">
        <v>34</v>
      </c>
      <c r="C27" s="4" t="s">
        <v>51</v>
      </c>
      <c r="D27" s="4" t="s">
        <v>33</v>
      </c>
      <c r="E27" s="4" t="s">
        <v>25</v>
      </c>
      <c r="F27" s="4" t="s">
        <v>52</v>
      </c>
      <c r="G27" s="4" t="s">
        <v>25</v>
      </c>
      <c r="H27" s="4" t="s">
        <v>36</v>
      </c>
      <c r="I27" s="5">
        <v>44409</v>
      </c>
      <c r="J27" s="6">
        <v>1757</v>
      </c>
      <c r="K27" s="6">
        <v>895.97728311000003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53</v>
      </c>
      <c r="R27" s="4">
        <v>0</v>
      </c>
      <c r="S27" s="4">
        <v>8</v>
      </c>
      <c r="T27" s="4">
        <v>0</v>
      </c>
      <c r="U27" s="4">
        <v>0</v>
      </c>
      <c r="V27" s="6">
        <f>IF(ISERROR(VLOOKUP($S$27,'TAR FIN'!$A$1:$O$85,15,0)),0,VLOOKUP($S$27,'TAR FIN'!$A$1:$O$85,15,0))</f>
        <v>35.54</v>
      </c>
      <c r="W27" s="6">
        <f>IF(ISERROR(VLOOKUP($T$27,'TAR FIN'!$A$1:$O$85,15,0)),0,VLOOKUP($T$27,'TAR FIN'!$A$1:$O$85,15,0))</f>
        <v>0</v>
      </c>
      <c r="X27" s="6">
        <f>IF(ISERROR(VLOOKUP($U$27,'TAR FIN'!$A$1:$O$85,15,0)),0,VLOOKUP($U$27,'TAR FIN'!$A$1:$O$85,15,0))</f>
        <v>0</v>
      </c>
      <c r="Y27" s="6">
        <f ca="1">('TUSD BE'!$AM$5+'TUSD BF'!$AM$5+'TUSD CVA'!$AM$5)*1</f>
        <v>35.086170133817248</v>
      </c>
      <c r="Z27" s="6">
        <f ca="1">('TUSD BE'!$AM$7+'TUSD BF'!$AM$7+'TUSD CVA'!$AM$7)*1</f>
        <v>114.48039155571371</v>
      </c>
      <c r="AA27" s="6"/>
      <c r="AB27" s="6">
        <f t="shared" si="0"/>
        <v>30600.747358270597</v>
      </c>
      <c r="AC27" s="6">
        <f t="shared" si="1"/>
        <v>0</v>
      </c>
      <c r="AD27" s="6">
        <f t="shared" ca="1" si="2"/>
        <v>30209.989533884102</v>
      </c>
      <c r="AE27" s="6">
        <f t="shared" ca="1" si="3"/>
        <v>0</v>
      </c>
      <c r="AF27" s="4" t="s">
        <v>599</v>
      </c>
    </row>
    <row r="28" spans="1:32" ht="11.25" customHeight="1" x14ac:dyDescent="0.25">
      <c r="A28" s="4" t="s">
        <v>21</v>
      </c>
      <c r="B28" s="4" t="s">
        <v>34</v>
      </c>
      <c r="C28" s="4" t="s">
        <v>51</v>
      </c>
      <c r="D28" s="4" t="s">
        <v>33</v>
      </c>
      <c r="E28" s="4" t="s">
        <v>25</v>
      </c>
      <c r="F28" s="4" t="s">
        <v>52</v>
      </c>
      <c r="G28" s="4" t="s">
        <v>25</v>
      </c>
      <c r="H28" s="4" t="s">
        <v>36</v>
      </c>
      <c r="I28" s="5">
        <v>44440</v>
      </c>
      <c r="J28" s="6">
        <v>1700</v>
      </c>
      <c r="K28" s="6">
        <v>856.94091300000002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53</v>
      </c>
      <c r="R28" s="4">
        <v>0</v>
      </c>
      <c r="S28" s="4">
        <v>8</v>
      </c>
      <c r="T28" s="4">
        <v>0</v>
      </c>
      <c r="U28" s="4">
        <v>0</v>
      </c>
      <c r="V28" s="6">
        <f>IF(ISERROR(VLOOKUP($S$28,'TAR FIN'!$A$1:$O$85,15,0)),0,VLOOKUP($S$28,'TAR FIN'!$A$1:$O$85,15,0))</f>
        <v>35.54</v>
      </c>
      <c r="W28" s="6">
        <f>IF(ISERROR(VLOOKUP($T$28,'TAR FIN'!$A$1:$O$85,15,0)),0,VLOOKUP($T$28,'TAR FIN'!$A$1:$O$85,15,0))</f>
        <v>0</v>
      </c>
      <c r="X28" s="6">
        <f>IF(ISERROR(VLOOKUP($U$28,'TAR FIN'!$A$1:$O$85,15,0)),0,VLOOKUP($U$28,'TAR FIN'!$A$1:$O$85,15,0))</f>
        <v>0</v>
      </c>
      <c r="Y28" s="6">
        <f ca="1">('TUSD BE'!$AM$5+'TUSD BF'!$AM$5+'TUSD CVA'!$AM$5)*1</f>
        <v>35.086170133817248</v>
      </c>
      <c r="Z28" s="6">
        <f ca="1">('TUSD BE'!$AM$7+'TUSD BF'!$AM$7+'TUSD CVA'!$AM$7)*1</f>
        <v>114.48039155571371</v>
      </c>
      <c r="AA28" s="6"/>
      <c r="AB28" s="6">
        <f t="shared" si="0"/>
        <v>29962.31995198</v>
      </c>
      <c r="AC28" s="6">
        <f t="shared" si="1"/>
        <v>0</v>
      </c>
      <c r="AD28" s="6">
        <f t="shared" ca="1" si="2"/>
        <v>29579.714559342636</v>
      </c>
      <c r="AE28" s="6">
        <f t="shared" ca="1" si="3"/>
        <v>0</v>
      </c>
      <c r="AF28" s="4" t="s">
        <v>599</v>
      </c>
    </row>
    <row r="29" spans="1:32" ht="11.25" customHeight="1" x14ac:dyDescent="0.25">
      <c r="A29" s="4" t="s">
        <v>21</v>
      </c>
      <c r="B29" s="4" t="s">
        <v>34</v>
      </c>
      <c r="C29" s="4" t="s">
        <v>51</v>
      </c>
      <c r="D29" s="4" t="s">
        <v>33</v>
      </c>
      <c r="E29" s="4" t="s">
        <v>25</v>
      </c>
      <c r="F29" s="4" t="s">
        <v>52</v>
      </c>
      <c r="G29" s="4" t="s">
        <v>25</v>
      </c>
      <c r="H29" s="4" t="s">
        <v>36</v>
      </c>
      <c r="I29" s="5">
        <v>44470</v>
      </c>
      <c r="J29" s="6">
        <v>1730</v>
      </c>
      <c r="K29" s="6">
        <v>865.41687809999996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53</v>
      </c>
      <c r="R29" s="4">
        <v>0</v>
      </c>
      <c r="S29" s="4">
        <v>8</v>
      </c>
      <c r="T29" s="4">
        <v>0</v>
      </c>
      <c r="U29" s="4">
        <v>0</v>
      </c>
      <c r="V29" s="6">
        <f>IF(ISERROR(VLOOKUP($S$29,'TAR FIN'!$A$1:$O$85,15,0)),0,VLOOKUP($S$29,'TAR FIN'!$A$1:$O$85,15,0))</f>
        <v>35.54</v>
      </c>
      <c r="W29" s="6">
        <f>IF(ISERROR(VLOOKUP($T$29,'TAR FIN'!$A$1:$O$85,15,0)),0,VLOOKUP($T$29,'TAR FIN'!$A$1:$O$85,15,0))</f>
        <v>0</v>
      </c>
      <c r="X29" s="6">
        <f>IF(ISERROR(VLOOKUP($U$29,'TAR FIN'!$A$1:$O$85,15,0)),0,VLOOKUP($U$29,'TAR FIN'!$A$1:$O$85,15,0))</f>
        <v>0</v>
      </c>
      <c r="Y29" s="6">
        <f ca="1">('TUSD BE'!$AM$5+'TUSD BF'!$AM$5+'TUSD CVA'!$AM$5)*1</f>
        <v>35.086170133817248</v>
      </c>
      <c r="Z29" s="6">
        <f ca="1">('TUSD BE'!$AM$7+'TUSD BF'!$AM$7+'TUSD CVA'!$AM$7)*1</f>
        <v>114.48039155571371</v>
      </c>
      <c r="AA29" s="6"/>
      <c r="AB29" s="6">
        <f t="shared" si="0"/>
        <v>30727.284152325999</v>
      </c>
      <c r="AC29" s="6">
        <f t="shared" si="1"/>
        <v>0</v>
      </c>
      <c r="AD29" s="6">
        <f t="shared" ca="1" si="2"/>
        <v>30334.910509810259</v>
      </c>
      <c r="AE29" s="6">
        <f t="shared" ca="1" si="3"/>
        <v>0</v>
      </c>
      <c r="AF29" s="4" t="s">
        <v>599</v>
      </c>
    </row>
    <row r="30" spans="1:32" ht="11.25" customHeight="1" x14ac:dyDescent="0.25">
      <c r="A30" s="4" t="s">
        <v>21</v>
      </c>
      <c r="B30" s="4" t="s">
        <v>34</v>
      </c>
      <c r="C30" s="4" t="s">
        <v>51</v>
      </c>
      <c r="D30" s="4" t="s">
        <v>33</v>
      </c>
      <c r="E30" s="4" t="s">
        <v>25</v>
      </c>
      <c r="F30" s="4" t="s">
        <v>52</v>
      </c>
      <c r="G30" s="4" t="s">
        <v>25</v>
      </c>
      <c r="H30" s="4" t="s">
        <v>36</v>
      </c>
      <c r="I30" s="5">
        <v>44501</v>
      </c>
      <c r="J30" s="6">
        <v>1700</v>
      </c>
      <c r="K30" s="6">
        <v>850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53</v>
      </c>
      <c r="R30" s="4">
        <v>0</v>
      </c>
      <c r="S30" s="4">
        <v>8</v>
      </c>
      <c r="T30" s="4">
        <v>0</v>
      </c>
      <c r="U30" s="4">
        <v>0</v>
      </c>
      <c r="V30" s="6">
        <f>IF(ISERROR(VLOOKUP($S$30,'TAR FIN'!$A$1:$O$85,15,0)),0,VLOOKUP($S$30,'TAR FIN'!$A$1:$O$85,15,0))</f>
        <v>35.54</v>
      </c>
      <c r="W30" s="6">
        <f>IF(ISERROR(VLOOKUP($T$30,'TAR FIN'!$A$1:$O$85,15,0)),0,VLOOKUP($T$30,'TAR FIN'!$A$1:$O$85,15,0))</f>
        <v>0</v>
      </c>
      <c r="X30" s="6">
        <f>IF(ISERROR(VLOOKUP($U$30,'TAR FIN'!$A$1:$O$85,15,0)),0,VLOOKUP($U$30,'TAR FIN'!$A$1:$O$85,15,0))</f>
        <v>0</v>
      </c>
      <c r="Y30" s="6">
        <f ca="1">('TUSD BE'!$AM$5+'TUSD BF'!$AM$5+'TUSD CVA'!$AM$5)*1</f>
        <v>35.086170133817248</v>
      </c>
      <c r="Z30" s="6">
        <f ca="1">('TUSD BE'!$AM$7+'TUSD BF'!$AM$7+'TUSD CVA'!$AM$7)*1</f>
        <v>114.48039155571371</v>
      </c>
      <c r="AA30" s="6"/>
      <c r="AB30" s="6">
        <f t="shared" si="0"/>
        <v>30209</v>
      </c>
      <c r="AC30" s="6">
        <f t="shared" si="1"/>
        <v>0</v>
      </c>
      <c r="AD30" s="6">
        <f t="shared" ca="1" si="2"/>
        <v>29823.24461374466</v>
      </c>
      <c r="AE30" s="6">
        <f t="shared" ca="1" si="3"/>
        <v>0</v>
      </c>
      <c r="AF30" s="4" t="s">
        <v>599</v>
      </c>
    </row>
    <row r="31" spans="1:32" ht="11.25" customHeight="1" x14ac:dyDescent="0.25">
      <c r="A31" s="4" t="s">
        <v>21</v>
      </c>
      <c r="B31" s="4" t="s">
        <v>34</v>
      </c>
      <c r="C31" s="4" t="s">
        <v>51</v>
      </c>
      <c r="D31" s="4" t="s">
        <v>33</v>
      </c>
      <c r="E31" s="4" t="s">
        <v>25</v>
      </c>
      <c r="F31" s="4" t="s">
        <v>52</v>
      </c>
      <c r="G31" s="4" t="s">
        <v>25</v>
      </c>
      <c r="H31" s="4" t="s">
        <v>36</v>
      </c>
      <c r="I31" s="5">
        <v>44531</v>
      </c>
      <c r="J31" s="6">
        <v>1700</v>
      </c>
      <c r="K31" s="6">
        <v>880.96453099999997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53</v>
      </c>
      <c r="R31" s="4">
        <v>0</v>
      </c>
      <c r="S31" s="4">
        <v>8</v>
      </c>
      <c r="T31" s="4">
        <v>0</v>
      </c>
      <c r="U31" s="4">
        <v>0</v>
      </c>
      <c r="V31" s="6">
        <f>IF(ISERROR(VLOOKUP($S$31,'TAR FIN'!$A$1:$O$85,15,0)),0,VLOOKUP($S$31,'TAR FIN'!$A$1:$O$85,15,0))</f>
        <v>35.54</v>
      </c>
      <c r="W31" s="6">
        <f>IF(ISERROR(VLOOKUP($T$31,'TAR FIN'!$A$1:$O$85,15,0)),0,VLOOKUP($T$31,'TAR FIN'!$A$1:$O$85,15,0))</f>
        <v>0</v>
      </c>
      <c r="X31" s="6">
        <f>IF(ISERROR(VLOOKUP($U$31,'TAR FIN'!$A$1:$O$85,15,0)),0,VLOOKUP($U$31,'TAR FIN'!$A$1:$O$85,15,0))</f>
        <v>0</v>
      </c>
      <c r="Y31" s="6">
        <f ca="1">('TUSD BE'!$AM$5+'TUSD BF'!$AM$5+'TUSD CVA'!$AM$5)*1</f>
        <v>35.086170133817248</v>
      </c>
      <c r="Z31" s="6">
        <f ca="1">('TUSD BE'!$AM$7+'TUSD BF'!$AM$7+'TUSD CVA'!$AM$7)*1</f>
        <v>114.48039155571371</v>
      </c>
      <c r="AA31" s="6"/>
      <c r="AB31" s="6">
        <f t="shared" si="0"/>
        <v>29108.520568259999</v>
      </c>
      <c r="AC31" s="6">
        <f t="shared" si="1"/>
        <v>0</v>
      </c>
      <c r="AD31" s="6">
        <f t="shared" ca="1" si="2"/>
        <v>28736.817810964803</v>
      </c>
      <c r="AE31" s="6">
        <f t="shared" ca="1" si="3"/>
        <v>0</v>
      </c>
      <c r="AF31" s="4" t="s">
        <v>599</v>
      </c>
    </row>
    <row r="32" spans="1:32" ht="11.25" customHeight="1" x14ac:dyDescent="0.25">
      <c r="A32" s="4" t="s">
        <v>21</v>
      </c>
      <c r="B32" s="4" t="s">
        <v>34</v>
      </c>
      <c r="C32" s="4" t="s">
        <v>51</v>
      </c>
      <c r="D32" s="4" t="s">
        <v>33</v>
      </c>
      <c r="E32" s="4" t="s">
        <v>25</v>
      </c>
      <c r="F32" s="4" t="s">
        <v>52</v>
      </c>
      <c r="G32" s="4" t="s">
        <v>25</v>
      </c>
      <c r="H32" s="4" t="s">
        <v>36</v>
      </c>
      <c r="I32" s="5">
        <v>44562</v>
      </c>
      <c r="J32" s="6">
        <v>1700</v>
      </c>
      <c r="K32" s="6">
        <v>851.10343599999999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53</v>
      </c>
      <c r="R32" s="4">
        <v>0</v>
      </c>
      <c r="S32" s="4">
        <v>8</v>
      </c>
      <c r="T32" s="4">
        <v>0</v>
      </c>
      <c r="U32" s="4">
        <v>0</v>
      </c>
      <c r="V32" s="6">
        <f>IF(ISERROR(VLOOKUP($S$32,'TAR FIN'!$A$1:$O$85,15,0)),0,VLOOKUP($S$32,'TAR FIN'!$A$1:$O$85,15,0))</f>
        <v>35.54</v>
      </c>
      <c r="W32" s="6">
        <f>IF(ISERROR(VLOOKUP($T$32,'TAR FIN'!$A$1:$O$85,15,0)),0,VLOOKUP($T$32,'TAR FIN'!$A$1:$O$85,15,0))</f>
        <v>0</v>
      </c>
      <c r="X32" s="6">
        <f>IF(ISERROR(VLOOKUP($U$32,'TAR FIN'!$A$1:$O$85,15,0)),0,VLOOKUP($U$32,'TAR FIN'!$A$1:$O$85,15,0))</f>
        <v>0</v>
      </c>
      <c r="Y32" s="6">
        <f ca="1">('TUSD BE'!$AM$5+'TUSD BF'!$AM$5+'TUSD CVA'!$AM$5)*1</f>
        <v>35.086170133817248</v>
      </c>
      <c r="Z32" s="6">
        <f ca="1">('TUSD BE'!$AM$7+'TUSD BF'!$AM$7+'TUSD CVA'!$AM$7)*1</f>
        <v>114.48039155571371</v>
      </c>
      <c r="AA32" s="6"/>
      <c r="AB32" s="6">
        <f t="shared" si="0"/>
        <v>30169.783884559998</v>
      </c>
      <c r="AC32" s="6">
        <f t="shared" si="1"/>
        <v>0</v>
      </c>
      <c r="AD32" s="6">
        <f t="shared" ca="1" si="2"/>
        <v>29784.529270516883</v>
      </c>
      <c r="AE32" s="6">
        <f t="shared" ca="1" si="3"/>
        <v>0</v>
      </c>
      <c r="AF32" s="4" t="s">
        <v>599</v>
      </c>
    </row>
    <row r="33" spans="1:32" ht="11.25" customHeight="1" x14ac:dyDescent="0.25">
      <c r="A33" s="4" t="s">
        <v>21</v>
      </c>
      <c r="B33" s="4" t="s">
        <v>34</v>
      </c>
      <c r="C33" s="4" t="s">
        <v>51</v>
      </c>
      <c r="D33" s="4" t="s">
        <v>33</v>
      </c>
      <c r="E33" s="4" t="s">
        <v>25</v>
      </c>
      <c r="F33" s="4" t="s">
        <v>52</v>
      </c>
      <c r="G33" s="4" t="s">
        <v>25</v>
      </c>
      <c r="H33" s="4" t="s">
        <v>36</v>
      </c>
      <c r="I33" s="5">
        <v>44593</v>
      </c>
      <c r="J33" s="6">
        <v>1700</v>
      </c>
      <c r="K33" s="6">
        <v>850.76069900000005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53</v>
      </c>
      <c r="R33" s="4">
        <v>0</v>
      </c>
      <c r="S33" s="4">
        <v>8</v>
      </c>
      <c r="T33" s="4">
        <v>0</v>
      </c>
      <c r="U33" s="4">
        <v>0</v>
      </c>
      <c r="V33" s="6">
        <f>IF(ISERROR(VLOOKUP($S$33,'TAR FIN'!$A$1:$O$85,15,0)),0,VLOOKUP($S$33,'TAR FIN'!$A$1:$O$85,15,0))</f>
        <v>35.54</v>
      </c>
      <c r="W33" s="6">
        <f>IF(ISERROR(VLOOKUP($T$33,'TAR FIN'!$A$1:$O$85,15,0)),0,VLOOKUP($T$33,'TAR FIN'!$A$1:$O$85,15,0))</f>
        <v>0</v>
      </c>
      <c r="X33" s="6">
        <f>IF(ISERROR(VLOOKUP($U$33,'TAR FIN'!$A$1:$O$85,15,0)),0,VLOOKUP($U$33,'TAR FIN'!$A$1:$O$85,15,0))</f>
        <v>0</v>
      </c>
      <c r="Y33" s="6">
        <f ca="1">('TUSD BE'!$AM$5+'TUSD BF'!$AM$5+'TUSD CVA'!$AM$5)*1</f>
        <v>35.086170133817248</v>
      </c>
      <c r="Z33" s="6">
        <f ca="1">('TUSD BE'!$AM$7+'TUSD BF'!$AM$7+'TUSD CVA'!$AM$7)*1</f>
        <v>114.48039155571371</v>
      </c>
      <c r="AA33" s="6"/>
      <c r="AB33" s="6">
        <f t="shared" si="0"/>
        <v>30181.964757539998</v>
      </c>
      <c r="AC33" s="6">
        <f t="shared" si="1"/>
        <v>0</v>
      </c>
      <c r="AD33" s="6">
        <f t="shared" ca="1" si="2"/>
        <v>29796.554599210034</v>
      </c>
      <c r="AE33" s="6">
        <f t="shared" ca="1" si="3"/>
        <v>0</v>
      </c>
      <c r="AF33" s="4" t="s">
        <v>599</v>
      </c>
    </row>
    <row r="34" spans="1:32" ht="11.25" customHeight="1" x14ac:dyDescent="0.25">
      <c r="A34" s="4" t="s">
        <v>21</v>
      </c>
      <c r="B34" s="4" t="s">
        <v>34</v>
      </c>
      <c r="C34" s="4" t="s">
        <v>51</v>
      </c>
      <c r="D34" s="4" t="s">
        <v>33</v>
      </c>
      <c r="E34" s="4" t="s">
        <v>25</v>
      </c>
      <c r="F34" s="4" t="s">
        <v>52</v>
      </c>
      <c r="G34" s="4" t="s">
        <v>25</v>
      </c>
      <c r="H34" s="4" t="s">
        <v>36</v>
      </c>
      <c r="I34" s="5">
        <v>44621</v>
      </c>
      <c r="J34" s="6">
        <v>1700</v>
      </c>
      <c r="K34" s="6">
        <v>851.16982099999996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53</v>
      </c>
      <c r="R34" s="4">
        <v>0</v>
      </c>
      <c r="S34" s="4">
        <v>8</v>
      </c>
      <c r="T34" s="4">
        <v>0</v>
      </c>
      <c r="U34" s="4">
        <v>0</v>
      </c>
      <c r="V34" s="6">
        <f>IF(ISERROR(VLOOKUP($S$34,'TAR FIN'!$A$1:$O$85,15,0)),0,VLOOKUP($S$34,'TAR FIN'!$A$1:$O$85,15,0))</f>
        <v>35.54</v>
      </c>
      <c r="W34" s="6">
        <f>IF(ISERROR(VLOOKUP($T$34,'TAR FIN'!$A$1:$O$85,15,0)),0,VLOOKUP($T$34,'TAR FIN'!$A$1:$O$85,15,0))</f>
        <v>0</v>
      </c>
      <c r="X34" s="6">
        <f>IF(ISERROR(VLOOKUP($U$34,'TAR FIN'!$A$1:$O$85,15,0)),0,VLOOKUP($U$34,'TAR FIN'!$A$1:$O$85,15,0))</f>
        <v>0</v>
      </c>
      <c r="Y34" s="6">
        <f ca="1">('TUSD BE'!$AM$5+'TUSD BF'!$AM$5+'TUSD CVA'!$AM$5)*1</f>
        <v>35.086170133817248</v>
      </c>
      <c r="Z34" s="6">
        <f ca="1">('TUSD BE'!$AM$7+'TUSD BF'!$AM$7+'TUSD CVA'!$AM$7)*1</f>
        <v>114.48039155571371</v>
      </c>
      <c r="AA34" s="6"/>
      <c r="AB34" s="6">
        <f t="shared" ref="AB34:AB65" si="7">(J34-K34)*V34</f>
        <v>30167.424561660002</v>
      </c>
      <c r="AC34" s="6">
        <f t="shared" ref="AC34:AC65" si="8">(L34-M34)*W34+(N34-O34)*X34</f>
        <v>0</v>
      </c>
      <c r="AD34" s="6">
        <f t="shared" ref="AD34:AD65" ca="1" si="9">(J34-K34)*Y34</f>
        <v>29782.200075112549</v>
      </c>
      <c r="AE34" s="6">
        <f t="shared" ref="AE34:AE65" ca="1" si="10">(L34-M34)*Z34+(N34-O34)*AA34</f>
        <v>0</v>
      </c>
      <c r="AF34" s="4" t="s">
        <v>599</v>
      </c>
    </row>
    <row r="35" spans="1:32" ht="11.25" customHeight="1" x14ac:dyDescent="0.25">
      <c r="A35" s="4" t="s">
        <v>21</v>
      </c>
      <c r="B35" s="4" t="s">
        <v>34</v>
      </c>
      <c r="C35" s="4" t="s">
        <v>51</v>
      </c>
      <c r="D35" s="4" t="s">
        <v>33</v>
      </c>
      <c r="E35" s="4" t="s">
        <v>25</v>
      </c>
      <c r="F35" s="4" t="s">
        <v>52</v>
      </c>
      <c r="G35" s="4" t="s">
        <v>25</v>
      </c>
      <c r="H35" s="4" t="s">
        <v>36</v>
      </c>
      <c r="I35" s="5">
        <v>44652</v>
      </c>
      <c r="J35" s="6">
        <v>1700</v>
      </c>
      <c r="K35" s="6">
        <v>851.56546200000003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53</v>
      </c>
      <c r="R35" s="4">
        <v>0</v>
      </c>
      <c r="S35" s="4">
        <v>8</v>
      </c>
      <c r="T35" s="4">
        <v>0</v>
      </c>
      <c r="U35" s="4">
        <v>0</v>
      </c>
      <c r="V35" s="6">
        <f>IF(ISERROR(VLOOKUP($S$35,'TAR FIN'!$A$1:$O$85,15,0)),0,VLOOKUP($S$35,'TAR FIN'!$A$1:$O$85,15,0))</f>
        <v>35.54</v>
      </c>
      <c r="W35" s="6">
        <f>IF(ISERROR(VLOOKUP($T$35,'TAR FIN'!$A$1:$O$85,15,0)),0,VLOOKUP($T$35,'TAR FIN'!$A$1:$O$85,15,0))</f>
        <v>0</v>
      </c>
      <c r="X35" s="6">
        <f>IF(ISERROR(VLOOKUP($U$35,'TAR FIN'!$A$1:$O$85,15,0)),0,VLOOKUP($U$35,'TAR FIN'!$A$1:$O$85,15,0))</f>
        <v>0</v>
      </c>
      <c r="Y35" s="6">
        <f ca="1">('TUSD BE'!$AM$5+'TUSD BF'!$AM$5+'TUSD CVA'!$AM$5)*1</f>
        <v>35.086170133817248</v>
      </c>
      <c r="Z35" s="6">
        <f ca="1">('TUSD BE'!$AM$7+'TUSD BF'!$AM$7+'TUSD CVA'!$AM$7)*1</f>
        <v>114.48039155571371</v>
      </c>
      <c r="AA35" s="6"/>
      <c r="AB35" s="6">
        <f t="shared" si="7"/>
        <v>30153.363480519998</v>
      </c>
      <c r="AC35" s="6">
        <f t="shared" si="8"/>
        <v>0</v>
      </c>
      <c r="AD35" s="6">
        <f t="shared" ca="1" si="9"/>
        <v>29768.318547674633</v>
      </c>
      <c r="AE35" s="6">
        <f t="shared" ca="1" si="10"/>
        <v>0</v>
      </c>
      <c r="AF35" s="4" t="s">
        <v>599</v>
      </c>
    </row>
    <row r="36" spans="1:32" ht="11.25" customHeight="1" x14ac:dyDescent="0.25">
      <c r="A36" s="4" t="s">
        <v>21</v>
      </c>
      <c r="B36" s="4" t="s">
        <v>34</v>
      </c>
      <c r="C36" s="4" t="s">
        <v>51</v>
      </c>
      <c r="D36" s="4" t="s">
        <v>33</v>
      </c>
      <c r="E36" s="4" t="s">
        <v>25</v>
      </c>
      <c r="F36" s="4" t="s">
        <v>52</v>
      </c>
      <c r="G36" s="4" t="s">
        <v>25</v>
      </c>
      <c r="H36" s="4" t="s">
        <v>36</v>
      </c>
      <c r="I36" s="5">
        <v>44682</v>
      </c>
      <c r="J36" s="6">
        <v>1700</v>
      </c>
      <c r="K36" s="6">
        <v>935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53</v>
      </c>
      <c r="R36" s="4">
        <v>0</v>
      </c>
      <c r="S36" s="4">
        <v>8</v>
      </c>
      <c r="T36" s="4">
        <v>0</v>
      </c>
      <c r="U36" s="4">
        <v>0</v>
      </c>
      <c r="V36" s="6">
        <f>IF(ISERROR(VLOOKUP($S$36,'TAR FIN'!$A$1:$O$85,15,0)),0,VLOOKUP($S$36,'TAR FIN'!$A$1:$O$85,15,0))</f>
        <v>35.54</v>
      </c>
      <c r="W36" s="6">
        <f>IF(ISERROR(VLOOKUP($T$36,'TAR FIN'!$A$1:$O$85,15,0)),0,VLOOKUP($T$36,'TAR FIN'!$A$1:$O$85,15,0))</f>
        <v>0</v>
      </c>
      <c r="X36" s="6">
        <f>IF(ISERROR(VLOOKUP($U$36,'TAR FIN'!$A$1:$O$85,15,0)),0,VLOOKUP($U$36,'TAR FIN'!$A$1:$O$85,15,0))</f>
        <v>0</v>
      </c>
      <c r="Y36" s="6">
        <f ca="1">('TUSD BE'!$AM$5+'TUSD BF'!$AM$5+'TUSD CVA'!$AM$5)*1</f>
        <v>35.086170133817248</v>
      </c>
      <c r="Z36" s="6">
        <f ca="1">('TUSD BE'!$AM$7+'TUSD BF'!$AM$7+'TUSD CVA'!$AM$7)*1</f>
        <v>114.48039155571371</v>
      </c>
      <c r="AA36" s="6"/>
      <c r="AB36" s="6">
        <f t="shared" si="7"/>
        <v>27188.1</v>
      </c>
      <c r="AC36" s="6">
        <f t="shared" si="8"/>
        <v>0</v>
      </c>
      <c r="AD36" s="6">
        <f t="shared" ca="1" si="9"/>
        <v>26840.920152370196</v>
      </c>
      <c r="AE36" s="6">
        <f t="shared" ca="1" si="10"/>
        <v>0</v>
      </c>
      <c r="AF36" s="4" t="s">
        <v>599</v>
      </c>
    </row>
    <row r="37" spans="1:32" ht="11.25" customHeight="1" x14ac:dyDescent="0.25">
      <c r="A37" s="4" t="s">
        <v>21</v>
      </c>
      <c r="B37" s="4" t="s">
        <v>34</v>
      </c>
      <c r="C37" s="4" t="s">
        <v>51</v>
      </c>
      <c r="D37" s="4" t="s">
        <v>33</v>
      </c>
      <c r="E37" s="4" t="s">
        <v>25</v>
      </c>
      <c r="F37" s="4" t="s">
        <v>52</v>
      </c>
      <c r="G37" s="4" t="s">
        <v>25</v>
      </c>
      <c r="H37" s="4" t="s">
        <v>36</v>
      </c>
      <c r="I37" s="5">
        <v>44713</v>
      </c>
      <c r="J37" s="6">
        <v>1700</v>
      </c>
      <c r="K37" s="6">
        <v>935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53</v>
      </c>
      <c r="R37" s="4">
        <v>0</v>
      </c>
      <c r="S37" s="4">
        <v>8</v>
      </c>
      <c r="T37" s="4">
        <v>0</v>
      </c>
      <c r="U37" s="4">
        <v>0</v>
      </c>
      <c r="V37" s="6">
        <f>IF(ISERROR(VLOOKUP($S$37,'TAR FIN'!$A$1:$O$85,15,0)),0,VLOOKUP($S$37,'TAR FIN'!$A$1:$O$85,15,0))</f>
        <v>35.54</v>
      </c>
      <c r="W37" s="6">
        <f>IF(ISERROR(VLOOKUP($T$37,'TAR FIN'!$A$1:$O$85,15,0)),0,VLOOKUP($T$37,'TAR FIN'!$A$1:$O$85,15,0))</f>
        <v>0</v>
      </c>
      <c r="X37" s="6">
        <f>IF(ISERROR(VLOOKUP($U$37,'TAR FIN'!$A$1:$O$85,15,0)),0,VLOOKUP($U$37,'TAR FIN'!$A$1:$O$85,15,0))</f>
        <v>0</v>
      </c>
      <c r="Y37" s="6">
        <f ca="1">('TUSD BE'!$AM$5+'TUSD BF'!$AM$5+'TUSD CVA'!$AM$5)*1</f>
        <v>35.086170133817248</v>
      </c>
      <c r="Z37" s="6">
        <f ca="1">('TUSD BE'!$AM$7+'TUSD BF'!$AM$7+'TUSD CVA'!$AM$7)*1</f>
        <v>114.48039155571371</v>
      </c>
      <c r="AA37" s="6"/>
      <c r="AB37" s="6">
        <f t="shared" si="7"/>
        <v>27188.1</v>
      </c>
      <c r="AC37" s="6">
        <f t="shared" si="8"/>
        <v>0</v>
      </c>
      <c r="AD37" s="6">
        <f t="shared" ca="1" si="9"/>
        <v>26840.920152370196</v>
      </c>
      <c r="AE37" s="6">
        <f t="shared" ca="1" si="10"/>
        <v>0</v>
      </c>
      <c r="AF37" s="4" t="s">
        <v>599</v>
      </c>
    </row>
    <row r="38" spans="1:32" ht="11.25" customHeight="1" x14ac:dyDescent="0.25">
      <c r="A38" s="4" t="s">
        <v>21</v>
      </c>
      <c r="B38" s="4" t="s">
        <v>34</v>
      </c>
      <c r="C38" s="4" t="s">
        <v>35</v>
      </c>
      <c r="D38" s="4" t="s">
        <v>33</v>
      </c>
      <c r="E38" s="4" t="s">
        <v>25</v>
      </c>
      <c r="F38" s="4" t="s">
        <v>52</v>
      </c>
      <c r="G38" s="4" t="s">
        <v>25</v>
      </c>
      <c r="H38" s="4" t="s">
        <v>37</v>
      </c>
      <c r="I38" s="5">
        <v>44378</v>
      </c>
      <c r="J38" s="6">
        <v>0</v>
      </c>
      <c r="K38" s="6">
        <v>0</v>
      </c>
      <c r="L38" s="6">
        <v>203.71100000000001</v>
      </c>
      <c r="M38" s="6">
        <v>203.71100000000001</v>
      </c>
      <c r="N38" s="6">
        <v>0</v>
      </c>
      <c r="O38" s="6">
        <v>0</v>
      </c>
      <c r="P38" s="6">
        <v>0</v>
      </c>
      <c r="Q38" s="4" t="s">
        <v>53</v>
      </c>
      <c r="R38" s="4">
        <v>0</v>
      </c>
      <c r="S38" s="4">
        <v>0</v>
      </c>
      <c r="T38" s="4">
        <v>13</v>
      </c>
      <c r="U38" s="4">
        <v>0</v>
      </c>
      <c r="V38" s="6">
        <f>IF(ISERROR(VLOOKUP($S$38,'TAR FIN'!$A$1:$O$85,15,0)),0,VLOOKUP($S$38,'TAR FIN'!$A$1:$O$85,15,0))</f>
        <v>0</v>
      </c>
      <c r="W38" s="6">
        <f>IF(ISERROR(VLOOKUP($T$38,'TAR FIN'!$A$1:$O$85,15,0)),0,VLOOKUP($T$38,'TAR FIN'!$A$1:$O$85,15,0))</f>
        <v>78.650000000000006</v>
      </c>
      <c r="X38" s="6">
        <f>IF(ISERROR(VLOOKUP($U$38,'TAR FIN'!$A$1:$O$85,15,0)),0,VLOOKUP($U$38,'TAR FIN'!$A$1:$O$85,15,0))</f>
        <v>0</v>
      </c>
      <c r="Y38" s="6"/>
      <c r="Z38" s="6">
        <f ca="1">('TUSD BE'!$AM$12+'TUSD BF'!$AM$12+'TUSD CVA'!$AM$12)*1</f>
        <v>114.48039155571371</v>
      </c>
      <c r="AA38" s="6"/>
      <c r="AB38" s="6">
        <f t="shared" si="7"/>
        <v>0</v>
      </c>
      <c r="AC38" s="6">
        <f t="shared" si="8"/>
        <v>0</v>
      </c>
      <c r="AD38" s="6">
        <f t="shared" si="9"/>
        <v>0</v>
      </c>
      <c r="AE38" s="6">
        <f t="shared" ca="1" si="10"/>
        <v>0</v>
      </c>
      <c r="AF38" s="4" t="s">
        <v>599</v>
      </c>
    </row>
    <row r="39" spans="1:32" ht="11.25" customHeight="1" x14ac:dyDescent="0.25">
      <c r="A39" s="4" t="s">
        <v>21</v>
      </c>
      <c r="B39" s="4" t="s">
        <v>34</v>
      </c>
      <c r="C39" s="4" t="s">
        <v>35</v>
      </c>
      <c r="D39" s="4" t="s">
        <v>33</v>
      </c>
      <c r="E39" s="4" t="s">
        <v>25</v>
      </c>
      <c r="F39" s="4" t="s">
        <v>52</v>
      </c>
      <c r="G39" s="4" t="s">
        <v>25</v>
      </c>
      <c r="H39" s="4" t="s">
        <v>37</v>
      </c>
      <c r="I39" s="5">
        <v>44409</v>
      </c>
      <c r="J39" s="6">
        <v>0</v>
      </c>
      <c r="K39" s="6">
        <v>0</v>
      </c>
      <c r="L39" s="6">
        <v>190.25899999999999</v>
      </c>
      <c r="M39" s="6">
        <v>190.25899999999999</v>
      </c>
      <c r="N39" s="6">
        <v>0</v>
      </c>
      <c r="O39" s="6">
        <v>0</v>
      </c>
      <c r="P39" s="6">
        <v>0</v>
      </c>
      <c r="Q39" s="4" t="s">
        <v>53</v>
      </c>
      <c r="R39" s="4">
        <v>0</v>
      </c>
      <c r="S39" s="4">
        <v>0</v>
      </c>
      <c r="T39" s="4">
        <v>13</v>
      </c>
      <c r="U39" s="4">
        <v>0</v>
      </c>
      <c r="V39" s="6">
        <f>IF(ISERROR(VLOOKUP($S$39,'TAR FIN'!$A$1:$O$85,15,0)),0,VLOOKUP($S$39,'TAR FIN'!$A$1:$O$85,15,0))</f>
        <v>0</v>
      </c>
      <c r="W39" s="6">
        <f>IF(ISERROR(VLOOKUP($T$39,'TAR FIN'!$A$1:$O$85,15,0)),0,VLOOKUP($T$39,'TAR FIN'!$A$1:$O$85,15,0))</f>
        <v>78.650000000000006</v>
      </c>
      <c r="X39" s="6">
        <f>IF(ISERROR(VLOOKUP($U$39,'TAR FIN'!$A$1:$O$85,15,0)),0,VLOOKUP($U$39,'TAR FIN'!$A$1:$O$85,15,0))</f>
        <v>0</v>
      </c>
      <c r="Y39" s="6"/>
      <c r="Z39" s="6">
        <f ca="1">('TUSD BE'!$AM$12+'TUSD BF'!$AM$12+'TUSD CVA'!$AM$12)*1</f>
        <v>114.48039155571371</v>
      </c>
      <c r="AA39" s="6"/>
      <c r="AB39" s="6">
        <f t="shared" si="7"/>
        <v>0</v>
      </c>
      <c r="AC39" s="6">
        <f t="shared" si="8"/>
        <v>0</v>
      </c>
      <c r="AD39" s="6">
        <f t="shared" si="9"/>
        <v>0</v>
      </c>
      <c r="AE39" s="6">
        <f t="shared" ca="1" si="10"/>
        <v>0</v>
      </c>
      <c r="AF39" s="4" t="s">
        <v>599</v>
      </c>
    </row>
    <row r="40" spans="1:32" ht="11.25" customHeight="1" x14ac:dyDescent="0.25">
      <c r="A40" s="4" t="s">
        <v>21</v>
      </c>
      <c r="B40" s="4" t="s">
        <v>34</v>
      </c>
      <c r="C40" s="4" t="s">
        <v>35</v>
      </c>
      <c r="D40" s="4" t="s">
        <v>33</v>
      </c>
      <c r="E40" s="4" t="s">
        <v>25</v>
      </c>
      <c r="F40" s="4" t="s">
        <v>52</v>
      </c>
      <c r="G40" s="4" t="s">
        <v>25</v>
      </c>
      <c r="H40" s="4" t="s">
        <v>37</v>
      </c>
      <c r="I40" s="5">
        <v>44440</v>
      </c>
      <c r="J40" s="6">
        <v>0</v>
      </c>
      <c r="K40" s="6">
        <v>0</v>
      </c>
      <c r="L40" s="6">
        <v>195.62299999999999</v>
      </c>
      <c r="M40" s="6">
        <v>195.62299999999999</v>
      </c>
      <c r="N40" s="6">
        <v>0</v>
      </c>
      <c r="O40" s="6">
        <v>0</v>
      </c>
      <c r="P40" s="6">
        <v>0</v>
      </c>
      <c r="Q40" s="4" t="s">
        <v>53</v>
      </c>
      <c r="R40" s="4">
        <v>0</v>
      </c>
      <c r="S40" s="4">
        <v>0</v>
      </c>
      <c r="T40" s="4">
        <v>13</v>
      </c>
      <c r="U40" s="4">
        <v>0</v>
      </c>
      <c r="V40" s="6">
        <f>IF(ISERROR(VLOOKUP($S$40,'TAR FIN'!$A$1:$O$85,15,0)),0,VLOOKUP($S$40,'TAR FIN'!$A$1:$O$85,15,0))</f>
        <v>0</v>
      </c>
      <c r="W40" s="6">
        <f>IF(ISERROR(VLOOKUP($T$40,'TAR FIN'!$A$1:$O$85,15,0)),0,VLOOKUP($T$40,'TAR FIN'!$A$1:$O$85,15,0))</f>
        <v>78.650000000000006</v>
      </c>
      <c r="X40" s="6">
        <f>IF(ISERROR(VLOOKUP($U$40,'TAR FIN'!$A$1:$O$85,15,0)),0,VLOOKUP($U$40,'TAR FIN'!$A$1:$O$85,15,0))</f>
        <v>0</v>
      </c>
      <c r="Y40" s="6"/>
      <c r="Z40" s="6">
        <f ca="1">('TUSD BE'!$AM$12+'TUSD BF'!$AM$12+'TUSD CVA'!$AM$12)*1</f>
        <v>114.48039155571371</v>
      </c>
      <c r="AA40" s="6"/>
      <c r="AB40" s="6">
        <f t="shared" si="7"/>
        <v>0</v>
      </c>
      <c r="AC40" s="6">
        <f t="shared" si="8"/>
        <v>0</v>
      </c>
      <c r="AD40" s="6">
        <f t="shared" si="9"/>
        <v>0</v>
      </c>
      <c r="AE40" s="6">
        <f t="shared" ca="1" si="10"/>
        <v>0</v>
      </c>
      <c r="AF40" s="4" t="s">
        <v>599</v>
      </c>
    </row>
    <row r="41" spans="1:32" ht="11.25" customHeight="1" x14ac:dyDescent="0.25">
      <c r="A41" s="4" t="s">
        <v>21</v>
      </c>
      <c r="B41" s="4" t="s">
        <v>34</v>
      </c>
      <c r="C41" s="4" t="s">
        <v>35</v>
      </c>
      <c r="D41" s="4" t="s">
        <v>33</v>
      </c>
      <c r="E41" s="4" t="s">
        <v>25</v>
      </c>
      <c r="F41" s="4" t="s">
        <v>52</v>
      </c>
      <c r="G41" s="4" t="s">
        <v>25</v>
      </c>
      <c r="H41" s="4" t="s">
        <v>37</v>
      </c>
      <c r="I41" s="5">
        <v>44470</v>
      </c>
      <c r="J41" s="6">
        <v>0</v>
      </c>
      <c r="K41" s="6">
        <v>0</v>
      </c>
      <c r="L41" s="6">
        <v>207.36500000000001</v>
      </c>
      <c r="M41" s="6">
        <v>207.36500000000001</v>
      </c>
      <c r="N41" s="6">
        <v>0</v>
      </c>
      <c r="O41" s="6">
        <v>0</v>
      </c>
      <c r="P41" s="6">
        <v>0</v>
      </c>
      <c r="Q41" s="4" t="s">
        <v>53</v>
      </c>
      <c r="R41" s="4">
        <v>0</v>
      </c>
      <c r="S41" s="4">
        <v>0</v>
      </c>
      <c r="T41" s="4">
        <v>13</v>
      </c>
      <c r="U41" s="4">
        <v>0</v>
      </c>
      <c r="V41" s="6">
        <f>IF(ISERROR(VLOOKUP($S$41,'TAR FIN'!$A$1:$O$85,15,0)),0,VLOOKUP($S$41,'TAR FIN'!$A$1:$O$85,15,0))</f>
        <v>0</v>
      </c>
      <c r="W41" s="6">
        <f>IF(ISERROR(VLOOKUP($T$41,'TAR FIN'!$A$1:$O$85,15,0)),0,VLOOKUP($T$41,'TAR FIN'!$A$1:$O$85,15,0))</f>
        <v>78.650000000000006</v>
      </c>
      <c r="X41" s="6">
        <f>IF(ISERROR(VLOOKUP($U$41,'TAR FIN'!$A$1:$O$85,15,0)),0,VLOOKUP($U$41,'TAR FIN'!$A$1:$O$85,15,0))</f>
        <v>0</v>
      </c>
      <c r="Y41" s="6"/>
      <c r="Z41" s="6">
        <f ca="1">('TUSD BE'!$AM$12+'TUSD BF'!$AM$12+'TUSD CVA'!$AM$12)*1</f>
        <v>114.48039155571371</v>
      </c>
      <c r="AA41" s="6"/>
      <c r="AB41" s="6">
        <f t="shared" si="7"/>
        <v>0</v>
      </c>
      <c r="AC41" s="6">
        <f t="shared" si="8"/>
        <v>0</v>
      </c>
      <c r="AD41" s="6">
        <f t="shared" si="9"/>
        <v>0</v>
      </c>
      <c r="AE41" s="6">
        <f t="shared" ca="1" si="10"/>
        <v>0</v>
      </c>
      <c r="AF41" s="4" t="s">
        <v>599</v>
      </c>
    </row>
    <row r="42" spans="1:32" ht="11.25" customHeight="1" x14ac:dyDescent="0.25">
      <c r="A42" s="4" t="s">
        <v>21</v>
      </c>
      <c r="B42" s="4" t="s">
        <v>34</v>
      </c>
      <c r="C42" s="4" t="s">
        <v>35</v>
      </c>
      <c r="D42" s="4" t="s">
        <v>33</v>
      </c>
      <c r="E42" s="4" t="s">
        <v>25</v>
      </c>
      <c r="F42" s="4" t="s">
        <v>52</v>
      </c>
      <c r="G42" s="4" t="s">
        <v>25</v>
      </c>
      <c r="H42" s="4" t="s">
        <v>37</v>
      </c>
      <c r="I42" s="5">
        <v>44501</v>
      </c>
      <c r="J42" s="6">
        <v>0</v>
      </c>
      <c r="K42" s="6">
        <v>0</v>
      </c>
      <c r="L42" s="6">
        <v>204.29</v>
      </c>
      <c r="M42" s="6">
        <v>204.29</v>
      </c>
      <c r="N42" s="6">
        <v>0</v>
      </c>
      <c r="O42" s="6">
        <v>0</v>
      </c>
      <c r="P42" s="6">
        <v>0</v>
      </c>
      <c r="Q42" s="4" t="s">
        <v>53</v>
      </c>
      <c r="R42" s="4">
        <v>0</v>
      </c>
      <c r="S42" s="4">
        <v>0</v>
      </c>
      <c r="T42" s="4">
        <v>13</v>
      </c>
      <c r="U42" s="4">
        <v>0</v>
      </c>
      <c r="V42" s="6">
        <f>IF(ISERROR(VLOOKUP($S$42,'TAR FIN'!$A$1:$O$85,15,0)),0,VLOOKUP($S$42,'TAR FIN'!$A$1:$O$85,15,0))</f>
        <v>0</v>
      </c>
      <c r="W42" s="6">
        <f>IF(ISERROR(VLOOKUP($T$42,'TAR FIN'!$A$1:$O$85,15,0)),0,VLOOKUP($T$42,'TAR FIN'!$A$1:$O$85,15,0))</f>
        <v>78.650000000000006</v>
      </c>
      <c r="X42" s="6">
        <f>IF(ISERROR(VLOOKUP($U$42,'TAR FIN'!$A$1:$O$85,15,0)),0,VLOOKUP($U$42,'TAR FIN'!$A$1:$O$85,15,0))</f>
        <v>0</v>
      </c>
      <c r="Y42" s="6"/>
      <c r="Z42" s="6">
        <f ca="1">('TUSD BE'!$AM$12+'TUSD BF'!$AM$12+'TUSD CVA'!$AM$12)*1</f>
        <v>114.48039155571371</v>
      </c>
      <c r="AA42" s="6"/>
      <c r="AB42" s="6">
        <f t="shared" si="7"/>
        <v>0</v>
      </c>
      <c r="AC42" s="6">
        <f t="shared" si="8"/>
        <v>0</v>
      </c>
      <c r="AD42" s="6">
        <f t="shared" si="9"/>
        <v>0</v>
      </c>
      <c r="AE42" s="6">
        <f t="shared" ca="1" si="10"/>
        <v>0</v>
      </c>
      <c r="AF42" s="4" t="s">
        <v>599</v>
      </c>
    </row>
    <row r="43" spans="1:32" ht="11.25" customHeight="1" x14ac:dyDescent="0.25">
      <c r="A43" s="4" t="s">
        <v>21</v>
      </c>
      <c r="B43" s="4" t="s">
        <v>34</v>
      </c>
      <c r="C43" s="4" t="s">
        <v>35</v>
      </c>
      <c r="D43" s="4" t="s">
        <v>33</v>
      </c>
      <c r="E43" s="4" t="s">
        <v>25</v>
      </c>
      <c r="F43" s="4" t="s">
        <v>52</v>
      </c>
      <c r="G43" s="4" t="s">
        <v>25</v>
      </c>
      <c r="H43" s="4" t="s">
        <v>37</v>
      </c>
      <c r="I43" s="5">
        <v>44531</v>
      </c>
      <c r="J43" s="6">
        <v>0</v>
      </c>
      <c r="K43" s="6">
        <v>0</v>
      </c>
      <c r="L43" s="6">
        <v>141.66499999999999</v>
      </c>
      <c r="M43" s="6">
        <v>141.66499999999999</v>
      </c>
      <c r="N43" s="6">
        <v>0</v>
      </c>
      <c r="O43" s="6">
        <v>0</v>
      </c>
      <c r="P43" s="6">
        <v>0</v>
      </c>
      <c r="Q43" s="4" t="s">
        <v>53</v>
      </c>
      <c r="R43" s="4">
        <v>0</v>
      </c>
      <c r="S43" s="4">
        <v>0</v>
      </c>
      <c r="T43" s="4">
        <v>13</v>
      </c>
      <c r="U43" s="4">
        <v>0</v>
      </c>
      <c r="V43" s="6">
        <f>IF(ISERROR(VLOOKUP($S$43,'TAR FIN'!$A$1:$O$85,15,0)),0,VLOOKUP($S$43,'TAR FIN'!$A$1:$O$85,15,0))</f>
        <v>0</v>
      </c>
      <c r="W43" s="6">
        <f>IF(ISERROR(VLOOKUP($T$43,'TAR FIN'!$A$1:$O$85,15,0)),0,VLOOKUP($T$43,'TAR FIN'!$A$1:$O$85,15,0))</f>
        <v>78.650000000000006</v>
      </c>
      <c r="X43" s="6">
        <f>IF(ISERROR(VLOOKUP($U$43,'TAR FIN'!$A$1:$O$85,15,0)),0,VLOOKUP($U$43,'TAR FIN'!$A$1:$O$85,15,0))</f>
        <v>0</v>
      </c>
      <c r="Y43" s="6"/>
      <c r="Z43" s="6">
        <f ca="1">('TUSD BE'!$AM$12+'TUSD BF'!$AM$12+'TUSD CVA'!$AM$12)*1</f>
        <v>114.48039155571371</v>
      </c>
      <c r="AA43" s="6"/>
      <c r="AB43" s="6">
        <f t="shared" si="7"/>
        <v>0</v>
      </c>
      <c r="AC43" s="6">
        <f t="shared" si="8"/>
        <v>0</v>
      </c>
      <c r="AD43" s="6">
        <f t="shared" si="9"/>
        <v>0</v>
      </c>
      <c r="AE43" s="6">
        <f t="shared" ca="1" si="10"/>
        <v>0</v>
      </c>
      <c r="AF43" s="4" t="s">
        <v>599</v>
      </c>
    </row>
    <row r="44" spans="1:32" ht="11.25" customHeight="1" x14ac:dyDescent="0.25">
      <c r="A44" s="4" t="s">
        <v>21</v>
      </c>
      <c r="B44" s="4" t="s">
        <v>34</v>
      </c>
      <c r="C44" s="4" t="s">
        <v>35</v>
      </c>
      <c r="D44" s="4" t="s">
        <v>33</v>
      </c>
      <c r="E44" s="4" t="s">
        <v>25</v>
      </c>
      <c r="F44" s="4" t="s">
        <v>52</v>
      </c>
      <c r="G44" s="4" t="s">
        <v>25</v>
      </c>
      <c r="H44" s="4" t="s">
        <v>37</v>
      </c>
      <c r="I44" s="5">
        <v>44562</v>
      </c>
      <c r="J44" s="6">
        <v>0</v>
      </c>
      <c r="K44" s="6">
        <v>0</v>
      </c>
      <c r="L44" s="6">
        <v>332.79</v>
      </c>
      <c r="M44" s="6">
        <v>332.79</v>
      </c>
      <c r="N44" s="6">
        <v>0</v>
      </c>
      <c r="O44" s="6">
        <v>0</v>
      </c>
      <c r="P44" s="6">
        <v>0</v>
      </c>
      <c r="Q44" s="4" t="s">
        <v>53</v>
      </c>
      <c r="R44" s="4">
        <v>0</v>
      </c>
      <c r="S44" s="4">
        <v>0</v>
      </c>
      <c r="T44" s="4">
        <v>13</v>
      </c>
      <c r="U44" s="4">
        <v>0</v>
      </c>
      <c r="V44" s="6">
        <f>IF(ISERROR(VLOOKUP($S$44,'TAR FIN'!$A$1:$O$85,15,0)),0,VLOOKUP($S$44,'TAR FIN'!$A$1:$O$85,15,0))</f>
        <v>0</v>
      </c>
      <c r="W44" s="6">
        <f>IF(ISERROR(VLOOKUP($T$44,'TAR FIN'!$A$1:$O$85,15,0)),0,VLOOKUP($T$44,'TAR FIN'!$A$1:$O$85,15,0))</f>
        <v>78.650000000000006</v>
      </c>
      <c r="X44" s="6">
        <f>IF(ISERROR(VLOOKUP($U$44,'TAR FIN'!$A$1:$O$85,15,0)),0,VLOOKUP($U$44,'TAR FIN'!$A$1:$O$85,15,0))</f>
        <v>0</v>
      </c>
      <c r="Y44" s="6"/>
      <c r="Z44" s="6">
        <f ca="1">('TUSD BE'!$AM$12+'TUSD BF'!$AM$12+'TUSD CVA'!$AM$12)*1</f>
        <v>114.48039155571371</v>
      </c>
      <c r="AA44" s="6"/>
      <c r="AB44" s="6">
        <f t="shared" si="7"/>
        <v>0</v>
      </c>
      <c r="AC44" s="6">
        <f t="shared" si="8"/>
        <v>0</v>
      </c>
      <c r="AD44" s="6">
        <f t="shared" si="9"/>
        <v>0</v>
      </c>
      <c r="AE44" s="6">
        <f t="shared" ca="1" si="10"/>
        <v>0</v>
      </c>
      <c r="AF44" s="4" t="s">
        <v>599</v>
      </c>
    </row>
    <row r="45" spans="1:32" ht="11.25" customHeight="1" x14ac:dyDescent="0.25">
      <c r="A45" s="4" t="s">
        <v>21</v>
      </c>
      <c r="B45" s="4" t="s">
        <v>34</v>
      </c>
      <c r="C45" s="4" t="s">
        <v>35</v>
      </c>
      <c r="D45" s="4" t="s">
        <v>33</v>
      </c>
      <c r="E45" s="4" t="s">
        <v>25</v>
      </c>
      <c r="F45" s="4" t="s">
        <v>52</v>
      </c>
      <c r="G45" s="4" t="s">
        <v>25</v>
      </c>
      <c r="H45" s="4" t="s">
        <v>37</v>
      </c>
      <c r="I45" s="5">
        <v>44593</v>
      </c>
      <c r="J45" s="6">
        <v>0</v>
      </c>
      <c r="K45" s="6">
        <v>0</v>
      </c>
      <c r="L45" s="6">
        <v>302.23500000000001</v>
      </c>
      <c r="M45" s="6">
        <v>302.23500000000001</v>
      </c>
      <c r="N45" s="6">
        <v>0</v>
      </c>
      <c r="O45" s="6">
        <v>0</v>
      </c>
      <c r="P45" s="6">
        <v>0</v>
      </c>
      <c r="Q45" s="4" t="s">
        <v>53</v>
      </c>
      <c r="R45" s="4">
        <v>0</v>
      </c>
      <c r="S45" s="4">
        <v>0</v>
      </c>
      <c r="T45" s="4">
        <v>13</v>
      </c>
      <c r="U45" s="4">
        <v>0</v>
      </c>
      <c r="V45" s="6">
        <f>IF(ISERROR(VLOOKUP($S$45,'TAR FIN'!$A$1:$O$85,15,0)),0,VLOOKUP($S$45,'TAR FIN'!$A$1:$O$85,15,0))</f>
        <v>0</v>
      </c>
      <c r="W45" s="6">
        <f>IF(ISERROR(VLOOKUP($T$45,'TAR FIN'!$A$1:$O$85,15,0)),0,VLOOKUP($T$45,'TAR FIN'!$A$1:$O$85,15,0))</f>
        <v>78.650000000000006</v>
      </c>
      <c r="X45" s="6">
        <f>IF(ISERROR(VLOOKUP($U$45,'TAR FIN'!$A$1:$O$85,15,0)),0,VLOOKUP($U$45,'TAR FIN'!$A$1:$O$85,15,0))</f>
        <v>0</v>
      </c>
      <c r="Y45" s="6"/>
      <c r="Z45" s="6">
        <f ca="1">('TUSD BE'!$AM$12+'TUSD BF'!$AM$12+'TUSD CVA'!$AM$12)*1</f>
        <v>114.48039155571371</v>
      </c>
      <c r="AA45" s="6"/>
      <c r="AB45" s="6">
        <f t="shared" si="7"/>
        <v>0</v>
      </c>
      <c r="AC45" s="6">
        <f t="shared" si="8"/>
        <v>0</v>
      </c>
      <c r="AD45" s="6">
        <f t="shared" si="9"/>
        <v>0</v>
      </c>
      <c r="AE45" s="6">
        <f t="shared" ca="1" si="10"/>
        <v>0</v>
      </c>
      <c r="AF45" s="4" t="s">
        <v>599</v>
      </c>
    </row>
    <row r="46" spans="1:32" ht="11.25" customHeight="1" x14ac:dyDescent="0.25">
      <c r="A46" s="4" t="s">
        <v>21</v>
      </c>
      <c r="B46" s="4" t="s">
        <v>34</v>
      </c>
      <c r="C46" s="4" t="s">
        <v>35</v>
      </c>
      <c r="D46" s="4" t="s">
        <v>33</v>
      </c>
      <c r="E46" s="4" t="s">
        <v>25</v>
      </c>
      <c r="F46" s="4" t="s">
        <v>52</v>
      </c>
      <c r="G46" s="4" t="s">
        <v>25</v>
      </c>
      <c r="H46" s="4" t="s">
        <v>37</v>
      </c>
      <c r="I46" s="5">
        <v>44621</v>
      </c>
      <c r="J46" s="6">
        <v>0</v>
      </c>
      <c r="K46" s="6">
        <v>0</v>
      </c>
      <c r="L46" s="6">
        <v>346.10300000000001</v>
      </c>
      <c r="M46" s="6">
        <v>346.10300000000001</v>
      </c>
      <c r="N46" s="6">
        <v>0</v>
      </c>
      <c r="O46" s="6">
        <v>0</v>
      </c>
      <c r="P46" s="6">
        <v>0</v>
      </c>
      <c r="Q46" s="4" t="s">
        <v>53</v>
      </c>
      <c r="R46" s="4">
        <v>0</v>
      </c>
      <c r="S46" s="4">
        <v>0</v>
      </c>
      <c r="T46" s="4">
        <v>13</v>
      </c>
      <c r="U46" s="4">
        <v>0</v>
      </c>
      <c r="V46" s="6">
        <f>IF(ISERROR(VLOOKUP($S$46,'TAR FIN'!$A$1:$O$85,15,0)),0,VLOOKUP($S$46,'TAR FIN'!$A$1:$O$85,15,0))</f>
        <v>0</v>
      </c>
      <c r="W46" s="6">
        <f>IF(ISERROR(VLOOKUP($T$46,'TAR FIN'!$A$1:$O$85,15,0)),0,VLOOKUP($T$46,'TAR FIN'!$A$1:$O$85,15,0))</f>
        <v>78.650000000000006</v>
      </c>
      <c r="X46" s="6">
        <f>IF(ISERROR(VLOOKUP($U$46,'TAR FIN'!$A$1:$O$85,15,0)),0,VLOOKUP($U$46,'TAR FIN'!$A$1:$O$85,15,0))</f>
        <v>0</v>
      </c>
      <c r="Y46" s="6"/>
      <c r="Z46" s="6">
        <f ca="1">('TUSD BE'!$AM$12+'TUSD BF'!$AM$12+'TUSD CVA'!$AM$12)*1</f>
        <v>114.48039155571371</v>
      </c>
      <c r="AA46" s="6"/>
      <c r="AB46" s="6">
        <f t="shared" si="7"/>
        <v>0</v>
      </c>
      <c r="AC46" s="6">
        <f t="shared" si="8"/>
        <v>0</v>
      </c>
      <c r="AD46" s="6">
        <f t="shared" si="9"/>
        <v>0</v>
      </c>
      <c r="AE46" s="6">
        <f t="shared" ca="1" si="10"/>
        <v>0</v>
      </c>
      <c r="AF46" s="4" t="s">
        <v>599</v>
      </c>
    </row>
    <row r="47" spans="1:32" ht="11.25" customHeight="1" x14ac:dyDescent="0.25">
      <c r="A47" s="4" t="s">
        <v>21</v>
      </c>
      <c r="B47" s="4" t="s">
        <v>34</v>
      </c>
      <c r="C47" s="4" t="s">
        <v>35</v>
      </c>
      <c r="D47" s="4" t="s">
        <v>33</v>
      </c>
      <c r="E47" s="4" t="s">
        <v>25</v>
      </c>
      <c r="F47" s="4" t="s">
        <v>52</v>
      </c>
      <c r="G47" s="4" t="s">
        <v>25</v>
      </c>
      <c r="H47" s="4" t="s">
        <v>37</v>
      </c>
      <c r="I47" s="5">
        <v>44652</v>
      </c>
      <c r="J47" s="6">
        <v>0</v>
      </c>
      <c r="K47" s="6">
        <v>0</v>
      </c>
      <c r="L47" s="6">
        <v>285.63600000000002</v>
      </c>
      <c r="M47" s="6">
        <v>285.63600000000002</v>
      </c>
      <c r="N47" s="6">
        <v>0</v>
      </c>
      <c r="O47" s="6">
        <v>0</v>
      </c>
      <c r="P47" s="6">
        <v>0</v>
      </c>
      <c r="Q47" s="4" t="s">
        <v>53</v>
      </c>
      <c r="R47" s="4">
        <v>0</v>
      </c>
      <c r="S47" s="4">
        <v>0</v>
      </c>
      <c r="T47" s="4">
        <v>13</v>
      </c>
      <c r="U47" s="4">
        <v>0</v>
      </c>
      <c r="V47" s="6">
        <f>IF(ISERROR(VLOOKUP($S$47,'TAR FIN'!$A$1:$O$85,15,0)),0,VLOOKUP($S$47,'TAR FIN'!$A$1:$O$85,15,0))</f>
        <v>0</v>
      </c>
      <c r="W47" s="6">
        <f>IF(ISERROR(VLOOKUP($T$47,'TAR FIN'!$A$1:$O$85,15,0)),0,VLOOKUP($T$47,'TAR FIN'!$A$1:$O$85,15,0))</f>
        <v>78.650000000000006</v>
      </c>
      <c r="X47" s="6">
        <f>IF(ISERROR(VLOOKUP($U$47,'TAR FIN'!$A$1:$O$85,15,0)),0,VLOOKUP($U$47,'TAR FIN'!$A$1:$O$85,15,0))</f>
        <v>0</v>
      </c>
      <c r="Y47" s="6"/>
      <c r="Z47" s="6">
        <f ca="1">('TUSD BE'!$AM$12+'TUSD BF'!$AM$12+'TUSD CVA'!$AM$12)*1</f>
        <v>114.48039155571371</v>
      </c>
      <c r="AA47" s="6"/>
      <c r="AB47" s="6">
        <f t="shared" si="7"/>
        <v>0</v>
      </c>
      <c r="AC47" s="6">
        <f t="shared" si="8"/>
        <v>0</v>
      </c>
      <c r="AD47" s="6">
        <f t="shared" si="9"/>
        <v>0</v>
      </c>
      <c r="AE47" s="6">
        <f t="shared" ca="1" si="10"/>
        <v>0</v>
      </c>
      <c r="AF47" s="4" t="s">
        <v>599</v>
      </c>
    </row>
    <row r="48" spans="1:32" ht="11.25" customHeight="1" x14ac:dyDescent="0.25">
      <c r="A48" s="4" t="s">
        <v>21</v>
      </c>
      <c r="B48" s="4" t="s">
        <v>34</v>
      </c>
      <c r="C48" s="4" t="s">
        <v>35</v>
      </c>
      <c r="D48" s="4" t="s">
        <v>33</v>
      </c>
      <c r="E48" s="4" t="s">
        <v>25</v>
      </c>
      <c r="F48" s="4" t="s">
        <v>52</v>
      </c>
      <c r="G48" s="4" t="s">
        <v>25</v>
      </c>
      <c r="H48" s="4" t="s">
        <v>37</v>
      </c>
      <c r="I48" s="5">
        <v>44682</v>
      </c>
      <c r="J48" s="6">
        <v>0</v>
      </c>
      <c r="K48" s="6">
        <v>0</v>
      </c>
      <c r="L48" s="6">
        <v>303.78500000000003</v>
      </c>
      <c r="M48" s="6">
        <v>303.78500000000003</v>
      </c>
      <c r="N48" s="6">
        <v>0</v>
      </c>
      <c r="O48" s="6">
        <v>0</v>
      </c>
      <c r="P48" s="6">
        <v>0</v>
      </c>
      <c r="Q48" s="4" t="s">
        <v>53</v>
      </c>
      <c r="R48" s="4">
        <v>0</v>
      </c>
      <c r="S48" s="4">
        <v>0</v>
      </c>
      <c r="T48" s="4">
        <v>13</v>
      </c>
      <c r="U48" s="4">
        <v>0</v>
      </c>
      <c r="V48" s="6">
        <f>IF(ISERROR(VLOOKUP($S$48,'TAR FIN'!$A$1:$O$85,15,0)),0,VLOOKUP($S$48,'TAR FIN'!$A$1:$O$85,15,0))</f>
        <v>0</v>
      </c>
      <c r="W48" s="6">
        <f>IF(ISERROR(VLOOKUP($T$48,'TAR FIN'!$A$1:$O$85,15,0)),0,VLOOKUP($T$48,'TAR FIN'!$A$1:$O$85,15,0))</f>
        <v>78.650000000000006</v>
      </c>
      <c r="X48" s="6">
        <f>IF(ISERROR(VLOOKUP($U$48,'TAR FIN'!$A$1:$O$85,15,0)),0,VLOOKUP($U$48,'TAR FIN'!$A$1:$O$85,15,0))</f>
        <v>0</v>
      </c>
      <c r="Y48" s="6"/>
      <c r="Z48" s="6">
        <f ca="1">('TUSD BE'!$AM$12+'TUSD BF'!$AM$12+'TUSD CVA'!$AM$12)*1</f>
        <v>114.48039155571371</v>
      </c>
      <c r="AA48" s="6"/>
      <c r="AB48" s="6">
        <f t="shared" si="7"/>
        <v>0</v>
      </c>
      <c r="AC48" s="6">
        <f t="shared" si="8"/>
        <v>0</v>
      </c>
      <c r="AD48" s="6">
        <f t="shared" si="9"/>
        <v>0</v>
      </c>
      <c r="AE48" s="6">
        <f t="shared" ca="1" si="10"/>
        <v>0</v>
      </c>
      <c r="AF48" s="4" t="s">
        <v>599</v>
      </c>
    </row>
    <row r="49" spans="1:32" ht="11.25" customHeight="1" x14ac:dyDescent="0.25">
      <c r="A49" s="4" t="s">
        <v>21</v>
      </c>
      <c r="B49" s="4" t="s">
        <v>34</v>
      </c>
      <c r="C49" s="4" t="s">
        <v>35</v>
      </c>
      <c r="D49" s="4" t="s">
        <v>33</v>
      </c>
      <c r="E49" s="4" t="s">
        <v>25</v>
      </c>
      <c r="F49" s="4" t="s">
        <v>52</v>
      </c>
      <c r="G49" s="4" t="s">
        <v>25</v>
      </c>
      <c r="H49" s="4" t="s">
        <v>37</v>
      </c>
      <c r="I49" s="5">
        <v>44713</v>
      </c>
      <c r="J49" s="6">
        <v>0</v>
      </c>
      <c r="K49" s="6">
        <v>0</v>
      </c>
      <c r="L49" s="6">
        <v>301.58699999999999</v>
      </c>
      <c r="M49" s="6">
        <v>301.58699999999999</v>
      </c>
      <c r="N49" s="6">
        <v>0</v>
      </c>
      <c r="O49" s="6">
        <v>0</v>
      </c>
      <c r="P49" s="6">
        <v>0</v>
      </c>
      <c r="Q49" s="4" t="s">
        <v>53</v>
      </c>
      <c r="R49" s="4">
        <v>0</v>
      </c>
      <c r="S49" s="4">
        <v>0</v>
      </c>
      <c r="T49" s="4">
        <v>13</v>
      </c>
      <c r="U49" s="4">
        <v>0</v>
      </c>
      <c r="V49" s="6">
        <f>IF(ISERROR(VLOOKUP($S$49,'TAR FIN'!$A$1:$O$85,15,0)),0,VLOOKUP($S$49,'TAR FIN'!$A$1:$O$85,15,0))</f>
        <v>0</v>
      </c>
      <c r="W49" s="6">
        <f>IF(ISERROR(VLOOKUP($T$49,'TAR FIN'!$A$1:$O$85,15,0)),0,VLOOKUP($T$49,'TAR FIN'!$A$1:$O$85,15,0))</f>
        <v>78.650000000000006</v>
      </c>
      <c r="X49" s="6">
        <f>IF(ISERROR(VLOOKUP($U$49,'TAR FIN'!$A$1:$O$85,15,0)),0,VLOOKUP($U$49,'TAR FIN'!$A$1:$O$85,15,0))</f>
        <v>0</v>
      </c>
      <c r="Y49" s="6"/>
      <c r="Z49" s="6">
        <f ca="1">('TUSD BE'!$AM$12+'TUSD BF'!$AM$12+'TUSD CVA'!$AM$12)*1</f>
        <v>114.48039155571371</v>
      </c>
      <c r="AA49" s="6"/>
      <c r="AB49" s="6">
        <f t="shared" si="7"/>
        <v>0</v>
      </c>
      <c r="AC49" s="6">
        <f t="shared" si="8"/>
        <v>0</v>
      </c>
      <c r="AD49" s="6">
        <f t="shared" si="9"/>
        <v>0</v>
      </c>
      <c r="AE49" s="6">
        <f t="shared" ca="1" si="10"/>
        <v>0</v>
      </c>
      <c r="AF49" s="4" t="s">
        <v>599</v>
      </c>
    </row>
    <row r="50" spans="1:32" ht="11.25" customHeight="1" x14ac:dyDescent="0.25">
      <c r="A50" s="4" t="s">
        <v>21</v>
      </c>
      <c r="B50" s="4" t="s">
        <v>34</v>
      </c>
      <c r="C50" s="4" t="s">
        <v>35</v>
      </c>
      <c r="D50" s="4" t="s">
        <v>33</v>
      </c>
      <c r="E50" s="4" t="s">
        <v>25</v>
      </c>
      <c r="F50" s="4" t="s">
        <v>52</v>
      </c>
      <c r="G50" s="4" t="s">
        <v>25</v>
      </c>
      <c r="H50" s="4" t="s">
        <v>25</v>
      </c>
      <c r="I50" s="5">
        <v>44378</v>
      </c>
      <c r="J50" s="6">
        <v>750</v>
      </c>
      <c r="K50" s="6">
        <v>376.36172249999998</v>
      </c>
      <c r="L50" s="6">
        <v>0</v>
      </c>
      <c r="M50" s="6">
        <v>0</v>
      </c>
      <c r="N50" s="6">
        <v>0</v>
      </c>
      <c r="O50" s="6">
        <v>0</v>
      </c>
      <c r="P50" s="6">
        <v>1</v>
      </c>
      <c r="Q50" s="4" t="s">
        <v>53</v>
      </c>
      <c r="R50" s="4">
        <v>0</v>
      </c>
      <c r="S50" s="4">
        <v>36</v>
      </c>
      <c r="T50" s="4">
        <v>0</v>
      </c>
      <c r="U50" s="4">
        <v>0</v>
      </c>
      <c r="V50" s="6">
        <f>IF(ISERROR(VLOOKUP($S$50,'TAR FIN'!$A$1:$O$85,15,0)),0,VLOOKUP($S$50,'TAR FIN'!$A$1:$O$85,15,0))</f>
        <v>14.94</v>
      </c>
      <c r="W50" s="6">
        <f>IF(ISERROR(VLOOKUP($T$50,'TAR FIN'!$A$1:$O$85,15,0)),0,VLOOKUP($T$50,'TAR FIN'!$A$1:$O$85,15,0))</f>
        <v>0</v>
      </c>
      <c r="X50" s="6">
        <f>IF(ISERROR(VLOOKUP($U$50,'TAR FIN'!$A$1:$O$85,15,0)),0,VLOOKUP($U$50,'TAR FIN'!$A$1:$O$85,15,0))</f>
        <v>0</v>
      </c>
      <c r="Y50" s="6">
        <f ca="1">('TUSD BE'!$AM$10+'TUSD BF'!$AM$10+'TUSD CVA'!$AM$10)*1</f>
        <v>19.63429077280307</v>
      </c>
      <c r="Z50" s="6"/>
      <c r="AA50" s="6"/>
      <c r="AB50" s="6">
        <f t="shared" si="7"/>
        <v>5582.1558658499998</v>
      </c>
      <c r="AC50" s="6">
        <f t="shared" si="8"/>
        <v>0</v>
      </c>
      <c r="AD50" s="6">
        <f t="shared" ca="1" si="9"/>
        <v>7336.1225842842832</v>
      </c>
      <c r="AE50" s="6">
        <f t="shared" si="10"/>
        <v>0</v>
      </c>
      <c r="AF50" s="4" t="s">
        <v>599</v>
      </c>
    </row>
    <row r="51" spans="1:32" ht="11.25" customHeight="1" x14ac:dyDescent="0.25">
      <c r="A51" s="4" t="s">
        <v>21</v>
      </c>
      <c r="B51" s="4" t="s">
        <v>34</v>
      </c>
      <c r="C51" s="4" t="s">
        <v>35</v>
      </c>
      <c r="D51" s="4" t="s">
        <v>33</v>
      </c>
      <c r="E51" s="4" t="s">
        <v>25</v>
      </c>
      <c r="F51" s="4" t="s">
        <v>52</v>
      </c>
      <c r="G51" s="4" t="s">
        <v>25</v>
      </c>
      <c r="H51" s="4" t="s">
        <v>25</v>
      </c>
      <c r="I51" s="5">
        <v>44409</v>
      </c>
      <c r="J51" s="6">
        <v>750</v>
      </c>
      <c r="K51" s="6">
        <v>376.08338250000003</v>
      </c>
      <c r="L51" s="6">
        <v>0</v>
      </c>
      <c r="M51" s="6">
        <v>0</v>
      </c>
      <c r="N51" s="6">
        <v>0</v>
      </c>
      <c r="O51" s="6">
        <v>0</v>
      </c>
      <c r="P51" s="6">
        <v>1</v>
      </c>
      <c r="Q51" s="4" t="s">
        <v>53</v>
      </c>
      <c r="R51" s="4">
        <v>0</v>
      </c>
      <c r="S51" s="4">
        <v>36</v>
      </c>
      <c r="T51" s="4">
        <v>0</v>
      </c>
      <c r="U51" s="4">
        <v>0</v>
      </c>
      <c r="V51" s="6">
        <f>IF(ISERROR(VLOOKUP($S$51,'TAR FIN'!$A$1:$O$85,15,0)),0,VLOOKUP($S$51,'TAR FIN'!$A$1:$O$85,15,0))</f>
        <v>14.94</v>
      </c>
      <c r="W51" s="6">
        <f>IF(ISERROR(VLOOKUP($T$51,'TAR FIN'!$A$1:$O$85,15,0)),0,VLOOKUP($T$51,'TAR FIN'!$A$1:$O$85,15,0))</f>
        <v>0</v>
      </c>
      <c r="X51" s="6">
        <f>IF(ISERROR(VLOOKUP($U$51,'TAR FIN'!$A$1:$O$85,15,0)),0,VLOOKUP($U$51,'TAR FIN'!$A$1:$O$85,15,0))</f>
        <v>0</v>
      </c>
      <c r="Y51" s="6">
        <f ca="1">('TUSD BE'!$AM$10+'TUSD BF'!$AM$10+'TUSD CVA'!$AM$10)*1</f>
        <v>19.63429077280307</v>
      </c>
      <c r="Z51" s="6"/>
      <c r="AA51" s="6"/>
      <c r="AB51" s="6">
        <f t="shared" si="7"/>
        <v>5586.3142654499998</v>
      </c>
      <c r="AC51" s="6">
        <f t="shared" si="8"/>
        <v>0</v>
      </c>
      <c r="AD51" s="6">
        <f t="shared" ca="1" si="9"/>
        <v>7341.5875927779844</v>
      </c>
      <c r="AE51" s="6">
        <f t="shared" si="10"/>
        <v>0</v>
      </c>
      <c r="AF51" s="4" t="s">
        <v>599</v>
      </c>
    </row>
    <row r="52" spans="1:32" ht="11.25" customHeight="1" x14ac:dyDescent="0.25">
      <c r="A52" s="4" t="s">
        <v>21</v>
      </c>
      <c r="B52" s="4" t="s">
        <v>34</v>
      </c>
      <c r="C52" s="4" t="s">
        <v>35</v>
      </c>
      <c r="D52" s="4" t="s">
        <v>33</v>
      </c>
      <c r="E52" s="4" t="s">
        <v>25</v>
      </c>
      <c r="F52" s="4" t="s">
        <v>52</v>
      </c>
      <c r="G52" s="4" t="s">
        <v>25</v>
      </c>
      <c r="H52" s="4" t="s">
        <v>25</v>
      </c>
      <c r="I52" s="5">
        <v>44440</v>
      </c>
      <c r="J52" s="6">
        <v>700</v>
      </c>
      <c r="K52" s="6">
        <v>352.28124400000002</v>
      </c>
      <c r="L52" s="6">
        <v>0</v>
      </c>
      <c r="M52" s="6">
        <v>0</v>
      </c>
      <c r="N52" s="6">
        <v>0</v>
      </c>
      <c r="O52" s="6">
        <v>0</v>
      </c>
      <c r="P52" s="6">
        <v>1</v>
      </c>
      <c r="Q52" s="4" t="s">
        <v>53</v>
      </c>
      <c r="R52" s="4">
        <v>0</v>
      </c>
      <c r="S52" s="4">
        <v>36</v>
      </c>
      <c r="T52" s="4">
        <v>0</v>
      </c>
      <c r="U52" s="4">
        <v>0</v>
      </c>
      <c r="V52" s="6">
        <f>IF(ISERROR(VLOOKUP($S$52,'TAR FIN'!$A$1:$O$85,15,0)),0,VLOOKUP($S$52,'TAR FIN'!$A$1:$O$85,15,0))</f>
        <v>14.94</v>
      </c>
      <c r="W52" s="6">
        <f>IF(ISERROR(VLOOKUP($T$52,'TAR FIN'!$A$1:$O$85,15,0)),0,VLOOKUP($T$52,'TAR FIN'!$A$1:$O$85,15,0))</f>
        <v>0</v>
      </c>
      <c r="X52" s="6">
        <f>IF(ISERROR(VLOOKUP($U$52,'TAR FIN'!$A$1:$O$85,15,0)),0,VLOOKUP($U$52,'TAR FIN'!$A$1:$O$85,15,0))</f>
        <v>0</v>
      </c>
      <c r="Y52" s="6">
        <f ca="1">('TUSD BE'!$AM$10+'TUSD BF'!$AM$10+'TUSD CVA'!$AM$10)*1</f>
        <v>19.63429077280307</v>
      </c>
      <c r="Z52" s="6"/>
      <c r="AA52" s="6"/>
      <c r="AB52" s="6">
        <f t="shared" si="7"/>
        <v>5194.9182146399999</v>
      </c>
      <c r="AC52" s="6">
        <f t="shared" si="8"/>
        <v>0</v>
      </c>
      <c r="AD52" s="6">
        <f t="shared" ca="1" si="9"/>
        <v>6827.2111624613617</v>
      </c>
      <c r="AE52" s="6">
        <f t="shared" si="10"/>
        <v>0</v>
      </c>
      <c r="AF52" s="4" t="s">
        <v>599</v>
      </c>
    </row>
    <row r="53" spans="1:32" ht="11.25" customHeight="1" x14ac:dyDescent="0.25">
      <c r="A53" s="4" t="s">
        <v>21</v>
      </c>
      <c r="B53" s="4" t="s">
        <v>34</v>
      </c>
      <c r="C53" s="4" t="s">
        <v>35</v>
      </c>
      <c r="D53" s="4" t="s">
        <v>33</v>
      </c>
      <c r="E53" s="4" t="s">
        <v>25</v>
      </c>
      <c r="F53" s="4" t="s">
        <v>52</v>
      </c>
      <c r="G53" s="4" t="s">
        <v>25</v>
      </c>
      <c r="H53" s="4" t="s">
        <v>25</v>
      </c>
      <c r="I53" s="5">
        <v>44470</v>
      </c>
      <c r="J53" s="6">
        <v>708</v>
      </c>
      <c r="K53" s="6">
        <v>355.96836036000002</v>
      </c>
      <c r="L53" s="6">
        <v>0</v>
      </c>
      <c r="M53" s="6">
        <v>0</v>
      </c>
      <c r="N53" s="6">
        <v>0</v>
      </c>
      <c r="O53" s="6">
        <v>0</v>
      </c>
      <c r="P53" s="6">
        <v>1</v>
      </c>
      <c r="Q53" s="4" t="s">
        <v>53</v>
      </c>
      <c r="R53" s="4">
        <v>0</v>
      </c>
      <c r="S53" s="4">
        <v>36</v>
      </c>
      <c r="T53" s="4">
        <v>0</v>
      </c>
      <c r="U53" s="4">
        <v>0</v>
      </c>
      <c r="V53" s="6">
        <f>IF(ISERROR(VLOOKUP($S$53,'TAR FIN'!$A$1:$O$85,15,0)),0,VLOOKUP($S$53,'TAR FIN'!$A$1:$O$85,15,0))</f>
        <v>14.94</v>
      </c>
      <c r="W53" s="6">
        <f>IF(ISERROR(VLOOKUP($T$53,'TAR FIN'!$A$1:$O$85,15,0)),0,VLOOKUP($T$53,'TAR FIN'!$A$1:$O$85,15,0))</f>
        <v>0</v>
      </c>
      <c r="X53" s="6">
        <f>IF(ISERROR(VLOOKUP($U$53,'TAR FIN'!$A$1:$O$85,15,0)),0,VLOOKUP($U$53,'TAR FIN'!$A$1:$O$85,15,0))</f>
        <v>0</v>
      </c>
      <c r="Y53" s="6">
        <f ca="1">('TUSD BE'!$AM$10+'TUSD BF'!$AM$10+'TUSD CVA'!$AM$10)*1</f>
        <v>19.63429077280307</v>
      </c>
      <c r="Z53" s="6"/>
      <c r="AA53" s="6"/>
      <c r="AB53" s="6">
        <f t="shared" si="7"/>
        <v>5259.3526962215992</v>
      </c>
      <c r="AC53" s="6">
        <f t="shared" si="8"/>
        <v>0</v>
      </c>
      <c r="AD53" s="6">
        <f t="shared" ca="1" si="9"/>
        <v>6911.8915739183867</v>
      </c>
      <c r="AE53" s="6">
        <f t="shared" si="10"/>
        <v>0</v>
      </c>
      <c r="AF53" s="4" t="s">
        <v>599</v>
      </c>
    </row>
    <row r="54" spans="1:32" ht="11.25" customHeight="1" x14ac:dyDescent="0.25">
      <c r="A54" s="4" t="s">
        <v>21</v>
      </c>
      <c r="B54" s="4" t="s">
        <v>34</v>
      </c>
      <c r="C54" s="4" t="s">
        <v>35</v>
      </c>
      <c r="D54" s="4" t="s">
        <v>33</v>
      </c>
      <c r="E54" s="4" t="s">
        <v>25</v>
      </c>
      <c r="F54" s="4" t="s">
        <v>52</v>
      </c>
      <c r="G54" s="4" t="s">
        <v>25</v>
      </c>
      <c r="H54" s="4" t="s">
        <v>25</v>
      </c>
      <c r="I54" s="5">
        <v>44501</v>
      </c>
      <c r="J54" s="6">
        <v>703</v>
      </c>
      <c r="K54" s="6">
        <v>382.22738482</v>
      </c>
      <c r="L54" s="6">
        <v>0</v>
      </c>
      <c r="M54" s="6">
        <v>0</v>
      </c>
      <c r="N54" s="6">
        <v>0</v>
      </c>
      <c r="O54" s="6">
        <v>0</v>
      </c>
      <c r="P54" s="6">
        <v>1</v>
      </c>
      <c r="Q54" s="4" t="s">
        <v>53</v>
      </c>
      <c r="R54" s="4">
        <v>0</v>
      </c>
      <c r="S54" s="4">
        <v>36</v>
      </c>
      <c r="T54" s="4">
        <v>0</v>
      </c>
      <c r="U54" s="4">
        <v>0</v>
      </c>
      <c r="V54" s="6">
        <f>IF(ISERROR(VLOOKUP($S$54,'TAR FIN'!$A$1:$O$85,15,0)),0,VLOOKUP($S$54,'TAR FIN'!$A$1:$O$85,15,0))</f>
        <v>14.94</v>
      </c>
      <c r="W54" s="6">
        <f>IF(ISERROR(VLOOKUP($T$54,'TAR FIN'!$A$1:$O$85,15,0)),0,VLOOKUP($T$54,'TAR FIN'!$A$1:$O$85,15,0))</f>
        <v>0</v>
      </c>
      <c r="X54" s="6">
        <f>IF(ISERROR(VLOOKUP($U$54,'TAR FIN'!$A$1:$O$85,15,0)),0,VLOOKUP($U$54,'TAR FIN'!$A$1:$O$85,15,0))</f>
        <v>0</v>
      </c>
      <c r="Y54" s="6">
        <f ca="1">('TUSD BE'!$AM$10+'TUSD BF'!$AM$10+'TUSD CVA'!$AM$10)*1</f>
        <v>19.63429077280307</v>
      </c>
      <c r="Z54" s="6"/>
      <c r="AA54" s="6"/>
      <c r="AB54" s="6">
        <f t="shared" si="7"/>
        <v>4792.3428707891999</v>
      </c>
      <c r="AC54" s="6">
        <f t="shared" si="8"/>
        <v>0</v>
      </c>
      <c r="AD54" s="6">
        <f t="shared" ca="1" si="9"/>
        <v>6298.1427983965841</v>
      </c>
      <c r="AE54" s="6">
        <f t="shared" si="10"/>
        <v>0</v>
      </c>
      <c r="AF54" s="4" t="s">
        <v>599</v>
      </c>
    </row>
    <row r="55" spans="1:32" ht="11.25" customHeight="1" x14ac:dyDescent="0.25">
      <c r="A55" s="4" t="s">
        <v>21</v>
      </c>
      <c r="B55" s="4" t="s">
        <v>34</v>
      </c>
      <c r="C55" s="4" t="s">
        <v>35</v>
      </c>
      <c r="D55" s="4" t="s">
        <v>33</v>
      </c>
      <c r="E55" s="4" t="s">
        <v>25</v>
      </c>
      <c r="F55" s="4" t="s">
        <v>52</v>
      </c>
      <c r="G55" s="4" t="s">
        <v>25</v>
      </c>
      <c r="H55" s="4" t="s">
        <v>25</v>
      </c>
      <c r="I55" s="5">
        <v>44531</v>
      </c>
      <c r="J55" s="6">
        <v>700</v>
      </c>
      <c r="K55" s="6">
        <v>350.86538200000001</v>
      </c>
      <c r="L55" s="6">
        <v>0</v>
      </c>
      <c r="M55" s="6">
        <v>0</v>
      </c>
      <c r="N55" s="6">
        <v>0</v>
      </c>
      <c r="O55" s="6">
        <v>0</v>
      </c>
      <c r="P55" s="6">
        <v>1</v>
      </c>
      <c r="Q55" s="4" t="s">
        <v>53</v>
      </c>
      <c r="R55" s="4">
        <v>0</v>
      </c>
      <c r="S55" s="4">
        <v>36</v>
      </c>
      <c r="T55" s="4">
        <v>0</v>
      </c>
      <c r="U55" s="4">
        <v>0</v>
      </c>
      <c r="V55" s="6">
        <f>IF(ISERROR(VLOOKUP($S$55,'TAR FIN'!$A$1:$O$85,15,0)),0,VLOOKUP($S$55,'TAR FIN'!$A$1:$O$85,15,0))</f>
        <v>14.94</v>
      </c>
      <c r="W55" s="6">
        <f>IF(ISERROR(VLOOKUP($T$55,'TAR FIN'!$A$1:$O$85,15,0)),0,VLOOKUP($T$55,'TAR FIN'!$A$1:$O$85,15,0))</f>
        <v>0</v>
      </c>
      <c r="X55" s="6">
        <f>IF(ISERROR(VLOOKUP($U$55,'TAR FIN'!$A$1:$O$85,15,0)),0,VLOOKUP($U$55,'TAR FIN'!$A$1:$O$85,15,0))</f>
        <v>0</v>
      </c>
      <c r="Y55" s="6">
        <f ca="1">('TUSD BE'!$AM$10+'TUSD BF'!$AM$10+'TUSD CVA'!$AM$10)*1</f>
        <v>19.63429077280307</v>
      </c>
      <c r="Z55" s="6"/>
      <c r="AA55" s="6"/>
      <c r="AB55" s="6">
        <f t="shared" si="7"/>
        <v>5216.0711929199997</v>
      </c>
      <c r="AC55" s="6">
        <f t="shared" si="8"/>
        <v>0</v>
      </c>
      <c r="AD55" s="6">
        <f t="shared" ca="1" si="9"/>
        <v>6855.0106086635242</v>
      </c>
      <c r="AE55" s="6">
        <f t="shared" si="10"/>
        <v>0</v>
      </c>
      <c r="AF55" s="4" t="s">
        <v>599</v>
      </c>
    </row>
    <row r="56" spans="1:32" ht="11.25" customHeight="1" x14ac:dyDescent="0.25">
      <c r="A56" s="4" t="s">
        <v>21</v>
      </c>
      <c r="B56" s="4" t="s">
        <v>34</v>
      </c>
      <c r="C56" s="4" t="s">
        <v>35</v>
      </c>
      <c r="D56" s="4" t="s">
        <v>33</v>
      </c>
      <c r="E56" s="4" t="s">
        <v>25</v>
      </c>
      <c r="F56" s="4" t="s">
        <v>52</v>
      </c>
      <c r="G56" s="4" t="s">
        <v>25</v>
      </c>
      <c r="H56" s="4" t="s">
        <v>25</v>
      </c>
      <c r="I56" s="5">
        <v>44562</v>
      </c>
      <c r="J56" s="6">
        <v>1160</v>
      </c>
      <c r="K56" s="6">
        <v>645.33774240000002</v>
      </c>
      <c r="L56" s="6">
        <v>0</v>
      </c>
      <c r="M56" s="6">
        <v>0</v>
      </c>
      <c r="N56" s="6">
        <v>0</v>
      </c>
      <c r="O56" s="6">
        <v>0</v>
      </c>
      <c r="P56" s="6">
        <v>2</v>
      </c>
      <c r="Q56" s="4" t="s">
        <v>53</v>
      </c>
      <c r="R56" s="4">
        <v>0</v>
      </c>
      <c r="S56" s="4">
        <v>36</v>
      </c>
      <c r="T56" s="4">
        <v>0</v>
      </c>
      <c r="U56" s="4">
        <v>0</v>
      </c>
      <c r="V56" s="6">
        <f>IF(ISERROR(VLOOKUP($S$56,'TAR FIN'!$A$1:$O$85,15,0)),0,VLOOKUP($S$56,'TAR FIN'!$A$1:$O$85,15,0))</f>
        <v>14.94</v>
      </c>
      <c r="W56" s="6">
        <f>IF(ISERROR(VLOOKUP($T$56,'TAR FIN'!$A$1:$O$85,15,0)),0,VLOOKUP($T$56,'TAR FIN'!$A$1:$O$85,15,0))</f>
        <v>0</v>
      </c>
      <c r="X56" s="6">
        <f>IF(ISERROR(VLOOKUP($U$56,'TAR FIN'!$A$1:$O$85,15,0)),0,VLOOKUP($U$56,'TAR FIN'!$A$1:$O$85,15,0))</f>
        <v>0</v>
      </c>
      <c r="Y56" s="6">
        <f ca="1">('TUSD BE'!$AM$10+'TUSD BF'!$AM$10+'TUSD CVA'!$AM$10)*1</f>
        <v>19.63429077280307</v>
      </c>
      <c r="Z56" s="6"/>
      <c r="AA56" s="6"/>
      <c r="AB56" s="6">
        <f t="shared" si="7"/>
        <v>7689.0541285439995</v>
      </c>
      <c r="AC56" s="6">
        <f t="shared" si="8"/>
        <v>0</v>
      </c>
      <c r="AD56" s="6">
        <f t="shared" ca="1" si="9"/>
        <v>10105.028415505676</v>
      </c>
      <c r="AE56" s="6">
        <f t="shared" si="10"/>
        <v>0</v>
      </c>
      <c r="AF56" s="4" t="s">
        <v>599</v>
      </c>
    </row>
    <row r="57" spans="1:32" ht="11.25" customHeight="1" x14ac:dyDescent="0.25">
      <c r="A57" s="4" t="s">
        <v>21</v>
      </c>
      <c r="B57" s="4" t="s">
        <v>34</v>
      </c>
      <c r="C57" s="4" t="s">
        <v>35</v>
      </c>
      <c r="D57" s="4" t="s">
        <v>33</v>
      </c>
      <c r="E57" s="4" t="s">
        <v>25</v>
      </c>
      <c r="F57" s="4" t="s">
        <v>52</v>
      </c>
      <c r="G57" s="4" t="s">
        <v>25</v>
      </c>
      <c r="H57" s="4" t="s">
        <v>25</v>
      </c>
      <c r="I57" s="5">
        <v>44593</v>
      </c>
      <c r="J57" s="6">
        <v>1191</v>
      </c>
      <c r="K57" s="6">
        <v>665.26108613999997</v>
      </c>
      <c r="L57" s="6">
        <v>0</v>
      </c>
      <c r="M57" s="6">
        <v>0</v>
      </c>
      <c r="N57" s="6">
        <v>0</v>
      </c>
      <c r="O57" s="6">
        <v>0</v>
      </c>
      <c r="P57" s="6">
        <v>2</v>
      </c>
      <c r="Q57" s="4" t="s">
        <v>53</v>
      </c>
      <c r="R57" s="4">
        <v>0</v>
      </c>
      <c r="S57" s="4">
        <v>36</v>
      </c>
      <c r="T57" s="4">
        <v>0</v>
      </c>
      <c r="U57" s="4">
        <v>0</v>
      </c>
      <c r="V57" s="6">
        <f>IF(ISERROR(VLOOKUP($S$57,'TAR FIN'!$A$1:$O$85,15,0)),0,VLOOKUP($S$57,'TAR FIN'!$A$1:$O$85,15,0))</f>
        <v>14.94</v>
      </c>
      <c r="W57" s="6">
        <f>IF(ISERROR(VLOOKUP($T$57,'TAR FIN'!$A$1:$O$85,15,0)),0,VLOOKUP($T$57,'TAR FIN'!$A$1:$O$85,15,0))</f>
        <v>0</v>
      </c>
      <c r="X57" s="6">
        <f>IF(ISERROR(VLOOKUP($U$57,'TAR FIN'!$A$1:$O$85,15,0)),0,VLOOKUP($U$57,'TAR FIN'!$A$1:$O$85,15,0))</f>
        <v>0</v>
      </c>
      <c r="Y57" s="6">
        <f ca="1">('TUSD BE'!$AM$10+'TUSD BF'!$AM$10+'TUSD CVA'!$AM$10)*1</f>
        <v>19.63429077280307</v>
      </c>
      <c r="Z57" s="6"/>
      <c r="AA57" s="6"/>
      <c r="AB57" s="6">
        <f t="shared" si="7"/>
        <v>7854.5393730684</v>
      </c>
      <c r="AC57" s="6">
        <f t="shared" si="8"/>
        <v>0</v>
      </c>
      <c r="AD57" s="6">
        <f t="shared" ca="1" si="9"/>
        <v>10322.510705304907</v>
      </c>
      <c r="AE57" s="6">
        <f t="shared" si="10"/>
        <v>0</v>
      </c>
      <c r="AF57" s="4" t="s">
        <v>599</v>
      </c>
    </row>
    <row r="58" spans="1:32" ht="11.25" customHeight="1" x14ac:dyDescent="0.25">
      <c r="A58" s="4" t="s">
        <v>21</v>
      </c>
      <c r="B58" s="4" t="s">
        <v>34</v>
      </c>
      <c r="C58" s="4" t="s">
        <v>35</v>
      </c>
      <c r="D58" s="4" t="s">
        <v>33</v>
      </c>
      <c r="E58" s="4" t="s">
        <v>25</v>
      </c>
      <c r="F58" s="4" t="s">
        <v>52</v>
      </c>
      <c r="G58" s="4" t="s">
        <v>25</v>
      </c>
      <c r="H58" s="4" t="s">
        <v>25</v>
      </c>
      <c r="I58" s="5">
        <v>44621</v>
      </c>
      <c r="J58" s="6">
        <v>1174</v>
      </c>
      <c r="K58" s="6">
        <v>623.45041070000002</v>
      </c>
      <c r="L58" s="6">
        <v>0</v>
      </c>
      <c r="M58" s="6">
        <v>0</v>
      </c>
      <c r="N58" s="6">
        <v>0</v>
      </c>
      <c r="O58" s="6">
        <v>0</v>
      </c>
      <c r="P58" s="6">
        <v>2</v>
      </c>
      <c r="Q58" s="4" t="s">
        <v>53</v>
      </c>
      <c r="R58" s="4">
        <v>0</v>
      </c>
      <c r="S58" s="4">
        <v>36</v>
      </c>
      <c r="T58" s="4">
        <v>0</v>
      </c>
      <c r="U58" s="4">
        <v>0</v>
      </c>
      <c r="V58" s="6">
        <f>IF(ISERROR(VLOOKUP($S$58,'TAR FIN'!$A$1:$O$85,15,0)),0,VLOOKUP($S$58,'TAR FIN'!$A$1:$O$85,15,0))</f>
        <v>14.94</v>
      </c>
      <c r="W58" s="6">
        <f>IF(ISERROR(VLOOKUP($T$58,'TAR FIN'!$A$1:$O$85,15,0)),0,VLOOKUP($T$58,'TAR FIN'!$A$1:$O$85,15,0))</f>
        <v>0</v>
      </c>
      <c r="X58" s="6">
        <f>IF(ISERROR(VLOOKUP($U$58,'TAR FIN'!$A$1:$O$85,15,0)),0,VLOOKUP($U$58,'TAR FIN'!$A$1:$O$85,15,0))</f>
        <v>0</v>
      </c>
      <c r="Y58" s="6">
        <f ca="1">('TUSD BE'!$AM$10+'TUSD BF'!$AM$10+'TUSD CVA'!$AM$10)*1</f>
        <v>19.63429077280307</v>
      </c>
      <c r="Z58" s="6"/>
      <c r="AA58" s="6"/>
      <c r="AB58" s="6">
        <f t="shared" si="7"/>
        <v>8225.210864142</v>
      </c>
      <c r="AC58" s="6">
        <f t="shared" si="8"/>
        <v>0</v>
      </c>
      <c r="AD58" s="6">
        <f t="shared" ca="1" si="9"/>
        <v>10809.650721163509</v>
      </c>
      <c r="AE58" s="6">
        <f t="shared" si="10"/>
        <v>0</v>
      </c>
      <c r="AF58" s="4" t="s">
        <v>599</v>
      </c>
    </row>
    <row r="59" spans="1:32" ht="11.25" customHeight="1" x14ac:dyDescent="0.25">
      <c r="A59" s="4" t="s">
        <v>21</v>
      </c>
      <c r="B59" s="4" t="s">
        <v>34</v>
      </c>
      <c r="C59" s="4" t="s">
        <v>35</v>
      </c>
      <c r="D59" s="4" t="s">
        <v>33</v>
      </c>
      <c r="E59" s="4" t="s">
        <v>25</v>
      </c>
      <c r="F59" s="4" t="s">
        <v>52</v>
      </c>
      <c r="G59" s="4" t="s">
        <v>25</v>
      </c>
      <c r="H59" s="4" t="s">
        <v>25</v>
      </c>
      <c r="I59" s="5">
        <v>44652</v>
      </c>
      <c r="J59" s="6">
        <v>1200</v>
      </c>
      <c r="K59" s="6">
        <v>618.96823199999994</v>
      </c>
      <c r="L59" s="6">
        <v>0</v>
      </c>
      <c r="M59" s="6">
        <v>0</v>
      </c>
      <c r="N59" s="6">
        <v>0</v>
      </c>
      <c r="O59" s="6">
        <v>0</v>
      </c>
      <c r="P59" s="6">
        <v>2</v>
      </c>
      <c r="Q59" s="4" t="s">
        <v>53</v>
      </c>
      <c r="R59" s="4">
        <v>0</v>
      </c>
      <c r="S59" s="4">
        <v>36</v>
      </c>
      <c r="T59" s="4">
        <v>0</v>
      </c>
      <c r="U59" s="4">
        <v>0</v>
      </c>
      <c r="V59" s="6">
        <f>IF(ISERROR(VLOOKUP($S$59,'TAR FIN'!$A$1:$O$85,15,0)),0,VLOOKUP($S$59,'TAR FIN'!$A$1:$O$85,15,0))</f>
        <v>14.94</v>
      </c>
      <c r="W59" s="6">
        <f>IF(ISERROR(VLOOKUP($T$59,'TAR FIN'!$A$1:$O$85,15,0)),0,VLOOKUP($T$59,'TAR FIN'!$A$1:$O$85,15,0))</f>
        <v>0</v>
      </c>
      <c r="X59" s="6">
        <f>IF(ISERROR(VLOOKUP($U$59,'TAR FIN'!$A$1:$O$85,15,0)),0,VLOOKUP($U$59,'TAR FIN'!$A$1:$O$85,15,0))</f>
        <v>0</v>
      </c>
      <c r="Y59" s="6">
        <f ca="1">('TUSD BE'!$AM$10+'TUSD BF'!$AM$10+'TUSD CVA'!$AM$10)*1</f>
        <v>19.63429077280307</v>
      </c>
      <c r="Z59" s="6"/>
      <c r="AA59" s="6"/>
      <c r="AB59" s="6">
        <f t="shared" si="7"/>
        <v>8680.6146139200009</v>
      </c>
      <c r="AC59" s="6">
        <f t="shared" si="8"/>
        <v>0</v>
      </c>
      <c r="AD59" s="6">
        <f t="shared" ca="1" si="9"/>
        <v>11408.146681147855</v>
      </c>
      <c r="AE59" s="6">
        <f t="shared" si="10"/>
        <v>0</v>
      </c>
      <c r="AF59" s="4" t="s">
        <v>599</v>
      </c>
    </row>
    <row r="60" spans="1:32" ht="11.25" customHeight="1" x14ac:dyDescent="0.25">
      <c r="A60" s="4" t="s">
        <v>21</v>
      </c>
      <c r="B60" s="4" t="s">
        <v>34</v>
      </c>
      <c r="C60" s="4" t="s">
        <v>35</v>
      </c>
      <c r="D60" s="4" t="s">
        <v>33</v>
      </c>
      <c r="E60" s="4" t="s">
        <v>25</v>
      </c>
      <c r="F60" s="4" t="s">
        <v>52</v>
      </c>
      <c r="G60" s="4" t="s">
        <v>25</v>
      </c>
      <c r="H60" s="4" t="s">
        <v>25</v>
      </c>
      <c r="I60" s="5">
        <v>44682</v>
      </c>
      <c r="J60" s="6">
        <v>1200</v>
      </c>
      <c r="K60" s="6">
        <v>660</v>
      </c>
      <c r="L60" s="6">
        <v>0</v>
      </c>
      <c r="M60" s="6">
        <v>0</v>
      </c>
      <c r="N60" s="6">
        <v>0</v>
      </c>
      <c r="O60" s="6">
        <v>0</v>
      </c>
      <c r="P60" s="6">
        <v>2</v>
      </c>
      <c r="Q60" s="4" t="s">
        <v>53</v>
      </c>
      <c r="R60" s="4">
        <v>0</v>
      </c>
      <c r="S60" s="4">
        <v>36</v>
      </c>
      <c r="T60" s="4">
        <v>0</v>
      </c>
      <c r="U60" s="4">
        <v>0</v>
      </c>
      <c r="V60" s="6">
        <f>IF(ISERROR(VLOOKUP($S$60,'TAR FIN'!$A$1:$O$85,15,0)),0,VLOOKUP($S$60,'TAR FIN'!$A$1:$O$85,15,0))</f>
        <v>14.94</v>
      </c>
      <c r="W60" s="6">
        <f>IF(ISERROR(VLOOKUP($T$60,'TAR FIN'!$A$1:$O$85,15,0)),0,VLOOKUP($T$60,'TAR FIN'!$A$1:$O$85,15,0))</f>
        <v>0</v>
      </c>
      <c r="X60" s="6">
        <f>IF(ISERROR(VLOOKUP($U$60,'TAR FIN'!$A$1:$O$85,15,0)),0,VLOOKUP($U$60,'TAR FIN'!$A$1:$O$85,15,0))</f>
        <v>0</v>
      </c>
      <c r="Y60" s="6">
        <f ca="1">('TUSD BE'!$AM$10+'TUSD BF'!$AM$10+'TUSD CVA'!$AM$10)*1</f>
        <v>19.63429077280307</v>
      </c>
      <c r="Z60" s="6"/>
      <c r="AA60" s="6"/>
      <c r="AB60" s="6">
        <f t="shared" si="7"/>
        <v>8067.5999999999995</v>
      </c>
      <c r="AC60" s="6">
        <f t="shared" si="8"/>
        <v>0</v>
      </c>
      <c r="AD60" s="6">
        <f t="shared" ca="1" si="9"/>
        <v>10602.517017313658</v>
      </c>
      <c r="AE60" s="6">
        <f t="shared" si="10"/>
        <v>0</v>
      </c>
      <c r="AF60" s="4" t="s">
        <v>599</v>
      </c>
    </row>
    <row r="61" spans="1:32" ht="11.25" customHeight="1" x14ac:dyDescent="0.25">
      <c r="A61" s="4" t="s">
        <v>21</v>
      </c>
      <c r="B61" s="4" t="s">
        <v>34</v>
      </c>
      <c r="C61" s="4" t="s">
        <v>35</v>
      </c>
      <c r="D61" s="4" t="s">
        <v>33</v>
      </c>
      <c r="E61" s="4" t="s">
        <v>25</v>
      </c>
      <c r="F61" s="4" t="s">
        <v>52</v>
      </c>
      <c r="G61" s="4" t="s">
        <v>25</v>
      </c>
      <c r="H61" s="4" t="s">
        <v>25</v>
      </c>
      <c r="I61" s="5">
        <v>44713</v>
      </c>
      <c r="J61" s="6">
        <v>1200</v>
      </c>
      <c r="K61" s="6">
        <v>660</v>
      </c>
      <c r="L61" s="6">
        <v>0</v>
      </c>
      <c r="M61" s="6">
        <v>0</v>
      </c>
      <c r="N61" s="6">
        <v>0</v>
      </c>
      <c r="O61" s="6">
        <v>0</v>
      </c>
      <c r="P61" s="6">
        <v>2</v>
      </c>
      <c r="Q61" s="4" t="s">
        <v>53</v>
      </c>
      <c r="R61" s="4">
        <v>0</v>
      </c>
      <c r="S61" s="4">
        <v>36</v>
      </c>
      <c r="T61" s="4">
        <v>0</v>
      </c>
      <c r="U61" s="4">
        <v>0</v>
      </c>
      <c r="V61" s="6">
        <f>IF(ISERROR(VLOOKUP($S$61,'TAR FIN'!$A$1:$O$85,15,0)),0,VLOOKUP($S$61,'TAR FIN'!$A$1:$O$85,15,0))</f>
        <v>14.94</v>
      </c>
      <c r="W61" s="6">
        <f>IF(ISERROR(VLOOKUP($T$61,'TAR FIN'!$A$1:$O$85,15,0)),0,VLOOKUP($T$61,'TAR FIN'!$A$1:$O$85,15,0))</f>
        <v>0</v>
      </c>
      <c r="X61" s="6">
        <f>IF(ISERROR(VLOOKUP($U$61,'TAR FIN'!$A$1:$O$85,15,0)),0,VLOOKUP($U$61,'TAR FIN'!$A$1:$O$85,15,0))</f>
        <v>0</v>
      </c>
      <c r="Y61" s="6">
        <f ca="1">('TUSD BE'!$AM$10+'TUSD BF'!$AM$10+'TUSD CVA'!$AM$10)*1</f>
        <v>19.63429077280307</v>
      </c>
      <c r="Z61" s="6"/>
      <c r="AA61" s="6"/>
      <c r="AB61" s="6">
        <f t="shared" si="7"/>
        <v>8067.5999999999995</v>
      </c>
      <c r="AC61" s="6">
        <f t="shared" si="8"/>
        <v>0</v>
      </c>
      <c r="AD61" s="6">
        <f t="shared" ca="1" si="9"/>
        <v>10602.517017313658</v>
      </c>
      <c r="AE61" s="6">
        <f t="shared" si="10"/>
        <v>0</v>
      </c>
      <c r="AF61" s="4" t="s">
        <v>599</v>
      </c>
    </row>
    <row r="62" spans="1:32" ht="11.25" customHeight="1" x14ac:dyDescent="0.25">
      <c r="A62" s="4" t="s">
        <v>21</v>
      </c>
      <c r="B62" s="4" t="s">
        <v>34</v>
      </c>
      <c r="C62" s="4" t="s">
        <v>35</v>
      </c>
      <c r="D62" s="4" t="s">
        <v>33</v>
      </c>
      <c r="E62" s="4" t="s">
        <v>25</v>
      </c>
      <c r="F62" s="4" t="s">
        <v>52</v>
      </c>
      <c r="G62" s="4" t="s">
        <v>25</v>
      </c>
      <c r="H62" s="4" t="s">
        <v>36</v>
      </c>
      <c r="I62" s="5">
        <v>44378</v>
      </c>
      <c r="J62" s="6">
        <v>0</v>
      </c>
      <c r="K62" s="6">
        <v>0</v>
      </c>
      <c r="L62" s="6">
        <v>27.850999999999999</v>
      </c>
      <c r="M62" s="6">
        <v>15.163322376949999</v>
      </c>
      <c r="N62" s="6">
        <v>0</v>
      </c>
      <c r="O62" s="6">
        <v>0</v>
      </c>
      <c r="P62" s="6">
        <v>0</v>
      </c>
      <c r="Q62" s="4" t="s">
        <v>53</v>
      </c>
      <c r="R62" s="4">
        <v>0</v>
      </c>
      <c r="S62" s="4">
        <v>0</v>
      </c>
      <c r="T62" s="4">
        <v>15</v>
      </c>
      <c r="U62" s="4">
        <v>0</v>
      </c>
      <c r="V62" s="6">
        <f>IF(ISERROR(VLOOKUP($S$62,'TAR FIN'!$A$1:$O$85,15,0)),0,VLOOKUP($S$62,'TAR FIN'!$A$1:$O$85,15,0))</f>
        <v>0</v>
      </c>
      <c r="W62" s="6">
        <f>IF(ISERROR(VLOOKUP($T$62,'TAR FIN'!$A$1:$O$85,15,0)),0,VLOOKUP($T$62,'TAR FIN'!$A$1:$O$85,15,0))</f>
        <v>940.75</v>
      </c>
      <c r="X62" s="6">
        <f>IF(ISERROR(VLOOKUP($U$62,'TAR FIN'!$A$1:$O$85,15,0)),0,VLOOKUP($U$62,'TAR FIN'!$A$1:$O$85,15,0))</f>
        <v>0</v>
      </c>
      <c r="Y62" s="6"/>
      <c r="Z62" s="6">
        <f ca="1">('TUSD BE'!$AM$11+'TUSD BF'!$AM$11+'TUSD CVA'!$AM$11)*1</f>
        <v>966.5081601045739</v>
      </c>
      <c r="AA62" s="6"/>
      <c r="AB62" s="6">
        <f t="shared" si="7"/>
        <v>0</v>
      </c>
      <c r="AC62" s="6">
        <f t="shared" si="8"/>
        <v>11935.932723884287</v>
      </c>
      <c r="AD62" s="6">
        <f t="shared" si="9"/>
        <v>0</v>
      </c>
      <c r="AE62" s="6">
        <f t="shared" ca="1" si="10"/>
        <v>12262.743955454029</v>
      </c>
      <c r="AF62" s="4" t="s">
        <v>599</v>
      </c>
    </row>
    <row r="63" spans="1:32" ht="11.25" customHeight="1" x14ac:dyDescent="0.25">
      <c r="A63" s="4" t="s">
        <v>21</v>
      </c>
      <c r="B63" s="4" t="s">
        <v>34</v>
      </c>
      <c r="C63" s="4" t="s">
        <v>35</v>
      </c>
      <c r="D63" s="4" t="s">
        <v>33</v>
      </c>
      <c r="E63" s="4" t="s">
        <v>25</v>
      </c>
      <c r="F63" s="4" t="s">
        <v>52</v>
      </c>
      <c r="G63" s="4" t="s">
        <v>25</v>
      </c>
      <c r="H63" s="4" t="s">
        <v>36</v>
      </c>
      <c r="I63" s="5">
        <v>44409</v>
      </c>
      <c r="J63" s="6">
        <v>0</v>
      </c>
      <c r="K63" s="6">
        <v>0</v>
      </c>
      <c r="L63" s="6">
        <v>26.913</v>
      </c>
      <c r="M63" s="6">
        <v>14.617136581500001</v>
      </c>
      <c r="N63" s="6">
        <v>0</v>
      </c>
      <c r="O63" s="6">
        <v>0</v>
      </c>
      <c r="P63" s="6">
        <v>0</v>
      </c>
      <c r="Q63" s="4" t="s">
        <v>53</v>
      </c>
      <c r="R63" s="4">
        <v>0</v>
      </c>
      <c r="S63" s="4">
        <v>0</v>
      </c>
      <c r="T63" s="4">
        <v>15</v>
      </c>
      <c r="U63" s="4">
        <v>0</v>
      </c>
      <c r="V63" s="6">
        <f>IF(ISERROR(VLOOKUP($S$63,'TAR FIN'!$A$1:$O$85,15,0)),0,VLOOKUP($S$63,'TAR FIN'!$A$1:$O$85,15,0))</f>
        <v>0</v>
      </c>
      <c r="W63" s="6">
        <f>IF(ISERROR(VLOOKUP($T$63,'TAR FIN'!$A$1:$O$85,15,0)),0,VLOOKUP($T$63,'TAR FIN'!$A$1:$O$85,15,0))</f>
        <v>940.75</v>
      </c>
      <c r="X63" s="6">
        <f>IF(ISERROR(VLOOKUP($U$63,'TAR FIN'!$A$1:$O$85,15,0)),0,VLOOKUP($U$63,'TAR FIN'!$A$1:$O$85,15,0))</f>
        <v>0</v>
      </c>
      <c r="Y63" s="6"/>
      <c r="Z63" s="6">
        <f ca="1">('TUSD BE'!$AM$11+'TUSD BF'!$AM$11+'TUSD CVA'!$AM$11)*1</f>
        <v>966.5081601045739</v>
      </c>
      <c r="AA63" s="6"/>
      <c r="AB63" s="6">
        <f t="shared" si="7"/>
        <v>0</v>
      </c>
      <c r="AC63" s="6">
        <f t="shared" si="8"/>
        <v>11567.333510953875</v>
      </c>
      <c r="AD63" s="6">
        <f t="shared" si="9"/>
        <v>0</v>
      </c>
      <c r="AE63" s="6">
        <f t="shared" ca="1" si="10"/>
        <v>11884.052329511571</v>
      </c>
      <c r="AF63" s="4" t="s">
        <v>599</v>
      </c>
    </row>
    <row r="64" spans="1:32" ht="11.25" customHeight="1" x14ac:dyDescent="0.25">
      <c r="A64" s="4" t="s">
        <v>21</v>
      </c>
      <c r="B64" s="4" t="s">
        <v>34</v>
      </c>
      <c r="C64" s="4" t="s">
        <v>35</v>
      </c>
      <c r="D64" s="4" t="s">
        <v>33</v>
      </c>
      <c r="E64" s="4" t="s">
        <v>25</v>
      </c>
      <c r="F64" s="4" t="s">
        <v>52</v>
      </c>
      <c r="G64" s="4" t="s">
        <v>25</v>
      </c>
      <c r="H64" s="4" t="s">
        <v>36</v>
      </c>
      <c r="I64" s="5">
        <v>44440</v>
      </c>
      <c r="J64" s="6">
        <v>0</v>
      </c>
      <c r="K64" s="6">
        <v>0</v>
      </c>
      <c r="L64" s="6">
        <v>27.526</v>
      </c>
      <c r="M64" s="6">
        <v>14.99584054372</v>
      </c>
      <c r="N64" s="6">
        <v>0</v>
      </c>
      <c r="O64" s="6">
        <v>0</v>
      </c>
      <c r="P64" s="6">
        <v>0</v>
      </c>
      <c r="Q64" s="4" t="s">
        <v>53</v>
      </c>
      <c r="R64" s="4">
        <v>0</v>
      </c>
      <c r="S64" s="4">
        <v>0</v>
      </c>
      <c r="T64" s="4">
        <v>15</v>
      </c>
      <c r="U64" s="4">
        <v>0</v>
      </c>
      <c r="V64" s="6">
        <f>IF(ISERROR(VLOOKUP($S$64,'TAR FIN'!$A$1:$O$85,15,0)),0,VLOOKUP($S$64,'TAR FIN'!$A$1:$O$85,15,0))</f>
        <v>0</v>
      </c>
      <c r="W64" s="6">
        <f>IF(ISERROR(VLOOKUP($T$64,'TAR FIN'!$A$1:$O$85,15,0)),0,VLOOKUP($T$64,'TAR FIN'!$A$1:$O$85,15,0))</f>
        <v>940.75</v>
      </c>
      <c r="X64" s="6">
        <f>IF(ISERROR(VLOOKUP($U$64,'TAR FIN'!$A$1:$O$85,15,0)),0,VLOOKUP($U$64,'TAR FIN'!$A$1:$O$85,15,0))</f>
        <v>0</v>
      </c>
      <c r="Y64" s="6"/>
      <c r="Z64" s="6">
        <f ca="1">('TUSD BE'!$AM$11+'TUSD BF'!$AM$11+'TUSD CVA'!$AM$11)*1</f>
        <v>966.5081601045739</v>
      </c>
      <c r="AA64" s="6"/>
      <c r="AB64" s="6">
        <f t="shared" si="7"/>
        <v>0</v>
      </c>
      <c r="AC64" s="6">
        <f t="shared" si="8"/>
        <v>11787.747508495409</v>
      </c>
      <c r="AD64" s="6">
        <f t="shared" si="9"/>
        <v>0</v>
      </c>
      <c r="AE64" s="6">
        <f t="shared" ca="1" si="10"/>
        <v>12110.50136190611</v>
      </c>
      <c r="AF64" s="4" t="s">
        <v>599</v>
      </c>
    </row>
    <row r="65" spans="1:32" ht="11.25" customHeight="1" x14ac:dyDescent="0.25">
      <c r="A65" s="4" t="s">
        <v>21</v>
      </c>
      <c r="B65" s="4" t="s">
        <v>34</v>
      </c>
      <c r="C65" s="4" t="s">
        <v>35</v>
      </c>
      <c r="D65" s="4" t="s">
        <v>33</v>
      </c>
      <c r="E65" s="4" t="s">
        <v>25</v>
      </c>
      <c r="F65" s="4" t="s">
        <v>52</v>
      </c>
      <c r="G65" s="4" t="s">
        <v>25</v>
      </c>
      <c r="H65" s="4" t="s">
        <v>36</v>
      </c>
      <c r="I65" s="5">
        <v>44470</v>
      </c>
      <c r="J65" s="6">
        <v>0</v>
      </c>
      <c r="K65" s="6">
        <v>0</v>
      </c>
      <c r="L65" s="6">
        <v>27.867999999999999</v>
      </c>
      <c r="M65" s="6">
        <v>15.169931587320001</v>
      </c>
      <c r="N65" s="6">
        <v>0</v>
      </c>
      <c r="O65" s="6">
        <v>0</v>
      </c>
      <c r="P65" s="6">
        <v>0</v>
      </c>
      <c r="Q65" s="4" t="s">
        <v>53</v>
      </c>
      <c r="R65" s="4">
        <v>0</v>
      </c>
      <c r="S65" s="4">
        <v>0</v>
      </c>
      <c r="T65" s="4">
        <v>15</v>
      </c>
      <c r="U65" s="4">
        <v>0</v>
      </c>
      <c r="V65" s="6">
        <f>IF(ISERROR(VLOOKUP($S$65,'TAR FIN'!$A$1:$O$85,15,0)),0,VLOOKUP($S$65,'TAR FIN'!$A$1:$O$85,15,0))</f>
        <v>0</v>
      </c>
      <c r="W65" s="6">
        <f>IF(ISERROR(VLOOKUP($T$65,'TAR FIN'!$A$1:$O$85,15,0)),0,VLOOKUP($T$65,'TAR FIN'!$A$1:$O$85,15,0))</f>
        <v>940.75</v>
      </c>
      <c r="X65" s="6">
        <f>IF(ISERROR(VLOOKUP($U$65,'TAR FIN'!$A$1:$O$85,15,0)),0,VLOOKUP($U$65,'TAR FIN'!$A$1:$O$85,15,0))</f>
        <v>0</v>
      </c>
      <c r="Y65" s="6"/>
      <c r="Z65" s="6">
        <f ca="1">('TUSD BE'!$AM$11+'TUSD BF'!$AM$11+'TUSD CVA'!$AM$11)*1</f>
        <v>966.5081601045739</v>
      </c>
      <c r="AA65" s="6"/>
      <c r="AB65" s="6">
        <f t="shared" si="7"/>
        <v>0</v>
      </c>
      <c r="AC65" s="6">
        <f t="shared" si="8"/>
        <v>11945.707859228707</v>
      </c>
      <c r="AD65" s="6">
        <f t="shared" si="9"/>
        <v>0</v>
      </c>
      <c r="AE65" s="6">
        <f t="shared" ca="1" si="10"/>
        <v>12272.786738421351</v>
      </c>
      <c r="AF65" s="4" t="s">
        <v>599</v>
      </c>
    </row>
    <row r="66" spans="1:32" ht="11.25" customHeight="1" x14ac:dyDescent="0.25">
      <c r="A66" s="4" t="s">
        <v>21</v>
      </c>
      <c r="B66" s="4" t="s">
        <v>34</v>
      </c>
      <c r="C66" s="4" t="s">
        <v>35</v>
      </c>
      <c r="D66" s="4" t="s">
        <v>33</v>
      </c>
      <c r="E66" s="4" t="s">
        <v>25</v>
      </c>
      <c r="F66" s="4" t="s">
        <v>52</v>
      </c>
      <c r="G66" s="4" t="s">
        <v>25</v>
      </c>
      <c r="H66" s="4" t="s">
        <v>36</v>
      </c>
      <c r="I66" s="5">
        <v>44501</v>
      </c>
      <c r="J66" s="6">
        <v>0</v>
      </c>
      <c r="K66" s="6">
        <v>0</v>
      </c>
      <c r="L66" s="6">
        <v>28.105</v>
      </c>
      <c r="M66" s="6">
        <v>14.110991563900001</v>
      </c>
      <c r="N66" s="6">
        <v>0</v>
      </c>
      <c r="O66" s="6">
        <v>0</v>
      </c>
      <c r="P66" s="6">
        <v>0</v>
      </c>
      <c r="Q66" s="4" t="s">
        <v>53</v>
      </c>
      <c r="R66" s="4">
        <v>0</v>
      </c>
      <c r="S66" s="4">
        <v>0</v>
      </c>
      <c r="T66" s="4">
        <v>15</v>
      </c>
      <c r="U66" s="4">
        <v>0</v>
      </c>
      <c r="V66" s="6">
        <f>IF(ISERROR(VLOOKUP($S$66,'TAR FIN'!$A$1:$O$85,15,0)),0,VLOOKUP($S$66,'TAR FIN'!$A$1:$O$85,15,0))</f>
        <v>0</v>
      </c>
      <c r="W66" s="6">
        <f>IF(ISERROR(VLOOKUP($T$66,'TAR FIN'!$A$1:$O$85,15,0)),0,VLOOKUP($T$66,'TAR FIN'!$A$1:$O$85,15,0))</f>
        <v>940.75</v>
      </c>
      <c r="X66" s="6">
        <f>IF(ISERROR(VLOOKUP($U$66,'TAR FIN'!$A$1:$O$85,15,0)),0,VLOOKUP($U$66,'TAR FIN'!$A$1:$O$85,15,0))</f>
        <v>0</v>
      </c>
      <c r="Y66" s="6"/>
      <c r="Z66" s="6">
        <f ca="1">('TUSD BE'!$AM$11+'TUSD BF'!$AM$11+'TUSD CVA'!$AM$11)*1</f>
        <v>966.5081601045739</v>
      </c>
      <c r="AA66" s="6"/>
      <c r="AB66" s="6">
        <f t="shared" ref="AB66:AB97" si="11">(J66-K66)*V66</f>
        <v>0</v>
      </c>
      <c r="AC66" s="6">
        <f t="shared" ref="AC66:AC92" si="12">(L66-M66)*W66+(N66-O66)*X66</f>
        <v>13164.863436261076</v>
      </c>
      <c r="AD66" s="6">
        <f t="shared" ref="AD66:AD97" si="13">(J66-K66)*Y66</f>
        <v>0</v>
      </c>
      <c r="AE66" s="6">
        <f t="shared" ref="AE66:AE92" ca="1" si="14">(L66-M66)*Z66+(N66-O66)*AA66</f>
        <v>13525.323346062896</v>
      </c>
      <c r="AF66" s="4" t="s">
        <v>599</v>
      </c>
    </row>
    <row r="67" spans="1:32" ht="11.25" customHeight="1" x14ac:dyDescent="0.25">
      <c r="A67" s="4" t="s">
        <v>21</v>
      </c>
      <c r="B67" s="4" t="s">
        <v>34</v>
      </c>
      <c r="C67" s="4" t="s">
        <v>35</v>
      </c>
      <c r="D67" s="4" t="s">
        <v>33</v>
      </c>
      <c r="E67" s="4" t="s">
        <v>25</v>
      </c>
      <c r="F67" s="4" t="s">
        <v>52</v>
      </c>
      <c r="G67" s="4" t="s">
        <v>25</v>
      </c>
      <c r="H67" s="4" t="s">
        <v>36</v>
      </c>
      <c r="I67" s="5">
        <v>44531</v>
      </c>
      <c r="J67" s="6">
        <v>0</v>
      </c>
      <c r="K67" s="6">
        <v>0</v>
      </c>
      <c r="L67" s="6">
        <v>18.141999999999999</v>
      </c>
      <c r="M67" s="6">
        <v>9.8499206017199992</v>
      </c>
      <c r="N67" s="6">
        <v>0</v>
      </c>
      <c r="O67" s="6">
        <v>0</v>
      </c>
      <c r="P67" s="6">
        <v>0</v>
      </c>
      <c r="Q67" s="4" t="s">
        <v>53</v>
      </c>
      <c r="R67" s="4">
        <v>0</v>
      </c>
      <c r="S67" s="4">
        <v>0</v>
      </c>
      <c r="T67" s="4">
        <v>15</v>
      </c>
      <c r="U67" s="4">
        <v>0</v>
      </c>
      <c r="V67" s="6">
        <f>IF(ISERROR(VLOOKUP($S$67,'TAR FIN'!$A$1:$O$85,15,0)),0,VLOOKUP($S$67,'TAR FIN'!$A$1:$O$85,15,0))</f>
        <v>0</v>
      </c>
      <c r="W67" s="6">
        <f>IF(ISERROR(VLOOKUP($T$67,'TAR FIN'!$A$1:$O$85,15,0)),0,VLOOKUP($T$67,'TAR FIN'!$A$1:$O$85,15,0))</f>
        <v>940.75</v>
      </c>
      <c r="X67" s="6">
        <f>IF(ISERROR(VLOOKUP($U$67,'TAR FIN'!$A$1:$O$85,15,0)),0,VLOOKUP($U$67,'TAR FIN'!$A$1:$O$85,15,0))</f>
        <v>0</v>
      </c>
      <c r="Y67" s="6"/>
      <c r="Z67" s="6">
        <f ca="1">('TUSD BE'!$AM$11+'TUSD BF'!$AM$11+'TUSD CVA'!$AM$11)*1</f>
        <v>966.5081601045739</v>
      </c>
      <c r="AA67" s="6"/>
      <c r="AB67" s="6">
        <f t="shared" si="11"/>
        <v>0</v>
      </c>
      <c r="AC67" s="6">
        <f t="shared" si="12"/>
        <v>7800.7736939319102</v>
      </c>
      <c r="AD67" s="6">
        <f t="shared" si="13"/>
        <v>0</v>
      </c>
      <c r="AE67" s="6">
        <f t="shared" ca="1" si="14"/>
        <v>8014.3624026726457</v>
      </c>
      <c r="AF67" s="4" t="s">
        <v>599</v>
      </c>
    </row>
    <row r="68" spans="1:32" ht="11.25" customHeight="1" x14ac:dyDescent="0.25">
      <c r="A68" s="4" t="s">
        <v>21</v>
      </c>
      <c r="B68" s="4" t="s">
        <v>34</v>
      </c>
      <c r="C68" s="4" t="s">
        <v>35</v>
      </c>
      <c r="D68" s="4" t="s">
        <v>33</v>
      </c>
      <c r="E68" s="4" t="s">
        <v>25</v>
      </c>
      <c r="F68" s="4" t="s">
        <v>52</v>
      </c>
      <c r="G68" s="4" t="s">
        <v>25</v>
      </c>
      <c r="H68" s="4" t="s">
        <v>36</v>
      </c>
      <c r="I68" s="5">
        <v>44562</v>
      </c>
      <c r="J68" s="6">
        <v>0</v>
      </c>
      <c r="K68" s="6">
        <v>0</v>
      </c>
      <c r="L68" s="6">
        <v>46.316000000000003</v>
      </c>
      <c r="M68" s="6">
        <v>27.48476568808</v>
      </c>
      <c r="N68" s="6">
        <v>0</v>
      </c>
      <c r="O68" s="6">
        <v>0</v>
      </c>
      <c r="P68" s="6">
        <v>0</v>
      </c>
      <c r="Q68" s="4" t="s">
        <v>53</v>
      </c>
      <c r="R68" s="4">
        <v>0</v>
      </c>
      <c r="S68" s="4">
        <v>0</v>
      </c>
      <c r="T68" s="4">
        <v>15</v>
      </c>
      <c r="U68" s="4">
        <v>0</v>
      </c>
      <c r="V68" s="6">
        <f>IF(ISERROR(VLOOKUP($S$68,'TAR FIN'!$A$1:$O$85,15,0)),0,VLOOKUP($S$68,'TAR FIN'!$A$1:$O$85,15,0))</f>
        <v>0</v>
      </c>
      <c r="W68" s="6">
        <f>IF(ISERROR(VLOOKUP($T$68,'TAR FIN'!$A$1:$O$85,15,0)),0,VLOOKUP($T$68,'TAR FIN'!$A$1:$O$85,15,0))</f>
        <v>940.75</v>
      </c>
      <c r="X68" s="6">
        <f>IF(ISERROR(VLOOKUP($U$68,'TAR FIN'!$A$1:$O$85,15,0)),0,VLOOKUP($U$68,'TAR FIN'!$A$1:$O$85,15,0))</f>
        <v>0</v>
      </c>
      <c r="Y68" s="6"/>
      <c r="Z68" s="6">
        <f ca="1">('TUSD BE'!$AM$11+'TUSD BF'!$AM$11+'TUSD CVA'!$AM$11)*1</f>
        <v>966.5081601045739</v>
      </c>
      <c r="AA68" s="6"/>
      <c r="AB68" s="6">
        <f t="shared" si="11"/>
        <v>0</v>
      </c>
      <c r="AC68" s="6">
        <f t="shared" si="12"/>
        <v>17715.483678938745</v>
      </c>
      <c r="AD68" s="6">
        <f t="shared" si="13"/>
        <v>0</v>
      </c>
      <c r="AE68" s="6">
        <f t="shared" ca="1" si="14"/>
        <v>18200.541627311923</v>
      </c>
      <c r="AF68" s="4" t="s">
        <v>599</v>
      </c>
    </row>
    <row r="69" spans="1:32" ht="11.25" customHeight="1" x14ac:dyDescent="0.25">
      <c r="A69" s="4" t="s">
        <v>21</v>
      </c>
      <c r="B69" s="4" t="s">
        <v>34</v>
      </c>
      <c r="C69" s="4" t="s">
        <v>35</v>
      </c>
      <c r="D69" s="4" t="s">
        <v>33</v>
      </c>
      <c r="E69" s="4" t="s">
        <v>25</v>
      </c>
      <c r="F69" s="4" t="s">
        <v>52</v>
      </c>
      <c r="G69" s="4" t="s">
        <v>25</v>
      </c>
      <c r="H69" s="4" t="s">
        <v>36</v>
      </c>
      <c r="I69" s="5">
        <v>44593</v>
      </c>
      <c r="J69" s="6">
        <v>0</v>
      </c>
      <c r="K69" s="6">
        <v>0</v>
      </c>
      <c r="L69" s="6">
        <v>41.395000000000003</v>
      </c>
      <c r="M69" s="6">
        <v>24.649826298250002</v>
      </c>
      <c r="N69" s="6">
        <v>0</v>
      </c>
      <c r="O69" s="6">
        <v>0</v>
      </c>
      <c r="P69" s="6">
        <v>0</v>
      </c>
      <c r="Q69" s="4" t="s">
        <v>53</v>
      </c>
      <c r="R69" s="4">
        <v>0</v>
      </c>
      <c r="S69" s="4">
        <v>0</v>
      </c>
      <c r="T69" s="4">
        <v>15</v>
      </c>
      <c r="U69" s="4">
        <v>0</v>
      </c>
      <c r="V69" s="6">
        <f>IF(ISERROR(VLOOKUP($S$69,'TAR FIN'!$A$1:$O$85,15,0)),0,VLOOKUP($S$69,'TAR FIN'!$A$1:$O$85,15,0))</f>
        <v>0</v>
      </c>
      <c r="W69" s="6">
        <f>IF(ISERROR(VLOOKUP($T$69,'TAR FIN'!$A$1:$O$85,15,0)),0,VLOOKUP($T$69,'TAR FIN'!$A$1:$O$85,15,0))</f>
        <v>940.75</v>
      </c>
      <c r="X69" s="6">
        <f>IF(ISERROR(VLOOKUP($U$69,'TAR FIN'!$A$1:$O$85,15,0)),0,VLOOKUP($U$69,'TAR FIN'!$A$1:$O$85,15,0))</f>
        <v>0</v>
      </c>
      <c r="Y69" s="6"/>
      <c r="Z69" s="6">
        <f ca="1">('TUSD BE'!$AM$11+'TUSD BF'!$AM$11+'TUSD CVA'!$AM$11)*1</f>
        <v>966.5081601045739</v>
      </c>
      <c r="AA69" s="6"/>
      <c r="AB69" s="6">
        <f t="shared" si="11"/>
        <v>0</v>
      </c>
      <c r="AC69" s="6">
        <f t="shared" si="12"/>
        <v>15753.022159921315</v>
      </c>
      <c r="AD69" s="6">
        <f t="shared" si="13"/>
        <v>0</v>
      </c>
      <c r="AE69" s="6">
        <f t="shared" ca="1" si="14"/>
        <v>16184.347025109892</v>
      </c>
      <c r="AF69" s="4" t="s">
        <v>599</v>
      </c>
    </row>
    <row r="70" spans="1:32" ht="11.25" customHeight="1" x14ac:dyDescent="0.25">
      <c r="A70" s="4" t="s">
        <v>21</v>
      </c>
      <c r="B70" s="4" t="s">
        <v>34</v>
      </c>
      <c r="C70" s="4" t="s">
        <v>35</v>
      </c>
      <c r="D70" s="4" t="s">
        <v>33</v>
      </c>
      <c r="E70" s="4" t="s">
        <v>25</v>
      </c>
      <c r="F70" s="4" t="s">
        <v>52</v>
      </c>
      <c r="G70" s="4" t="s">
        <v>25</v>
      </c>
      <c r="H70" s="4" t="s">
        <v>36</v>
      </c>
      <c r="I70" s="5">
        <v>44621</v>
      </c>
      <c r="J70" s="6">
        <v>0</v>
      </c>
      <c r="K70" s="6">
        <v>0</v>
      </c>
      <c r="L70" s="6">
        <v>46.118000000000002</v>
      </c>
      <c r="M70" s="6">
        <v>26.298977661439999</v>
      </c>
      <c r="N70" s="6">
        <v>0</v>
      </c>
      <c r="O70" s="6">
        <v>0</v>
      </c>
      <c r="P70" s="6">
        <v>0</v>
      </c>
      <c r="Q70" s="4" t="s">
        <v>53</v>
      </c>
      <c r="R70" s="4">
        <v>0</v>
      </c>
      <c r="S70" s="4">
        <v>0</v>
      </c>
      <c r="T70" s="4">
        <v>15</v>
      </c>
      <c r="U70" s="4">
        <v>0</v>
      </c>
      <c r="V70" s="6">
        <f>IF(ISERROR(VLOOKUP($S$70,'TAR FIN'!$A$1:$O$85,15,0)),0,VLOOKUP($S$70,'TAR FIN'!$A$1:$O$85,15,0))</f>
        <v>0</v>
      </c>
      <c r="W70" s="6">
        <f>IF(ISERROR(VLOOKUP($T$70,'TAR FIN'!$A$1:$O$85,15,0)),0,VLOOKUP($T$70,'TAR FIN'!$A$1:$O$85,15,0))</f>
        <v>940.75</v>
      </c>
      <c r="X70" s="6">
        <f>IF(ISERROR(VLOOKUP($U$70,'TAR FIN'!$A$1:$O$85,15,0)),0,VLOOKUP($U$70,'TAR FIN'!$A$1:$O$85,15,0))</f>
        <v>0</v>
      </c>
      <c r="Y70" s="6"/>
      <c r="Z70" s="6">
        <f ca="1">('TUSD BE'!$AM$11+'TUSD BF'!$AM$11+'TUSD CVA'!$AM$11)*1</f>
        <v>966.5081601045739</v>
      </c>
      <c r="AA70" s="6"/>
      <c r="AB70" s="6">
        <f t="shared" si="11"/>
        <v>0</v>
      </c>
      <c r="AC70" s="6">
        <f t="shared" si="12"/>
        <v>18644.745265000322</v>
      </c>
      <c r="AD70" s="6">
        <f t="shared" si="13"/>
        <v>0</v>
      </c>
      <c r="AE70" s="6">
        <f t="shared" ca="1" si="14"/>
        <v>19155.246815513077</v>
      </c>
      <c r="AF70" s="4" t="s">
        <v>599</v>
      </c>
    </row>
    <row r="71" spans="1:32" ht="11.25" customHeight="1" x14ac:dyDescent="0.25">
      <c r="A71" s="4" t="s">
        <v>21</v>
      </c>
      <c r="B71" s="4" t="s">
        <v>34</v>
      </c>
      <c r="C71" s="4" t="s">
        <v>35</v>
      </c>
      <c r="D71" s="4" t="s">
        <v>33</v>
      </c>
      <c r="E71" s="4" t="s">
        <v>25</v>
      </c>
      <c r="F71" s="4" t="s">
        <v>52</v>
      </c>
      <c r="G71" s="4" t="s">
        <v>25</v>
      </c>
      <c r="H71" s="4" t="s">
        <v>36</v>
      </c>
      <c r="I71" s="5">
        <v>44652</v>
      </c>
      <c r="J71" s="6">
        <v>0</v>
      </c>
      <c r="K71" s="6">
        <v>0</v>
      </c>
      <c r="L71" s="6">
        <v>36.996000000000002</v>
      </c>
      <c r="M71" s="6">
        <v>20.580397551600001</v>
      </c>
      <c r="N71" s="6">
        <v>0</v>
      </c>
      <c r="O71" s="6">
        <v>0</v>
      </c>
      <c r="P71" s="6">
        <v>0</v>
      </c>
      <c r="Q71" s="4" t="s">
        <v>53</v>
      </c>
      <c r="R71" s="4">
        <v>0</v>
      </c>
      <c r="S71" s="4">
        <v>0</v>
      </c>
      <c r="T71" s="4">
        <v>15</v>
      </c>
      <c r="U71" s="4">
        <v>0</v>
      </c>
      <c r="V71" s="6">
        <f>IF(ISERROR(VLOOKUP($S$71,'TAR FIN'!$A$1:$O$85,15,0)),0,VLOOKUP($S$71,'TAR FIN'!$A$1:$O$85,15,0))</f>
        <v>0</v>
      </c>
      <c r="W71" s="6">
        <f>IF(ISERROR(VLOOKUP($T$71,'TAR FIN'!$A$1:$O$85,15,0)),0,VLOOKUP($T$71,'TAR FIN'!$A$1:$O$85,15,0))</f>
        <v>940.75</v>
      </c>
      <c r="X71" s="6">
        <f>IF(ISERROR(VLOOKUP($U$71,'TAR FIN'!$A$1:$O$85,15,0)),0,VLOOKUP($U$71,'TAR FIN'!$A$1:$O$85,15,0))</f>
        <v>0</v>
      </c>
      <c r="Y71" s="6"/>
      <c r="Z71" s="6">
        <f ca="1">('TUSD BE'!$AM$11+'TUSD BF'!$AM$11+'TUSD CVA'!$AM$11)*1</f>
        <v>966.5081601045739</v>
      </c>
      <c r="AA71" s="6"/>
      <c r="AB71" s="6">
        <f t="shared" si="11"/>
        <v>0</v>
      </c>
      <c r="AC71" s="6">
        <f t="shared" si="12"/>
        <v>15442.9780033323</v>
      </c>
      <c r="AD71" s="6">
        <f t="shared" si="13"/>
        <v>0</v>
      </c>
      <c r="AE71" s="6">
        <f t="shared" ca="1" si="14"/>
        <v>15865.813719411224</v>
      </c>
      <c r="AF71" s="4" t="s">
        <v>599</v>
      </c>
    </row>
    <row r="72" spans="1:32" ht="11.25" customHeight="1" x14ac:dyDescent="0.25">
      <c r="A72" s="4" t="s">
        <v>21</v>
      </c>
      <c r="B72" s="4" t="s">
        <v>34</v>
      </c>
      <c r="C72" s="4" t="s">
        <v>35</v>
      </c>
      <c r="D72" s="4" t="s">
        <v>33</v>
      </c>
      <c r="E72" s="4" t="s">
        <v>25</v>
      </c>
      <c r="F72" s="4" t="s">
        <v>52</v>
      </c>
      <c r="G72" s="4" t="s">
        <v>25</v>
      </c>
      <c r="H72" s="4" t="s">
        <v>36</v>
      </c>
      <c r="I72" s="5">
        <v>44682</v>
      </c>
      <c r="J72" s="6">
        <v>0</v>
      </c>
      <c r="K72" s="6">
        <v>0</v>
      </c>
      <c r="L72" s="6">
        <v>42.427</v>
      </c>
      <c r="M72" s="6">
        <v>24.931020774659999</v>
      </c>
      <c r="N72" s="6">
        <v>0</v>
      </c>
      <c r="O72" s="6">
        <v>0</v>
      </c>
      <c r="P72" s="6">
        <v>0</v>
      </c>
      <c r="Q72" s="4" t="s">
        <v>53</v>
      </c>
      <c r="R72" s="4">
        <v>0</v>
      </c>
      <c r="S72" s="4">
        <v>0</v>
      </c>
      <c r="T72" s="4">
        <v>15</v>
      </c>
      <c r="U72" s="4">
        <v>0</v>
      </c>
      <c r="V72" s="6">
        <f>IF(ISERROR(VLOOKUP($S$72,'TAR FIN'!$A$1:$O$85,15,0)),0,VLOOKUP($S$72,'TAR FIN'!$A$1:$O$85,15,0))</f>
        <v>0</v>
      </c>
      <c r="W72" s="6">
        <f>IF(ISERROR(VLOOKUP($T$72,'TAR FIN'!$A$1:$O$85,15,0)),0,VLOOKUP($T$72,'TAR FIN'!$A$1:$O$85,15,0))</f>
        <v>940.75</v>
      </c>
      <c r="X72" s="6">
        <f>IF(ISERROR(VLOOKUP($U$72,'TAR FIN'!$A$1:$O$85,15,0)),0,VLOOKUP($U$72,'TAR FIN'!$A$1:$O$85,15,0))</f>
        <v>0</v>
      </c>
      <c r="Y72" s="6"/>
      <c r="Z72" s="6">
        <f ca="1">('TUSD BE'!$AM$11+'TUSD BF'!$AM$11+'TUSD CVA'!$AM$11)*1</f>
        <v>966.5081601045739</v>
      </c>
      <c r="AA72" s="6"/>
      <c r="AB72" s="6">
        <f t="shared" si="11"/>
        <v>0</v>
      </c>
      <c r="AC72" s="6">
        <f t="shared" si="12"/>
        <v>16459.342456238606</v>
      </c>
      <c r="AD72" s="6">
        <f t="shared" si="13"/>
        <v>0</v>
      </c>
      <c r="AE72" s="6">
        <f t="shared" ca="1" si="14"/>
        <v>16910.006690311213</v>
      </c>
      <c r="AF72" s="4" t="s">
        <v>599</v>
      </c>
    </row>
    <row r="73" spans="1:32" ht="11.25" customHeight="1" x14ac:dyDescent="0.25">
      <c r="A73" s="4" t="s">
        <v>21</v>
      </c>
      <c r="B73" s="4" t="s">
        <v>34</v>
      </c>
      <c r="C73" s="4" t="s">
        <v>35</v>
      </c>
      <c r="D73" s="4" t="s">
        <v>33</v>
      </c>
      <c r="E73" s="4" t="s">
        <v>25</v>
      </c>
      <c r="F73" s="4" t="s">
        <v>52</v>
      </c>
      <c r="G73" s="4" t="s">
        <v>25</v>
      </c>
      <c r="H73" s="4" t="s">
        <v>36</v>
      </c>
      <c r="I73" s="5">
        <v>44713</v>
      </c>
      <c r="J73" s="6">
        <v>0</v>
      </c>
      <c r="K73" s="6">
        <v>0</v>
      </c>
      <c r="L73" s="6">
        <v>42.43</v>
      </c>
      <c r="M73" s="6">
        <v>24.9327836394</v>
      </c>
      <c r="N73" s="6">
        <v>0</v>
      </c>
      <c r="O73" s="6">
        <v>0</v>
      </c>
      <c r="P73" s="6">
        <v>0</v>
      </c>
      <c r="Q73" s="4" t="s">
        <v>53</v>
      </c>
      <c r="R73" s="4">
        <v>0</v>
      </c>
      <c r="S73" s="4">
        <v>0</v>
      </c>
      <c r="T73" s="4">
        <v>15</v>
      </c>
      <c r="U73" s="4">
        <v>0</v>
      </c>
      <c r="V73" s="6">
        <f>IF(ISERROR(VLOOKUP($S$73,'TAR FIN'!$A$1:$O$85,15,0)),0,VLOOKUP($S$73,'TAR FIN'!$A$1:$O$85,15,0))</f>
        <v>0</v>
      </c>
      <c r="W73" s="6">
        <f>IF(ISERROR(VLOOKUP($T$73,'TAR FIN'!$A$1:$O$85,15,0)),0,VLOOKUP($T$73,'TAR FIN'!$A$1:$O$85,15,0))</f>
        <v>940.75</v>
      </c>
      <c r="X73" s="6">
        <f>IF(ISERROR(VLOOKUP($U$73,'TAR FIN'!$A$1:$O$85,15,0)),0,VLOOKUP($U$73,'TAR FIN'!$A$1:$O$85,15,0))</f>
        <v>0</v>
      </c>
      <c r="Y73" s="6"/>
      <c r="Z73" s="6">
        <f ca="1">('TUSD BE'!$AM$11+'TUSD BF'!$AM$11+'TUSD CVA'!$AM$11)*1</f>
        <v>966.5081601045739</v>
      </c>
      <c r="AA73" s="6"/>
      <c r="AB73" s="6">
        <f t="shared" si="11"/>
        <v>0</v>
      </c>
      <c r="AC73" s="6">
        <f t="shared" si="12"/>
        <v>16460.506291234451</v>
      </c>
      <c r="AD73" s="6">
        <f t="shared" si="13"/>
        <v>0</v>
      </c>
      <c r="AE73" s="6">
        <f t="shared" ca="1" si="14"/>
        <v>16911.202391635154</v>
      </c>
      <c r="AF73" s="4" t="s">
        <v>599</v>
      </c>
    </row>
    <row r="74" spans="1:32" ht="11.25" customHeight="1" x14ac:dyDescent="0.25">
      <c r="A74" s="4" t="s">
        <v>27</v>
      </c>
      <c r="B74" s="4" t="s">
        <v>34</v>
      </c>
      <c r="C74" s="4" t="s">
        <v>35</v>
      </c>
      <c r="D74" s="4" t="s">
        <v>40</v>
      </c>
      <c r="E74" s="4" t="s">
        <v>25</v>
      </c>
      <c r="F74" s="4" t="s">
        <v>25</v>
      </c>
      <c r="G74" s="4" t="s">
        <v>25</v>
      </c>
      <c r="H74" s="4" t="s">
        <v>37</v>
      </c>
      <c r="I74" s="5">
        <v>44652</v>
      </c>
      <c r="J74" s="6">
        <v>0</v>
      </c>
      <c r="K74" s="65">
        <v>0</v>
      </c>
      <c r="L74" s="6">
        <v>10.224</v>
      </c>
      <c r="M74" s="65">
        <v>10.224</v>
      </c>
      <c r="N74" s="6">
        <v>10.224</v>
      </c>
      <c r="O74" s="65">
        <v>10.224</v>
      </c>
      <c r="P74" s="6">
        <v>0</v>
      </c>
      <c r="Q74" s="4" t="s">
        <v>26</v>
      </c>
      <c r="R74" s="4">
        <v>0</v>
      </c>
      <c r="S74" s="4">
        <v>0</v>
      </c>
      <c r="T74" s="4">
        <v>13</v>
      </c>
      <c r="U74" s="4">
        <v>16</v>
      </c>
      <c r="V74" s="65">
        <f>IF(ISERROR(VLOOKUP($S$74,'TAR FIN'!$A$1:$O$85,15,0)),0,VLOOKUP($S$74,'TAR FIN'!$A$1:$O$85,15,0))</f>
        <v>0</v>
      </c>
      <c r="W74" s="65">
        <f>IF(ISERROR(VLOOKUP($T$74,'TAR FIN'!$A$1:$O$85,15,0)),0,VLOOKUP($T$74,'TAR FIN'!$A$1:$O$85,15,0))*(1-0.04)</f>
        <v>75.504000000000005</v>
      </c>
      <c r="X74" s="65">
        <f>IF(ISERROR(VLOOKUP($U$74,'TAR FIN'!$A$1:$O$85,15,0)),0,VLOOKUP($U$74,'TAR FIN'!$A$1:$O$85,15,0))*(1-0.04)</f>
        <v>220.67519999999999</v>
      </c>
      <c r="Y74" s="65"/>
      <c r="Z74" s="65">
        <f ca="1">('TUSD BE'!$AM$12+'TUSD BF'!$AM$12+'TUSD CVA'!$AM$12)*1*(1-0.02)</f>
        <v>112.19078372459943</v>
      </c>
      <c r="AA74" s="65">
        <f>('TE BE'!$AB$6+'TE BF'!$AB$6+'TE CVA'!$AB$6)*1*(1-0.02)</f>
        <v>212.26968335131818</v>
      </c>
      <c r="AB74" s="65">
        <f>(SUBSIDIO!$J$74*SUBSIDIO!$V$74)*(0.04)/(1-0.04)</f>
        <v>0</v>
      </c>
      <c r="AC74" s="65">
        <f>((SUBSIDIO!$L$74*SUBSIDIO!$W$74)+(SUBSIDIO!$N$74*SUBSIDIO!$X$74))*(0.04)/(1-0.04)</f>
        <v>126.17233920000001</v>
      </c>
      <c r="AD74" s="65">
        <f>(SUBSIDIO!$J$74*SUBSIDIO!$Y$74)*(0.02)/(1-0.02)</f>
        <v>0</v>
      </c>
      <c r="AE74" s="65">
        <f ca="1">((SUBSIDIO!$L$74*SUBSIDIO!$Z$74)+(SUBSIDIO!$N$74*SUBSIDIO!$AA$74))*(0.02)/(1-0.02)</f>
        <v>67.699669701717994</v>
      </c>
      <c r="AF74" s="4" t="s">
        <v>600</v>
      </c>
    </row>
    <row r="75" spans="1:32" ht="11.25" customHeight="1" x14ac:dyDescent="0.25">
      <c r="A75" s="4" t="s">
        <v>27</v>
      </c>
      <c r="B75" s="4" t="s">
        <v>34</v>
      </c>
      <c r="C75" s="4" t="s">
        <v>35</v>
      </c>
      <c r="D75" s="4" t="s">
        <v>40</v>
      </c>
      <c r="E75" s="4" t="s">
        <v>25</v>
      </c>
      <c r="F75" s="4" t="s">
        <v>25</v>
      </c>
      <c r="G75" s="4" t="s">
        <v>25</v>
      </c>
      <c r="H75" s="4" t="s">
        <v>37</v>
      </c>
      <c r="I75" s="5">
        <v>44682</v>
      </c>
      <c r="J75" s="6">
        <v>0</v>
      </c>
      <c r="K75" s="65">
        <v>0</v>
      </c>
      <c r="L75" s="6">
        <v>6.71</v>
      </c>
      <c r="M75" s="65">
        <v>6.71</v>
      </c>
      <c r="N75" s="6">
        <v>6.71</v>
      </c>
      <c r="O75" s="65">
        <v>6.71</v>
      </c>
      <c r="P75" s="6">
        <v>0</v>
      </c>
      <c r="Q75" s="4" t="s">
        <v>26</v>
      </c>
      <c r="R75" s="4">
        <v>0</v>
      </c>
      <c r="S75" s="4">
        <v>0</v>
      </c>
      <c r="T75" s="4">
        <v>13</v>
      </c>
      <c r="U75" s="4">
        <v>16</v>
      </c>
      <c r="V75" s="65">
        <f>IF(ISERROR(VLOOKUP($S$75,'TAR FIN'!$A$1:$O$85,15,0)),0,VLOOKUP($S$75,'TAR FIN'!$A$1:$O$85,15,0))</f>
        <v>0</v>
      </c>
      <c r="W75" s="65">
        <f>IF(ISERROR(VLOOKUP($T$75,'TAR FIN'!$A$1:$O$85,15,0)),0,VLOOKUP($T$75,'TAR FIN'!$A$1:$O$85,15,0))*(1-0.04)</f>
        <v>75.504000000000005</v>
      </c>
      <c r="X75" s="65">
        <f>IF(ISERROR(VLOOKUP($U$75,'TAR FIN'!$A$1:$O$85,15,0)),0,VLOOKUP($U$75,'TAR FIN'!$A$1:$O$85,15,0))*(1-0.04)</f>
        <v>220.67519999999999</v>
      </c>
      <c r="Y75" s="65"/>
      <c r="Z75" s="65">
        <f ca="1">('TUSD BE'!$AM$12+'TUSD BF'!$AM$12+'TUSD CVA'!$AM$12)*1*(1-0.02)</f>
        <v>112.19078372459943</v>
      </c>
      <c r="AA75" s="65">
        <f>('TE BE'!$AB$6+'TE BF'!$AB$6+'TE CVA'!$AB$6)*1*(1-0.02)</f>
        <v>212.26968335131818</v>
      </c>
      <c r="AB75" s="65">
        <f>(SUBSIDIO!$J$75*SUBSIDIO!$V$75)*(0.04)/(1-0.04)</f>
        <v>0</v>
      </c>
      <c r="AC75" s="65">
        <f>((SUBSIDIO!$L$75*SUBSIDIO!$W$75)+(SUBSIDIO!$N$75*SUBSIDIO!$X$75))*(0.04)/(1-0.04)</f>
        <v>82.806768000000005</v>
      </c>
      <c r="AD75" s="65">
        <f>(SUBSIDIO!$J$75*SUBSIDIO!$Y$75)*(0.02)/(1-0.02)</f>
        <v>0</v>
      </c>
      <c r="AE75" s="65">
        <f ca="1">((SUBSIDIO!$L$75*SUBSIDIO!$Z$75)+(SUBSIDIO!$N$75*SUBSIDIO!$AA$75))*(0.02)/(1-0.02)</f>
        <v>44.431219062845045</v>
      </c>
      <c r="AF75" s="4" t="s">
        <v>600</v>
      </c>
    </row>
    <row r="76" spans="1:32" ht="11.25" customHeight="1" x14ac:dyDescent="0.25">
      <c r="A76" s="4" t="s">
        <v>27</v>
      </c>
      <c r="B76" s="4" t="s">
        <v>34</v>
      </c>
      <c r="C76" s="4" t="s">
        <v>35</v>
      </c>
      <c r="D76" s="4" t="s">
        <v>40</v>
      </c>
      <c r="E76" s="4" t="s">
        <v>25</v>
      </c>
      <c r="F76" s="4" t="s">
        <v>25</v>
      </c>
      <c r="G76" s="4" t="s">
        <v>25</v>
      </c>
      <c r="H76" s="4" t="s">
        <v>37</v>
      </c>
      <c r="I76" s="5">
        <v>44713</v>
      </c>
      <c r="J76" s="6">
        <v>0</v>
      </c>
      <c r="K76" s="65">
        <v>0</v>
      </c>
      <c r="L76" s="6">
        <v>2.5089999999999999</v>
      </c>
      <c r="M76" s="65">
        <v>2.5089999999999999</v>
      </c>
      <c r="N76" s="6">
        <v>2.5089999999999999</v>
      </c>
      <c r="O76" s="65">
        <v>2.5089999999999999</v>
      </c>
      <c r="P76" s="6">
        <v>0</v>
      </c>
      <c r="Q76" s="4" t="s">
        <v>26</v>
      </c>
      <c r="R76" s="4">
        <v>0</v>
      </c>
      <c r="S76" s="4">
        <v>0</v>
      </c>
      <c r="T76" s="4">
        <v>13</v>
      </c>
      <c r="U76" s="4">
        <v>16</v>
      </c>
      <c r="V76" s="65">
        <f>IF(ISERROR(VLOOKUP($S$76,'TAR FIN'!$A$1:$O$85,15,0)),0,VLOOKUP($S$76,'TAR FIN'!$A$1:$O$85,15,0))</f>
        <v>0</v>
      </c>
      <c r="W76" s="65">
        <f>IF(ISERROR(VLOOKUP($T$76,'TAR FIN'!$A$1:$O$85,15,0)),0,VLOOKUP($T$76,'TAR FIN'!$A$1:$O$85,15,0))*(1-0.04)</f>
        <v>75.504000000000005</v>
      </c>
      <c r="X76" s="65">
        <f>IF(ISERROR(VLOOKUP($U$76,'TAR FIN'!$A$1:$O$85,15,0)),0,VLOOKUP($U$76,'TAR FIN'!$A$1:$O$85,15,0))*(1-0.04)</f>
        <v>220.67519999999999</v>
      </c>
      <c r="Y76" s="65"/>
      <c r="Z76" s="65">
        <f ca="1">('TUSD BE'!$AM$12+'TUSD BF'!$AM$12+'TUSD CVA'!$AM$12)*1*(1-0.02)</f>
        <v>112.19078372459943</v>
      </c>
      <c r="AA76" s="65">
        <f>('TE BE'!$AB$6+'TE BF'!$AB$6+'TE CVA'!$AB$6)*1*(1-0.02)</f>
        <v>212.26968335131818</v>
      </c>
      <c r="AB76" s="65">
        <f>(SUBSIDIO!$J$76*SUBSIDIO!$V$76)*(0.04)/(1-0.04)</f>
        <v>0</v>
      </c>
      <c r="AC76" s="65">
        <f>((SUBSIDIO!$L$76*SUBSIDIO!$W$76)+(SUBSIDIO!$N$76*SUBSIDIO!$X$76))*(0.04)/(1-0.04)</f>
        <v>30.963067199999998</v>
      </c>
      <c r="AD76" s="65">
        <f>(SUBSIDIO!$J$76*SUBSIDIO!$Y$76)*(0.02)/(1-0.02)</f>
        <v>0</v>
      </c>
      <c r="AE76" s="65">
        <f ca="1">((SUBSIDIO!$L$76*SUBSIDIO!$Z$76)+(SUBSIDIO!$N$76*SUBSIDIO!$AA$76))*(0.02)/(1-0.02)</f>
        <v>16.613700242724025</v>
      </c>
      <c r="AF76" s="4" t="s">
        <v>600</v>
      </c>
    </row>
    <row r="77" spans="1:32" ht="11.25" customHeight="1" x14ac:dyDescent="0.25">
      <c r="A77" s="4" t="s">
        <v>27</v>
      </c>
      <c r="B77" s="4" t="s">
        <v>34</v>
      </c>
      <c r="C77" s="4" t="s">
        <v>35</v>
      </c>
      <c r="D77" s="4" t="s">
        <v>40</v>
      </c>
      <c r="E77" s="4" t="s">
        <v>25</v>
      </c>
      <c r="F77" s="4" t="s">
        <v>25</v>
      </c>
      <c r="G77" s="4" t="s">
        <v>25</v>
      </c>
      <c r="H77" s="4" t="s">
        <v>25</v>
      </c>
      <c r="I77" s="5">
        <v>44378</v>
      </c>
      <c r="J77" s="6">
        <v>100</v>
      </c>
      <c r="K77" s="65">
        <v>100</v>
      </c>
      <c r="L77" s="6">
        <v>0</v>
      </c>
      <c r="M77" s="65">
        <v>0</v>
      </c>
      <c r="N77" s="6">
        <v>0</v>
      </c>
      <c r="O77" s="65">
        <v>0</v>
      </c>
      <c r="P77" s="6">
        <v>1</v>
      </c>
      <c r="Q77" s="4" t="s">
        <v>26</v>
      </c>
      <c r="R77" s="4">
        <v>0</v>
      </c>
      <c r="S77" s="4">
        <v>36</v>
      </c>
      <c r="T77" s="4">
        <v>0</v>
      </c>
      <c r="U77" s="4">
        <v>0</v>
      </c>
      <c r="V77" s="65">
        <f>IF(ISERROR(VLOOKUP($S$77,'TAR FIN'!$A$1:$O$85,15,0)),0,VLOOKUP($S$77,'TAR FIN'!$A$1:$O$85,15,0))*(1-0.04)</f>
        <v>14.3424</v>
      </c>
      <c r="W77" s="65">
        <f>IF(ISERROR(VLOOKUP($T$77,'TAR FIN'!$A$1:$O$85,15,0)),0,VLOOKUP($T$77,'TAR FIN'!$A$1:$O$85,15,0))</f>
        <v>0</v>
      </c>
      <c r="X77" s="65">
        <f>IF(ISERROR(VLOOKUP($U$77,'TAR FIN'!$A$1:$O$85,15,0)),0,VLOOKUP($U$77,'TAR FIN'!$A$1:$O$85,15,0))</f>
        <v>0</v>
      </c>
      <c r="Y77" s="65">
        <f ca="1">('TUSD BE'!$AM$10+'TUSD BF'!$AM$10+'TUSD CVA'!$AM$10)*1*(1-0.02)</f>
        <v>19.241604957347008</v>
      </c>
      <c r="Z77" s="65"/>
      <c r="AA77" s="65"/>
      <c r="AB77" s="65">
        <f>(SUBSIDIO!$J$77*SUBSIDIO!$V$77)*(0.04)/(1-0.04)</f>
        <v>59.76</v>
      </c>
      <c r="AC77" s="65">
        <f>((SUBSIDIO!$L$77*SUBSIDIO!$W$77)+(SUBSIDIO!$N$77*SUBSIDIO!$X$77))*(0.04)/(1-0.04)</f>
        <v>0</v>
      </c>
      <c r="AD77" s="65">
        <f ca="1">(SUBSIDIO!$J$77*SUBSIDIO!$Y$77)*(0.02)/(1-0.02)</f>
        <v>39.268581545606139</v>
      </c>
      <c r="AE77" s="65">
        <f>((SUBSIDIO!$L$77*SUBSIDIO!$Z$77)+(SUBSIDIO!$N$77*SUBSIDIO!$AA$77))*(0.02)/(1-0.02)</f>
        <v>0</v>
      </c>
      <c r="AF77" s="4" t="s">
        <v>600</v>
      </c>
    </row>
    <row r="78" spans="1:32" ht="11.25" customHeight="1" x14ac:dyDescent="0.25">
      <c r="A78" s="4" t="s">
        <v>27</v>
      </c>
      <c r="B78" s="4" t="s">
        <v>34</v>
      </c>
      <c r="C78" s="4" t="s">
        <v>35</v>
      </c>
      <c r="D78" s="4" t="s">
        <v>40</v>
      </c>
      <c r="E78" s="4" t="s">
        <v>25</v>
      </c>
      <c r="F78" s="4" t="s">
        <v>25</v>
      </c>
      <c r="G78" s="4" t="s">
        <v>25</v>
      </c>
      <c r="H78" s="4" t="s">
        <v>25</v>
      </c>
      <c r="I78" s="5">
        <v>44409</v>
      </c>
      <c r="J78" s="6">
        <v>100</v>
      </c>
      <c r="K78" s="65">
        <v>100</v>
      </c>
      <c r="L78" s="6">
        <v>0</v>
      </c>
      <c r="M78" s="65">
        <v>0</v>
      </c>
      <c r="N78" s="6">
        <v>0</v>
      </c>
      <c r="O78" s="65">
        <v>0</v>
      </c>
      <c r="P78" s="6">
        <v>1</v>
      </c>
      <c r="Q78" s="4" t="s">
        <v>26</v>
      </c>
      <c r="R78" s="4">
        <v>0</v>
      </c>
      <c r="S78" s="4">
        <v>36</v>
      </c>
      <c r="T78" s="4">
        <v>0</v>
      </c>
      <c r="U78" s="4">
        <v>0</v>
      </c>
      <c r="V78" s="65">
        <f>IF(ISERROR(VLOOKUP($S$78,'TAR FIN'!$A$1:$O$85,15,0)),0,VLOOKUP($S$78,'TAR FIN'!$A$1:$O$85,15,0))*(1-0.04)</f>
        <v>14.3424</v>
      </c>
      <c r="W78" s="65">
        <f>IF(ISERROR(VLOOKUP($T$78,'TAR FIN'!$A$1:$O$85,15,0)),0,VLOOKUP($T$78,'TAR FIN'!$A$1:$O$85,15,0))</f>
        <v>0</v>
      </c>
      <c r="X78" s="65">
        <f>IF(ISERROR(VLOOKUP($U$78,'TAR FIN'!$A$1:$O$85,15,0)),0,VLOOKUP($U$78,'TAR FIN'!$A$1:$O$85,15,0))</f>
        <v>0</v>
      </c>
      <c r="Y78" s="65">
        <f ca="1">('TUSD BE'!$AM$10+'TUSD BF'!$AM$10+'TUSD CVA'!$AM$10)*1*(1-0.02)</f>
        <v>19.241604957347008</v>
      </c>
      <c r="Z78" s="65"/>
      <c r="AA78" s="65"/>
      <c r="AB78" s="65">
        <f>(SUBSIDIO!$J$78*SUBSIDIO!$V$78)*(0.04)/(1-0.04)</f>
        <v>59.76</v>
      </c>
      <c r="AC78" s="65">
        <f>((SUBSIDIO!$L$78*SUBSIDIO!$W$78)+(SUBSIDIO!$N$78*SUBSIDIO!$X$78))*(0.04)/(1-0.04)</f>
        <v>0</v>
      </c>
      <c r="AD78" s="65">
        <f ca="1">(SUBSIDIO!$J$78*SUBSIDIO!$Y$78)*(0.02)/(1-0.02)</f>
        <v>39.268581545606139</v>
      </c>
      <c r="AE78" s="65">
        <f>((SUBSIDIO!$L$78*SUBSIDIO!$Z$78)+(SUBSIDIO!$N$78*SUBSIDIO!$AA$78))*(0.02)/(1-0.02)</f>
        <v>0</v>
      </c>
      <c r="AF78" s="4" t="s">
        <v>600</v>
      </c>
    </row>
    <row r="79" spans="1:32" ht="11.25" customHeight="1" x14ac:dyDescent="0.25">
      <c r="A79" s="4" t="s">
        <v>27</v>
      </c>
      <c r="B79" s="4" t="s">
        <v>34</v>
      </c>
      <c r="C79" s="4" t="s">
        <v>35</v>
      </c>
      <c r="D79" s="4" t="s">
        <v>40</v>
      </c>
      <c r="E79" s="4" t="s">
        <v>25</v>
      </c>
      <c r="F79" s="4" t="s">
        <v>25</v>
      </c>
      <c r="G79" s="4" t="s">
        <v>25</v>
      </c>
      <c r="H79" s="4" t="s">
        <v>25</v>
      </c>
      <c r="I79" s="5">
        <v>44440</v>
      </c>
      <c r="J79" s="6">
        <v>100</v>
      </c>
      <c r="K79" s="65">
        <v>100</v>
      </c>
      <c r="L79" s="6">
        <v>0</v>
      </c>
      <c r="M79" s="65">
        <v>0</v>
      </c>
      <c r="N79" s="6">
        <v>0</v>
      </c>
      <c r="O79" s="65">
        <v>0</v>
      </c>
      <c r="P79" s="6">
        <v>1</v>
      </c>
      <c r="Q79" s="4" t="s">
        <v>26</v>
      </c>
      <c r="R79" s="4">
        <v>0</v>
      </c>
      <c r="S79" s="4">
        <v>36</v>
      </c>
      <c r="T79" s="4">
        <v>0</v>
      </c>
      <c r="U79" s="4">
        <v>0</v>
      </c>
      <c r="V79" s="65">
        <f>IF(ISERROR(VLOOKUP($S$79,'TAR FIN'!$A$1:$O$85,15,0)),0,VLOOKUP($S$79,'TAR FIN'!$A$1:$O$85,15,0))*(1-0.04)</f>
        <v>14.3424</v>
      </c>
      <c r="W79" s="65">
        <f>IF(ISERROR(VLOOKUP($T$79,'TAR FIN'!$A$1:$O$85,15,0)),0,VLOOKUP($T$79,'TAR FIN'!$A$1:$O$85,15,0))</f>
        <v>0</v>
      </c>
      <c r="X79" s="65">
        <f>IF(ISERROR(VLOOKUP($U$79,'TAR FIN'!$A$1:$O$85,15,0)),0,VLOOKUP($U$79,'TAR FIN'!$A$1:$O$85,15,0))</f>
        <v>0</v>
      </c>
      <c r="Y79" s="65">
        <f ca="1">('TUSD BE'!$AM$10+'TUSD BF'!$AM$10+'TUSD CVA'!$AM$10)*1*(1-0.02)</f>
        <v>19.241604957347008</v>
      </c>
      <c r="Z79" s="65"/>
      <c r="AA79" s="65"/>
      <c r="AB79" s="65">
        <f>(SUBSIDIO!$J$79*SUBSIDIO!$V$79)*(0.04)/(1-0.04)</f>
        <v>59.76</v>
      </c>
      <c r="AC79" s="65">
        <f>((SUBSIDIO!$L$79*SUBSIDIO!$W$79)+(SUBSIDIO!$N$79*SUBSIDIO!$X$79))*(0.04)/(1-0.04)</f>
        <v>0</v>
      </c>
      <c r="AD79" s="65">
        <f ca="1">(SUBSIDIO!$J$79*SUBSIDIO!$Y$79)*(0.02)/(1-0.02)</f>
        <v>39.268581545606139</v>
      </c>
      <c r="AE79" s="65">
        <f>((SUBSIDIO!$L$79*SUBSIDIO!$Z$79)+(SUBSIDIO!$N$79*SUBSIDIO!$AA$79))*(0.02)/(1-0.02)</f>
        <v>0</v>
      </c>
      <c r="AF79" s="4" t="s">
        <v>600</v>
      </c>
    </row>
    <row r="80" spans="1:32" ht="11.25" customHeight="1" x14ac:dyDescent="0.25">
      <c r="A80" s="4" t="s">
        <v>27</v>
      </c>
      <c r="B80" s="4" t="s">
        <v>34</v>
      </c>
      <c r="C80" s="4" t="s">
        <v>35</v>
      </c>
      <c r="D80" s="4" t="s">
        <v>40</v>
      </c>
      <c r="E80" s="4" t="s">
        <v>25</v>
      </c>
      <c r="F80" s="4" t="s">
        <v>25</v>
      </c>
      <c r="G80" s="4" t="s">
        <v>25</v>
      </c>
      <c r="H80" s="4" t="s">
        <v>25</v>
      </c>
      <c r="I80" s="5">
        <v>44470</v>
      </c>
      <c r="J80" s="6">
        <v>100</v>
      </c>
      <c r="K80" s="65">
        <v>100</v>
      </c>
      <c r="L80" s="6">
        <v>0</v>
      </c>
      <c r="M80" s="65">
        <v>0</v>
      </c>
      <c r="N80" s="6">
        <v>0</v>
      </c>
      <c r="O80" s="65">
        <v>0</v>
      </c>
      <c r="P80" s="6">
        <v>1</v>
      </c>
      <c r="Q80" s="4" t="s">
        <v>26</v>
      </c>
      <c r="R80" s="4">
        <v>0</v>
      </c>
      <c r="S80" s="4">
        <v>36</v>
      </c>
      <c r="T80" s="4">
        <v>0</v>
      </c>
      <c r="U80" s="4">
        <v>0</v>
      </c>
      <c r="V80" s="65">
        <f>IF(ISERROR(VLOOKUP($S$80,'TAR FIN'!$A$1:$O$85,15,0)),0,VLOOKUP($S$80,'TAR FIN'!$A$1:$O$85,15,0))*(1-0.04)</f>
        <v>14.3424</v>
      </c>
      <c r="W80" s="65">
        <f>IF(ISERROR(VLOOKUP($T$80,'TAR FIN'!$A$1:$O$85,15,0)),0,VLOOKUP($T$80,'TAR FIN'!$A$1:$O$85,15,0))</f>
        <v>0</v>
      </c>
      <c r="X80" s="65">
        <f>IF(ISERROR(VLOOKUP($U$80,'TAR FIN'!$A$1:$O$85,15,0)),0,VLOOKUP($U$80,'TAR FIN'!$A$1:$O$85,15,0))</f>
        <v>0</v>
      </c>
      <c r="Y80" s="65">
        <f ca="1">('TUSD BE'!$AM$10+'TUSD BF'!$AM$10+'TUSD CVA'!$AM$10)*1*(1-0.02)</f>
        <v>19.241604957347008</v>
      </c>
      <c r="Z80" s="65"/>
      <c r="AA80" s="65"/>
      <c r="AB80" s="65">
        <f>(SUBSIDIO!$J$80*SUBSIDIO!$V$80)*(0.04)/(1-0.04)</f>
        <v>59.76</v>
      </c>
      <c r="AC80" s="65">
        <f>((SUBSIDIO!$L$80*SUBSIDIO!$W$80)+(SUBSIDIO!$N$80*SUBSIDIO!$X$80))*(0.04)/(1-0.04)</f>
        <v>0</v>
      </c>
      <c r="AD80" s="65">
        <f ca="1">(SUBSIDIO!$J$80*SUBSIDIO!$Y$80)*(0.02)/(1-0.02)</f>
        <v>39.268581545606139</v>
      </c>
      <c r="AE80" s="65">
        <f>((SUBSIDIO!$L$80*SUBSIDIO!$Z$80)+(SUBSIDIO!$N$80*SUBSIDIO!$AA$80))*(0.02)/(1-0.02)</f>
        <v>0</v>
      </c>
      <c r="AF80" s="4" t="s">
        <v>600</v>
      </c>
    </row>
    <row r="81" spans="1:32" ht="11.25" customHeight="1" x14ac:dyDescent="0.25">
      <c r="A81" s="4" t="s">
        <v>27</v>
      </c>
      <c r="B81" s="4" t="s">
        <v>34</v>
      </c>
      <c r="C81" s="4" t="s">
        <v>35</v>
      </c>
      <c r="D81" s="4" t="s">
        <v>40</v>
      </c>
      <c r="E81" s="4" t="s">
        <v>25</v>
      </c>
      <c r="F81" s="4" t="s">
        <v>25</v>
      </c>
      <c r="G81" s="4" t="s">
        <v>25</v>
      </c>
      <c r="H81" s="4" t="s">
        <v>25</v>
      </c>
      <c r="I81" s="5">
        <v>44501</v>
      </c>
      <c r="J81" s="6">
        <v>100</v>
      </c>
      <c r="K81" s="65">
        <v>100</v>
      </c>
      <c r="L81" s="6">
        <v>0</v>
      </c>
      <c r="M81" s="65">
        <v>0</v>
      </c>
      <c r="N81" s="6">
        <v>0</v>
      </c>
      <c r="O81" s="65">
        <v>0</v>
      </c>
      <c r="P81" s="6">
        <v>1</v>
      </c>
      <c r="Q81" s="4" t="s">
        <v>26</v>
      </c>
      <c r="R81" s="4">
        <v>0</v>
      </c>
      <c r="S81" s="4">
        <v>36</v>
      </c>
      <c r="T81" s="4">
        <v>0</v>
      </c>
      <c r="U81" s="4">
        <v>0</v>
      </c>
      <c r="V81" s="65">
        <f>IF(ISERROR(VLOOKUP($S$81,'TAR FIN'!$A$1:$O$85,15,0)),0,VLOOKUP($S$81,'TAR FIN'!$A$1:$O$85,15,0))*(1-0.04)</f>
        <v>14.3424</v>
      </c>
      <c r="W81" s="65">
        <f>IF(ISERROR(VLOOKUP($T$81,'TAR FIN'!$A$1:$O$85,15,0)),0,VLOOKUP($T$81,'TAR FIN'!$A$1:$O$85,15,0))</f>
        <v>0</v>
      </c>
      <c r="X81" s="65">
        <f>IF(ISERROR(VLOOKUP($U$81,'TAR FIN'!$A$1:$O$85,15,0)),0,VLOOKUP($U$81,'TAR FIN'!$A$1:$O$85,15,0))</f>
        <v>0</v>
      </c>
      <c r="Y81" s="65">
        <f ca="1">('TUSD BE'!$AM$10+'TUSD BF'!$AM$10+'TUSD CVA'!$AM$10)*1*(1-0.02)</f>
        <v>19.241604957347008</v>
      </c>
      <c r="Z81" s="65"/>
      <c r="AA81" s="65"/>
      <c r="AB81" s="65">
        <f>(SUBSIDIO!$J$81*SUBSIDIO!$V$81)*(0.04)/(1-0.04)</f>
        <v>59.76</v>
      </c>
      <c r="AC81" s="65">
        <f>((SUBSIDIO!$L$81*SUBSIDIO!$W$81)+(SUBSIDIO!$N$81*SUBSIDIO!$X$81))*(0.04)/(1-0.04)</f>
        <v>0</v>
      </c>
      <c r="AD81" s="65">
        <f ca="1">(SUBSIDIO!$J$81*SUBSIDIO!$Y$81)*(0.02)/(1-0.02)</f>
        <v>39.268581545606139</v>
      </c>
      <c r="AE81" s="65">
        <f>((SUBSIDIO!$L$81*SUBSIDIO!$Z$81)+(SUBSIDIO!$N$81*SUBSIDIO!$AA$81))*(0.02)/(1-0.02)</f>
        <v>0</v>
      </c>
      <c r="AF81" s="4" t="s">
        <v>600</v>
      </c>
    </row>
    <row r="82" spans="1:32" ht="11.25" customHeight="1" x14ac:dyDescent="0.25">
      <c r="A82" s="4" t="s">
        <v>27</v>
      </c>
      <c r="B82" s="4" t="s">
        <v>34</v>
      </c>
      <c r="C82" s="4" t="s">
        <v>35</v>
      </c>
      <c r="D82" s="4" t="s">
        <v>40</v>
      </c>
      <c r="E82" s="4" t="s">
        <v>25</v>
      </c>
      <c r="F82" s="4" t="s">
        <v>25</v>
      </c>
      <c r="G82" s="4" t="s">
        <v>25</v>
      </c>
      <c r="H82" s="4" t="s">
        <v>25</v>
      </c>
      <c r="I82" s="5">
        <v>44531</v>
      </c>
      <c r="J82" s="6">
        <v>126</v>
      </c>
      <c r="K82" s="65">
        <v>126</v>
      </c>
      <c r="L82" s="6">
        <v>0</v>
      </c>
      <c r="M82" s="65">
        <v>0</v>
      </c>
      <c r="N82" s="6">
        <v>0</v>
      </c>
      <c r="O82" s="65">
        <v>0</v>
      </c>
      <c r="P82" s="6">
        <v>1</v>
      </c>
      <c r="Q82" s="4" t="s">
        <v>26</v>
      </c>
      <c r="R82" s="4">
        <v>0</v>
      </c>
      <c r="S82" s="4">
        <v>36</v>
      </c>
      <c r="T82" s="4">
        <v>0</v>
      </c>
      <c r="U82" s="4">
        <v>0</v>
      </c>
      <c r="V82" s="65">
        <f>IF(ISERROR(VLOOKUP($S$82,'TAR FIN'!$A$1:$O$85,15,0)),0,VLOOKUP($S$82,'TAR FIN'!$A$1:$O$85,15,0))*(1-0.04)</f>
        <v>14.3424</v>
      </c>
      <c r="W82" s="65">
        <f>IF(ISERROR(VLOOKUP($T$82,'TAR FIN'!$A$1:$O$85,15,0)),0,VLOOKUP($T$82,'TAR FIN'!$A$1:$O$85,15,0))</f>
        <v>0</v>
      </c>
      <c r="X82" s="65">
        <f>IF(ISERROR(VLOOKUP($U$82,'TAR FIN'!$A$1:$O$85,15,0)),0,VLOOKUP($U$82,'TAR FIN'!$A$1:$O$85,15,0))</f>
        <v>0</v>
      </c>
      <c r="Y82" s="65">
        <f ca="1">('TUSD BE'!$AM$10+'TUSD BF'!$AM$10+'TUSD CVA'!$AM$10)*1*(1-0.02)</f>
        <v>19.241604957347008</v>
      </c>
      <c r="Z82" s="65"/>
      <c r="AA82" s="65"/>
      <c r="AB82" s="65">
        <f>(SUBSIDIO!$J$82*SUBSIDIO!$V$82)*(0.04)/(1-0.04)</f>
        <v>75.297600000000003</v>
      </c>
      <c r="AC82" s="65">
        <f>((SUBSIDIO!$L$82*SUBSIDIO!$W$82)+(SUBSIDIO!$N$82*SUBSIDIO!$X$82))*(0.04)/(1-0.04)</f>
        <v>0</v>
      </c>
      <c r="AD82" s="65">
        <f ca="1">(SUBSIDIO!$J$82*SUBSIDIO!$Y$82)*(0.02)/(1-0.02)</f>
        <v>49.478412747463743</v>
      </c>
      <c r="AE82" s="65">
        <f>((SUBSIDIO!$L$82*SUBSIDIO!$Z$82)+(SUBSIDIO!$N$82*SUBSIDIO!$AA$82))*(0.02)/(1-0.02)</f>
        <v>0</v>
      </c>
      <c r="AF82" s="4" t="s">
        <v>600</v>
      </c>
    </row>
    <row r="83" spans="1:32" ht="11.25" customHeight="1" x14ac:dyDescent="0.25">
      <c r="A83" s="4" t="s">
        <v>27</v>
      </c>
      <c r="B83" s="4" t="s">
        <v>34</v>
      </c>
      <c r="C83" s="4" t="s">
        <v>35</v>
      </c>
      <c r="D83" s="4" t="s">
        <v>40</v>
      </c>
      <c r="E83" s="4" t="s">
        <v>25</v>
      </c>
      <c r="F83" s="4" t="s">
        <v>25</v>
      </c>
      <c r="G83" s="4" t="s">
        <v>25</v>
      </c>
      <c r="H83" s="4" t="s">
        <v>25</v>
      </c>
      <c r="I83" s="5">
        <v>44562</v>
      </c>
      <c r="J83" s="6">
        <v>100</v>
      </c>
      <c r="K83" s="65">
        <v>100</v>
      </c>
      <c r="L83" s="6">
        <v>0</v>
      </c>
      <c r="M83" s="65">
        <v>0</v>
      </c>
      <c r="N83" s="6">
        <v>0</v>
      </c>
      <c r="O83" s="65">
        <v>0</v>
      </c>
      <c r="P83" s="6">
        <v>1</v>
      </c>
      <c r="Q83" s="4" t="s">
        <v>26</v>
      </c>
      <c r="R83" s="4">
        <v>0</v>
      </c>
      <c r="S83" s="4">
        <v>36</v>
      </c>
      <c r="T83" s="4">
        <v>0</v>
      </c>
      <c r="U83" s="4">
        <v>0</v>
      </c>
      <c r="V83" s="65">
        <f>IF(ISERROR(VLOOKUP($S$83,'TAR FIN'!$A$1:$O$85,15,0)),0,VLOOKUP($S$83,'TAR FIN'!$A$1:$O$85,15,0))*(1-0.04)</f>
        <v>14.3424</v>
      </c>
      <c r="W83" s="65">
        <f>IF(ISERROR(VLOOKUP($T$83,'TAR FIN'!$A$1:$O$85,15,0)),0,VLOOKUP($T$83,'TAR FIN'!$A$1:$O$85,15,0))</f>
        <v>0</v>
      </c>
      <c r="X83" s="65">
        <f>IF(ISERROR(VLOOKUP($U$83,'TAR FIN'!$A$1:$O$85,15,0)),0,VLOOKUP($U$83,'TAR FIN'!$A$1:$O$85,15,0))</f>
        <v>0</v>
      </c>
      <c r="Y83" s="65">
        <f ca="1">('TUSD BE'!$AM$10+'TUSD BF'!$AM$10+'TUSD CVA'!$AM$10)*1*(1-0.02)</f>
        <v>19.241604957347008</v>
      </c>
      <c r="Z83" s="65"/>
      <c r="AA83" s="65"/>
      <c r="AB83" s="65">
        <f>(SUBSIDIO!$J$83*SUBSIDIO!$V$83)*(0.04)/(1-0.04)</f>
        <v>59.76</v>
      </c>
      <c r="AC83" s="65">
        <f>((SUBSIDIO!$L$83*SUBSIDIO!$W$83)+(SUBSIDIO!$N$83*SUBSIDIO!$X$83))*(0.04)/(1-0.04)</f>
        <v>0</v>
      </c>
      <c r="AD83" s="65">
        <f ca="1">(SUBSIDIO!$J$83*SUBSIDIO!$Y$83)*(0.02)/(1-0.02)</f>
        <v>39.268581545606139</v>
      </c>
      <c r="AE83" s="65">
        <f>((SUBSIDIO!$L$83*SUBSIDIO!$Z$83)+(SUBSIDIO!$N$83*SUBSIDIO!$AA$83))*(0.02)/(1-0.02)</f>
        <v>0</v>
      </c>
      <c r="AF83" s="4" t="s">
        <v>600</v>
      </c>
    </row>
    <row r="84" spans="1:32" ht="11.25" customHeight="1" x14ac:dyDescent="0.25">
      <c r="A84" s="4" t="s">
        <v>27</v>
      </c>
      <c r="B84" s="4" t="s">
        <v>34</v>
      </c>
      <c r="C84" s="4" t="s">
        <v>35</v>
      </c>
      <c r="D84" s="4" t="s">
        <v>40</v>
      </c>
      <c r="E84" s="4" t="s">
        <v>25</v>
      </c>
      <c r="F84" s="4" t="s">
        <v>25</v>
      </c>
      <c r="G84" s="4" t="s">
        <v>25</v>
      </c>
      <c r="H84" s="4" t="s">
        <v>25</v>
      </c>
      <c r="I84" s="5">
        <v>44593</v>
      </c>
      <c r="J84" s="6">
        <v>139</v>
      </c>
      <c r="K84" s="65">
        <v>139</v>
      </c>
      <c r="L84" s="6">
        <v>0</v>
      </c>
      <c r="M84" s="65">
        <v>0</v>
      </c>
      <c r="N84" s="6">
        <v>0</v>
      </c>
      <c r="O84" s="65">
        <v>0</v>
      </c>
      <c r="P84" s="6">
        <v>1</v>
      </c>
      <c r="Q84" s="4" t="s">
        <v>26</v>
      </c>
      <c r="R84" s="4">
        <v>0</v>
      </c>
      <c r="S84" s="4">
        <v>36</v>
      </c>
      <c r="T84" s="4">
        <v>0</v>
      </c>
      <c r="U84" s="4">
        <v>0</v>
      </c>
      <c r="V84" s="65">
        <f>IF(ISERROR(VLOOKUP($S$84,'TAR FIN'!$A$1:$O$85,15,0)),0,VLOOKUP($S$84,'TAR FIN'!$A$1:$O$85,15,0))*(1-0.04)</f>
        <v>14.3424</v>
      </c>
      <c r="W84" s="65">
        <f>IF(ISERROR(VLOOKUP($T$84,'TAR FIN'!$A$1:$O$85,15,0)),0,VLOOKUP($T$84,'TAR FIN'!$A$1:$O$85,15,0))</f>
        <v>0</v>
      </c>
      <c r="X84" s="65">
        <f>IF(ISERROR(VLOOKUP($U$84,'TAR FIN'!$A$1:$O$85,15,0)),0,VLOOKUP($U$84,'TAR FIN'!$A$1:$O$85,15,0))</f>
        <v>0</v>
      </c>
      <c r="Y84" s="65">
        <f ca="1">('TUSD BE'!$AM$10+'TUSD BF'!$AM$10+'TUSD CVA'!$AM$10)*1*(1-0.02)</f>
        <v>19.241604957347008</v>
      </c>
      <c r="Z84" s="65"/>
      <c r="AA84" s="65"/>
      <c r="AB84" s="65">
        <f>(SUBSIDIO!$J$84*SUBSIDIO!$V$84)*(0.04)/(1-0.04)</f>
        <v>83.066400000000002</v>
      </c>
      <c r="AC84" s="65">
        <f>((SUBSIDIO!$L$84*SUBSIDIO!$W$84)+(SUBSIDIO!$N$84*SUBSIDIO!$X$84))*(0.04)/(1-0.04)</f>
        <v>0</v>
      </c>
      <c r="AD84" s="65">
        <f ca="1">(SUBSIDIO!$J$84*SUBSIDIO!$Y$84)*(0.02)/(1-0.02)</f>
        <v>54.583328348392534</v>
      </c>
      <c r="AE84" s="65">
        <f>((SUBSIDIO!$L$84*SUBSIDIO!$Z$84)+(SUBSIDIO!$N$84*SUBSIDIO!$AA$84))*(0.02)/(1-0.02)</f>
        <v>0</v>
      </c>
      <c r="AF84" s="4" t="s">
        <v>600</v>
      </c>
    </row>
    <row r="85" spans="1:32" ht="11.25" customHeight="1" x14ac:dyDescent="0.25">
      <c r="A85" s="4" t="s">
        <v>27</v>
      </c>
      <c r="B85" s="4" t="s">
        <v>34</v>
      </c>
      <c r="C85" s="4" t="s">
        <v>35</v>
      </c>
      <c r="D85" s="4" t="s">
        <v>40</v>
      </c>
      <c r="E85" s="4" t="s">
        <v>25</v>
      </c>
      <c r="F85" s="4" t="s">
        <v>25</v>
      </c>
      <c r="G85" s="4" t="s">
        <v>25</v>
      </c>
      <c r="H85" s="4" t="s">
        <v>25</v>
      </c>
      <c r="I85" s="5">
        <v>44621</v>
      </c>
      <c r="J85" s="6">
        <v>189</v>
      </c>
      <c r="K85" s="65">
        <v>189</v>
      </c>
      <c r="L85" s="6">
        <v>0</v>
      </c>
      <c r="M85" s="65">
        <v>0</v>
      </c>
      <c r="N85" s="6">
        <v>0</v>
      </c>
      <c r="O85" s="65">
        <v>0</v>
      </c>
      <c r="P85" s="6">
        <v>1</v>
      </c>
      <c r="Q85" s="4" t="s">
        <v>26</v>
      </c>
      <c r="R85" s="4">
        <v>0</v>
      </c>
      <c r="S85" s="4">
        <v>36</v>
      </c>
      <c r="T85" s="4">
        <v>0</v>
      </c>
      <c r="U85" s="4">
        <v>0</v>
      </c>
      <c r="V85" s="65">
        <f>IF(ISERROR(VLOOKUP($S$85,'TAR FIN'!$A$1:$O$85,15,0)),0,VLOOKUP($S$85,'TAR FIN'!$A$1:$O$85,15,0))*(1-0.04)</f>
        <v>14.3424</v>
      </c>
      <c r="W85" s="65">
        <f>IF(ISERROR(VLOOKUP($T$85,'TAR FIN'!$A$1:$O$85,15,0)),0,VLOOKUP($T$85,'TAR FIN'!$A$1:$O$85,15,0))</f>
        <v>0</v>
      </c>
      <c r="X85" s="65">
        <f>IF(ISERROR(VLOOKUP($U$85,'TAR FIN'!$A$1:$O$85,15,0)),0,VLOOKUP($U$85,'TAR FIN'!$A$1:$O$85,15,0))</f>
        <v>0</v>
      </c>
      <c r="Y85" s="65">
        <f ca="1">('TUSD BE'!$AM$10+'TUSD BF'!$AM$10+'TUSD CVA'!$AM$10)*1*(1-0.02)</f>
        <v>19.241604957347008</v>
      </c>
      <c r="Z85" s="65"/>
      <c r="AA85" s="65"/>
      <c r="AB85" s="65">
        <f>(SUBSIDIO!$J$85*SUBSIDIO!$V$85)*(0.04)/(1-0.04)</f>
        <v>112.94640000000001</v>
      </c>
      <c r="AC85" s="65">
        <f>((SUBSIDIO!$L$85*SUBSIDIO!$W$85)+(SUBSIDIO!$N$85*SUBSIDIO!$X$85))*(0.04)/(1-0.04)</f>
        <v>0</v>
      </c>
      <c r="AD85" s="65">
        <f ca="1">(SUBSIDIO!$J$85*SUBSIDIO!$Y$85)*(0.02)/(1-0.02)</f>
        <v>74.217619121195597</v>
      </c>
      <c r="AE85" s="65">
        <f>((SUBSIDIO!$L$85*SUBSIDIO!$Z$85)+(SUBSIDIO!$N$85*SUBSIDIO!$AA$85))*(0.02)/(1-0.02)</f>
        <v>0</v>
      </c>
      <c r="AF85" s="4" t="s">
        <v>600</v>
      </c>
    </row>
    <row r="86" spans="1:32" ht="11.25" customHeight="1" x14ac:dyDescent="0.25">
      <c r="A86" s="4" t="s">
        <v>27</v>
      </c>
      <c r="B86" s="4" t="s">
        <v>34</v>
      </c>
      <c r="C86" s="4" t="s">
        <v>35</v>
      </c>
      <c r="D86" s="4" t="s">
        <v>40</v>
      </c>
      <c r="E86" s="4" t="s">
        <v>25</v>
      </c>
      <c r="F86" s="4" t="s">
        <v>25</v>
      </c>
      <c r="G86" s="4" t="s">
        <v>25</v>
      </c>
      <c r="H86" s="4" t="s">
        <v>25</v>
      </c>
      <c r="I86" s="5">
        <v>44652</v>
      </c>
      <c r="J86" s="6">
        <v>211</v>
      </c>
      <c r="K86" s="65">
        <v>211</v>
      </c>
      <c r="L86" s="6">
        <v>0</v>
      </c>
      <c r="M86" s="65">
        <v>0</v>
      </c>
      <c r="N86" s="6">
        <v>0</v>
      </c>
      <c r="O86" s="65">
        <v>0</v>
      </c>
      <c r="P86" s="6">
        <v>1</v>
      </c>
      <c r="Q86" s="4" t="s">
        <v>26</v>
      </c>
      <c r="R86" s="4">
        <v>0</v>
      </c>
      <c r="S86" s="4">
        <v>36</v>
      </c>
      <c r="T86" s="4">
        <v>0</v>
      </c>
      <c r="U86" s="4">
        <v>0</v>
      </c>
      <c r="V86" s="65">
        <f>IF(ISERROR(VLOOKUP($S$86,'TAR FIN'!$A$1:$O$85,15,0)),0,VLOOKUP($S$86,'TAR FIN'!$A$1:$O$85,15,0))*(1-0.04)</f>
        <v>14.3424</v>
      </c>
      <c r="W86" s="65">
        <f>IF(ISERROR(VLOOKUP($T$86,'TAR FIN'!$A$1:$O$85,15,0)),0,VLOOKUP($T$86,'TAR FIN'!$A$1:$O$85,15,0))</f>
        <v>0</v>
      </c>
      <c r="X86" s="65">
        <f>IF(ISERROR(VLOOKUP($U$86,'TAR FIN'!$A$1:$O$85,15,0)),0,VLOOKUP($U$86,'TAR FIN'!$A$1:$O$85,15,0))</f>
        <v>0</v>
      </c>
      <c r="Y86" s="65">
        <f ca="1">('TUSD BE'!$AM$10+'TUSD BF'!$AM$10+'TUSD CVA'!$AM$10)*1*(1-0.02)</f>
        <v>19.241604957347008</v>
      </c>
      <c r="Z86" s="65"/>
      <c r="AA86" s="65"/>
      <c r="AB86" s="65">
        <f>(SUBSIDIO!$J$86*SUBSIDIO!$V$86)*(0.04)/(1-0.04)</f>
        <v>126.09360000000001</v>
      </c>
      <c r="AC86" s="65">
        <f>((SUBSIDIO!$L$86*SUBSIDIO!$W$86)+(SUBSIDIO!$N$86*SUBSIDIO!$X$86))*(0.04)/(1-0.04)</f>
        <v>0</v>
      </c>
      <c r="AD86" s="65">
        <f ca="1">(SUBSIDIO!$J$86*SUBSIDIO!$Y$86)*(0.02)/(1-0.02)</f>
        <v>82.856707061228946</v>
      </c>
      <c r="AE86" s="65">
        <f>((SUBSIDIO!$L$86*SUBSIDIO!$Z$86)+(SUBSIDIO!$N$86*SUBSIDIO!$AA$86))*(0.02)/(1-0.02)</f>
        <v>0</v>
      </c>
      <c r="AF86" s="4" t="s">
        <v>600</v>
      </c>
    </row>
    <row r="87" spans="1:32" ht="11.25" customHeight="1" x14ac:dyDescent="0.25">
      <c r="A87" s="4" t="s">
        <v>27</v>
      </c>
      <c r="B87" s="4" t="s">
        <v>34</v>
      </c>
      <c r="C87" s="4" t="s">
        <v>35</v>
      </c>
      <c r="D87" s="4" t="s">
        <v>40</v>
      </c>
      <c r="E87" s="4" t="s">
        <v>25</v>
      </c>
      <c r="F87" s="4" t="s">
        <v>25</v>
      </c>
      <c r="G87" s="4" t="s">
        <v>25</v>
      </c>
      <c r="H87" s="4" t="s">
        <v>25</v>
      </c>
      <c r="I87" s="5">
        <v>44682</v>
      </c>
      <c r="J87" s="6">
        <v>186</v>
      </c>
      <c r="K87" s="65">
        <v>186</v>
      </c>
      <c r="L87" s="6">
        <v>0</v>
      </c>
      <c r="M87" s="65">
        <v>0</v>
      </c>
      <c r="N87" s="6">
        <v>0</v>
      </c>
      <c r="O87" s="65">
        <v>0</v>
      </c>
      <c r="P87" s="6">
        <v>1</v>
      </c>
      <c r="Q87" s="4" t="s">
        <v>26</v>
      </c>
      <c r="R87" s="4">
        <v>0</v>
      </c>
      <c r="S87" s="4">
        <v>36</v>
      </c>
      <c r="T87" s="4">
        <v>0</v>
      </c>
      <c r="U87" s="4">
        <v>0</v>
      </c>
      <c r="V87" s="65">
        <f>IF(ISERROR(VLOOKUP($S$87,'TAR FIN'!$A$1:$O$85,15,0)),0,VLOOKUP($S$87,'TAR FIN'!$A$1:$O$85,15,0))*(1-0.04)</f>
        <v>14.3424</v>
      </c>
      <c r="W87" s="65">
        <f>IF(ISERROR(VLOOKUP($T$87,'TAR FIN'!$A$1:$O$85,15,0)),0,VLOOKUP($T$87,'TAR FIN'!$A$1:$O$85,15,0))</f>
        <v>0</v>
      </c>
      <c r="X87" s="65">
        <f>IF(ISERROR(VLOOKUP($U$87,'TAR FIN'!$A$1:$O$85,15,0)),0,VLOOKUP($U$87,'TAR FIN'!$A$1:$O$85,15,0))</f>
        <v>0</v>
      </c>
      <c r="Y87" s="65">
        <f ca="1">('TUSD BE'!$AM$10+'TUSD BF'!$AM$10+'TUSD CVA'!$AM$10)*1*(1-0.02)</f>
        <v>19.241604957347008</v>
      </c>
      <c r="Z87" s="65"/>
      <c r="AA87" s="65"/>
      <c r="AB87" s="65">
        <f>(SUBSIDIO!$J$87*SUBSIDIO!$V$87)*(0.04)/(1-0.04)</f>
        <v>111.15360000000001</v>
      </c>
      <c r="AC87" s="65">
        <f>((SUBSIDIO!$L$87*SUBSIDIO!$W$87)+(SUBSIDIO!$N$87*SUBSIDIO!$X$87))*(0.04)/(1-0.04)</f>
        <v>0</v>
      </c>
      <c r="AD87" s="65">
        <f ca="1">(SUBSIDIO!$J$87*SUBSIDIO!$Y$87)*(0.02)/(1-0.02)</f>
        <v>73.039561674827425</v>
      </c>
      <c r="AE87" s="65">
        <f>((SUBSIDIO!$L$87*SUBSIDIO!$Z$87)+(SUBSIDIO!$N$87*SUBSIDIO!$AA$87))*(0.02)/(1-0.02)</f>
        <v>0</v>
      </c>
      <c r="AF87" s="4" t="s">
        <v>600</v>
      </c>
    </row>
    <row r="88" spans="1:32" ht="11.25" customHeight="1" x14ac:dyDescent="0.25">
      <c r="A88" s="4" t="s">
        <v>27</v>
      </c>
      <c r="B88" s="4" t="s">
        <v>34</v>
      </c>
      <c r="C88" s="4" t="s">
        <v>35</v>
      </c>
      <c r="D88" s="4" t="s">
        <v>40</v>
      </c>
      <c r="E88" s="4" t="s">
        <v>25</v>
      </c>
      <c r="F88" s="4" t="s">
        <v>25</v>
      </c>
      <c r="G88" s="4" t="s">
        <v>25</v>
      </c>
      <c r="H88" s="4" t="s">
        <v>25</v>
      </c>
      <c r="I88" s="5">
        <v>44713</v>
      </c>
      <c r="J88" s="6">
        <v>155</v>
      </c>
      <c r="K88" s="65">
        <v>155</v>
      </c>
      <c r="L88" s="6">
        <v>0</v>
      </c>
      <c r="M88" s="65">
        <v>0</v>
      </c>
      <c r="N88" s="6">
        <v>0</v>
      </c>
      <c r="O88" s="65">
        <v>0</v>
      </c>
      <c r="P88" s="6">
        <v>1</v>
      </c>
      <c r="Q88" s="4" t="s">
        <v>26</v>
      </c>
      <c r="R88" s="4">
        <v>0</v>
      </c>
      <c r="S88" s="4">
        <v>36</v>
      </c>
      <c r="T88" s="4">
        <v>0</v>
      </c>
      <c r="U88" s="4">
        <v>0</v>
      </c>
      <c r="V88" s="65">
        <f>IF(ISERROR(VLOOKUP($S$88,'TAR FIN'!$A$1:$O$85,15,0)),0,VLOOKUP($S$88,'TAR FIN'!$A$1:$O$85,15,0))*(1-0.04)</f>
        <v>14.3424</v>
      </c>
      <c r="W88" s="65">
        <f>IF(ISERROR(VLOOKUP($T$88,'TAR FIN'!$A$1:$O$85,15,0)),0,VLOOKUP($T$88,'TAR FIN'!$A$1:$O$85,15,0))</f>
        <v>0</v>
      </c>
      <c r="X88" s="65">
        <f>IF(ISERROR(VLOOKUP($U$88,'TAR FIN'!$A$1:$O$85,15,0)),0,VLOOKUP($U$88,'TAR FIN'!$A$1:$O$85,15,0))</f>
        <v>0</v>
      </c>
      <c r="Y88" s="65">
        <f ca="1">('TUSD BE'!$AM$10+'TUSD BF'!$AM$10+'TUSD CVA'!$AM$10)*1*(1-0.02)</f>
        <v>19.241604957347008</v>
      </c>
      <c r="Z88" s="65"/>
      <c r="AA88" s="65"/>
      <c r="AB88" s="65">
        <f>(SUBSIDIO!$J$88*SUBSIDIO!$V$88)*(0.04)/(1-0.04)</f>
        <v>92.628000000000014</v>
      </c>
      <c r="AC88" s="65">
        <f>((SUBSIDIO!$L$88*SUBSIDIO!$W$88)+(SUBSIDIO!$N$88*SUBSIDIO!$X$88))*(0.04)/(1-0.04)</f>
        <v>0</v>
      </c>
      <c r="AD88" s="65">
        <f ca="1">(SUBSIDIO!$J$88*SUBSIDIO!$Y$88)*(0.02)/(1-0.02)</f>
        <v>60.866301395689511</v>
      </c>
      <c r="AE88" s="65">
        <f>((SUBSIDIO!$L$88*SUBSIDIO!$Z$88)+(SUBSIDIO!$N$88*SUBSIDIO!$AA$88))*(0.02)/(1-0.02)</f>
        <v>0</v>
      </c>
      <c r="AF88" s="4" t="s">
        <v>600</v>
      </c>
    </row>
    <row r="89" spans="1:32" ht="11.25" customHeight="1" x14ac:dyDescent="0.25">
      <c r="A89" s="4" t="s">
        <v>27</v>
      </c>
      <c r="B89" s="4" t="s">
        <v>34</v>
      </c>
      <c r="C89" s="4" t="s">
        <v>35</v>
      </c>
      <c r="D89" s="4" t="s">
        <v>40</v>
      </c>
      <c r="E89" s="4" t="s">
        <v>25</v>
      </c>
      <c r="F89" s="4" t="s">
        <v>25</v>
      </c>
      <c r="G89" s="4" t="s">
        <v>25</v>
      </c>
      <c r="H89" s="4" t="s">
        <v>36</v>
      </c>
      <c r="I89" s="5">
        <v>44652</v>
      </c>
      <c r="J89" s="6">
        <v>0</v>
      </c>
      <c r="K89" s="65">
        <v>0</v>
      </c>
      <c r="L89" s="6">
        <v>1.532</v>
      </c>
      <c r="M89" s="65">
        <v>1.532</v>
      </c>
      <c r="N89" s="6">
        <v>1.532</v>
      </c>
      <c r="O89" s="65">
        <v>1.532</v>
      </c>
      <c r="P89" s="6">
        <v>0</v>
      </c>
      <c r="Q89" s="4" t="s">
        <v>26</v>
      </c>
      <c r="R89" s="4">
        <v>0</v>
      </c>
      <c r="S89" s="4">
        <v>0</v>
      </c>
      <c r="T89" s="4">
        <v>15</v>
      </c>
      <c r="U89" s="4">
        <v>9</v>
      </c>
      <c r="V89" s="65">
        <f>IF(ISERROR(VLOOKUP($S$89,'TAR FIN'!$A$1:$O$85,15,0)),0,VLOOKUP($S$89,'TAR FIN'!$A$1:$O$85,15,0))</f>
        <v>0</v>
      </c>
      <c r="W89" s="65">
        <f>IF(ISERROR(VLOOKUP($T$89,'TAR FIN'!$A$1:$O$85,15,0)),0,VLOOKUP($T$89,'TAR FIN'!$A$1:$O$85,15,0))*(1-0.04)</f>
        <v>903.12</v>
      </c>
      <c r="X89" s="65">
        <f>IF(ISERROR(VLOOKUP($U$89,'TAR FIN'!$A$1:$O$85,15,0)),0,VLOOKUP($U$89,'TAR FIN'!$A$1:$O$85,15,0))*(1-0.04)</f>
        <v>358.76159999999999</v>
      </c>
      <c r="Y89" s="65"/>
      <c r="Z89" s="65">
        <f ca="1">('TUSD BE'!$AM$11+'TUSD BF'!$AM$11+'TUSD CVA'!$AM$11)*1*(1-0.02)</f>
        <v>947.17799690248239</v>
      </c>
      <c r="AA89" s="65">
        <f>('TE BE'!$AB$5+'TE BF'!$AB$5+'TE CVA'!$AB$5)*1*(1-0.02)</f>
        <v>341.02857371747996</v>
      </c>
      <c r="AB89" s="65">
        <f>(SUBSIDIO!$J$89*SUBSIDIO!$V$89)*(0.04)/(1-0.04)</f>
        <v>0</v>
      </c>
      <c r="AC89" s="65">
        <f>((SUBSIDIO!$L$89*SUBSIDIO!$W$89)+(SUBSIDIO!$N$89*SUBSIDIO!$X$89))*(0.04)/(1-0.04)</f>
        <v>80.550108800000004</v>
      </c>
      <c r="AD89" s="65">
        <f>(SUBSIDIO!$J$89*SUBSIDIO!$Y$89)*(0.02)/(1-0.02)</f>
        <v>0</v>
      </c>
      <c r="AE89" s="65">
        <f ca="1">((SUBSIDIO!$L$89*SUBSIDIO!$Z$89)+(SUBSIDIO!$N$89*SUBSIDIO!$AA$89))*(0.02)/(1-0.02)</f>
        <v>40.276172779383316</v>
      </c>
      <c r="AF89" s="4" t="s">
        <v>600</v>
      </c>
    </row>
    <row r="90" spans="1:32" ht="11.25" customHeight="1" x14ac:dyDescent="0.25">
      <c r="A90" s="4" t="s">
        <v>27</v>
      </c>
      <c r="B90" s="4" t="s">
        <v>34</v>
      </c>
      <c r="C90" s="4" t="s">
        <v>35</v>
      </c>
      <c r="D90" s="4" t="s">
        <v>40</v>
      </c>
      <c r="E90" s="4" t="s">
        <v>25</v>
      </c>
      <c r="F90" s="4" t="s">
        <v>25</v>
      </c>
      <c r="G90" s="4" t="s">
        <v>25</v>
      </c>
      <c r="H90" s="4" t="s">
        <v>36</v>
      </c>
      <c r="I90" s="5">
        <v>44682</v>
      </c>
      <c r="J90" s="6">
        <v>0</v>
      </c>
      <c r="K90" s="65">
        <v>0</v>
      </c>
      <c r="L90" s="6">
        <v>0.49099999999999999</v>
      </c>
      <c r="M90" s="65">
        <v>0.49099999999999999</v>
      </c>
      <c r="N90" s="6">
        <v>0.49099999999999999</v>
      </c>
      <c r="O90" s="65">
        <v>0.49099999999999999</v>
      </c>
      <c r="P90" s="6">
        <v>0</v>
      </c>
      <c r="Q90" s="4" t="s">
        <v>26</v>
      </c>
      <c r="R90" s="4">
        <v>0</v>
      </c>
      <c r="S90" s="4">
        <v>0</v>
      </c>
      <c r="T90" s="4">
        <v>15</v>
      </c>
      <c r="U90" s="4">
        <v>9</v>
      </c>
      <c r="V90" s="65">
        <f>IF(ISERROR(VLOOKUP($S$90,'TAR FIN'!$A$1:$O$85,15,0)),0,VLOOKUP($S$90,'TAR FIN'!$A$1:$O$85,15,0))</f>
        <v>0</v>
      </c>
      <c r="W90" s="65">
        <f>IF(ISERROR(VLOOKUP($T$90,'TAR FIN'!$A$1:$O$85,15,0)),0,VLOOKUP($T$90,'TAR FIN'!$A$1:$O$85,15,0))*(1-0.04)</f>
        <v>903.12</v>
      </c>
      <c r="X90" s="65">
        <f>IF(ISERROR(VLOOKUP($U$90,'TAR FIN'!$A$1:$O$85,15,0)),0,VLOOKUP($U$90,'TAR FIN'!$A$1:$O$85,15,0))*(1-0.04)</f>
        <v>358.76159999999999</v>
      </c>
      <c r="Y90" s="65"/>
      <c r="Z90" s="65">
        <f ca="1">('TUSD BE'!$AM$11+'TUSD BF'!$AM$11+'TUSD CVA'!$AM$11)*1*(1-0.02)</f>
        <v>947.17799690248239</v>
      </c>
      <c r="AA90" s="65">
        <f>('TE BE'!$AB$5+'TE BF'!$AB$5+'TE CVA'!$AB$5)*1*(1-0.02)</f>
        <v>341.02857371747996</v>
      </c>
      <c r="AB90" s="65">
        <f>(SUBSIDIO!$J$90*SUBSIDIO!$V$90)*(0.04)/(1-0.04)</f>
        <v>0</v>
      </c>
      <c r="AC90" s="65">
        <f>((SUBSIDIO!$L$90*SUBSIDIO!$W$90)+(SUBSIDIO!$N$90*SUBSIDIO!$X$90))*(0.04)/(1-0.04)</f>
        <v>25.815994399999997</v>
      </c>
      <c r="AD90" s="65">
        <f>(SUBSIDIO!$J$90*SUBSIDIO!$Y$90)*(0.02)/(1-0.02)</f>
        <v>0</v>
      </c>
      <c r="AE90" s="65">
        <f ca="1">((SUBSIDIO!$L$90*SUBSIDIO!$Z$90)+(SUBSIDIO!$N$90*SUBSIDIO!$AA$90))*(0.02)/(1-0.02)</f>
        <v>12.908355636212276</v>
      </c>
      <c r="AF90" s="4" t="s">
        <v>600</v>
      </c>
    </row>
    <row r="91" spans="1:32" ht="11.25" customHeight="1" x14ac:dyDescent="0.25">
      <c r="A91" s="4" t="s">
        <v>27</v>
      </c>
      <c r="B91" s="4" t="s">
        <v>34</v>
      </c>
      <c r="C91" s="4" t="s">
        <v>35</v>
      </c>
      <c r="D91" s="4" t="s">
        <v>40</v>
      </c>
      <c r="E91" s="4" t="s">
        <v>25</v>
      </c>
      <c r="F91" s="4" t="s">
        <v>25</v>
      </c>
      <c r="G91" s="4" t="s">
        <v>25</v>
      </c>
      <c r="H91" s="4" t="s">
        <v>36</v>
      </c>
      <c r="I91" s="5">
        <v>44713</v>
      </c>
      <c r="J91" s="6">
        <v>0</v>
      </c>
      <c r="K91" s="65">
        <v>0</v>
      </c>
      <c r="L91" s="6">
        <v>0.42299999999999999</v>
      </c>
      <c r="M91" s="65">
        <v>0.42299999999999999</v>
      </c>
      <c r="N91" s="6">
        <v>0.42299999999999999</v>
      </c>
      <c r="O91" s="65">
        <v>0.42299999999999999</v>
      </c>
      <c r="P91" s="6">
        <v>0</v>
      </c>
      <c r="Q91" s="4" t="s">
        <v>26</v>
      </c>
      <c r="R91" s="4">
        <v>0</v>
      </c>
      <c r="S91" s="4">
        <v>0</v>
      </c>
      <c r="T91" s="4">
        <v>15</v>
      </c>
      <c r="U91" s="4">
        <v>9</v>
      </c>
      <c r="V91" s="65">
        <f>IF(ISERROR(VLOOKUP($S$91,'TAR FIN'!$A$1:$O$85,15,0)),0,VLOOKUP($S$91,'TAR FIN'!$A$1:$O$85,15,0))</f>
        <v>0</v>
      </c>
      <c r="W91" s="65">
        <f>IF(ISERROR(VLOOKUP($T$91,'TAR FIN'!$A$1:$O$85,15,0)),0,VLOOKUP($T$91,'TAR FIN'!$A$1:$O$85,15,0))*(1-0.04)</f>
        <v>903.12</v>
      </c>
      <c r="X91" s="65">
        <f>IF(ISERROR(VLOOKUP($U$91,'TAR FIN'!$A$1:$O$85,15,0)),0,VLOOKUP($U$91,'TAR FIN'!$A$1:$O$85,15,0))*(1-0.04)</f>
        <v>358.76159999999999</v>
      </c>
      <c r="Y91" s="65"/>
      <c r="Z91" s="65">
        <f ca="1">('TUSD BE'!$AM$11+'TUSD BF'!$AM$11+'TUSD CVA'!$AM$11)*1*(1-0.02)</f>
        <v>947.17799690248239</v>
      </c>
      <c r="AA91" s="65">
        <f>('TE BE'!$AB$5+'TE BF'!$AB$5+'TE CVA'!$AB$5)*1*(1-0.02)</f>
        <v>341.02857371747996</v>
      </c>
      <c r="AB91" s="65">
        <f>(SUBSIDIO!$J$91*SUBSIDIO!$V$91)*(0.04)/(1-0.04)</f>
        <v>0</v>
      </c>
      <c r="AC91" s="65">
        <f>((SUBSIDIO!$L$91*SUBSIDIO!$W$91)+(SUBSIDIO!$N$91*SUBSIDIO!$X$91))*(0.04)/(1-0.04)</f>
        <v>22.2406632</v>
      </c>
      <c r="AD91" s="65">
        <f>(SUBSIDIO!$J$91*SUBSIDIO!$Y$91)*(0.02)/(1-0.02)</f>
        <v>0</v>
      </c>
      <c r="AE91" s="65">
        <f ca="1">((SUBSIDIO!$L$91*SUBSIDIO!$Z$91)+(SUBSIDIO!$N$91*SUBSIDIO!$AA$91))*(0.02)/(1-0.02)</f>
        <v>11.12064039535192</v>
      </c>
      <c r="AF91" s="4" t="s">
        <v>600</v>
      </c>
    </row>
    <row r="92" spans="1:32" ht="11.25" customHeight="1" x14ac:dyDescent="0.25">
      <c r="A92" s="4" t="s">
        <v>21</v>
      </c>
      <c r="B92" s="4" t="s">
        <v>22</v>
      </c>
      <c r="C92" s="4" t="s">
        <v>23</v>
      </c>
      <c r="D92" s="4" t="s">
        <v>24</v>
      </c>
      <c r="E92" s="4" t="s">
        <v>24</v>
      </c>
      <c r="F92" s="4" t="s">
        <v>25</v>
      </c>
      <c r="G92" s="4" t="s">
        <v>25</v>
      </c>
      <c r="H92" s="4" t="s">
        <v>25</v>
      </c>
      <c r="I92" s="5">
        <v>44378</v>
      </c>
      <c r="J92" s="6">
        <v>0</v>
      </c>
      <c r="K92" s="6">
        <v>0</v>
      </c>
      <c r="L92" s="6">
        <v>1892.0740000000001</v>
      </c>
      <c r="M92" s="6">
        <v>1892.0740000000001</v>
      </c>
      <c r="N92" s="6">
        <v>1892.0740000000001</v>
      </c>
      <c r="O92" s="6">
        <v>1892.0740000000001</v>
      </c>
      <c r="P92" s="6">
        <v>9963</v>
      </c>
      <c r="Q92" s="4" t="s">
        <v>26</v>
      </c>
      <c r="R92" s="4">
        <v>0</v>
      </c>
      <c r="S92" s="4">
        <v>0</v>
      </c>
      <c r="T92" s="4">
        <v>21</v>
      </c>
      <c r="U92" s="4">
        <v>7</v>
      </c>
      <c r="V92" s="6">
        <f>IF(ISERROR(VLOOKUP($S$92,'TAR FIN'!$A$1:$O$85,15,0)),0,VLOOKUP($S$92,'TAR FIN'!$A$1:$O$85,15,0))</f>
        <v>0</v>
      </c>
      <c r="W92" s="6">
        <f>IF(ISERROR(VLOOKUP($T$92,'TAR FIN'!$A$1:$O$85,15,0)),0,VLOOKUP($T$92,'TAR FIN'!$A$1:$O$85,15,0))</f>
        <v>333.15</v>
      </c>
      <c r="X92" s="6">
        <f>IF(ISERROR(VLOOKUP($U$92,'TAR FIN'!$A$1:$O$85,15,0)),0,VLOOKUP($U$92,'TAR FIN'!$A$1:$O$85,15,0))</f>
        <v>241.85</v>
      </c>
      <c r="Y92" s="6"/>
      <c r="Z92" s="6">
        <f ca="1">('TUSD BE'!$AM$20+'TUSD BF'!$AM$20+'TUSD CVA'!$AM$20)*1</f>
        <v>376.13343594836397</v>
      </c>
      <c r="AA92" s="6">
        <f>('TE BE'!$AB$11+'TE BF'!$AB$11+'TE CVA'!$AB$11)*1</f>
        <v>227.55060294064452</v>
      </c>
      <c r="AB92" s="6">
        <f t="shared" si="11"/>
        <v>0</v>
      </c>
      <c r="AC92" s="6">
        <f t="shared" si="12"/>
        <v>0</v>
      </c>
      <c r="AD92" s="6">
        <f t="shared" si="13"/>
        <v>0</v>
      </c>
      <c r="AE92" s="6">
        <f t="shared" ca="1" si="14"/>
        <v>0</v>
      </c>
    </row>
    <row r="93" spans="1:32" ht="11.25" customHeight="1" x14ac:dyDescent="0.25">
      <c r="A93" s="4" t="s">
        <v>21</v>
      </c>
      <c r="B93" s="4" t="s">
        <v>22</v>
      </c>
      <c r="C93" s="4" t="s">
        <v>23</v>
      </c>
      <c r="D93" s="4" t="s">
        <v>24</v>
      </c>
      <c r="E93" s="4" t="s">
        <v>28</v>
      </c>
      <c r="F93" s="4" t="s">
        <v>25</v>
      </c>
      <c r="G93" s="4" t="s">
        <v>25</v>
      </c>
      <c r="H93" s="4" t="s">
        <v>25</v>
      </c>
      <c r="I93" s="5">
        <v>44378</v>
      </c>
      <c r="J93" s="6">
        <v>0</v>
      </c>
      <c r="K93" s="6">
        <v>0</v>
      </c>
      <c r="L93" s="6">
        <v>8.43</v>
      </c>
      <c r="M93" s="6">
        <v>8.43</v>
      </c>
      <c r="N93" s="6">
        <v>8.43</v>
      </c>
      <c r="O93" s="6">
        <v>8.43</v>
      </c>
      <c r="P93" s="6">
        <v>4</v>
      </c>
      <c r="Q93" s="4" t="s">
        <v>26</v>
      </c>
      <c r="R93" s="4">
        <v>0</v>
      </c>
      <c r="S93" s="4">
        <v>0</v>
      </c>
      <c r="T93" s="4">
        <v>33</v>
      </c>
      <c r="U93" s="4">
        <v>1</v>
      </c>
      <c r="V93" s="6">
        <f>IF(ISERROR(VLOOKUP($S$93,'TAR FIN'!$A$1:$O$85,15,0)),0,VLOOKUP($S$93,'TAR FIN'!$A$1:$O$85,15,0))</f>
        <v>0</v>
      </c>
      <c r="W93" s="6">
        <f>IF(ISERROR(VLOOKUP($T$93,'TAR FIN'!$A$1:$O$85,15,0)),0,VLOOKUP($T$93,'TAR FIN'!$A$1:$O$85,15,0))</f>
        <v>90.5</v>
      </c>
      <c r="X93" s="6">
        <f>IF(ISERROR(VLOOKUP($U$93,'TAR FIN'!$A$1:$O$85,15,0)),0,VLOOKUP($U$93,'TAR FIN'!$A$1:$O$85,15,0))</f>
        <v>84.65</v>
      </c>
      <c r="Y93" s="6"/>
      <c r="Z93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93" s="6">
        <f>('TE BE'!$AB$12+'TE BF'!$AB$12+'TE CVA'!$AB$12)*(1-CUSTOS!$M$34)</f>
        <v>79.64271102922558</v>
      </c>
      <c r="AB93" s="6">
        <f t="shared" si="11"/>
        <v>0</v>
      </c>
      <c r="AC93" s="6">
        <f>(L93-M93)*(W93+X93)+($W$135+$X$135-$W$93-$X$93)*(L93)</f>
        <v>2742.1103999999996</v>
      </c>
      <c r="AD93" s="6">
        <f t="shared" si="13"/>
        <v>0</v>
      </c>
      <c r="AE93" s="6">
        <f ca="1">(L93-M93)*(Z93+AA93)+($Z$135+$AA$135-$Z$93-$AA$93)*(L93)</f>
        <v>2655.9959725558624</v>
      </c>
      <c r="AF93" s="4" t="s">
        <v>601</v>
      </c>
    </row>
    <row r="94" spans="1:32" ht="11.25" customHeight="1" x14ac:dyDescent="0.25">
      <c r="A94" s="4" t="s">
        <v>21</v>
      </c>
      <c r="B94" s="4" t="s">
        <v>22</v>
      </c>
      <c r="C94" s="4" t="s">
        <v>23</v>
      </c>
      <c r="D94" s="4" t="s">
        <v>24</v>
      </c>
      <c r="E94" s="4" t="s">
        <v>28</v>
      </c>
      <c r="F94" s="4" t="s">
        <v>25</v>
      </c>
      <c r="G94" s="4" t="s">
        <v>25</v>
      </c>
      <c r="H94" s="4" t="s">
        <v>25</v>
      </c>
      <c r="I94" s="5">
        <v>44409</v>
      </c>
      <c r="J94" s="6">
        <v>0</v>
      </c>
      <c r="K94" s="6">
        <v>0</v>
      </c>
      <c r="L94" s="6">
        <v>8.6999999999999993</v>
      </c>
      <c r="M94" s="6">
        <v>8.6999999999999993</v>
      </c>
      <c r="N94" s="6">
        <v>8.6999999999999993</v>
      </c>
      <c r="O94" s="6">
        <v>8.6999999999999993</v>
      </c>
      <c r="P94" s="6">
        <v>4</v>
      </c>
      <c r="Q94" s="4" t="s">
        <v>26</v>
      </c>
      <c r="R94" s="4">
        <v>0</v>
      </c>
      <c r="S94" s="4">
        <v>0</v>
      </c>
      <c r="T94" s="4">
        <v>33</v>
      </c>
      <c r="U94" s="4">
        <v>1</v>
      </c>
      <c r="V94" s="6">
        <f>IF(ISERROR(VLOOKUP($S$94,'TAR FIN'!$A$1:$O$85,15,0)),0,VLOOKUP($S$94,'TAR FIN'!$A$1:$O$85,15,0))</f>
        <v>0</v>
      </c>
      <c r="W94" s="6">
        <f>IF(ISERROR(VLOOKUP($T$94,'TAR FIN'!$A$1:$O$85,15,0)),0,VLOOKUP($T$94,'TAR FIN'!$A$1:$O$85,15,0))</f>
        <v>90.5</v>
      </c>
      <c r="X94" s="6">
        <f>IF(ISERROR(VLOOKUP($U$94,'TAR FIN'!$A$1:$O$85,15,0)),0,VLOOKUP($U$94,'TAR FIN'!$A$1:$O$85,15,0))</f>
        <v>84.65</v>
      </c>
      <c r="Y94" s="6"/>
      <c r="Z94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94" s="6">
        <f>('TE BE'!$AB$12+'TE BF'!$AB$12+'TE CVA'!$AB$12)*(1-CUSTOS!$M$34)</f>
        <v>79.64271102922558</v>
      </c>
      <c r="AB94" s="6">
        <f t="shared" si="11"/>
        <v>0</v>
      </c>
      <c r="AC94" s="6">
        <f>(L94-M94)*(W94+X94)+($W$135+$X$135-$W$94-$X$94)*(L94)</f>
        <v>2829.9359999999997</v>
      </c>
      <c r="AD94" s="6">
        <f t="shared" si="13"/>
        <v>0</v>
      </c>
      <c r="AE94" s="6">
        <f ca="1">(L94-M94)*(Z94+AA94)+($Z$135+$AA$135-$Z$94-$AA$94)*(L94)</f>
        <v>2741.0634592213523</v>
      </c>
      <c r="AF94" s="4" t="s">
        <v>601</v>
      </c>
    </row>
    <row r="95" spans="1:32" ht="11.25" customHeight="1" x14ac:dyDescent="0.25">
      <c r="A95" s="4" t="s">
        <v>21</v>
      </c>
      <c r="B95" s="4" t="s">
        <v>22</v>
      </c>
      <c r="C95" s="4" t="s">
        <v>23</v>
      </c>
      <c r="D95" s="4" t="s">
        <v>24</v>
      </c>
      <c r="E95" s="4" t="s">
        <v>28</v>
      </c>
      <c r="F95" s="4" t="s">
        <v>25</v>
      </c>
      <c r="G95" s="4" t="s">
        <v>25</v>
      </c>
      <c r="H95" s="4" t="s">
        <v>25</v>
      </c>
      <c r="I95" s="5">
        <v>44440</v>
      </c>
      <c r="J95" s="6">
        <v>0</v>
      </c>
      <c r="K95" s="6">
        <v>0</v>
      </c>
      <c r="L95" s="6">
        <v>8.76</v>
      </c>
      <c r="M95" s="6">
        <v>8.76</v>
      </c>
      <c r="N95" s="6">
        <v>8.76</v>
      </c>
      <c r="O95" s="6">
        <v>8.76</v>
      </c>
      <c r="P95" s="6">
        <v>4</v>
      </c>
      <c r="Q95" s="4" t="s">
        <v>26</v>
      </c>
      <c r="R95" s="4">
        <v>0</v>
      </c>
      <c r="S95" s="4">
        <v>0</v>
      </c>
      <c r="T95" s="4">
        <v>33</v>
      </c>
      <c r="U95" s="4">
        <v>1</v>
      </c>
      <c r="V95" s="6">
        <f>IF(ISERROR(VLOOKUP($S$95,'TAR FIN'!$A$1:$O$85,15,0)),0,VLOOKUP($S$95,'TAR FIN'!$A$1:$O$85,15,0))</f>
        <v>0</v>
      </c>
      <c r="W95" s="6">
        <f>IF(ISERROR(VLOOKUP($T$95,'TAR FIN'!$A$1:$O$85,15,0)),0,VLOOKUP($T$95,'TAR FIN'!$A$1:$O$85,15,0))</f>
        <v>90.5</v>
      </c>
      <c r="X95" s="6">
        <f>IF(ISERROR(VLOOKUP($U$95,'TAR FIN'!$A$1:$O$85,15,0)),0,VLOOKUP($U$95,'TAR FIN'!$A$1:$O$85,15,0))</f>
        <v>84.65</v>
      </c>
      <c r="Y95" s="6"/>
      <c r="Z95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95" s="6">
        <f>('TE BE'!$AB$12+'TE BF'!$AB$12+'TE CVA'!$AB$12)*(1-CUSTOS!$M$34)</f>
        <v>79.64271102922558</v>
      </c>
      <c r="AB95" s="6">
        <f t="shared" si="11"/>
        <v>0</v>
      </c>
      <c r="AC95" s="6">
        <f>(L95-M95)*(W95+X95)+($W$135+$X$135-$W$95-$X$95)*(L95)</f>
        <v>2849.4527999999996</v>
      </c>
      <c r="AD95" s="6">
        <f t="shared" si="13"/>
        <v>0</v>
      </c>
      <c r="AE95" s="6">
        <f ca="1">(L95-M95)*(Z95+AA95)+($Z$135+$AA$135-$Z$95-$AA$95)*(L95)</f>
        <v>2759.9673451470171</v>
      </c>
      <c r="AF95" s="4" t="s">
        <v>601</v>
      </c>
    </row>
    <row r="96" spans="1:32" ht="11.25" customHeight="1" x14ac:dyDescent="0.25">
      <c r="A96" s="4" t="s">
        <v>21</v>
      </c>
      <c r="B96" s="4" t="s">
        <v>22</v>
      </c>
      <c r="C96" s="4" t="s">
        <v>23</v>
      </c>
      <c r="D96" s="4" t="s">
        <v>24</v>
      </c>
      <c r="E96" s="4" t="s">
        <v>28</v>
      </c>
      <c r="F96" s="4" t="s">
        <v>25</v>
      </c>
      <c r="G96" s="4" t="s">
        <v>25</v>
      </c>
      <c r="H96" s="4" t="s">
        <v>25</v>
      </c>
      <c r="I96" s="5">
        <v>44470</v>
      </c>
      <c r="J96" s="6">
        <v>0</v>
      </c>
      <c r="K96" s="6">
        <v>0</v>
      </c>
      <c r="L96" s="6">
        <v>8.82</v>
      </c>
      <c r="M96" s="6">
        <v>8.82</v>
      </c>
      <c r="N96" s="6">
        <v>8.82</v>
      </c>
      <c r="O96" s="6">
        <v>8.82</v>
      </c>
      <c r="P96" s="6">
        <v>3</v>
      </c>
      <c r="Q96" s="4" t="s">
        <v>26</v>
      </c>
      <c r="R96" s="4">
        <v>0</v>
      </c>
      <c r="S96" s="4">
        <v>0</v>
      </c>
      <c r="T96" s="4">
        <v>33</v>
      </c>
      <c r="U96" s="4">
        <v>1</v>
      </c>
      <c r="V96" s="6">
        <f>IF(ISERROR(VLOOKUP($S$96,'TAR FIN'!$A$1:$O$85,15,0)),0,VLOOKUP($S$96,'TAR FIN'!$A$1:$O$85,15,0))</f>
        <v>0</v>
      </c>
      <c r="W96" s="6">
        <f>IF(ISERROR(VLOOKUP($T$96,'TAR FIN'!$A$1:$O$85,15,0)),0,VLOOKUP($T$96,'TAR FIN'!$A$1:$O$85,15,0))</f>
        <v>90.5</v>
      </c>
      <c r="X96" s="6">
        <f>IF(ISERROR(VLOOKUP($U$96,'TAR FIN'!$A$1:$O$85,15,0)),0,VLOOKUP($U$96,'TAR FIN'!$A$1:$O$85,15,0))</f>
        <v>84.65</v>
      </c>
      <c r="Y96" s="6"/>
      <c r="Z96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96" s="6">
        <f>('TE BE'!$AB$12+'TE BF'!$AB$12+'TE CVA'!$AB$12)*(1-CUSTOS!$M$34)</f>
        <v>79.64271102922558</v>
      </c>
      <c r="AB96" s="6">
        <f t="shared" si="11"/>
        <v>0</v>
      </c>
      <c r="AC96" s="6">
        <f>(L96-M96)*(W96+X96)+($W$135+$X$135-$W$96-$X$96)*(L96)</f>
        <v>2868.9695999999999</v>
      </c>
      <c r="AD96" s="6">
        <f t="shared" si="13"/>
        <v>0</v>
      </c>
      <c r="AE96" s="6">
        <f ca="1">(L96-M96)*(Z96+AA96)+($Z$135+$AA$135-$Z$96-$AA$96)*(L96)</f>
        <v>2778.8712310726819</v>
      </c>
      <c r="AF96" s="4" t="s">
        <v>601</v>
      </c>
    </row>
    <row r="97" spans="1:32" ht="11.25" customHeight="1" x14ac:dyDescent="0.25">
      <c r="A97" s="4" t="s">
        <v>21</v>
      </c>
      <c r="B97" s="4" t="s">
        <v>22</v>
      </c>
      <c r="C97" s="4" t="s">
        <v>23</v>
      </c>
      <c r="D97" s="4" t="s">
        <v>24</v>
      </c>
      <c r="E97" s="4" t="s">
        <v>28</v>
      </c>
      <c r="F97" s="4" t="s">
        <v>25</v>
      </c>
      <c r="G97" s="4" t="s">
        <v>25</v>
      </c>
      <c r="H97" s="4" t="s">
        <v>25</v>
      </c>
      <c r="I97" s="5">
        <v>44501</v>
      </c>
      <c r="J97" s="6">
        <v>0</v>
      </c>
      <c r="K97" s="6">
        <v>0</v>
      </c>
      <c r="L97" s="6">
        <v>8.85</v>
      </c>
      <c r="M97" s="6">
        <v>8.85</v>
      </c>
      <c r="N97" s="6">
        <v>8.85</v>
      </c>
      <c r="O97" s="6">
        <v>8.85</v>
      </c>
      <c r="P97" s="6">
        <v>4</v>
      </c>
      <c r="Q97" s="4" t="s">
        <v>26</v>
      </c>
      <c r="R97" s="4">
        <v>0</v>
      </c>
      <c r="S97" s="4">
        <v>0</v>
      </c>
      <c r="T97" s="4">
        <v>33</v>
      </c>
      <c r="U97" s="4">
        <v>1</v>
      </c>
      <c r="V97" s="6">
        <f>IF(ISERROR(VLOOKUP($S$97,'TAR FIN'!$A$1:$O$85,15,0)),0,VLOOKUP($S$97,'TAR FIN'!$A$1:$O$85,15,0))</f>
        <v>0</v>
      </c>
      <c r="W97" s="6">
        <f>IF(ISERROR(VLOOKUP($T$97,'TAR FIN'!$A$1:$O$85,15,0)),0,VLOOKUP($T$97,'TAR FIN'!$A$1:$O$85,15,0))</f>
        <v>90.5</v>
      </c>
      <c r="X97" s="6">
        <f>IF(ISERROR(VLOOKUP($U$97,'TAR FIN'!$A$1:$O$85,15,0)),0,VLOOKUP($U$97,'TAR FIN'!$A$1:$O$85,15,0))</f>
        <v>84.65</v>
      </c>
      <c r="Y97" s="6"/>
      <c r="Z97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97" s="6">
        <f>('TE BE'!$AB$12+'TE BF'!$AB$12+'TE CVA'!$AB$12)*(1-CUSTOS!$M$34)</f>
        <v>79.64271102922558</v>
      </c>
      <c r="AB97" s="6">
        <f t="shared" si="11"/>
        <v>0</v>
      </c>
      <c r="AC97" s="6">
        <f>(L97-M97)*(W97+X97)+($W$135+$X$135-$W$97-$X$97)*(L97)</f>
        <v>2878.7279999999996</v>
      </c>
      <c r="AD97" s="6">
        <f t="shared" si="13"/>
        <v>0</v>
      </c>
      <c r="AE97" s="6">
        <f ca="1">(L97-M97)*(Z97+AA97)+($Z$135+$AA$135-$Z$97-$AA$97)*(L97)</f>
        <v>2788.3231740355141</v>
      </c>
      <c r="AF97" s="4" t="s">
        <v>601</v>
      </c>
    </row>
    <row r="98" spans="1:32" ht="11.25" customHeight="1" x14ac:dyDescent="0.25">
      <c r="A98" s="4" t="s">
        <v>21</v>
      </c>
      <c r="B98" s="4" t="s">
        <v>22</v>
      </c>
      <c r="C98" s="4" t="s">
        <v>23</v>
      </c>
      <c r="D98" s="4" t="s">
        <v>24</v>
      </c>
      <c r="E98" s="4" t="s">
        <v>28</v>
      </c>
      <c r="F98" s="4" t="s">
        <v>25</v>
      </c>
      <c r="G98" s="4" t="s">
        <v>25</v>
      </c>
      <c r="H98" s="4" t="s">
        <v>25</v>
      </c>
      <c r="I98" s="5">
        <v>44531</v>
      </c>
      <c r="J98" s="6">
        <v>0</v>
      </c>
      <c r="K98" s="6">
        <v>0</v>
      </c>
      <c r="L98" s="6">
        <v>12.42</v>
      </c>
      <c r="M98" s="6">
        <v>12.42</v>
      </c>
      <c r="N98" s="6">
        <v>12.42</v>
      </c>
      <c r="O98" s="6">
        <v>12.42</v>
      </c>
      <c r="P98" s="6">
        <v>9</v>
      </c>
      <c r="Q98" s="4" t="s">
        <v>26</v>
      </c>
      <c r="R98" s="4">
        <v>0</v>
      </c>
      <c r="S98" s="4">
        <v>0</v>
      </c>
      <c r="T98" s="4">
        <v>33</v>
      </c>
      <c r="U98" s="4">
        <v>1</v>
      </c>
      <c r="V98" s="6">
        <f>IF(ISERROR(VLOOKUP($S$98,'TAR FIN'!$A$1:$O$85,15,0)),0,VLOOKUP($S$98,'TAR FIN'!$A$1:$O$85,15,0))</f>
        <v>0</v>
      </c>
      <c r="W98" s="6">
        <f>IF(ISERROR(VLOOKUP($T$98,'TAR FIN'!$A$1:$O$85,15,0)),0,VLOOKUP($T$98,'TAR FIN'!$A$1:$O$85,15,0))</f>
        <v>90.5</v>
      </c>
      <c r="X98" s="6">
        <f>IF(ISERROR(VLOOKUP($U$98,'TAR FIN'!$A$1:$O$85,15,0)),0,VLOOKUP($U$98,'TAR FIN'!$A$1:$O$85,15,0))</f>
        <v>84.65</v>
      </c>
      <c r="Y98" s="6"/>
      <c r="Z98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98" s="6">
        <f>('TE BE'!$AB$12+'TE BF'!$AB$12+'TE CVA'!$AB$12)*(1-CUSTOS!$M$34)</f>
        <v>79.64271102922558</v>
      </c>
      <c r="AB98" s="6">
        <f t="shared" ref="AB98:AB129" si="15">(J98-K98)*V98</f>
        <v>0</v>
      </c>
      <c r="AC98" s="6">
        <f>(L98-M98)*(W98+X98)+($W$135+$X$135-$W$98-$X$98)*(L98)</f>
        <v>4039.9775999999997</v>
      </c>
      <c r="AD98" s="6">
        <f t="shared" ref="AD98:AD129" si="16">(J98-K98)*Y98</f>
        <v>0</v>
      </c>
      <c r="AE98" s="6">
        <f ca="1">(L98-M98)*(Z98+AA98)+($Z$135+$AA$135-$Z$98-$AA$98)*(L98)</f>
        <v>3913.1043866125519</v>
      </c>
      <c r="AF98" s="4" t="s">
        <v>601</v>
      </c>
    </row>
    <row r="99" spans="1:32" ht="11.25" customHeight="1" x14ac:dyDescent="0.25">
      <c r="A99" s="4" t="s">
        <v>21</v>
      </c>
      <c r="B99" s="4" t="s">
        <v>22</v>
      </c>
      <c r="C99" s="4" t="s">
        <v>23</v>
      </c>
      <c r="D99" s="4" t="s">
        <v>24</v>
      </c>
      <c r="E99" s="4" t="s">
        <v>28</v>
      </c>
      <c r="F99" s="4" t="s">
        <v>25</v>
      </c>
      <c r="G99" s="4" t="s">
        <v>25</v>
      </c>
      <c r="H99" s="4" t="s">
        <v>25</v>
      </c>
      <c r="I99" s="5">
        <v>44562</v>
      </c>
      <c r="J99" s="6">
        <v>0</v>
      </c>
      <c r="K99" s="6">
        <v>0</v>
      </c>
      <c r="L99" s="6">
        <v>14.82</v>
      </c>
      <c r="M99" s="6">
        <v>14.82</v>
      </c>
      <c r="N99" s="6">
        <v>14.82</v>
      </c>
      <c r="O99" s="6">
        <v>14.82</v>
      </c>
      <c r="P99" s="6">
        <v>9</v>
      </c>
      <c r="Q99" s="4" t="s">
        <v>26</v>
      </c>
      <c r="R99" s="4">
        <v>0</v>
      </c>
      <c r="S99" s="4">
        <v>0</v>
      </c>
      <c r="T99" s="4">
        <v>33</v>
      </c>
      <c r="U99" s="4">
        <v>1</v>
      </c>
      <c r="V99" s="6">
        <f>IF(ISERROR(VLOOKUP($S$99,'TAR FIN'!$A$1:$O$85,15,0)),0,VLOOKUP($S$99,'TAR FIN'!$A$1:$O$85,15,0))</f>
        <v>0</v>
      </c>
      <c r="W99" s="6">
        <f>IF(ISERROR(VLOOKUP($T$99,'TAR FIN'!$A$1:$O$85,15,0)),0,VLOOKUP($T$99,'TAR FIN'!$A$1:$O$85,15,0))</f>
        <v>90.5</v>
      </c>
      <c r="X99" s="6">
        <f>IF(ISERROR(VLOOKUP($U$99,'TAR FIN'!$A$1:$O$85,15,0)),0,VLOOKUP($U$99,'TAR FIN'!$A$1:$O$85,15,0))</f>
        <v>84.65</v>
      </c>
      <c r="Y99" s="6"/>
      <c r="Z99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99" s="6">
        <f>('TE BE'!$AB$12+'TE BF'!$AB$12+'TE CVA'!$AB$12)*(1-CUSTOS!$M$34)</f>
        <v>79.64271102922558</v>
      </c>
      <c r="AB99" s="6">
        <f t="shared" si="15"/>
        <v>0</v>
      </c>
      <c r="AC99" s="6">
        <f>(L99-M99)*(W99+X99)+($W$135+$X$135-$W$99-$X$99)*(L99)</f>
        <v>4820.6495999999997</v>
      </c>
      <c r="AD99" s="6">
        <f t="shared" si="16"/>
        <v>0</v>
      </c>
      <c r="AE99" s="6">
        <f ca="1">(L99-M99)*(Z99+AA99)+($Z$135+$AA$135-$Z$99-$AA$99)*(L99)</f>
        <v>4669.2598236391323</v>
      </c>
      <c r="AF99" s="4" t="s">
        <v>601</v>
      </c>
    </row>
    <row r="100" spans="1:32" ht="11.25" customHeight="1" x14ac:dyDescent="0.25">
      <c r="A100" s="4" t="s">
        <v>21</v>
      </c>
      <c r="B100" s="4" t="s">
        <v>22</v>
      </c>
      <c r="C100" s="4" t="s">
        <v>23</v>
      </c>
      <c r="D100" s="4" t="s">
        <v>24</v>
      </c>
      <c r="E100" s="4" t="s">
        <v>28</v>
      </c>
      <c r="F100" s="4" t="s">
        <v>25</v>
      </c>
      <c r="G100" s="4" t="s">
        <v>25</v>
      </c>
      <c r="H100" s="4" t="s">
        <v>25</v>
      </c>
      <c r="I100" s="5">
        <v>44593</v>
      </c>
      <c r="J100" s="6">
        <v>0</v>
      </c>
      <c r="K100" s="6">
        <v>0</v>
      </c>
      <c r="L100" s="6">
        <v>16.29</v>
      </c>
      <c r="M100" s="6">
        <v>16.29</v>
      </c>
      <c r="N100" s="6">
        <v>16.29</v>
      </c>
      <c r="O100" s="6">
        <v>16.29</v>
      </c>
      <c r="P100" s="6">
        <v>7</v>
      </c>
      <c r="Q100" s="4" t="s">
        <v>26</v>
      </c>
      <c r="R100" s="4">
        <v>0</v>
      </c>
      <c r="S100" s="4">
        <v>0</v>
      </c>
      <c r="T100" s="4">
        <v>33</v>
      </c>
      <c r="U100" s="4">
        <v>1</v>
      </c>
      <c r="V100" s="6">
        <f>IF(ISERROR(VLOOKUP($S$100,'TAR FIN'!$A$1:$O$85,15,0)),0,VLOOKUP($S$100,'TAR FIN'!$A$1:$O$85,15,0))</f>
        <v>0</v>
      </c>
      <c r="W100" s="6">
        <f>IF(ISERROR(VLOOKUP($T$100,'TAR FIN'!$A$1:$O$85,15,0)),0,VLOOKUP($T$100,'TAR FIN'!$A$1:$O$85,15,0))</f>
        <v>90.5</v>
      </c>
      <c r="X100" s="6">
        <f>IF(ISERROR(VLOOKUP($U$100,'TAR FIN'!$A$1:$O$85,15,0)),0,VLOOKUP($U$100,'TAR FIN'!$A$1:$O$85,15,0))</f>
        <v>84.65</v>
      </c>
      <c r="Y100" s="6"/>
      <c r="Z100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100" s="6">
        <f>('TE BE'!$AB$12+'TE BF'!$AB$12+'TE CVA'!$AB$12)*(1-CUSTOS!$M$34)</f>
        <v>79.64271102922558</v>
      </c>
      <c r="AB100" s="6">
        <f t="shared" si="15"/>
        <v>0</v>
      </c>
      <c r="AC100" s="6">
        <f>(L100-M100)*(W100+X100)+($W$135+$X$135-$W$100-$X$100)*(L100)</f>
        <v>5298.8111999999992</v>
      </c>
      <c r="AD100" s="6">
        <f t="shared" si="16"/>
        <v>0</v>
      </c>
      <c r="AE100" s="6">
        <f ca="1">(L100-M100)*(Z100+AA100)+($Z$135+$AA$135-$Z$100-$AA$100)*(L100)</f>
        <v>5132.4050288179114</v>
      </c>
      <c r="AF100" s="4" t="s">
        <v>601</v>
      </c>
    </row>
    <row r="101" spans="1:32" ht="11.25" customHeight="1" x14ac:dyDescent="0.25">
      <c r="A101" s="4" t="s">
        <v>21</v>
      </c>
      <c r="B101" s="4" t="s">
        <v>22</v>
      </c>
      <c r="C101" s="4" t="s">
        <v>23</v>
      </c>
      <c r="D101" s="4" t="s">
        <v>24</v>
      </c>
      <c r="E101" s="4" t="s">
        <v>28</v>
      </c>
      <c r="F101" s="4" t="s">
        <v>25</v>
      </c>
      <c r="G101" s="4" t="s">
        <v>25</v>
      </c>
      <c r="H101" s="4" t="s">
        <v>25</v>
      </c>
      <c r="I101" s="5">
        <v>44621</v>
      </c>
      <c r="J101" s="6">
        <v>0</v>
      </c>
      <c r="K101" s="6">
        <v>0</v>
      </c>
      <c r="L101" s="6">
        <v>17.309999999999999</v>
      </c>
      <c r="M101" s="6">
        <v>17.309999999999999</v>
      </c>
      <c r="N101" s="6">
        <v>17.309999999999999</v>
      </c>
      <c r="O101" s="6">
        <v>17.309999999999999</v>
      </c>
      <c r="P101" s="6">
        <v>12</v>
      </c>
      <c r="Q101" s="4" t="s">
        <v>26</v>
      </c>
      <c r="R101" s="4">
        <v>0</v>
      </c>
      <c r="S101" s="4">
        <v>0</v>
      </c>
      <c r="T101" s="4">
        <v>33</v>
      </c>
      <c r="U101" s="4">
        <v>1</v>
      </c>
      <c r="V101" s="6">
        <f>IF(ISERROR(VLOOKUP($S$101,'TAR FIN'!$A$1:$O$85,15,0)),0,VLOOKUP($S$101,'TAR FIN'!$A$1:$O$85,15,0))</f>
        <v>0</v>
      </c>
      <c r="W101" s="6">
        <f>IF(ISERROR(VLOOKUP($T$101,'TAR FIN'!$A$1:$O$85,15,0)),0,VLOOKUP($T$101,'TAR FIN'!$A$1:$O$85,15,0))</f>
        <v>90.5</v>
      </c>
      <c r="X101" s="6">
        <f>IF(ISERROR(VLOOKUP($U$101,'TAR FIN'!$A$1:$O$85,15,0)),0,VLOOKUP($U$101,'TAR FIN'!$A$1:$O$85,15,0))</f>
        <v>84.65</v>
      </c>
      <c r="Y101" s="6"/>
      <c r="Z101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101" s="6">
        <f>('TE BE'!$AB$12+'TE BF'!$AB$12+'TE CVA'!$AB$12)*(1-CUSTOS!$M$34)</f>
        <v>79.64271102922558</v>
      </c>
      <c r="AB101" s="6">
        <f t="shared" si="15"/>
        <v>0</v>
      </c>
      <c r="AC101" s="6">
        <f>(L101-M101)*(W101+X101)+($W$135+$X$135-$W$101-$X$101)*(L101)</f>
        <v>5630.5967999999993</v>
      </c>
      <c r="AD101" s="6">
        <f t="shared" si="16"/>
        <v>0</v>
      </c>
      <c r="AE101" s="6">
        <f ca="1">(L101-M101)*(Z101+AA101)+($Z$135+$AA$135-$Z$101-$AA$101)*(L101)</f>
        <v>5453.7710895542086</v>
      </c>
      <c r="AF101" s="4" t="s">
        <v>601</v>
      </c>
    </row>
    <row r="102" spans="1:32" ht="11.25" customHeight="1" x14ac:dyDescent="0.25">
      <c r="A102" s="4" t="s">
        <v>21</v>
      </c>
      <c r="B102" s="4" t="s">
        <v>22</v>
      </c>
      <c r="C102" s="4" t="s">
        <v>23</v>
      </c>
      <c r="D102" s="4" t="s">
        <v>24</v>
      </c>
      <c r="E102" s="4" t="s">
        <v>28</v>
      </c>
      <c r="F102" s="4" t="s">
        <v>25</v>
      </c>
      <c r="G102" s="4" t="s">
        <v>25</v>
      </c>
      <c r="H102" s="4" t="s">
        <v>25</v>
      </c>
      <c r="I102" s="5">
        <v>44652</v>
      </c>
      <c r="J102" s="6">
        <v>0</v>
      </c>
      <c r="K102" s="6">
        <v>0</v>
      </c>
      <c r="L102" s="6">
        <v>18.989999999999998</v>
      </c>
      <c r="M102" s="6">
        <v>18.989999999999998</v>
      </c>
      <c r="N102" s="6">
        <v>18.989999999999998</v>
      </c>
      <c r="O102" s="6">
        <v>18.989999999999998</v>
      </c>
      <c r="P102" s="6">
        <v>13</v>
      </c>
      <c r="Q102" s="4" t="s">
        <v>26</v>
      </c>
      <c r="R102" s="4">
        <v>0</v>
      </c>
      <c r="S102" s="4">
        <v>0</v>
      </c>
      <c r="T102" s="4">
        <v>33</v>
      </c>
      <c r="U102" s="4">
        <v>1</v>
      </c>
      <c r="V102" s="6">
        <f>IF(ISERROR(VLOOKUP($S$102,'TAR FIN'!$A$1:$O$85,15,0)),0,VLOOKUP($S$102,'TAR FIN'!$A$1:$O$85,15,0))</f>
        <v>0</v>
      </c>
      <c r="W102" s="6">
        <f>IF(ISERROR(VLOOKUP($T$102,'TAR FIN'!$A$1:$O$85,15,0)),0,VLOOKUP($T$102,'TAR FIN'!$A$1:$O$85,15,0))</f>
        <v>90.5</v>
      </c>
      <c r="X102" s="6">
        <f>IF(ISERROR(VLOOKUP($U$102,'TAR FIN'!$A$1:$O$85,15,0)),0,VLOOKUP($U$102,'TAR FIN'!$A$1:$O$85,15,0))</f>
        <v>84.65</v>
      </c>
      <c r="Y102" s="6"/>
      <c r="Z102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102" s="6">
        <f>('TE BE'!$AB$12+'TE BF'!$AB$12+'TE CVA'!$AB$12)*(1-CUSTOS!$M$34)</f>
        <v>79.64271102922558</v>
      </c>
      <c r="AB102" s="6">
        <f t="shared" si="15"/>
        <v>0</v>
      </c>
      <c r="AC102" s="6">
        <f>(L102-M102)*(W102+X102)+($W$135+$X$135-$W$102-$X$102)*(L102)</f>
        <v>6177.0671999999986</v>
      </c>
      <c r="AD102" s="6">
        <f t="shared" si="16"/>
        <v>0</v>
      </c>
      <c r="AE102" s="6">
        <f ca="1">(L102-M102)*(Z102+AA102)+($Z$135+$AA$135-$Z$102-$AA$102)*(L102)</f>
        <v>5983.0798954728143</v>
      </c>
      <c r="AF102" s="4" t="s">
        <v>601</v>
      </c>
    </row>
    <row r="103" spans="1:32" ht="11.25" customHeight="1" x14ac:dyDescent="0.25">
      <c r="A103" s="4" t="s">
        <v>21</v>
      </c>
      <c r="B103" s="4" t="s">
        <v>22</v>
      </c>
      <c r="C103" s="4" t="s">
        <v>23</v>
      </c>
      <c r="D103" s="4" t="s">
        <v>24</v>
      </c>
      <c r="E103" s="4" t="s">
        <v>28</v>
      </c>
      <c r="F103" s="4" t="s">
        <v>25</v>
      </c>
      <c r="G103" s="4" t="s">
        <v>25</v>
      </c>
      <c r="H103" s="4" t="s">
        <v>25</v>
      </c>
      <c r="I103" s="5">
        <v>44682</v>
      </c>
      <c r="J103" s="6">
        <v>0</v>
      </c>
      <c r="K103" s="6">
        <v>0</v>
      </c>
      <c r="L103" s="6">
        <v>19.745999999999999</v>
      </c>
      <c r="M103" s="6">
        <v>19.745999999999999</v>
      </c>
      <c r="N103" s="6">
        <v>19.745999999999999</v>
      </c>
      <c r="O103" s="6">
        <v>19.745999999999999</v>
      </c>
      <c r="P103" s="6">
        <v>18</v>
      </c>
      <c r="Q103" s="4" t="s">
        <v>26</v>
      </c>
      <c r="R103" s="4">
        <v>0</v>
      </c>
      <c r="S103" s="4">
        <v>0</v>
      </c>
      <c r="T103" s="4">
        <v>33</v>
      </c>
      <c r="U103" s="4">
        <v>1</v>
      </c>
      <c r="V103" s="6">
        <f>IF(ISERROR(VLOOKUP($S$103,'TAR FIN'!$A$1:$O$85,15,0)),0,VLOOKUP($S$103,'TAR FIN'!$A$1:$O$85,15,0))</f>
        <v>0</v>
      </c>
      <c r="W103" s="6">
        <f>IF(ISERROR(VLOOKUP($T$103,'TAR FIN'!$A$1:$O$85,15,0)),0,VLOOKUP($T$103,'TAR FIN'!$A$1:$O$85,15,0))</f>
        <v>90.5</v>
      </c>
      <c r="X103" s="6">
        <f>IF(ISERROR(VLOOKUP($U$103,'TAR FIN'!$A$1:$O$85,15,0)),0,VLOOKUP($U$103,'TAR FIN'!$A$1:$O$85,15,0))</f>
        <v>84.65</v>
      </c>
      <c r="Y103" s="6"/>
      <c r="Z103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103" s="6">
        <f>('TE BE'!$AB$12+'TE BF'!$AB$12+'TE CVA'!$AB$12)*(1-CUSTOS!$M$34)</f>
        <v>79.64271102922558</v>
      </c>
      <c r="AB103" s="6">
        <f t="shared" si="15"/>
        <v>0</v>
      </c>
      <c r="AC103" s="6">
        <f>(L103-M103)*(W103+X103)+($W$135+$X$135-$W$103-$X$103)*(L103)</f>
        <v>6422.9788799999988</v>
      </c>
      <c r="AD103" s="6">
        <f t="shared" si="16"/>
        <v>0</v>
      </c>
      <c r="AE103" s="6">
        <f ca="1">(L103-M103)*(Z103+AA103)+($Z$135+$AA$135-$Z$103-$AA$103)*(L103)</f>
        <v>6221.2688581361872</v>
      </c>
      <c r="AF103" s="4" t="s">
        <v>601</v>
      </c>
    </row>
    <row r="104" spans="1:32" ht="11.25" customHeight="1" x14ac:dyDescent="0.25">
      <c r="A104" s="4" t="s">
        <v>27</v>
      </c>
      <c r="B104" s="4" t="s">
        <v>22</v>
      </c>
      <c r="C104" s="4" t="s">
        <v>23</v>
      </c>
      <c r="D104" s="4" t="s">
        <v>24</v>
      </c>
      <c r="E104" s="4" t="s">
        <v>28</v>
      </c>
      <c r="F104" s="4" t="s">
        <v>25</v>
      </c>
      <c r="G104" s="4" t="s">
        <v>25</v>
      </c>
      <c r="H104" s="4" t="s">
        <v>25</v>
      </c>
      <c r="I104" s="5">
        <v>44682</v>
      </c>
      <c r="J104" s="6">
        <v>0</v>
      </c>
      <c r="K104" s="6">
        <v>0</v>
      </c>
      <c r="L104" s="6">
        <v>0.03</v>
      </c>
      <c r="M104" s="6">
        <v>-8.9999999999999993E-3</v>
      </c>
      <c r="N104" s="6">
        <v>0.03</v>
      </c>
      <c r="O104" s="6">
        <v>-8.9999999999999993E-3</v>
      </c>
      <c r="P104" s="6">
        <v>0</v>
      </c>
      <c r="Q104" s="4" t="s">
        <v>26</v>
      </c>
      <c r="R104" s="4">
        <v>0</v>
      </c>
      <c r="S104" s="4">
        <v>0</v>
      </c>
      <c r="T104" s="4">
        <v>33</v>
      </c>
      <c r="U104" s="4">
        <v>1</v>
      </c>
      <c r="V104" s="6">
        <f>IF(ISERROR(VLOOKUP($S$104,'TAR FIN'!$A$1:$O$85,15,0)),0,VLOOKUP($S$104,'TAR FIN'!$A$1:$O$85,15,0))</f>
        <v>0</v>
      </c>
      <c r="W104" s="6">
        <f>IF(ISERROR(VLOOKUP($T$104,'TAR FIN'!$A$1:$O$85,15,0)),0,VLOOKUP($T$104,'TAR FIN'!$A$1:$O$85,15,0))</f>
        <v>90.5</v>
      </c>
      <c r="X104" s="6">
        <f>IF(ISERROR(VLOOKUP($U$104,'TAR FIN'!$A$1:$O$85,15,0)),0,VLOOKUP($U$104,'TAR FIN'!$A$1:$O$85,15,0))</f>
        <v>84.65</v>
      </c>
      <c r="Y104" s="6"/>
      <c r="Z104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104" s="6">
        <f>('TE BE'!$AB$12+'TE BF'!$AB$12+'TE CVA'!$AB$12)*(1-CUSTOS!$M$34)</f>
        <v>79.64271102922558</v>
      </c>
      <c r="AB104" s="6">
        <f t="shared" si="15"/>
        <v>0</v>
      </c>
      <c r="AC104" s="6">
        <f>(L104-M104)*(W104+X104)+($W$135+$X$135-$W$104-$X$104)*(L104)</f>
        <v>16.58925</v>
      </c>
      <c r="AD104" s="6">
        <f t="shared" si="16"/>
        <v>0</v>
      </c>
      <c r="AE104" s="6">
        <f ca="1">(L104-M104)*(Z104+AA104)+($Z$135+$AA$135-$Z$104-$AA$104)*(L104)</f>
        <v>16.068303036814825</v>
      </c>
      <c r="AF104" s="4" t="s">
        <v>601</v>
      </c>
    </row>
    <row r="105" spans="1:32" ht="11.25" customHeight="1" x14ac:dyDescent="0.25">
      <c r="A105" s="4" t="s">
        <v>21</v>
      </c>
      <c r="B105" s="4" t="s">
        <v>22</v>
      </c>
      <c r="C105" s="4" t="s">
        <v>23</v>
      </c>
      <c r="D105" s="4" t="s">
        <v>24</v>
      </c>
      <c r="E105" s="4" t="s">
        <v>28</v>
      </c>
      <c r="F105" s="4" t="s">
        <v>25</v>
      </c>
      <c r="G105" s="4" t="s">
        <v>25</v>
      </c>
      <c r="H105" s="4" t="s">
        <v>25</v>
      </c>
      <c r="I105" s="5">
        <v>44713</v>
      </c>
      <c r="J105" s="6">
        <v>0</v>
      </c>
      <c r="K105" s="6">
        <v>0</v>
      </c>
      <c r="L105" s="6">
        <v>21.78</v>
      </c>
      <c r="M105" s="6">
        <v>21.78</v>
      </c>
      <c r="N105" s="6">
        <v>21.78</v>
      </c>
      <c r="O105" s="6">
        <v>21.78</v>
      </c>
      <c r="P105" s="6">
        <v>18</v>
      </c>
      <c r="Q105" s="4" t="s">
        <v>26</v>
      </c>
      <c r="R105" s="4">
        <v>0</v>
      </c>
      <c r="S105" s="4">
        <v>0</v>
      </c>
      <c r="T105" s="4">
        <v>33</v>
      </c>
      <c r="U105" s="4">
        <v>1</v>
      </c>
      <c r="V105" s="6">
        <f>IF(ISERROR(VLOOKUP($S$105,'TAR FIN'!$A$1:$O$85,15,0)),0,VLOOKUP($S$105,'TAR FIN'!$A$1:$O$85,15,0))</f>
        <v>0</v>
      </c>
      <c r="W105" s="6">
        <f>IF(ISERROR(VLOOKUP($T$105,'TAR FIN'!$A$1:$O$85,15,0)),0,VLOOKUP($T$105,'TAR FIN'!$A$1:$O$85,15,0))</f>
        <v>90.5</v>
      </c>
      <c r="X105" s="6">
        <f>IF(ISERROR(VLOOKUP($U$105,'TAR FIN'!$A$1:$O$85,15,0)),0,VLOOKUP($U$105,'TAR FIN'!$A$1:$O$85,15,0))</f>
        <v>84.65</v>
      </c>
      <c r="Y105" s="6"/>
      <c r="Z105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105" s="6">
        <f>('TE BE'!$AB$12+'TE BF'!$AB$12+'TE CVA'!$AB$12)*(1-CUSTOS!$M$34)</f>
        <v>79.64271102922558</v>
      </c>
      <c r="AB105" s="6">
        <f t="shared" si="15"/>
        <v>0</v>
      </c>
      <c r="AC105" s="6">
        <f>(L105-M105)*(W105+X105)+($W$135+$X$135-$W$105-$X$105)*(L105)</f>
        <v>7084.5983999999999</v>
      </c>
      <c r="AD105" s="6">
        <f t="shared" si="16"/>
        <v>0</v>
      </c>
      <c r="AE105" s="6">
        <f ca="1">(L105-M105)*(Z105+AA105)+($Z$135+$AA$135-$Z$105-$AA$105)*(L105)</f>
        <v>6862.1105910162141</v>
      </c>
      <c r="AF105" s="4" t="s">
        <v>601</v>
      </c>
    </row>
    <row r="106" spans="1:32" ht="11.25" customHeight="1" x14ac:dyDescent="0.25">
      <c r="A106" s="4" t="s">
        <v>27</v>
      </c>
      <c r="B106" s="4" t="s">
        <v>22</v>
      </c>
      <c r="C106" s="4" t="s">
        <v>23</v>
      </c>
      <c r="D106" s="4" t="s">
        <v>24</v>
      </c>
      <c r="E106" s="4" t="s">
        <v>28</v>
      </c>
      <c r="F106" s="4" t="s">
        <v>25</v>
      </c>
      <c r="G106" s="4" t="s">
        <v>25</v>
      </c>
      <c r="H106" s="4" t="s">
        <v>25</v>
      </c>
      <c r="I106" s="5">
        <v>44713</v>
      </c>
      <c r="J106" s="6">
        <v>0</v>
      </c>
      <c r="K106" s="6">
        <v>0</v>
      </c>
      <c r="L106" s="6">
        <v>0.06</v>
      </c>
      <c r="M106" s="6">
        <v>-5.7000000000000002E-2</v>
      </c>
      <c r="N106" s="6">
        <v>0.06</v>
      </c>
      <c r="O106" s="6">
        <v>-5.7000000000000002E-2</v>
      </c>
      <c r="P106" s="6">
        <v>0</v>
      </c>
      <c r="Q106" s="4" t="s">
        <v>26</v>
      </c>
      <c r="R106" s="4">
        <v>0</v>
      </c>
      <c r="S106" s="4">
        <v>0</v>
      </c>
      <c r="T106" s="4">
        <v>33</v>
      </c>
      <c r="U106" s="4">
        <v>1</v>
      </c>
      <c r="V106" s="6">
        <f>IF(ISERROR(VLOOKUP($S$106,'TAR FIN'!$A$1:$O$85,15,0)),0,VLOOKUP($S$106,'TAR FIN'!$A$1:$O$85,15,0))</f>
        <v>0</v>
      </c>
      <c r="W106" s="6">
        <f>IF(ISERROR(VLOOKUP($T$106,'TAR FIN'!$A$1:$O$85,15,0)),0,VLOOKUP($T$106,'TAR FIN'!$A$1:$O$85,15,0))</f>
        <v>90.5</v>
      </c>
      <c r="X106" s="6">
        <f>IF(ISERROR(VLOOKUP($U$106,'TAR FIN'!$A$1:$O$85,15,0)),0,VLOOKUP($U$106,'TAR FIN'!$A$1:$O$85,15,0))</f>
        <v>84.65</v>
      </c>
      <c r="Y106" s="6"/>
      <c r="Z106" s="6">
        <f ca="1">('TUSD BE'!$AM$21+'TUSD BF'!$AM$21+'TUSD CVA'!$AM$21-('TUSD BE'!$P$21+'TUSD BF'!$P$21+'TUSD CVA'!$P$21)-('TUSD BE'!$Q$21+'TUSD BF'!$Q$21+'TUSD CVA'!$Q$21)-('TUSD BE'!$R$21+'TUSD BF'!$R$21+'TUSD CVA'!$R$21))*(1-CUSTOS!$M$34)</f>
        <v>90.007547278019956</v>
      </c>
      <c r="AA106" s="6">
        <f>('TE BE'!$AB$12+'TE BF'!$AB$12+'TE CVA'!$AB$12)*(1-CUSTOS!$M$34)</f>
        <v>79.64271102922558</v>
      </c>
      <c r="AB106" s="6">
        <f t="shared" si="15"/>
        <v>0</v>
      </c>
      <c r="AC106" s="6">
        <f>(L106-M106)*(W106+X106)+($W$135+$X$135-$W$106-$X$106)*(L106)</f>
        <v>40.009349999999998</v>
      </c>
      <c r="AD106" s="6">
        <f t="shared" si="16"/>
        <v>0</v>
      </c>
      <c r="AE106" s="6">
        <f ca="1">(L106-M106)*(Z106+AA106)+($Z$135+$AA$135-$Z$106-$AA$106)*(L106)</f>
        <v>38.752966147612227</v>
      </c>
      <c r="AF106" s="4" t="s">
        <v>601</v>
      </c>
    </row>
    <row r="107" spans="1:32" ht="11.25" customHeight="1" x14ac:dyDescent="0.25">
      <c r="A107" s="4" t="s">
        <v>21</v>
      </c>
      <c r="B107" s="4" t="s">
        <v>22</v>
      </c>
      <c r="C107" s="4" t="s">
        <v>23</v>
      </c>
      <c r="D107" s="4" t="s">
        <v>24</v>
      </c>
      <c r="E107" s="4" t="s">
        <v>29</v>
      </c>
      <c r="F107" s="4" t="s">
        <v>25</v>
      </c>
      <c r="G107" s="4" t="s">
        <v>25</v>
      </c>
      <c r="H107" s="4" t="s">
        <v>25</v>
      </c>
      <c r="I107" s="5">
        <v>44378</v>
      </c>
      <c r="J107" s="6">
        <v>0</v>
      </c>
      <c r="K107" s="6">
        <v>0</v>
      </c>
      <c r="L107" s="6">
        <v>18.091000000000001</v>
      </c>
      <c r="M107" s="6">
        <v>18.091000000000001</v>
      </c>
      <c r="N107" s="6">
        <v>18.091000000000001</v>
      </c>
      <c r="O107" s="6">
        <v>18.091000000000001</v>
      </c>
      <c r="P107" s="6">
        <v>50</v>
      </c>
      <c r="Q107" s="4" t="s">
        <v>26</v>
      </c>
      <c r="R107" s="4">
        <v>0</v>
      </c>
      <c r="S107" s="4">
        <v>0</v>
      </c>
      <c r="T107" s="4">
        <v>26</v>
      </c>
      <c r="U107" s="4">
        <v>18</v>
      </c>
      <c r="V107" s="6">
        <f>IF(ISERROR(VLOOKUP($S$107,'TAR FIN'!$A$1:$O$85,15,0)),0,VLOOKUP($S$107,'TAR FIN'!$A$1:$O$85,15,0))</f>
        <v>0</v>
      </c>
      <c r="W107" s="6">
        <f>IF(ISERROR(VLOOKUP($T$107,'TAR FIN'!$A$1:$O$85,15,0)),0,VLOOKUP($T$107,'TAR FIN'!$A$1:$O$85,15,0))</f>
        <v>155.15</v>
      </c>
      <c r="X107" s="6">
        <f>IF(ISERROR(VLOOKUP($U$107,'TAR FIN'!$A$1:$O$85,15,0)),0,VLOOKUP($U$107,'TAR FIN'!$A$1:$O$85,15,0))</f>
        <v>145.11000000000001</v>
      </c>
      <c r="Y107" s="6"/>
      <c r="Z107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107" s="6">
        <f>('TE BE'!$AB$13+'TE BF'!$AB$13+'TE CVA'!$AB$13)*(1-CUSTOS!$M$35)</f>
        <v>136.5303617643867</v>
      </c>
      <c r="AB107" s="6">
        <f t="shared" si="15"/>
        <v>0</v>
      </c>
      <c r="AC107" s="6">
        <f>(L107-M107)*(W107+X107)+($W$135+$X$135-$W$107-$X$107)*(L107)</f>
        <v>3621.2754699999996</v>
      </c>
      <c r="AD107" s="6">
        <f t="shared" si="16"/>
        <v>0</v>
      </c>
      <c r="AE107" s="6">
        <f ca="1">(L107-M107)*(Z107+AA107)+($Z$135+$AA$135-$Z$107-$AA$107)*(L107)</f>
        <v>3507.5917977558624</v>
      </c>
      <c r="AF107" s="4" t="s">
        <v>601</v>
      </c>
    </row>
    <row r="108" spans="1:32" ht="11.25" customHeight="1" x14ac:dyDescent="0.25">
      <c r="A108" s="4" t="s">
        <v>21</v>
      </c>
      <c r="B108" s="4" t="s">
        <v>22</v>
      </c>
      <c r="C108" s="4" t="s">
        <v>23</v>
      </c>
      <c r="D108" s="4" t="s">
        <v>24</v>
      </c>
      <c r="E108" s="4" t="s">
        <v>29</v>
      </c>
      <c r="F108" s="4" t="s">
        <v>25</v>
      </c>
      <c r="G108" s="4" t="s">
        <v>25</v>
      </c>
      <c r="H108" s="4" t="s">
        <v>25</v>
      </c>
      <c r="I108" s="5">
        <v>44409</v>
      </c>
      <c r="J108" s="6">
        <v>0</v>
      </c>
      <c r="K108" s="6">
        <v>0</v>
      </c>
      <c r="L108" s="6">
        <v>18.702000000000002</v>
      </c>
      <c r="M108" s="6">
        <v>18.702000000000002</v>
      </c>
      <c r="N108" s="6">
        <v>18.702000000000002</v>
      </c>
      <c r="O108" s="6">
        <v>18.702000000000002</v>
      </c>
      <c r="P108" s="6">
        <v>53</v>
      </c>
      <c r="Q108" s="4" t="s">
        <v>26</v>
      </c>
      <c r="R108" s="4">
        <v>0</v>
      </c>
      <c r="S108" s="4">
        <v>0</v>
      </c>
      <c r="T108" s="4">
        <v>26</v>
      </c>
      <c r="U108" s="4">
        <v>18</v>
      </c>
      <c r="V108" s="6">
        <f>IF(ISERROR(VLOOKUP($S$108,'TAR FIN'!$A$1:$O$85,15,0)),0,VLOOKUP($S$108,'TAR FIN'!$A$1:$O$85,15,0))</f>
        <v>0</v>
      </c>
      <c r="W108" s="6">
        <f>IF(ISERROR(VLOOKUP($T$108,'TAR FIN'!$A$1:$O$85,15,0)),0,VLOOKUP($T$108,'TAR FIN'!$A$1:$O$85,15,0))</f>
        <v>155.15</v>
      </c>
      <c r="X108" s="6">
        <f>IF(ISERROR(VLOOKUP($U$108,'TAR FIN'!$A$1:$O$85,15,0)),0,VLOOKUP($U$108,'TAR FIN'!$A$1:$O$85,15,0))</f>
        <v>145.11000000000001</v>
      </c>
      <c r="Y108" s="6"/>
      <c r="Z108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108" s="6">
        <f>('TE BE'!$AB$13+'TE BF'!$AB$13+'TE CVA'!$AB$13)*(1-CUSTOS!$M$35)</f>
        <v>136.5303617643867</v>
      </c>
      <c r="AB108" s="6">
        <f t="shared" si="15"/>
        <v>0</v>
      </c>
      <c r="AC108" s="6">
        <f>(L108-M108)*(W108+X108)+($W$135+$X$135-$W$108-$X$108)*(L108)</f>
        <v>3743.5793399999998</v>
      </c>
      <c r="AD108" s="6">
        <f t="shared" si="16"/>
        <v>0</v>
      </c>
      <c r="AE108" s="6">
        <f ca="1">(L108-M108)*(Z108+AA108)+($Z$135+$AA$135-$Z$108-$AA$108)*(L108)</f>
        <v>3626.0561495566935</v>
      </c>
      <c r="AF108" s="4" t="s">
        <v>601</v>
      </c>
    </row>
    <row r="109" spans="1:32" ht="11.25" customHeight="1" x14ac:dyDescent="0.25">
      <c r="A109" s="4" t="s">
        <v>21</v>
      </c>
      <c r="B109" s="4" t="s">
        <v>22</v>
      </c>
      <c r="C109" s="4" t="s">
        <v>23</v>
      </c>
      <c r="D109" s="4" t="s">
        <v>24</v>
      </c>
      <c r="E109" s="4" t="s">
        <v>29</v>
      </c>
      <c r="F109" s="4" t="s">
        <v>25</v>
      </c>
      <c r="G109" s="4" t="s">
        <v>25</v>
      </c>
      <c r="H109" s="4" t="s">
        <v>25</v>
      </c>
      <c r="I109" s="5">
        <v>44440</v>
      </c>
      <c r="J109" s="6">
        <v>0</v>
      </c>
      <c r="K109" s="6">
        <v>0</v>
      </c>
      <c r="L109" s="6">
        <v>18.943999999999999</v>
      </c>
      <c r="M109" s="6">
        <v>18.943999999999999</v>
      </c>
      <c r="N109" s="6">
        <v>18.943999999999999</v>
      </c>
      <c r="O109" s="6">
        <v>18.943999999999999</v>
      </c>
      <c r="P109" s="6">
        <v>56</v>
      </c>
      <c r="Q109" s="4" t="s">
        <v>26</v>
      </c>
      <c r="R109" s="4">
        <v>0</v>
      </c>
      <c r="S109" s="4">
        <v>0</v>
      </c>
      <c r="T109" s="4">
        <v>26</v>
      </c>
      <c r="U109" s="4">
        <v>18</v>
      </c>
      <c r="V109" s="6">
        <f>IF(ISERROR(VLOOKUP($S$109,'TAR FIN'!$A$1:$O$85,15,0)),0,VLOOKUP($S$109,'TAR FIN'!$A$1:$O$85,15,0))</f>
        <v>0</v>
      </c>
      <c r="W109" s="6">
        <f>IF(ISERROR(VLOOKUP($T$109,'TAR FIN'!$A$1:$O$85,15,0)),0,VLOOKUP($T$109,'TAR FIN'!$A$1:$O$85,15,0))</f>
        <v>155.15</v>
      </c>
      <c r="X109" s="6">
        <f>IF(ISERROR(VLOOKUP($U$109,'TAR FIN'!$A$1:$O$85,15,0)),0,VLOOKUP($U$109,'TAR FIN'!$A$1:$O$85,15,0))</f>
        <v>145.11000000000001</v>
      </c>
      <c r="Y109" s="6"/>
      <c r="Z109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109" s="6">
        <f>('TE BE'!$AB$13+'TE BF'!$AB$13+'TE CVA'!$AB$13)*(1-CUSTOS!$M$35)</f>
        <v>136.5303617643867</v>
      </c>
      <c r="AB109" s="6">
        <f t="shared" si="15"/>
        <v>0</v>
      </c>
      <c r="AC109" s="6">
        <f>(L109-M109)*(W109+X109)+($W$135+$X$135-$W$109-$X$109)*(L109)</f>
        <v>3792.0204799999992</v>
      </c>
      <c r="AD109" s="6">
        <f t="shared" si="16"/>
        <v>0</v>
      </c>
      <c r="AE109" s="6">
        <f ca="1">(L109-M109)*(Z109+AA109)+($Z$135+$AA$135-$Z$109-$AA$109)*(L109)</f>
        <v>3672.9765638542394</v>
      </c>
      <c r="AF109" s="4" t="s">
        <v>601</v>
      </c>
    </row>
    <row r="110" spans="1:32" ht="11.25" customHeight="1" x14ac:dyDescent="0.25">
      <c r="A110" s="4" t="s">
        <v>21</v>
      </c>
      <c r="B110" s="4" t="s">
        <v>22</v>
      </c>
      <c r="C110" s="4" t="s">
        <v>23</v>
      </c>
      <c r="D110" s="4" t="s">
        <v>24</v>
      </c>
      <c r="E110" s="4" t="s">
        <v>29</v>
      </c>
      <c r="F110" s="4" t="s">
        <v>25</v>
      </c>
      <c r="G110" s="4" t="s">
        <v>25</v>
      </c>
      <c r="H110" s="4" t="s">
        <v>25</v>
      </c>
      <c r="I110" s="5">
        <v>44470</v>
      </c>
      <c r="J110" s="6">
        <v>0</v>
      </c>
      <c r="K110" s="6">
        <v>0</v>
      </c>
      <c r="L110" s="6">
        <v>18.806000000000001</v>
      </c>
      <c r="M110" s="6">
        <v>18.806000000000001</v>
      </c>
      <c r="N110" s="6">
        <v>18.806000000000001</v>
      </c>
      <c r="O110" s="6">
        <v>18.806000000000001</v>
      </c>
      <c r="P110" s="6">
        <v>59</v>
      </c>
      <c r="Q110" s="4" t="s">
        <v>26</v>
      </c>
      <c r="R110" s="4">
        <v>0</v>
      </c>
      <c r="S110" s="4">
        <v>0</v>
      </c>
      <c r="T110" s="4">
        <v>26</v>
      </c>
      <c r="U110" s="4">
        <v>18</v>
      </c>
      <c r="V110" s="6">
        <f>IF(ISERROR(VLOOKUP($S$110,'TAR FIN'!$A$1:$O$85,15,0)),0,VLOOKUP($S$110,'TAR FIN'!$A$1:$O$85,15,0))</f>
        <v>0</v>
      </c>
      <c r="W110" s="6">
        <f>IF(ISERROR(VLOOKUP($T$110,'TAR FIN'!$A$1:$O$85,15,0)),0,VLOOKUP($T$110,'TAR FIN'!$A$1:$O$85,15,0))</f>
        <v>155.15</v>
      </c>
      <c r="X110" s="6">
        <f>IF(ISERROR(VLOOKUP($U$110,'TAR FIN'!$A$1:$O$85,15,0)),0,VLOOKUP($U$110,'TAR FIN'!$A$1:$O$85,15,0))</f>
        <v>145.11000000000001</v>
      </c>
      <c r="Y110" s="6"/>
      <c r="Z110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110" s="6">
        <f>('TE BE'!$AB$13+'TE BF'!$AB$13+'TE CVA'!$AB$13)*(1-CUSTOS!$M$35)</f>
        <v>136.5303617643867</v>
      </c>
      <c r="AB110" s="6">
        <f t="shared" si="15"/>
        <v>0</v>
      </c>
      <c r="AC110" s="6">
        <f>(L110-M110)*(W110+X110)+($W$135+$X$135-$W$110-$X$110)*(L110)</f>
        <v>3764.3970199999994</v>
      </c>
      <c r="AD110" s="6">
        <f t="shared" si="16"/>
        <v>0</v>
      </c>
      <c r="AE110" s="6">
        <f ca="1">(L110-M110)*(Z110+AA110)+($Z$135+$AA$135-$Z$110-$AA$110)*(L110)</f>
        <v>3646.2202945440686</v>
      </c>
      <c r="AF110" s="4" t="s">
        <v>601</v>
      </c>
    </row>
    <row r="111" spans="1:32" ht="11.25" customHeight="1" x14ac:dyDescent="0.25">
      <c r="A111" s="4" t="s">
        <v>21</v>
      </c>
      <c r="B111" s="4" t="s">
        <v>22</v>
      </c>
      <c r="C111" s="4" t="s">
        <v>23</v>
      </c>
      <c r="D111" s="4" t="s">
        <v>24</v>
      </c>
      <c r="E111" s="4" t="s">
        <v>29</v>
      </c>
      <c r="F111" s="4" t="s">
        <v>25</v>
      </c>
      <c r="G111" s="4" t="s">
        <v>25</v>
      </c>
      <c r="H111" s="4" t="s">
        <v>25</v>
      </c>
      <c r="I111" s="5">
        <v>44501</v>
      </c>
      <c r="J111" s="6">
        <v>0</v>
      </c>
      <c r="K111" s="6">
        <v>0</v>
      </c>
      <c r="L111" s="6">
        <v>19.143999999999998</v>
      </c>
      <c r="M111" s="6">
        <v>19.143999999999998</v>
      </c>
      <c r="N111" s="6">
        <v>19.143999999999998</v>
      </c>
      <c r="O111" s="6">
        <v>19.143999999999998</v>
      </c>
      <c r="P111" s="6">
        <v>48</v>
      </c>
      <c r="Q111" s="4" t="s">
        <v>26</v>
      </c>
      <c r="R111" s="4">
        <v>0</v>
      </c>
      <c r="S111" s="4">
        <v>0</v>
      </c>
      <c r="T111" s="4">
        <v>26</v>
      </c>
      <c r="U111" s="4">
        <v>18</v>
      </c>
      <c r="V111" s="6">
        <f>IF(ISERROR(VLOOKUP($S$111,'TAR FIN'!$A$1:$O$85,15,0)),0,VLOOKUP($S$111,'TAR FIN'!$A$1:$O$85,15,0))</f>
        <v>0</v>
      </c>
      <c r="W111" s="6">
        <f>IF(ISERROR(VLOOKUP($T$111,'TAR FIN'!$A$1:$O$85,15,0)),0,VLOOKUP($T$111,'TAR FIN'!$A$1:$O$85,15,0))</f>
        <v>155.15</v>
      </c>
      <c r="X111" s="6">
        <f>IF(ISERROR(VLOOKUP($U$111,'TAR FIN'!$A$1:$O$85,15,0)),0,VLOOKUP($U$111,'TAR FIN'!$A$1:$O$85,15,0))</f>
        <v>145.11000000000001</v>
      </c>
      <c r="Y111" s="6"/>
      <c r="Z111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111" s="6">
        <f>('TE BE'!$AB$13+'TE BF'!$AB$13+'TE CVA'!$AB$13)*(1-CUSTOS!$M$35)</f>
        <v>136.5303617643867</v>
      </c>
      <c r="AB111" s="6">
        <f t="shared" si="15"/>
        <v>0</v>
      </c>
      <c r="AC111" s="6">
        <f>(L111-M111)*(W111+X111)+($W$135+$X$135-$W$111-$X$111)*(L111)</f>
        <v>3832.0544799999989</v>
      </c>
      <c r="AD111" s="6">
        <f t="shared" si="16"/>
        <v>0</v>
      </c>
      <c r="AE111" s="6">
        <f ca="1">(L111-M111)*(Z111+AA111)+($Z$135+$AA$135-$Z$111-$AA$111)*(L111)</f>
        <v>3711.7537657530384</v>
      </c>
      <c r="AF111" s="4" t="s">
        <v>601</v>
      </c>
    </row>
    <row r="112" spans="1:32" ht="11.25" customHeight="1" x14ac:dyDescent="0.25">
      <c r="A112" s="4" t="s">
        <v>21</v>
      </c>
      <c r="B112" s="4" t="s">
        <v>22</v>
      </c>
      <c r="C112" s="4" t="s">
        <v>23</v>
      </c>
      <c r="D112" s="4" t="s">
        <v>24</v>
      </c>
      <c r="E112" s="4" t="s">
        <v>29</v>
      </c>
      <c r="F112" s="4" t="s">
        <v>25</v>
      </c>
      <c r="G112" s="4" t="s">
        <v>25</v>
      </c>
      <c r="H112" s="4" t="s">
        <v>25</v>
      </c>
      <c r="I112" s="5">
        <v>44531</v>
      </c>
      <c r="J112" s="6">
        <v>0</v>
      </c>
      <c r="K112" s="6">
        <v>0</v>
      </c>
      <c r="L112" s="6">
        <v>26.596</v>
      </c>
      <c r="M112" s="6">
        <v>26.596</v>
      </c>
      <c r="N112" s="6">
        <v>26.596</v>
      </c>
      <c r="O112" s="6">
        <v>26.596</v>
      </c>
      <c r="P112" s="6">
        <v>67</v>
      </c>
      <c r="Q112" s="4" t="s">
        <v>26</v>
      </c>
      <c r="R112" s="4">
        <v>0</v>
      </c>
      <c r="S112" s="4">
        <v>0</v>
      </c>
      <c r="T112" s="4">
        <v>26</v>
      </c>
      <c r="U112" s="4">
        <v>18</v>
      </c>
      <c r="V112" s="6">
        <f>IF(ISERROR(VLOOKUP($S$112,'TAR FIN'!$A$1:$O$85,15,0)),0,VLOOKUP($S$112,'TAR FIN'!$A$1:$O$85,15,0))</f>
        <v>0</v>
      </c>
      <c r="W112" s="6">
        <f>IF(ISERROR(VLOOKUP($T$112,'TAR FIN'!$A$1:$O$85,15,0)),0,VLOOKUP($T$112,'TAR FIN'!$A$1:$O$85,15,0))</f>
        <v>155.15</v>
      </c>
      <c r="X112" s="6">
        <f>IF(ISERROR(VLOOKUP($U$112,'TAR FIN'!$A$1:$O$85,15,0)),0,VLOOKUP($U$112,'TAR FIN'!$A$1:$O$85,15,0))</f>
        <v>145.11000000000001</v>
      </c>
      <c r="Y112" s="6"/>
      <c r="Z112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112" s="6">
        <f>('TE BE'!$AB$13+'TE BF'!$AB$13+'TE CVA'!$AB$13)*(1-CUSTOS!$M$35)</f>
        <v>136.5303617643867</v>
      </c>
      <c r="AB112" s="6">
        <f t="shared" si="15"/>
        <v>0</v>
      </c>
      <c r="AC112" s="6">
        <f>(L112-M112)*(W112+X112)+($W$135+$X$135-$W$112-$X$112)*(L112)</f>
        <v>5323.7213199999987</v>
      </c>
      <c r="AD112" s="6">
        <f t="shared" si="16"/>
        <v>0</v>
      </c>
      <c r="AE112" s="6">
        <f ca="1">(L112-M112)*(Z112+AA112)+($Z$135+$AA$135-$Z$112-$AA$112)*(L112)</f>
        <v>5156.5923085022887</v>
      </c>
      <c r="AF112" s="4" t="s">
        <v>601</v>
      </c>
    </row>
    <row r="113" spans="1:32" ht="11.25" customHeight="1" x14ac:dyDescent="0.25">
      <c r="A113" s="4" t="s">
        <v>21</v>
      </c>
      <c r="B113" s="4" t="s">
        <v>22</v>
      </c>
      <c r="C113" s="4" t="s">
        <v>23</v>
      </c>
      <c r="D113" s="4" t="s">
        <v>24</v>
      </c>
      <c r="E113" s="4" t="s">
        <v>29</v>
      </c>
      <c r="F113" s="4" t="s">
        <v>25</v>
      </c>
      <c r="G113" s="4" t="s">
        <v>25</v>
      </c>
      <c r="H113" s="4" t="s">
        <v>25</v>
      </c>
      <c r="I113" s="5">
        <v>44562</v>
      </c>
      <c r="J113" s="6">
        <v>0</v>
      </c>
      <c r="K113" s="6">
        <v>0</v>
      </c>
      <c r="L113" s="6">
        <v>31.931000000000001</v>
      </c>
      <c r="M113" s="6">
        <v>31.931000000000001</v>
      </c>
      <c r="N113" s="6">
        <v>31.931000000000001</v>
      </c>
      <c r="O113" s="6">
        <v>31.931000000000001</v>
      </c>
      <c r="P113" s="6">
        <v>74</v>
      </c>
      <c r="Q113" s="4" t="s">
        <v>26</v>
      </c>
      <c r="R113" s="4">
        <v>0</v>
      </c>
      <c r="S113" s="4">
        <v>0</v>
      </c>
      <c r="T113" s="4">
        <v>26</v>
      </c>
      <c r="U113" s="4">
        <v>18</v>
      </c>
      <c r="V113" s="6">
        <f>IF(ISERROR(VLOOKUP($S$113,'TAR FIN'!$A$1:$O$85,15,0)),0,VLOOKUP($S$113,'TAR FIN'!$A$1:$O$85,15,0))</f>
        <v>0</v>
      </c>
      <c r="W113" s="6">
        <f>IF(ISERROR(VLOOKUP($T$113,'TAR FIN'!$A$1:$O$85,15,0)),0,VLOOKUP($T$113,'TAR FIN'!$A$1:$O$85,15,0))</f>
        <v>155.15</v>
      </c>
      <c r="X113" s="6">
        <f>IF(ISERROR(VLOOKUP($U$113,'TAR FIN'!$A$1:$O$85,15,0)),0,VLOOKUP($U$113,'TAR FIN'!$A$1:$O$85,15,0))</f>
        <v>145.11000000000001</v>
      </c>
      <c r="Y113" s="6"/>
      <c r="Z113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113" s="6">
        <f>('TE BE'!$AB$13+'TE BF'!$AB$13+'TE CVA'!$AB$13)*(1-CUSTOS!$M$35)</f>
        <v>136.5303617643867</v>
      </c>
      <c r="AB113" s="6">
        <f t="shared" si="15"/>
        <v>0</v>
      </c>
      <c r="AC113" s="6">
        <f>(L113-M113)*(W113+X113)+($W$135+$X$135-$W$113-$X$113)*(L113)</f>
        <v>6391.6282699999992</v>
      </c>
      <c r="AD113" s="6">
        <f t="shared" si="16"/>
        <v>0</v>
      </c>
      <c r="AE113" s="6">
        <f ca="1">(L113-M113)*(Z113+AA113)+($Z$135+$AA$135-$Z$113-$AA$113)*(L113)</f>
        <v>6190.9741691527515</v>
      </c>
      <c r="AF113" s="4" t="s">
        <v>601</v>
      </c>
    </row>
    <row r="114" spans="1:32" ht="11.25" customHeight="1" x14ac:dyDescent="0.25">
      <c r="A114" s="4" t="s">
        <v>21</v>
      </c>
      <c r="B114" s="4" t="s">
        <v>22</v>
      </c>
      <c r="C114" s="4" t="s">
        <v>23</v>
      </c>
      <c r="D114" s="4" t="s">
        <v>24</v>
      </c>
      <c r="E114" s="4" t="s">
        <v>29</v>
      </c>
      <c r="F114" s="4" t="s">
        <v>25</v>
      </c>
      <c r="G114" s="4" t="s">
        <v>25</v>
      </c>
      <c r="H114" s="4" t="s">
        <v>25</v>
      </c>
      <c r="I114" s="5">
        <v>44593</v>
      </c>
      <c r="J114" s="6">
        <v>0</v>
      </c>
      <c r="K114" s="6">
        <v>0</v>
      </c>
      <c r="L114" s="6">
        <v>35.450000000000003</v>
      </c>
      <c r="M114" s="6">
        <v>35.450000000000003</v>
      </c>
      <c r="N114" s="6">
        <v>35.450000000000003</v>
      </c>
      <c r="O114" s="6">
        <v>35.450000000000003</v>
      </c>
      <c r="P114" s="6">
        <v>84</v>
      </c>
      <c r="Q114" s="4" t="s">
        <v>26</v>
      </c>
      <c r="R114" s="4">
        <v>0</v>
      </c>
      <c r="S114" s="4">
        <v>0</v>
      </c>
      <c r="T114" s="4">
        <v>26</v>
      </c>
      <c r="U114" s="4">
        <v>18</v>
      </c>
      <c r="V114" s="6">
        <f>IF(ISERROR(VLOOKUP($S$114,'TAR FIN'!$A$1:$O$85,15,0)),0,VLOOKUP($S$114,'TAR FIN'!$A$1:$O$85,15,0))</f>
        <v>0</v>
      </c>
      <c r="W114" s="6">
        <f>IF(ISERROR(VLOOKUP($T$114,'TAR FIN'!$A$1:$O$85,15,0)),0,VLOOKUP($T$114,'TAR FIN'!$A$1:$O$85,15,0))</f>
        <v>155.15</v>
      </c>
      <c r="X114" s="6">
        <f>IF(ISERROR(VLOOKUP($U$114,'TAR FIN'!$A$1:$O$85,15,0)),0,VLOOKUP($U$114,'TAR FIN'!$A$1:$O$85,15,0))</f>
        <v>145.11000000000001</v>
      </c>
      <c r="Y114" s="6"/>
      <c r="Z114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114" s="6">
        <f>('TE BE'!$AB$13+'TE BF'!$AB$13+'TE CVA'!$AB$13)*(1-CUSTOS!$M$35)</f>
        <v>136.5303617643867</v>
      </c>
      <c r="AB114" s="6">
        <f t="shared" si="15"/>
        <v>0</v>
      </c>
      <c r="AC114" s="6">
        <f>(L114-M114)*(W114+X114)+($W$135+$X$135-$W$114-$X$114)*(L114)</f>
        <v>7096.026499999999</v>
      </c>
      <c r="AD114" s="6">
        <f t="shared" si="16"/>
        <v>0</v>
      </c>
      <c r="AE114" s="6">
        <f ca="1">(L114-M114)*(Z114+AA114)+($Z$135+$AA$135-$Z$114-$AA$114)*(L114)</f>
        <v>6873.2590365621209</v>
      </c>
      <c r="AF114" s="4" t="s">
        <v>601</v>
      </c>
    </row>
    <row r="115" spans="1:32" ht="11.25" customHeight="1" x14ac:dyDescent="0.25">
      <c r="A115" s="4" t="s">
        <v>21</v>
      </c>
      <c r="B115" s="4" t="s">
        <v>22</v>
      </c>
      <c r="C115" s="4" t="s">
        <v>23</v>
      </c>
      <c r="D115" s="4" t="s">
        <v>24</v>
      </c>
      <c r="E115" s="4" t="s">
        <v>29</v>
      </c>
      <c r="F115" s="4" t="s">
        <v>25</v>
      </c>
      <c r="G115" s="4" t="s">
        <v>25</v>
      </c>
      <c r="H115" s="4" t="s">
        <v>25</v>
      </c>
      <c r="I115" s="5">
        <v>44621</v>
      </c>
      <c r="J115" s="6">
        <v>0</v>
      </c>
      <c r="K115" s="6">
        <v>0</v>
      </c>
      <c r="L115" s="6">
        <v>36.933999999999997</v>
      </c>
      <c r="M115" s="6">
        <v>36.933999999999997</v>
      </c>
      <c r="N115" s="6">
        <v>36.933999999999997</v>
      </c>
      <c r="O115" s="6">
        <v>36.933999999999997</v>
      </c>
      <c r="P115" s="6">
        <v>114</v>
      </c>
      <c r="Q115" s="4" t="s">
        <v>26</v>
      </c>
      <c r="R115" s="4">
        <v>0</v>
      </c>
      <c r="S115" s="4">
        <v>0</v>
      </c>
      <c r="T115" s="4">
        <v>26</v>
      </c>
      <c r="U115" s="4">
        <v>18</v>
      </c>
      <c r="V115" s="6">
        <f>IF(ISERROR(VLOOKUP($S$115,'TAR FIN'!$A$1:$O$85,15,0)),0,VLOOKUP($S$115,'TAR FIN'!$A$1:$O$85,15,0))</f>
        <v>0</v>
      </c>
      <c r="W115" s="6">
        <f>IF(ISERROR(VLOOKUP($T$115,'TAR FIN'!$A$1:$O$85,15,0)),0,VLOOKUP($T$115,'TAR FIN'!$A$1:$O$85,15,0))</f>
        <v>155.15</v>
      </c>
      <c r="X115" s="6">
        <f>IF(ISERROR(VLOOKUP($U$115,'TAR FIN'!$A$1:$O$85,15,0)),0,VLOOKUP($U$115,'TAR FIN'!$A$1:$O$85,15,0))</f>
        <v>145.11000000000001</v>
      </c>
      <c r="Y115" s="6"/>
      <c r="Z115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115" s="6">
        <f>('TE BE'!$AB$13+'TE BF'!$AB$13+'TE CVA'!$AB$13)*(1-CUSTOS!$M$35)</f>
        <v>136.5303617643867</v>
      </c>
      <c r="AB115" s="6">
        <f t="shared" si="15"/>
        <v>0</v>
      </c>
      <c r="AC115" s="6">
        <f>(L115-M115)*(W115+X115)+($W$135+$X$135-$W$115-$X$115)*(L115)</f>
        <v>7393.078779999998</v>
      </c>
      <c r="AD115" s="6">
        <f t="shared" si="16"/>
        <v>0</v>
      </c>
      <c r="AE115" s="6">
        <f ca="1">(L115-M115)*(Z115+AA115)+($Z$135+$AA$135-$Z$115-$AA$115)*(L115)</f>
        <v>7160.9858746512082</v>
      </c>
      <c r="AF115" s="4" t="s">
        <v>601</v>
      </c>
    </row>
    <row r="116" spans="1:32" ht="11.25" customHeight="1" x14ac:dyDescent="0.25">
      <c r="A116" s="4" t="s">
        <v>21</v>
      </c>
      <c r="B116" s="4" t="s">
        <v>22</v>
      </c>
      <c r="C116" s="4" t="s">
        <v>23</v>
      </c>
      <c r="D116" s="4" t="s">
        <v>24</v>
      </c>
      <c r="E116" s="4" t="s">
        <v>29</v>
      </c>
      <c r="F116" s="4" t="s">
        <v>25</v>
      </c>
      <c r="G116" s="4" t="s">
        <v>25</v>
      </c>
      <c r="H116" s="4" t="s">
        <v>25</v>
      </c>
      <c r="I116" s="5">
        <v>44652</v>
      </c>
      <c r="J116" s="6">
        <v>0</v>
      </c>
      <c r="K116" s="6">
        <v>0</v>
      </c>
      <c r="L116" s="6">
        <v>39.765000000000001</v>
      </c>
      <c r="M116" s="6">
        <v>39.765000000000001</v>
      </c>
      <c r="N116" s="6">
        <v>39.765000000000001</v>
      </c>
      <c r="O116" s="6">
        <v>39.765000000000001</v>
      </c>
      <c r="P116" s="6">
        <v>144</v>
      </c>
      <c r="Q116" s="4" t="s">
        <v>26</v>
      </c>
      <c r="R116" s="4">
        <v>0</v>
      </c>
      <c r="S116" s="4">
        <v>0</v>
      </c>
      <c r="T116" s="4">
        <v>26</v>
      </c>
      <c r="U116" s="4">
        <v>18</v>
      </c>
      <c r="V116" s="6">
        <f>IF(ISERROR(VLOOKUP($S$116,'TAR FIN'!$A$1:$O$85,15,0)),0,VLOOKUP($S$116,'TAR FIN'!$A$1:$O$85,15,0))</f>
        <v>0</v>
      </c>
      <c r="W116" s="6">
        <f>IF(ISERROR(VLOOKUP($T$116,'TAR FIN'!$A$1:$O$85,15,0)),0,VLOOKUP($T$116,'TAR FIN'!$A$1:$O$85,15,0))</f>
        <v>155.15</v>
      </c>
      <c r="X116" s="6">
        <f>IF(ISERROR(VLOOKUP($U$116,'TAR FIN'!$A$1:$O$85,15,0)),0,VLOOKUP($U$116,'TAR FIN'!$A$1:$O$85,15,0))</f>
        <v>145.11000000000001</v>
      </c>
      <c r="Y116" s="6"/>
      <c r="Z116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116" s="6">
        <f>('TE BE'!$AB$13+'TE BF'!$AB$13+'TE CVA'!$AB$13)*(1-CUSTOS!$M$35)</f>
        <v>136.5303617643867</v>
      </c>
      <c r="AB116" s="6">
        <f t="shared" si="15"/>
        <v>0</v>
      </c>
      <c r="AC116" s="6">
        <f>(L116-M116)*(W116+X116)+($W$135+$X$135-$W$116-$X$116)*(L116)</f>
        <v>7959.760049999998</v>
      </c>
      <c r="AD116" s="6">
        <f t="shared" si="16"/>
        <v>0</v>
      </c>
      <c r="AE116" s="6">
        <f ca="1">(L116-M116)*(Z116+AA116)+($Z$135+$AA$135-$Z$116-$AA$116)*(L116)</f>
        <v>7709.877167528708</v>
      </c>
      <c r="AF116" s="4" t="s">
        <v>601</v>
      </c>
    </row>
    <row r="117" spans="1:32" ht="11.25" customHeight="1" x14ac:dyDescent="0.25">
      <c r="A117" s="4" t="s">
        <v>21</v>
      </c>
      <c r="B117" s="4" t="s">
        <v>22</v>
      </c>
      <c r="C117" s="4" t="s">
        <v>23</v>
      </c>
      <c r="D117" s="4" t="s">
        <v>24</v>
      </c>
      <c r="E117" s="4" t="s">
        <v>29</v>
      </c>
      <c r="F117" s="4" t="s">
        <v>25</v>
      </c>
      <c r="G117" s="4" t="s">
        <v>25</v>
      </c>
      <c r="H117" s="4" t="s">
        <v>25</v>
      </c>
      <c r="I117" s="5">
        <v>44682</v>
      </c>
      <c r="J117" s="6">
        <v>0</v>
      </c>
      <c r="K117" s="6">
        <v>0</v>
      </c>
      <c r="L117" s="6">
        <v>40.735999999999997</v>
      </c>
      <c r="M117" s="6">
        <v>40.735999999999997</v>
      </c>
      <c r="N117" s="6">
        <v>40.735999999999997</v>
      </c>
      <c r="O117" s="6">
        <v>40.735999999999997</v>
      </c>
      <c r="P117" s="6">
        <v>140</v>
      </c>
      <c r="Q117" s="4" t="s">
        <v>26</v>
      </c>
      <c r="R117" s="4">
        <v>0</v>
      </c>
      <c r="S117" s="4">
        <v>0</v>
      </c>
      <c r="T117" s="4">
        <v>26</v>
      </c>
      <c r="U117" s="4">
        <v>18</v>
      </c>
      <c r="V117" s="6">
        <f>IF(ISERROR(VLOOKUP($S$117,'TAR FIN'!$A$1:$O$85,15,0)),0,VLOOKUP($S$117,'TAR FIN'!$A$1:$O$85,15,0))</f>
        <v>0</v>
      </c>
      <c r="W117" s="6">
        <f>IF(ISERROR(VLOOKUP($T$117,'TAR FIN'!$A$1:$O$85,15,0)),0,VLOOKUP($T$117,'TAR FIN'!$A$1:$O$85,15,0))</f>
        <v>155.15</v>
      </c>
      <c r="X117" s="6">
        <f>IF(ISERROR(VLOOKUP($U$117,'TAR FIN'!$A$1:$O$85,15,0)),0,VLOOKUP($U$117,'TAR FIN'!$A$1:$O$85,15,0))</f>
        <v>145.11000000000001</v>
      </c>
      <c r="Y117" s="6"/>
      <c r="Z117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117" s="6">
        <f>('TE BE'!$AB$13+'TE BF'!$AB$13+'TE CVA'!$AB$13)*(1-CUSTOS!$M$35)</f>
        <v>136.5303617643867</v>
      </c>
      <c r="AB117" s="6">
        <f t="shared" si="15"/>
        <v>0</v>
      </c>
      <c r="AC117" s="6">
        <f>(L117-M117)*(W117+X117)+($W$135+$X$135-$W$117-$X$117)*(L117)</f>
        <v>8154.1251199999979</v>
      </c>
      <c r="AD117" s="6">
        <f t="shared" si="16"/>
        <v>0</v>
      </c>
      <c r="AE117" s="6">
        <f ca="1">(L117-M117)*(Z117+AA117)+($Z$135+$AA$135-$Z$117-$AA$117)*(L117)</f>
        <v>7898.1404827473762</v>
      </c>
      <c r="AF117" s="4" t="s">
        <v>601</v>
      </c>
    </row>
    <row r="118" spans="1:32" ht="11.25" customHeight="1" x14ac:dyDescent="0.25">
      <c r="A118" s="4" t="s">
        <v>27</v>
      </c>
      <c r="B118" s="4" t="s">
        <v>22</v>
      </c>
      <c r="C118" s="4" t="s">
        <v>23</v>
      </c>
      <c r="D118" s="4" t="s">
        <v>24</v>
      </c>
      <c r="E118" s="4" t="s">
        <v>29</v>
      </c>
      <c r="F118" s="4" t="s">
        <v>25</v>
      </c>
      <c r="G118" s="4" t="s">
        <v>25</v>
      </c>
      <c r="H118" s="4" t="s">
        <v>25</v>
      </c>
      <c r="I118" s="5">
        <v>44682</v>
      </c>
      <c r="J118" s="6">
        <v>0</v>
      </c>
      <c r="K118" s="6">
        <v>0</v>
      </c>
      <c r="L118" s="6">
        <v>7.0000000000000007E-2</v>
      </c>
      <c r="M118" s="6">
        <v>1.4E-2</v>
      </c>
      <c r="N118" s="6">
        <v>7.0000000000000007E-2</v>
      </c>
      <c r="O118" s="6">
        <v>1.4E-2</v>
      </c>
      <c r="P118" s="6">
        <v>0</v>
      </c>
      <c r="Q118" s="4" t="s">
        <v>26</v>
      </c>
      <c r="R118" s="4">
        <v>0</v>
      </c>
      <c r="S118" s="4">
        <v>0</v>
      </c>
      <c r="T118" s="4">
        <v>26</v>
      </c>
      <c r="U118" s="4">
        <v>18</v>
      </c>
      <c r="V118" s="6">
        <f>IF(ISERROR(VLOOKUP($S$118,'TAR FIN'!$A$1:$O$85,15,0)),0,VLOOKUP($S$118,'TAR FIN'!$A$1:$O$85,15,0))</f>
        <v>0</v>
      </c>
      <c r="W118" s="6">
        <f>IF(ISERROR(VLOOKUP($T$118,'TAR FIN'!$A$1:$O$85,15,0)),0,VLOOKUP($T$118,'TAR FIN'!$A$1:$O$85,15,0))</f>
        <v>155.15</v>
      </c>
      <c r="X118" s="6">
        <f>IF(ISERROR(VLOOKUP($U$118,'TAR FIN'!$A$1:$O$85,15,0)),0,VLOOKUP($U$118,'TAR FIN'!$A$1:$O$85,15,0))</f>
        <v>145.11000000000001</v>
      </c>
      <c r="Y118" s="6"/>
      <c r="Z118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118" s="6">
        <f>('TE BE'!$AB$13+'TE BF'!$AB$13+'TE CVA'!$AB$13)*(1-CUSTOS!$M$35)</f>
        <v>136.5303617643867</v>
      </c>
      <c r="AB118" s="6">
        <f t="shared" si="15"/>
        <v>0</v>
      </c>
      <c r="AC118" s="6">
        <f>(L118-M118)*(W118+X118)+($W$135+$X$135-$W$118-$X$118)*(L118)</f>
        <v>30.826459999999997</v>
      </c>
      <c r="AD118" s="6">
        <f t="shared" si="16"/>
        <v>0</v>
      </c>
      <c r="AE118" s="6">
        <f ca="1">(L118-M118)*(Z118+AA118)+($Z$135+$AA$135-$Z$118-$AA$118)*(L118)</f>
        <v>29.858445462075217</v>
      </c>
      <c r="AF118" s="4" t="s">
        <v>601</v>
      </c>
    </row>
    <row r="119" spans="1:32" ht="11.25" customHeight="1" x14ac:dyDescent="0.25">
      <c r="A119" s="4" t="s">
        <v>21</v>
      </c>
      <c r="B119" s="4" t="s">
        <v>22</v>
      </c>
      <c r="C119" s="4" t="s">
        <v>23</v>
      </c>
      <c r="D119" s="4" t="s">
        <v>24</v>
      </c>
      <c r="E119" s="4" t="s">
        <v>29</v>
      </c>
      <c r="F119" s="4" t="s">
        <v>25</v>
      </c>
      <c r="G119" s="4" t="s">
        <v>25</v>
      </c>
      <c r="H119" s="4" t="s">
        <v>25</v>
      </c>
      <c r="I119" s="5">
        <v>44713</v>
      </c>
      <c r="J119" s="6">
        <v>0</v>
      </c>
      <c r="K119" s="6">
        <v>0</v>
      </c>
      <c r="L119" s="6">
        <v>45.326999999999998</v>
      </c>
      <c r="M119" s="6">
        <v>45.326999999999998</v>
      </c>
      <c r="N119" s="6">
        <v>45.326999999999998</v>
      </c>
      <c r="O119" s="6">
        <v>45.326999999999998</v>
      </c>
      <c r="P119" s="6">
        <v>154</v>
      </c>
      <c r="Q119" s="4" t="s">
        <v>26</v>
      </c>
      <c r="R119" s="4">
        <v>0</v>
      </c>
      <c r="S119" s="4">
        <v>0</v>
      </c>
      <c r="T119" s="4">
        <v>26</v>
      </c>
      <c r="U119" s="4">
        <v>18</v>
      </c>
      <c r="V119" s="6">
        <f>IF(ISERROR(VLOOKUP($S$119,'TAR FIN'!$A$1:$O$85,15,0)),0,VLOOKUP($S$119,'TAR FIN'!$A$1:$O$85,15,0))</f>
        <v>0</v>
      </c>
      <c r="W119" s="6">
        <f>IF(ISERROR(VLOOKUP($T$119,'TAR FIN'!$A$1:$O$85,15,0)),0,VLOOKUP($T$119,'TAR FIN'!$A$1:$O$85,15,0))</f>
        <v>155.15</v>
      </c>
      <c r="X119" s="6">
        <f>IF(ISERROR(VLOOKUP($U$119,'TAR FIN'!$A$1:$O$85,15,0)),0,VLOOKUP($U$119,'TAR FIN'!$A$1:$O$85,15,0))</f>
        <v>145.11000000000001</v>
      </c>
      <c r="Y119" s="6"/>
      <c r="Z119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119" s="6">
        <f>('TE BE'!$AB$13+'TE BF'!$AB$13+'TE CVA'!$AB$13)*(1-CUSTOS!$M$35)</f>
        <v>136.5303617643867</v>
      </c>
      <c r="AB119" s="6">
        <f t="shared" si="15"/>
        <v>0</v>
      </c>
      <c r="AC119" s="6">
        <f>(L119-M119)*(W119+X119)+($W$135+$X$135-$W$119-$X$119)*(L119)</f>
        <v>9073.1055899999974</v>
      </c>
      <c r="AD119" s="6">
        <f t="shared" si="16"/>
        <v>0</v>
      </c>
      <c r="AE119" s="6">
        <f ca="1">(L119-M119)*(Z119+AA119)+($Z$135+$AA$135-$Z$119-$AA$119)*(L119)</f>
        <v>8788.2711523343078</v>
      </c>
      <c r="AF119" s="4" t="s">
        <v>601</v>
      </c>
    </row>
    <row r="120" spans="1:32" ht="11.25" customHeight="1" x14ac:dyDescent="0.25">
      <c r="A120" s="4" t="s">
        <v>27</v>
      </c>
      <c r="B120" s="4" t="s">
        <v>22</v>
      </c>
      <c r="C120" s="4" t="s">
        <v>23</v>
      </c>
      <c r="D120" s="4" t="s">
        <v>24</v>
      </c>
      <c r="E120" s="4" t="s">
        <v>29</v>
      </c>
      <c r="F120" s="4" t="s">
        <v>25</v>
      </c>
      <c r="G120" s="4" t="s">
        <v>25</v>
      </c>
      <c r="H120" s="4" t="s">
        <v>25</v>
      </c>
      <c r="I120" s="5">
        <v>44713</v>
      </c>
      <c r="J120" s="6">
        <v>0</v>
      </c>
      <c r="K120" s="6">
        <v>0</v>
      </c>
      <c r="L120" s="6">
        <v>7.0000000000000007E-2</v>
      </c>
      <c r="M120" s="6">
        <v>-1.4E-2</v>
      </c>
      <c r="N120" s="6">
        <v>7.0000000000000007E-2</v>
      </c>
      <c r="O120" s="6">
        <v>-1.4E-2</v>
      </c>
      <c r="P120" s="6">
        <v>0</v>
      </c>
      <c r="Q120" s="4" t="s">
        <v>26</v>
      </c>
      <c r="R120" s="4">
        <v>0</v>
      </c>
      <c r="S120" s="4">
        <v>0</v>
      </c>
      <c r="T120" s="4">
        <v>26</v>
      </c>
      <c r="U120" s="4">
        <v>18</v>
      </c>
      <c r="V120" s="6">
        <f>IF(ISERROR(VLOOKUP($S$120,'TAR FIN'!$A$1:$O$85,15,0)),0,VLOOKUP($S$120,'TAR FIN'!$A$1:$O$85,15,0))</f>
        <v>0</v>
      </c>
      <c r="W120" s="6">
        <f>IF(ISERROR(VLOOKUP($T$120,'TAR FIN'!$A$1:$O$85,15,0)),0,VLOOKUP($T$120,'TAR FIN'!$A$1:$O$85,15,0))</f>
        <v>155.15</v>
      </c>
      <c r="X120" s="6">
        <f>IF(ISERROR(VLOOKUP($U$120,'TAR FIN'!$A$1:$O$85,15,0)),0,VLOOKUP($U$120,'TAR FIN'!$A$1:$O$85,15,0))</f>
        <v>145.11000000000001</v>
      </c>
      <c r="Y120" s="6"/>
      <c r="Z120" s="6">
        <f ca="1">('TUSD BE'!$AM$22+'TUSD BF'!$AM$22+'TUSD CVA'!$AM$22-('TUSD BE'!$P$22+'TUSD BF'!$P$22+'TUSD CVA'!$P$22)-('TUSD BE'!$Q$22+'TUSD BF'!$Q$22+'TUSD CVA'!$Q$22)-('TUSD BE'!$R$22+'TUSD BF'!$R$22+'TUSD CVA'!$R$22))*(1-CUSTOS!$M$35)</f>
        <v>154.29865247660564</v>
      </c>
      <c r="AA120" s="6">
        <f>('TE BE'!$AB$13+'TE BF'!$AB$13+'TE CVA'!$AB$13)*(1-CUSTOS!$M$35)</f>
        <v>136.5303617643867</v>
      </c>
      <c r="AB120" s="6">
        <f t="shared" si="15"/>
        <v>0</v>
      </c>
      <c r="AC120" s="6">
        <f>(L120-M120)*(W120+X120)+($W$135+$X$135-$W$120-$X$120)*(L120)</f>
        <v>39.233739999999997</v>
      </c>
      <c r="AD120" s="6">
        <f t="shared" si="16"/>
        <v>0</v>
      </c>
      <c r="AE120" s="6">
        <f ca="1">(L120-M120)*(Z120+AA120)+($Z$135+$AA$135-$Z$120-$AA$120)*(L120)</f>
        <v>38.001657860823002</v>
      </c>
      <c r="AF120" s="4" t="s">
        <v>601</v>
      </c>
    </row>
    <row r="121" spans="1:32" ht="11.25" customHeight="1" x14ac:dyDescent="0.25">
      <c r="A121" s="4" t="s">
        <v>21</v>
      </c>
      <c r="B121" s="4" t="s">
        <v>22</v>
      </c>
      <c r="C121" s="4" t="s">
        <v>23</v>
      </c>
      <c r="D121" s="4" t="s">
        <v>24</v>
      </c>
      <c r="E121" s="4" t="s">
        <v>30</v>
      </c>
      <c r="F121" s="4" t="s">
        <v>25</v>
      </c>
      <c r="G121" s="4" t="s">
        <v>25</v>
      </c>
      <c r="H121" s="4" t="s">
        <v>25</v>
      </c>
      <c r="I121" s="5">
        <v>44378</v>
      </c>
      <c r="J121" s="6">
        <v>0</v>
      </c>
      <c r="K121" s="6">
        <v>0</v>
      </c>
      <c r="L121" s="6">
        <v>18.306999999999999</v>
      </c>
      <c r="M121" s="6">
        <v>18.306999999999999</v>
      </c>
      <c r="N121" s="6">
        <v>18.306999999999999</v>
      </c>
      <c r="O121" s="6">
        <v>18.306999999999999</v>
      </c>
      <c r="P121" s="6">
        <v>145</v>
      </c>
      <c r="Q121" s="4" t="s">
        <v>26</v>
      </c>
      <c r="R121" s="4">
        <v>0</v>
      </c>
      <c r="S121" s="4">
        <v>0</v>
      </c>
      <c r="T121" s="4">
        <v>45</v>
      </c>
      <c r="U121" s="4">
        <v>53</v>
      </c>
      <c r="V121" s="6">
        <f>IF(ISERROR(VLOOKUP($S$121,'TAR FIN'!$A$1:$O$85,15,0)),0,VLOOKUP($S$121,'TAR FIN'!$A$1:$O$85,15,0))</f>
        <v>0</v>
      </c>
      <c r="W121" s="6">
        <f>IF(ISERROR(VLOOKUP($T$121,'TAR FIN'!$A$1:$O$85,15,0)),0,VLOOKUP($T$121,'TAR FIN'!$A$1:$O$85,15,0))</f>
        <v>232.73</v>
      </c>
      <c r="X121" s="6">
        <f>IF(ISERROR(VLOOKUP($U$121,'TAR FIN'!$A$1:$O$85,15,0)),0,VLOOKUP($U$121,'TAR FIN'!$A$1:$O$85,15,0))</f>
        <v>217.67</v>
      </c>
      <c r="Y121" s="6"/>
      <c r="Z121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121" s="6">
        <f>('TE BE'!$AB$14+'TE BF'!$AB$14+'TE CVA'!$AB$14)*(1-CUSTOS!$M$36)</f>
        <v>204.79554264658009</v>
      </c>
      <c r="AB121" s="6">
        <f t="shared" si="15"/>
        <v>0</v>
      </c>
      <c r="AC121" s="6">
        <f>(L121-M121)*(W121+X121)+($W$135+$X$135-$W$121-$X$121)*(L121)</f>
        <v>915.8992099999989</v>
      </c>
      <c r="AD121" s="6">
        <f t="shared" si="16"/>
        <v>0</v>
      </c>
      <c r="AE121" s="6">
        <f ca="1">(L121-M121)*(Z121+AA121)+($Z$135+$AA$135-$Z$121-$AA$121)*(L121)</f>
        <v>887.36779395164081</v>
      </c>
      <c r="AF121" s="4" t="s">
        <v>601</v>
      </c>
    </row>
    <row r="122" spans="1:32" ht="11.25" customHeight="1" x14ac:dyDescent="0.25">
      <c r="A122" s="4" t="s">
        <v>21</v>
      </c>
      <c r="B122" s="4" t="s">
        <v>22</v>
      </c>
      <c r="C122" s="4" t="s">
        <v>23</v>
      </c>
      <c r="D122" s="4" t="s">
        <v>24</v>
      </c>
      <c r="E122" s="4" t="s">
        <v>30</v>
      </c>
      <c r="F122" s="4" t="s">
        <v>25</v>
      </c>
      <c r="G122" s="4" t="s">
        <v>25</v>
      </c>
      <c r="H122" s="4" t="s">
        <v>25</v>
      </c>
      <c r="I122" s="5">
        <v>44409</v>
      </c>
      <c r="J122" s="6">
        <v>0</v>
      </c>
      <c r="K122" s="6">
        <v>0</v>
      </c>
      <c r="L122" s="6">
        <v>19.001999999999999</v>
      </c>
      <c r="M122" s="6">
        <v>19.001999999999999</v>
      </c>
      <c r="N122" s="6">
        <v>19.001999999999999</v>
      </c>
      <c r="O122" s="6">
        <v>19.001999999999999</v>
      </c>
      <c r="P122" s="6">
        <v>148</v>
      </c>
      <c r="Q122" s="4" t="s">
        <v>26</v>
      </c>
      <c r="R122" s="4">
        <v>0</v>
      </c>
      <c r="S122" s="4">
        <v>0</v>
      </c>
      <c r="T122" s="4">
        <v>45</v>
      </c>
      <c r="U122" s="4">
        <v>53</v>
      </c>
      <c r="V122" s="6">
        <f>IF(ISERROR(VLOOKUP($S$122,'TAR FIN'!$A$1:$O$85,15,0)),0,VLOOKUP($S$122,'TAR FIN'!$A$1:$O$85,15,0))</f>
        <v>0</v>
      </c>
      <c r="W122" s="6">
        <f>IF(ISERROR(VLOOKUP($T$122,'TAR FIN'!$A$1:$O$85,15,0)),0,VLOOKUP($T$122,'TAR FIN'!$A$1:$O$85,15,0))</f>
        <v>232.73</v>
      </c>
      <c r="X122" s="6">
        <f>IF(ISERROR(VLOOKUP($U$122,'TAR FIN'!$A$1:$O$85,15,0)),0,VLOOKUP($U$122,'TAR FIN'!$A$1:$O$85,15,0))</f>
        <v>217.67</v>
      </c>
      <c r="Y122" s="6"/>
      <c r="Z122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122" s="6">
        <f>('TE BE'!$AB$14+'TE BF'!$AB$14+'TE CVA'!$AB$14)*(1-CUSTOS!$M$36)</f>
        <v>204.79554264658009</v>
      </c>
      <c r="AB122" s="6">
        <f t="shared" si="15"/>
        <v>0</v>
      </c>
      <c r="AC122" s="6">
        <f>(L122-M122)*(W122+X122)+($W$135+$X$135-$W$122-$X$122)*(L122)</f>
        <v>950.6700599999989</v>
      </c>
      <c r="AD122" s="6">
        <f t="shared" si="16"/>
        <v>0</v>
      </c>
      <c r="AE122" s="6">
        <f ca="1">(L122-M122)*(Z122+AA122)+($Z$135+$AA$135-$Z$122-$AA$122)*(L122)</f>
        <v>921.05548810122241</v>
      </c>
      <c r="AF122" s="4" t="s">
        <v>601</v>
      </c>
    </row>
    <row r="123" spans="1:32" ht="11.25" customHeight="1" x14ac:dyDescent="0.25">
      <c r="A123" s="4" t="s">
        <v>21</v>
      </c>
      <c r="B123" s="4" t="s">
        <v>22</v>
      </c>
      <c r="C123" s="4" t="s">
        <v>23</v>
      </c>
      <c r="D123" s="4" t="s">
        <v>24</v>
      </c>
      <c r="E123" s="4" t="s">
        <v>30</v>
      </c>
      <c r="F123" s="4" t="s">
        <v>25</v>
      </c>
      <c r="G123" s="4" t="s">
        <v>25</v>
      </c>
      <c r="H123" s="4" t="s">
        <v>25</v>
      </c>
      <c r="I123" s="5">
        <v>44440</v>
      </c>
      <c r="J123" s="6">
        <v>0</v>
      </c>
      <c r="K123" s="6">
        <v>0</v>
      </c>
      <c r="L123" s="6">
        <v>18.817</v>
      </c>
      <c r="M123" s="6">
        <v>18.817</v>
      </c>
      <c r="N123" s="6">
        <v>18.817</v>
      </c>
      <c r="O123" s="6">
        <v>18.817</v>
      </c>
      <c r="P123" s="6">
        <v>153</v>
      </c>
      <c r="Q123" s="4" t="s">
        <v>26</v>
      </c>
      <c r="R123" s="4">
        <v>0</v>
      </c>
      <c r="S123" s="4">
        <v>0</v>
      </c>
      <c r="T123" s="4">
        <v>45</v>
      </c>
      <c r="U123" s="4">
        <v>53</v>
      </c>
      <c r="V123" s="6">
        <f>IF(ISERROR(VLOOKUP($S$123,'TAR FIN'!$A$1:$O$85,15,0)),0,VLOOKUP($S$123,'TAR FIN'!$A$1:$O$85,15,0))</f>
        <v>0</v>
      </c>
      <c r="W123" s="6">
        <f>IF(ISERROR(VLOOKUP($T$123,'TAR FIN'!$A$1:$O$85,15,0)),0,VLOOKUP($T$123,'TAR FIN'!$A$1:$O$85,15,0))</f>
        <v>232.73</v>
      </c>
      <c r="X123" s="6">
        <f>IF(ISERROR(VLOOKUP($U$123,'TAR FIN'!$A$1:$O$85,15,0)),0,VLOOKUP($U$123,'TAR FIN'!$A$1:$O$85,15,0))</f>
        <v>217.67</v>
      </c>
      <c r="Y123" s="6"/>
      <c r="Z123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123" s="6">
        <f>('TE BE'!$AB$14+'TE BF'!$AB$14+'TE CVA'!$AB$14)*(1-CUSTOS!$M$36)</f>
        <v>204.79554264658009</v>
      </c>
      <c r="AB123" s="6">
        <f t="shared" si="15"/>
        <v>0</v>
      </c>
      <c r="AC123" s="6">
        <f>(L123-M123)*(W123+X123)+($W$135+$X$135-$W$123-$X$123)*(L123)</f>
        <v>941.41450999999893</v>
      </c>
      <c r="AD123" s="6">
        <f t="shared" si="16"/>
        <v>0</v>
      </c>
      <c r="AE123" s="6">
        <f ca="1">(L123-M123)*(Z123+AA123)+($Z$135+$AA$135-$Z$123-$AA$123)*(L123)</f>
        <v>912.08826016212515</v>
      </c>
      <c r="AF123" s="4" t="s">
        <v>601</v>
      </c>
    </row>
    <row r="124" spans="1:32" ht="11.25" customHeight="1" x14ac:dyDescent="0.25">
      <c r="A124" s="4" t="s">
        <v>21</v>
      </c>
      <c r="B124" s="4" t="s">
        <v>22</v>
      </c>
      <c r="C124" s="4" t="s">
        <v>23</v>
      </c>
      <c r="D124" s="4" t="s">
        <v>24</v>
      </c>
      <c r="E124" s="4" t="s">
        <v>30</v>
      </c>
      <c r="F124" s="4" t="s">
        <v>25</v>
      </c>
      <c r="G124" s="4" t="s">
        <v>25</v>
      </c>
      <c r="H124" s="4" t="s">
        <v>25</v>
      </c>
      <c r="I124" s="5">
        <v>44470</v>
      </c>
      <c r="J124" s="6">
        <v>0</v>
      </c>
      <c r="K124" s="6">
        <v>0</v>
      </c>
      <c r="L124" s="6">
        <v>17.649000000000001</v>
      </c>
      <c r="M124" s="6">
        <v>17.649000000000001</v>
      </c>
      <c r="N124" s="6">
        <v>17.649000000000001</v>
      </c>
      <c r="O124" s="6">
        <v>17.649000000000001</v>
      </c>
      <c r="P124" s="6">
        <v>170</v>
      </c>
      <c r="Q124" s="4" t="s">
        <v>26</v>
      </c>
      <c r="R124" s="4">
        <v>0</v>
      </c>
      <c r="S124" s="4">
        <v>0</v>
      </c>
      <c r="T124" s="4">
        <v>45</v>
      </c>
      <c r="U124" s="4">
        <v>53</v>
      </c>
      <c r="V124" s="6">
        <f>IF(ISERROR(VLOOKUP($S$124,'TAR FIN'!$A$1:$O$85,15,0)),0,VLOOKUP($S$124,'TAR FIN'!$A$1:$O$85,15,0))</f>
        <v>0</v>
      </c>
      <c r="W124" s="6">
        <f>IF(ISERROR(VLOOKUP($T$124,'TAR FIN'!$A$1:$O$85,15,0)),0,VLOOKUP($T$124,'TAR FIN'!$A$1:$O$85,15,0))</f>
        <v>232.73</v>
      </c>
      <c r="X124" s="6">
        <f>IF(ISERROR(VLOOKUP($U$124,'TAR FIN'!$A$1:$O$85,15,0)),0,VLOOKUP($U$124,'TAR FIN'!$A$1:$O$85,15,0))</f>
        <v>217.67</v>
      </c>
      <c r="Y124" s="6"/>
      <c r="Z124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124" s="6">
        <f>('TE BE'!$AB$14+'TE BF'!$AB$14+'TE CVA'!$AB$14)*(1-CUSTOS!$M$36)</f>
        <v>204.79554264658009</v>
      </c>
      <c r="AB124" s="6">
        <f t="shared" si="15"/>
        <v>0</v>
      </c>
      <c r="AC124" s="6">
        <f>(L124-M124)*(W124+X124)+($W$135+$X$135-$W$124-$X$124)*(L124)</f>
        <v>882.97946999999908</v>
      </c>
      <c r="AD124" s="6">
        <f t="shared" si="16"/>
        <v>0</v>
      </c>
      <c r="AE124" s="6">
        <f ca="1">(L124-M124)*(Z124+AA124)+($Z$135+$AA$135-$Z$124-$AA$124)*(L124)</f>
        <v>855.47354538987872</v>
      </c>
      <c r="AF124" s="4" t="s">
        <v>601</v>
      </c>
    </row>
    <row r="125" spans="1:32" ht="11.25" customHeight="1" x14ac:dyDescent="0.25">
      <c r="A125" s="4" t="s">
        <v>21</v>
      </c>
      <c r="B125" s="4" t="s">
        <v>22</v>
      </c>
      <c r="C125" s="4" t="s">
        <v>23</v>
      </c>
      <c r="D125" s="4" t="s">
        <v>24</v>
      </c>
      <c r="E125" s="4" t="s">
        <v>30</v>
      </c>
      <c r="F125" s="4" t="s">
        <v>25</v>
      </c>
      <c r="G125" s="4" t="s">
        <v>25</v>
      </c>
      <c r="H125" s="4" t="s">
        <v>25</v>
      </c>
      <c r="I125" s="5">
        <v>44501</v>
      </c>
      <c r="J125" s="6">
        <v>0</v>
      </c>
      <c r="K125" s="6">
        <v>0</v>
      </c>
      <c r="L125" s="6">
        <v>19.239000000000001</v>
      </c>
      <c r="M125" s="6">
        <v>19.239000000000001</v>
      </c>
      <c r="N125" s="6">
        <v>19.239000000000001</v>
      </c>
      <c r="O125" s="6">
        <v>19.239000000000001</v>
      </c>
      <c r="P125" s="6">
        <v>160</v>
      </c>
      <c r="Q125" s="4" t="s">
        <v>26</v>
      </c>
      <c r="R125" s="4">
        <v>0</v>
      </c>
      <c r="S125" s="4">
        <v>0</v>
      </c>
      <c r="T125" s="4">
        <v>45</v>
      </c>
      <c r="U125" s="4">
        <v>53</v>
      </c>
      <c r="V125" s="6">
        <f>IF(ISERROR(VLOOKUP($S$125,'TAR FIN'!$A$1:$O$85,15,0)),0,VLOOKUP($S$125,'TAR FIN'!$A$1:$O$85,15,0))</f>
        <v>0</v>
      </c>
      <c r="W125" s="6">
        <f>IF(ISERROR(VLOOKUP($T$125,'TAR FIN'!$A$1:$O$85,15,0)),0,VLOOKUP($T$125,'TAR FIN'!$A$1:$O$85,15,0))</f>
        <v>232.73</v>
      </c>
      <c r="X125" s="6">
        <f>IF(ISERROR(VLOOKUP($U$125,'TAR FIN'!$A$1:$O$85,15,0)),0,VLOOKUP($U$125,'TAR FIN'!$A$1:$O$85,15,0))</f>
        <v>217.67</v>
      </c>
      <c r="Y125" s="6"/>
      <c r="Z125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125" s="6">
        <f>('TE BE'!$AB$14+'TE BF'!$AB$14+'TE CVA'!$AB$14)*(1-CUSTOS!$M$36)</f>
        <v>204.79554264658009</v>
      </c>
      <c r="AB125" s="6">
        <f t="shared" si="15"/>
        <v>0</v>
      </c>
      <c r="AC125" s="6">
        <f>(L125-M125)*(W125+X125)+($W$135+$X$135-$W$125-$X$125)*(L125)</f>
        <v>962.52716999999893</v>
      </c>
      <c r="AD125" s="6">
        <f t="shared" si="16"/>
        <v>0</v>
      </c>
      <c r="AE125" s="6">
        <f ca="1">(L125-M125)*(Z125+AA125)+($Z$135+$AA$135-$Z$125-$AA$125)*(L125)</f>
        <v>932.54323416374166</v>
      </c>
      <c r="AF125" s="4" t="s">
        <v>601</v>
      </c>
    </row>
    <row r="126" spans="1:32" ht="11.25" customHeight="1" x14ac:dyDescent="0.25">
      <c r="A126" s="4" t="s">
        <v>21</v>
      </c>
      <c r="B126" s="4" t="s">
        <v>22</v>
      </c>
      <c r="C126" s="4" t="s">
        <v>23</v>
      </c>
      <c r="D126" s="4" t="s">
        <v>24</v>
      </c>
      <c r="E126" s="4" t="s">
        <v>30</v>
      </c>
      <c r="F126" s="4" t="s">
        <v>25</v>
      </c>
      <c r="G126" s="4" t="s">
        <v>25</v>
      </c>
      <c r="H126" s="4" t="s">
        <v>25</v>
      </c>
      <c r="I126" s="5">
        <v>44531</v>
      </c>
      <c r="J126" s="6">
        <v>0</v>
      </c>
      <c r="K126" s="6">
        <v>0</v>
      </c>
      <c r="L126" s="6">
        <v>26.501000000000001</v>
      </c>
      <c r="M126" s="6">
        <v>26.501000000000001</v>
      </c>
      <c r="N126" s="6">
        <v>26.501000000000001</v>
      </c>
      <c r="O126" s="6">
        <v>26.501000000000001</v>
      </c>
      <c r="P126" s="6">
        <v>226</v>
      </c>
      <c r="Q126" s="4" t="s">
        <v>26</v>
      </c>
      <c r="R126" s="4">
        <v>0</v>
      </c>
      <c r="S126" s="4">
        <v>0</v>
      </c>
      <c r="T126" s="4">
        <v>45</v>
      </c>
      <c r="U126" s="4">
        <v>53</v>
      </c>
      <c r="V126" s="6">
        <f>IF(ISERROR(VLOOKUP($S$126,'TAR FIN'!$A$1:$O$85,15,0)),0,VLOOKUP($S$126,'TAR FIN'!$A$1:$O$85,15,0))</f>
        <v>0</v>
      </c>
      <c r="W126" s="6">
        <f>IF(ISERROR(VLOOKUP($T$126,'TAR FIN'!$A$1:$O$85,15,0)),0,VLOOKUP($T$126,'TAR FIN'!$A$1:$O$85,15,0))</f>
        <v>232.73</v>
      </c>
      <c r="X126" s="6">
        <f>IF(ISERROR(VLOOKUP($U$126,'TAR FIN'!$A$1:$O$85,15,0)),0,VLOOKUP($U$126,'TAR FIN'!$A$1:$O$85,15,0))</f>
        <v>217.67</v>
      </c>
      <c r="Y126" s="6"/>
      <c r="Z126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126" s="6">
        <f>('TE BE'!$AB$14+'TE BF'!$AB$14+'TE CVA'!$AB$14)*(1-CUSTOS!$M$36)</f>
        <v>204.79554264658009</v>
      </c>
      <c r="AB126" s="6">
        <f t="shared" si="15"/>
        <v>0</v>
      </c>
      <c r="AC126" s="6">
        <f>(L126-M126)*(W126+X126)+($W$135+$X$135-$W$126-$X$126)*(L126)</f>
        <v>1325.8450299999986</v>
      </c>
      <c r="AD126" s="6">
        <f t="shared" si="16"/>
        <v>0</v>
      </c>
      <c r="AE126" s="6">
        <f ca="1">(L126-M126)*(Z126+AA126)+($Z$135+$AA$135-$Z$126-$AA$126)*(L126)</f>
        <v>1284.5432844000893</v>
      </c>
      <c r="AF126" s="4" t="s">
        <v>601</v>
      </c>
    </row>
    <row r="127" spans="1:32" ht="11.25" customHeight="1" x14ac:dyDescent="0.25">
      <c r="A127" s="4" t="s">
        <v>21</v>
      </c>
      <c r="B127" s="4" t="s">
        <v>22</v>
      </c>
      <c r="C127" s="4" t="s">
        <v>23</v>
      </c>
      <c r="D127" s="4" t="s">
        <v>24</v>
      </c>
      <c r="E127" s="4" t="s">
        <v>30</v>
      </c>
      <c r="F127" s="4" t="s">
        <v>25</v>
      </c>
      <c r="G127" s="4" t="s">
        <v>25</v>
      </c>
      <c r="H127" s="4" t="s">
        <v>25</v>
      </c>
      <c r="I127" s="5">
        <v>44562</v>
      </c>
      <c r="J127" s="6">
        <v>0</v>
      </c>
      <c r="K127" s="6">
        <v>0</v>
      </c>
      <c r="L127" s="6">
        <v>32.462000000000003</v>
      </c>
      <c r="M127" s="6">
        <v>32.462000000000003</v>
      </c>
      <c r="N127" s="6">
        <v>32.462000000000003</v>
      </c>
      <c r="O127" s="6">
        <v>32.462000000000003</v>
      </c>
      <c r="P127" s="6">
        <v>270</v>
      </c>
      <c r="Q127" s="4" t="s">
        <v>26</v>
      </c>
      <c r="R127" s="4">
        <v>0</v>
      </c>
      <c r="S127" s="4">
        <v>0</v>
      </c>
      <c r="T127" s="4">
        <v>45</v>
      </c>
      <c r="U127" s="4">
        <v>53</v>
      </c>
      <c r="V127" s="6">
        <f>IF(ISERROR(VLOOKUP($S$127,'TAR FIN'!$A$1:$O$85,15,0)),0,VLOOKUP($S$127,'TAR FIN'!$A$1:$O$85,15,0))</f>
        <v>0</v>
      </c>
      <c r="W127" s="6">
        <f>IF(ISERROR(VLOOKUP($T$127,'TAR FIN'!$A$1:$O$85,15,0)),0,VLOOKUP($T$127,'TAR FIN'!$A$1:$O$85,15,0))</f>
        <v>232.73</v>
      </c>
      <c r="X127" s="6">
        <f>IF(ISERROR(VLOOKUP($U$127,'TAR FIN'!$A$1:$O$85,15,0)),0,VLOOKUP($U$127,'TAR FIN'!$A$1:$O$85,15,0))</f>
        <v>217.67</v>
      </c>
      <c r="Y127" s="6"/>
      <c r="Z127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127" s="6">
        <f>('TE BE'!$AB$14+'TE BF'!$AB$14+'TE CVA'!$AB$14)*(1-CUSTOS!$M$36)</f>
        <v>204.79554264658009</v>
      </c>
      <c r="AB127" s="6">
        <f t="shared" si="15"/>
        <v>0</v>
      </c>
      <c r="AC127" s="6">
        <f>(L127-M127)*(W127+X127)+($W$135+$X$135-$W$127-$X$127)*(L127)</f>
        <v>1624.0738599999984</v>
      </c>
      <c r="AD127" s="6">
        <f t="shared" si="16"/>
        <v>0</v>
      </c>
      <c r="AE127" s="6">
        <f ca="1">(L127-M127)*(Z127+AA127)+($Z$135+$AA$135-$Z$127-$AA$127)*(L127)</f>
        <v>1573.4819100485151</v>
      </c>
      <c r="AF127" s="4" t="s">
        <v>601</v>
      </c>
    </row>
    <row r="128" spans="1:32" ht="11.25" customHeight="1" x14ac:dyDescent="0.25">
      <c r="A128" s="4" t="s">
        <v>21</v>
      </c>
      <c r="B128" s="4" t="s">
        <v>22</v>
      </c>
      <c r="C128" s="4" t="s">
        <v>23</v>
      </c>
      <c r="D128" s="4" t="s">
        <v>24</v>
      </c>
      <c r="E128" s="4" t="s">
        <v>30</v>
      </c>
      <c r="F128" s="4" t="s">
        <v>25</v>
      </c>
      <c r="G128" s="4" t="s">
        <v>25</v>
      </c>
      <c r="H128" s="4" t="s">
        <v>25</v>
      </c>
      <c r="I128" s="5">
        <v>44593</v>
      </c>
      <c r="J128" s="6">
        <v>0</v>
      </c>
      <c r="K128" s="6">
        <v>0</v>
      </c>
      <c r="L128" s="6">
        <v>35.831000000000003</v>
      </c>
      <c r="M128" s="6">
        <v>35.831000000000003</v>
      </c>
      <c r="N128" s="6">
        <v>35.831000000000003</v>
      </c>
      <c r="O128" s="6">
        <v>35.831000000000003</v>
      </c>
      <c r="P128" s="6">
        <v>301</v>
      </c>
      <c r="Q128" s="4" t="s">
        <v>26</v>
      </c>
      <c r="R128" s="4">
        <v>0</v>
      </c>
      <c r="S128" s="4">
        <v>0</v>
      </c>
      <c r="T128" s="4">
        <v>45</v>
      </c>
      <c r="U128" s="4">
        <v>53</v>
      </c>
      <c r="V128" s="6">
        <f>IF(ISERROR(VLOOKUP($S$128,'TAR FIN'!$A$1:$O$85,15,0)),0,VLOOKUP($S$128,'TAR FIN'!$A$1:$O$85,15,0))</f>
        <v>0</v>
      </c>
      <c r="W128" s="6">
        <f>IF(ISERROR(VLOOKUP($T$128,'TAR FIN'!$A$1:$O$85,15,0)),0,VLOOKUP($T$128,'TAR FIN'!$A$1:$O$85,15,0))</f>
        <v>232.73</v>
      </c>
      <c r="X128" s="6">
        <f>IF(ISERROR(VLOOKUP($U$128,'TAR FIN'!$A$1:$O$85,15,0)),0,VLOOKUP($U$128,'TAR FIN'!$A$1:$O$85,15,0))</f>
        <v>217.67</v>
      </c>
      <c r="Y128" s="6"/>
      <c r="Z128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128" s="6">
        <f>('TE BE'!$AB$14+'TE BF'!$AB$14+'TE CVA'!$AB$14)*(1-CUSTOS!$M$36)</f>
        <v>204.79554264658009</v>
      </c>
      <c r="AB128" s="6">
        <f t="shared" si="15"/>
        <v>0</v>
      </c>
      <c r="AC128" s="6">
        <f>(L128-M128)*(W128+X128)+($W$135+$X$135-$W$128-$X$128)*(L128)</f>
        <v>1792.6249299999981</v>
      </c>
      <c r="AD128" s="6">
        <f t="shared" si="16"/>
        <v>0</v>
      </c>
      <c r="AE128" s="6">
        <f ca="1">(L128-M128)*(Z128+AA128)+($Z$135+$AA$135-$Z$128-$AA$128)*(L128)</f>
        <v>1736.7824015448323</v>
      </c>
      <c r="AF128" s="4" t="s">
        <v>601</v>
      </c>
    </row>
    <row r="129" spans="1:32" ht="11.25" customHeight="1" x14ac:dyDescent="0.25">
      <c r="A129" s="4" t="s">
        <v>21</v>
      </c>
      <c r="B129" s="4" t="s">
        <v>22</v>
      </c>
      <c r="C129" s="4" t="s">
        <v>23</v>
      </c>
      <c r="D129" s="4" t="s">
        <v>24</v>
      </c>
      <c r="E129" s="4" t="s">
        <v>30</v>
      </c>
      <c r="F129" s="4" t="s">
        <v>25</v>
      </c>
      <c r="G129" s="4" t="s">
        <v>25</v>
      </c>
      <c r="H129" s="4" t="s">
        <v>25</v>
      </c>
      <c r="I129" s="5">
        <v>44621</v>
      </c>
      <c r="J129" s="6">
        <v>0</v>
      </c>
      <c r="K129" s="6">
        <v>0</v>
      </c>
      <c r="L129" s="6">
        <v>34.677999999999997</v>
      </c>
      <c r="M129" s="6">
        <v>34.677999999999997</v>
      </c>
      <c r="N129" s="6">
        <v>34.677999999999997</v>
      </c>
      <c r="O129" s="6">
        <v>34.677999999999997</v>
      </c>
      <c r="P129" s="6">
        <v>307</v>
      </c>
      <c r="Q129" s="4" t="s">
        <v>26</v>
      </c>
      <c r="R129" s="4">
        <v>0</v>
      </c>
      <c r="S129" s="4">
        <v>0</v>
      </c>
      <c r="T129" s="4">
        <v>45</v>
      </c>
      <c r="U129" s="4">
        <v>53</v>
      </c>
      <c r="V129" s="6">
        <f>IF(ISERROR(VLOOKUP($S$129,'TAR FIN'!$A$1:$O$85,15,0)),0,VLOOKUP($S$129,'TAR FIN'!$A$1:$O$85,15,0))</f>
        <v>0</v>
      </c>
      <c r="W129" s="6">
        <f>IF(ISERROR(VLOOKUP($T$129,'TAR FIN'!$A$1:$O$85,15,0)),0,VLOOKUP($T$129,'TAR FIN'!$A$1:$O$85,15,0))</f>
        <v>232.73</v>
      </c>
      <c r="X129" s="6">
        <f>IF(ISERROR(VLOOKUP($U$129,'TAR FIN'!$A$1:$O$85,15,0)),0,VLOOKUP($U$129,'TAR FIN'!$A$1:$O$85,15,0))</f>
        <v>217.67</v>
      </c>
      <c r="Y129" s="6"/>
      <c r="Z129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129" s="6">
        <f>('TE BE'!$AB$14+'TE BF'!$AB$14+'TE CVA'!$AB$14)*(1-CUSTOS!$M$36)</f>
        <v>204.79554264658009</v>
      </c>
      <c r="AB129" s="6">
        <f t="shared" si="15"/>
        <v>0</v>
      </c>
      <c r="AC129" s="6">
        <f>(L129-M129)*(W129+X129)+($W$135+$X$135-$W$129-$X$129)*(L129)</f>
        <v>1734.9403399999978</v>
      </c>
      <c r="AD129" s="6">
        <f t="shared" si="16"/>
        <v>0</v>
      </c>
      <c r="AE129" s="6">
        <f ca="1">(L129-M129)*(Z129+AA129)+($Z$135+$AA$135-$Z$129-$AA$129)*(L129)</f>
        <v>1680.894759308188</v>
      </c>
      <c r="AF129" s="4" t="s">
        <v>601</v>
      </c>
    </row>
    <row r="130" spans="1:32" ht="11.25" customHeight="1" x14ac:dyDescent="0.25">
      <c r="A130" s="4" t="s">
        <v>21</v>
      </c>
      <c r="B130" s="4" t="s">
        <v>22</v>
      </c>
      <c r="C130" s="4" t="s">
        <v>23</v>
      </c>
      <c r="D130" s="4" t="s">
        <v>24</v>
      </c>
      <c r="E130" s="4" t="s">
        <v>30</v>
      </c>
      <c r="F130" s="4" t="s">
        <v>25</v>
      </c>
      <c r="G130" s="4" t="s">
        <v>25</v>
      </c>
      <c r="H130" s="4" t="s">
        <v>25</v>
      </c>
      <c r="I130" s="5">
        <v>44652</v>
      </c>
      <c r="J130" s="6">
        <v>0</v>
      </c>
      <c r="K130" s="6">
        <v>0</v>
      </c>
      <c r="L130" s="6">
        <v>34.430999999999997</v>
      </c>
      <c r="M130" s="6">
        <v>34.430999999999997</v>
      </c>
      <c r="N130" s="6">
        <v>34.430999999999997</v>
      </c>
      <c r="O130" s="6">
        <v>34.430999999999997</v>
      </c>
      <c r="P130" s="6">
        <v>351</v>
      </c>
      <c r="Q130" s="4" t="s">
        <v>26</v>
      </c>
      <c r="R130" s="4">
        <v>0</v>
      </c>
      <c r="S130" s="4">
        <v>0</v>
      </c>
      <c r="T130" s="4">
        <v>45</v>
      </c>
      <c r="U130" s="4">
        <v>53</v>
      </c>
      <c r="V130" s="6">
        <f>IF(ISERROR(VLOOKUP($S$130,'TAR FIN'!$A$1:$O$85,15,0)),0,VLOOKUP($S$130,'TAR FIN'!$A$1:$O$85,15,0))</f>
        <v>0</v>
      </c>
      <c r="W130" s="6">
        <f>IF(ISERROR(VLOOKUP($T$130,'TAR FIN'!$A$1:$O$85,15,0)),0,VLOOKUP($T$130,'TAR FIN'!$A$1:$O$85,15,0))</f>
        <v>232.73</v>
      </c>
      <c r="X130" s="6">
        <f>IF(ISERROR(VLOOKUP($U$130,'TAR FIN'!$A$1:$O$85,15,0)),0,VLOOKUP($U$130,'TAR FIN'!$A$1:$O$85,15,0))</f>
        <v>217.67</v>
      </c>
      <c r="Y130" s="6"/>
      <c r="Z130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130" s="6">
        <f>('TE BE'!$AB$14+'TE BF'!$AB$14+'TE CVA'!$AB$14)*(1-CUSTOS!$M$36)</f>
        <v>204.79554264658009</v>
      </c>
      <c r="AB130" s="6">
        <f t="shared" ref="AB130:AB161" si="17">(J130-K130)*V130</f>
        <v>0</v>
      </c>
      <c r="AC130" s="6">
        <f>(L130-M130)*(W130+X130)+($W$135+$X$135-$W$130-$X$130)*(L130)</f>
        <v>1722.582929999998</v>
      </c>
      <c r="AD130" s="6">
        <f t="shared" ref="AD130:AD161" si="18">(J130-K130)*Y130</f>
        <v>0</v>
      </c>
      <c r="AE130" s="6">
        <f ca="1">(L130-M130)*(Z130+AA130)+($Z$135+$AA$135-$Z$130-$AA$130)*(L130)</f>
        <v>1668.9222982219339</v>
      </c>
      <c r="AF130" s="4" t="s">
        <v>601</v>
      </c>
    </row>
    <row r="131" spans="1:32" ht="11.25" customHeight="1" x14ac:dyDescent="0.25">
      <c r="A131" s="4" t="s">
        <v>21</v>
      </c>
      <c r="B131" s="4" t="s">
        <v>22</v>
      </c>
      <c r="C131" s="4" t="s">
        <v>23</v>
      </c>
      <c r="D131" s="4" t="s">
        <v>24</v>
      </c>
      <c r="E131" s="4" t="s">
        <v>30</v>
      </c>
      <c r="F131" s="4" t="s">
        <v>25</v>
      </c>
      <c r="G131" s="4" t="s">
        <v>25</v>
      </c>
      <c r="H131" s="4" t="s">
        <v>25</v>
      </c>
      <c r="I131" s="5">
        <v>44682</v>
      </c>
      <c r="J131" s="6">
        <v>0</v>
      </c>
      <c r="K131" s="6">
        <v>0</v>
      </c>
      <c r="L131" s="6">
        <v>37.392000000000003</v>
      </c>
      <c r="M131" s="6">
        <v>37.392000000000003</v>
      </c>
      <c r="N131" s="6">
        <v>37.392000000000003</v>
      </c>
      <c r="O131" s="6">
        <v>37.392000000000003</v>
      </c>
      <c r="P131" s="6">
        <v>353</v>
      </c>
      <c r="Q131" s="4" t="s">
        <v>26</v>
      </c>
      <c r="R131" s="4">
        <v>0</v>
      </c>
      <c r="S131" s="4">
        <v>0</v>
      </c>
      <c r="T131" s="4">
        <v>45</v>
      </c>
      <c r="U131" s="4">
        <v>53</v>
      </c>
      <c r="V131" s="6">
        <f>IF(ISERROR(VLOOKUP($S$131,'TAR FIN'!$A$1:$O$85,15,0)),0,VLOOKUP($S$131,'TAR FIN'!$A$1:$O$85,15,0))</f>
        <v>0</v>
      </c>
      <c r="W131" s="6">
        <f>IF(ISERROR(VLOOKUP($T$131,'TAR FIN'!$A$1:$O$85,15,0)),0,VLOOKUP($T$131,'TAR FIN'!$A$1:$O$85,15,0))</f>
        <v>232.73</v>
      </c>
      <c r="X131" s="6">
        <f>IF(ISERROR(VLOOKUP($U$131,'TAR FIN'!$A$1:$O$85,15,0)),0,VLOOKUP($U$131,'TAR FIN'!$A$1:$O$85,15,0))</f>
        <v>217.67</v>
      </c>
      <c r="Y131" s="6"/>
      <c r="Z131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131" s="6">
        <f>('TE BE'!$AB$14+'TE BF'!$AB$14+'TE CVA'!$AB$14)*(1-CUSTOS!$M$36)</f>
        <v>204.79554264658009</v>
      </c>
      <c r="AB131" s="6">
        <f t="shared" si="17"/>
        <v>0</v>
      </c>
      <c r="AC131" s="6">
        <f>(L131-M131)*(W131+X131)+($W$135+$X$135-$W$131-$X$131)*(L131)</f>
        <v>1870.7217599999981</v>
      </c>
      <c r="AD131" s="6">
        <f t="shared" si="18"/>
        <v>0</v>
      </c>
      <c r="AE131" s="6">
        <f ca="1">(L131-M131)*(Z131+AA131)+($Z$135+$AA$135-$Z$131-$AA$131)*(L131)</f>
        <v>1812.4464167498638</v>
      </c>
      <c r="AF131" s="4" t="s">
        <v>601</v>
      </c>
    </row>
    <row r="132" spans="1:32" ht="11.25" customHeight="1" x14ac:dyDescent="0.25">
      <c r="A132" s="4" t="s">
        <v>27</v>
      </c>
      <c r="B132" s="4" t="s">
        <v>22</v>
      </c>
      <c r="C132" s="4" t="s">
        <v>23</v>
      </c>
      <c r="D132" s="4" t="s">
        <v>24</v>
      </c>
      <c r="E132" s="4" t="s">
        <v>30</v>
      </c>
      <c r="F132" s="4" t="s">
        <v>25</v>
      </c>
      <c r="G132" s="4" t="s">
        <v>25</v>
      </c>
      <c r="H132" s="4" t="s">
        <v>25</v>
      </c>
      <c r="I132" s="5">
        <v>44682</v>
      </c>
      <c r="J132" s="6">
        <v>0</v>
      </c>
      <c r="K132" s="6">
        <v>0</v>
      </c>
      <c r="L132" s="6">
        <v>0.12</v>
      </c>
      <c r="M132" s="6">
        <v>9.6000000000000002E-2</v>
      </c>
      <c r="N132" s="6">
        <v>0.12</v>
      </c>
      <c r="O132" s="6">
        <v>9.6000000000000002E-2</v>
      </c>
      <c r="P132" s="6">
        <v>1</v>
      </c>
      <c r="Q132" s="4" t="s">
        <v>26</v>
      </c>
      <c r="R132" s="4">
        <v>0</v>
      </c>
      <c r="S132" s="4">
        <v>0</v>
      </c>
      <c r="T132" s="4">
        <v>45</v>
      </c>
      <c r="U132" s="4">
        <v>53</v>
      </c>
      <c r="V132" s="6">
        <f>IF(ISERROR(VLOOKUP($S$132,'TAR FIN'!$A$1:$O$85,15,0)),0,VLOOKUP($S$132,'TAR FIN'!$A$1:$O$85,15,0))</f>
        <v>0</v>
      </c>
      <c r="W132" s="6">
        <f>IF(ISERROR(VLOOKUP($T$132,'TAR FIN'!$A$1:$O$85,15,0)),0,VLOOKUP($T$132,'TAR FIN'!$A$1:$O$85,15,0))</f>
        <v>232.73</v>
      </c>
      <c r="X132" s="6">
        <f>IF(ISERROR(VLOOKUP($U$132,'TAR FIN'!$A$1:$O$85,15,0)),0,VLOOKUP($U$132,'TAR FIN'!$A$1:$O$85,15,0))</f>
        <v>217.67</v>
      </c>
      <c r="Y132" s="6"/>
      <c r="Z132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132" s="6">
        <f>('TE BE'!$AB$14+'TE BF'!$AB$14+'TE CVA'!$AB$14)*(1-CUSTOS!$M$36)</f>
        <v>204.79554264658009</v>
      </c>
      <c r="AB132" s="6">
        <f t="shared" si="17"/>
        <v>0</v>
      </c>
      <c r="AC132" s="6">
        <f>(L132-M132)*(W132+X132)+($W$135+$X$135-$W$132-$X$132)*(L132)</f>
        <v>16.813199999999988</v>
      </c>
      <c r="AD132" s="6">
        <f t="shared" si="18"/>
        <v>0</v>
      </c>
      <c r="AE132" s="6">
        <f ca="1">(L132-M132)*(Z132+AA132)+($Z$135+$AA$135-$Z$132-$AA$132)*(L132)</f>
        <v>16.286424797495567</v>
      </c>
      <c r="AF132" s="4" t="s">
        <v>601</v>
      </c>
    </row>
    <row r="133" spans="1:32" ht="11.25" customHeight="1" x14ac:dyDescent="0.25">
      <c r="A133" s="4" t="s">
        <v>21</v>
      </c>
      <c r="B133" s="4" t="s">
        <v>22</v>
      </c>
      <c r="C133" s="4" t="s">
        <v>23</v>
      </c>
      <c r="D133" s="4" t="s">
        <v>24</v>
      </c>
      <c r="E133" s="4" t="s">
        <v>30</v>
      </c>
      <c r="F133" s="4" t="s">
        <v>25</v>
      </c>
      <c r="G133" s="4" t="s">
        <v>25</v>
      </c>
      <c r="H133" s="4" t="s">
        <v>25</v>
      </c>
      <c r="I133" s="5">
        <v>44713</v>
      </c>
      <c r="J133" s="6">
        <v>0</v>
      </c>
      <c r="K133" s="6">
        <v>0</v>
      </c>
      <c r="L133" s="6">
        <v>44.087000000000003</v>
      </c>
      <c r="M133" s="6">
        <v>44.087000000000003</v>
      </c>
      <c r="N133" s="6">
        <v>44.087000000000003</v>
      </c>
      <c r="O133" s="6">
        <v>44.087000000000003</v>
      </c>
      <c r="P133" s="6">
        <v>350</v>
      </c>
      <c r="Q133" s="4" t="s">
        <v>26</v>
      </c>
      <c r="R133" s="4">
        <v>0</v>
      </c>
      <c r="S133" s="4">
        <v>0</v>
      </c>
      <c r="T133" s="4">
        <v>45</v>
      </c>
      <c r="U133" s="4">
        <v>53</v>
      </c>
      <c r="V133" s="6">
        <f>IF(ISERROR(VLOOKUP($S$133,'TAR FIN'!$A$1:$O$85,15,0)),0,VLOOKUP($S$133,'TAR FIN'!$A$1:$O$85,15,0))</f>
        <v>0</v>
      </c>
      <c r="W133" s="6">
        <f>IF(ISERROR(VLOOKUP($T$133,'TAR FIN'!$A$1:$O$85,15,0)),0,VLOOKUP($T$133,'TAR FIN'!$A$1:$O$85,15,0))</f>
        <v>232.73</v>
      </c>
      <c r="X133" s="6">
        <f>IF(ISERROR(VLOOKUP($U$133,'TAR FIN'!$A$1:$O$85,15,0)),0,VLOOKUP($U$133,'TAR FIN'!$A$1:$O$85,15,0))</f>
        <v>217.67</v>
      </c>
      <c r="Y133" s="6"/>
      <c r="Z133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133" s="6">
        <f>('TE BE'!$AB$14+'TE BF'!$AB$14+'TE CVA'!$AB$14)*(1-CUSTOS!$M$36)</f>
        <v>204.79554264658009</v>
      </c>
      <c r="AB133" s="6">
        <f t="shared" si="17"/>
        <v>0</v>
      </c>
      <c r="AC133" s="6">
        <f>(L133-M133)*(W133+X133)+($W$135+$X$135-$W$133-$X$133)*(L133)</f>
        <v>2205.6726099999978</v>
      </c>
      <c r="AD133" s="6">
        <f t="shared" si="18"/>
        <v>0</v>
      </c>
      <c r="AE133" s="6">
        <f ca="1">(L133-M133)*(Z133+AA133)+($Z$135+$AA$135-$Z$133-$AA$133)*(L133)</f>
        <v>2136.9631251404376</v>
      </c>
      <c r="AF133" s="4" t="s">
        <v>601</v>
      </c>
    </row>
    <row r="134" spans="1:32" ht="11.25" customHeight="1" x14ac:dyDescent="0.25">
      <c r="A134" s="4" t="s">
        <v>27</v>
      </c>
      <c r="B134" s="4" t="s">
        <v>22</v>
      </c>
      <c r="C134" s="4" t="s">
        <v>23</v>
      </c>
      <c r="D134" s="4" t="s">
        <v>24</v>
      </c>
      <c r="E134" s="4" t="s">
        <v>30</v>
      </c>
      <c r="F134" s="4" t="s">
        <v>25</v>
      </c>
      <c r="G134" s="4" t="s">
        <v>25</v>
      </c>
      <c r="H134" s="4" t="s">
        <v>25</v>
      </c>
      <c r="I134" s="5">
        <v>44713</v>
      </c>
      <c r="J134" s="6">
        <v>0</v>
      </c>
      <c r="K134" s="6">
        <v>0</v>
      </c>
      <c r="L134" s="6">
        <v>0.12</v>
      </c>
      <c r="M134" s="6">
        <v>8.4000000000000005E-2</v>
      </c>
      <c r="N134" s="6">
        <v>0.12</v>
      </c>
      <c r="O134" s="6">
        <v>8.4000000000000005E-2</v>
      </c>
      <c r="P134" s="6">
        <v>1</v>
      </c>
      <c r="Q134" s="4" t="s">
        <v>26</v>
      </c>
      <c r="R134" s="4">
        <v>0</v>
      </c>
      <c r="S134" s="4">
        <v>0</v>
      </c>
      <c r="T134" s="4">
        <v>45</v>
      </c>
      <c r="U134" s="4">
        <v>53</v>
      </c>
      <c r="V134" s="6">
        <f>IF(ISERROR(VLOOKUP($S$134,'TAR FIN'!$A$1:$O$85,15,0)),0,VLOOKUP($S$134,'TAR FIN'!$A$1:$O$85,15,0))</f>
        <v>0</v>
      </c>
      <c r="W134" s="6">
        <f>IF(ISERROR(VLOOKUP($T$134,'TAR FIN'!$A$1:$O$85,15,0)),0,VLOOKUP($T$134,'TAR FIN'!$A$1:$O$85,15,0))</f>
        <v>232.73</v>
      </c>
      <c r="X134" s="6">
        <f>IF(ISERROR(VLOOKUP($U$134,'TAR FIN'!$A$1:$O$85,15,0)),0,VLOOKUP($U$134,'TAR FIN'!$A$1:$O$85,15,0))</f>
        <v>217.67</v>
      </c>
      <c r="Y134" s="6"/>
      <c r="Z134" s="6">
        <f ca="1">('TUSD BE'!$AM$23+'TUSD BF'!$AM$23+'TUSD CVA'!$AM$23-('TUSD BE'!$P$23+'TUSD BF'!$P$23+'TUSD CVA'!$P$23)-('TUSD BE'!$Q$23+'TUSD BF'!$Q$23+'TUSD CVA'!$Q$23)-('TUSD BE'!$R$23+'TUSD BF'!$R$23+'TUSD CVA'!$R$23))*(1-CUSTOS!$M$36)</f>
        <v>231.44797871490846</v>
      </c>
      <c r="AA134" s="6">
        <f>('TE BE'!$AB$14+'TE BF'!$AB$14+'TE CVA'!$AB$14)*(1-CUSTOS!$M$36)</f>
        <v>204.79554264658009</v>
      </c>
      <c r="AB134" s="6">
        <f t="shared" si="17"/>
        <v>0</v>
      </c>
      <c r="AC134" s="6">
        <f>(L134-M134)*(W134+X134)+($W$135+$X$135-$W$134-$X$134)*(L134)</f>
        <v>22.217999999999989</v>
      </c>
      <c r="AD134" s="6">
        <f t="shared" si="18"/>
        <v>0</v>
      </c>
      <c r="AE134" s="6">
        <f ca="1">(L134-M134)*(Z134+AA134)+($Z$135+$AA$135-$Z$134-$AA$134)*(L134)</f>
        <v>21.521347053833427</v>
      </c>
      <c r="AF134" s="4" t="s">
        <v>601</v>
      </c>
    </row>
    <row r="135" spans="1:32" ht="11.25" customHeight="1" x14ac:dyDescent="0.25">
      <c r="A135" s="4" t="s">
        <v>21</v>
      </c>
      <c r="B135" s="4" t="s">
        <v>22</v>
      </c>
      <c r="C135" s="4" t="s">
        <v>23</v>
      </c>
      <c r="D135" s="4" t="s">
        <v>24</v>
      </c>
      <c r="E135" s="4" t="s">
        <v>31</v>
      </c>
      <c r="F135" s="4" t="s">
        <v>25</v>
      </c>
      <c r="G135" s="4" t="s">
        <v>25</v>
      </c>
      <c r="H135" s="4" t="s">
        <v>25</v>
      </c>
      <c r="I135" s="5">
        <v>44378</v>
      </c>
      <c r="J135" s="6">
        <v>0</v>
      </c>
      <c r="K135" s="6">
        <v>0</v>
      </c>
      <c r="L135" s="6">
        <v>6.7889999999999997</v>
      </c>
      <c r="M135" s="6">
        <v>6.7889999999999997</v>
      </c>
      <c r="N135" s="6">
        <v>6.7889999999999997</v>
      </c>
      <c r="O135" s="6">
        <v>6.7889999999999997</v>
      </c>
      <c r="P135" s="6">
        <v>82</v>
      </c>
      <c r="Q135" s="4" t="s">
        <v>26</v>
      </c>
      <c r="R135" s="4">
        <v>0</v>
      </c>
      <c r="S135" s="4">
        <v>0</v>
      </c>
      <c r="T135" s="4">
        <v>37</v>
      </c>
      <c r="U135" s="4">
        <v>59</v>
      </c>
      <c r="V135" s="6">
        <f>IF(ISERROR(VLOOKUP($S$135,'TAR FIN'!$A$1:$O$85,15,0)),0,VLOOKUP($S$135,'TAR FIN'!$A$1:$O$85,15,0))</f>
        <v>0</v>
      </c>
      <c r="W135" s="6">
        <f>IF(ISERROR(VLOOKUP($T$135,'TAR FIN'!$A$1:$O$85,15,0)),0,VLOOKUP($T$135,'TAR FIN'!$A$1:$O$85,15,0))</f>
        <v>258.58</v>
      </c>
      <c r="X135" s="6">
        <f>IF(ISERROR(VLOOKUP($U$135,'TAR FIN'!$A$1:$O$85,15,0)),0,VLOOKUP($U$135,'TAR FIN'!$A$1:$O$85,15,0))</f>
        <v>241.85</v>
      </c>
      <c r="Y135" s="6"/>
      <c r="Z135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135" s="6">
        <f>('TE BE'!$AB$15+'TE BF'!$AB$15+'TE CVA'!$AB$15)*(1-CUSTOS!$M$37)</f>
        <v>227.55060294064452</v>
      </c>
      <c r="AB135" s="6">
        <f t="shared" si="17"/>
        <v>0</v>
      </c>
      <c r="AC135" s="6">
        <f>(L135-M135)*(W135+X135)+($W$135+$X$135-$W$135-$X$135)*(L135)</f>
        <v>-1.929549853230128E-13</v>
      </c>
      <c r="AD135" s="6">
        <f t="shared" si="18"/>
        <v>0</v>
      </c>
      <c r="AE135" s="6">
        <f ca="1">(L135-M135)*(Z135+AA135)+($Z$135+$AA$135-$Z$135-$AA$135)*(L135)</f>
        <v>0</v>
      </c>
      <c r="AF135" s="4" t="s">
        <v>601</v>
      </c>
    </row>
    <row r="136" spans="1:32" ht="11.25" customHeight="1" x14ac:dyDescent="0.25">
      <c r="A136" s="4" t="s">
        <v>21</v>
      </c>
      <c r="B136" s="4" t="s">
        <v>22</v>
      </c>
      <c r="C136" s="4" t="s">
        <v>23</v>
      </c>
      <c r="D136" s="4" t="s">
        <v>24</v>
      </c>
      <c r="E136" s="4" t="s">
        <v>31</v>
      </c>
      <c r="F136" s="4" t="s">
        <v>25</v>
      </c>
      <c r="G136" s="4" t="s">
        <v>25</v>
      </c>
      <c r="H136" s="4" t="s">
        <v>25</v>
      </c>
      <c r="I136" s="5">
        <v>44409</v>
      </c>
      <c r="J136" s="6">
        <v>0</v>
      </c>
      <c r="K136" s="6">
        <v>0</v>
      </c>
      <c r="L136" s="6">
        <v>5.9269999999999996</v>
      </c>
      <c r="M136" s="6">
        <v>5.9269999999999996</v>
      </c>
      <c r="N136" s="6">
        <v>5.9269999999999996</v>
      </c>
      <c r="O136" s="6">
        <v>5.9269999999999996</v>
      </c>
      <c r="P136" s="6">
        <v>85</v>
      </c>
      <c r="Q136" s="4" t="s">
        <v>26</v>
      </c>
      <c r="R136" s="4">
        <v>0</v>
      </c>
      <c r="S136" s="4">
        <v>0</v>
      </c>
      <c r="T136" s="4">
        <v>37</v>
      </c>
      <c r="U136" s="4">
        <v>59</v>
      </c>
      <c r="V136" s="6">
        <f>IF(ISERROR(VLOOKUP($S$136,'TAR FIN'!$A$1:$O$85,15,0)),0,VLOOKUP($S$136,'TAR FIN'!$A$1:$O$85,15,0))</f>
        <v>0</v>
      </c>
      <c r="W136" s="6">
        <f>IF(ISERROR(VLOOKUP($T$136,'TAR FIN'!$A$1:$O$85,15,0)),0,VLOOKUP($T$136,'TAR FIN'!$A$1:$O$85,15,0))</f>
        <v>258.58</v>
      </c>
      <c r="X136" s="6">
        <f>IF(ISERROR(VLOOKUP($U$136,'TAR FIN'!$A$1:$O$85,15,0)),0,VLOOKUP($U$136,'TAR FIN'!$A$1:$O$85,15,0))</f>
        <v>241.85</v>
      </c>
      <c r="Y136" s="6"/>
      <c r="Z136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136" s="6">
        <f>('TE BE'!$AB$15+'TE BF'!$AB$15+'TE CVA'!$AB$15)*(1-CUSTOS!$M$37)</f>
        <v>227.55060294064452</v>
      </c>
      <c r="AB136" s="6">
        <f t="shared" si="17"/>
        <v>0</v>
      </c>
      <c r="AC136" s="6">
        <f>(L136-M136)*(W136+X136)+($W$135+$X$135-$W$136-$X$136)*(L136)</f>
        <v>-1.6845547179400454E-13</v>
      </c>
      <c r="AD136" s="6">
        <f t="shared" si="18"/>
        <v>0</v>
      </c>
      <c r="AE136" s="6">
        <f ca="1">(L136-M136)*(Z136+AA136)+($Z$135+$AA$135-$Z$136-$AA$136)*(L136)</f>
        <v>0</v>
      </c>
      <c r="AF136" s="4" t="s">
        <v>601</v>
      </c>
    </row>
    <row r="137" spans="1:32" ht="11.25" customHeight="1" x14ac:dyDescent="0.25">
      <c r="A137" s="4" t="s">
        <v>21</v>
      </c>
      <c r="B137" s="4" t="s">
        <v>22</v>
      </c>
      <c r="C137" s="4" t="s">
        <v>23</v>
      </c>
      <c r="D137" s="4" t="s">
        <v>24</v>
      </c>
      <c r="E137" s="4" t="s">
        <v>31</v>
      </c>
      <c r="F137" s="4" t="s">
        <v>25</v>
      </c>
      <c r="G137" s="4" t="s">
        <v>25</v>
      </c>
      <c r="H137" s="4" t="s">
        <v>25</v>
      </c>
      <c r="I137" s="5">
        <v>44440</v>
      </c>
      <c r="J137" s="6">
        <v>0</v>
      </c>
      <c r="K137" s="6">
        <v>0</v>
      </c>
      <c r="L137" s="6">
        <v>4.8440000000000003</v>
      </c>
      <c r="M137" s="6">
        <v>4.8440000000000003</v>
      </c>
      <c r="N137" s="6">
        <v>4.8440000000000003</v>
      </c>
      <c r="O137" s="6">
        <v>4.8440000000000003</v>
      </c>
      <c r="P137" s="6">
        <v>79</v>
      </c>
      <c r="Q137" s="4" t="s">
        <v>26</v>
      </c>
      <c r="R137" s="4">
        <v>0</v>
      </c>
      <c r="S137" s="4">
        <v>0</v>
      </c>
      <c r="T137" s="4">
        <v>37</v>
      </c>
      <c r="U137" s="4">
        <v>59</v>
      </c>
      <c r="V137" s="6">
        <f>IF(ISERROR(VLOOKUP($S$137,'TAR FIN'!$A$1:$O$85,15,0)),0,VLOOKUP($S$137,'TAR FIN'!$A$1:$O$85,15,0))</f>
        <v>0</v>
      </c>
      <c r="W137" s="6">
        <f>IF(ISERROR(VLOOKUP($T$137,'TAR FIN'!$A$1:$O$85,15,0)),0,VLOOKUP($T$137,'TAR FIN'!$A$1:$O$85,15,0))</f>
        <v>258.58</v>
      </c>
      <c r="X137" s="6">
        <f>IF(ISERROR(VLOOKUP($U$137,'TAR FIN'!$A$1:$O$85,15,0)),0,VLOOKUP($U$137,'TAR FIN'!$A$1:$O$85,15,0))</f>
        <v>241.85</v>
      </c>
      <c r="Y137" s="6"/>
      <c r="Z137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137" s="6">
        <f>('TE BE'!$AB$15+'TE BF'!$AB$15+'TE CVA'!$AB$15)*(1-CUSTOS!$M$37)</f>
        <v>227.55060294064452</v>
      </c>
      <c r="AB137" s="6">
        <f t="shared" si="17"/>
        <v>0</v>
      </c>
      <c r="AC137" s="6">
        <f>(L137-M137)*(W137+X137)+($W$135+$X$135-$W$137-$X$137)*(L137)</f>
        <v>-1.3767476048087702E-13</v>
      </c>
      <c r="AD137" s="6">
        <f t="shared" si="18"/>
        <v>0</v>
      </c>
      <c r="AE137" s="6">
        <f ca="1">(L137-M137)*(Z137+AA137)+($Z$135+$AA$135-$Z$137-$AA$137)*(L137)</f>
        <v>0</v>
      </c>
      <c r="AF137" s="4" t="s">
        <v>601</v>
      </c>
    </row>
    <row r="138" spans="1:32" ht="11.25" customHeight="1" x14ac:dyDescent="0.25">
      <c r="A138" s="4" t="s">
        <v>21</v>
      </c>
      <c r="B138" s="4" t="s">
        <v>22</v>
      </c>
      <c r="C138" s="4" t="s">
        <v>23</v>
      </c>
      <c r="D138" s="4" t="s">
        <v>24</v>
      </c>
      <c r="E138" s="4" t="s">
        <v>31</v>
      </c>
      <c r="F138" s="4" t="s">
        <v>25</v>
      </c>
      <c r="G138" s="4" t="s">
        <v>25</v>
      </c>
      <c r="H138" s="4" t="s">
        <v>25</v>
      </c>
      <c r="I138" s="5">
        <v>44470</v>
      </c>
      <c r="J138" s="6">
        <v>0</v>
      </c>
      <c r="K138" s="6">
        <v>0</v>
      </c>
      <c r="L138" s="6">
        <v>4.0940000000000003</v>
      </c>
      <c r="M138" s="6">
        <v>4.0940000000000003</v>
      </c>
      <c r="N138" s="6">
        <v>4.0940000000000003</v>
      </c>
      <c r="O138" s="6">
        <v>4.0940000000000003</v>
      </c>
      <c r="P138" s="6">
        <v>62</v>
      </c>
      <c r="Q138" s="4" t="s">
        <v>26</v>
      </c>
      <c r="R138" s="4">
        <v>0</v>
      </c>
      <c r="S138" s="4">
        <v>0</v>
      </c>
      <c r="T138" s="4">
        <v>37</v>
      </c>
      <c r="U138" s="4">
        <v>59</v>
      </c>
      <c r="V138" s="6">
        <f>IF(ISERROR(VLOOKUP($S$138,'TAR FIN'!$A$1:$O$85,15,0)),0,VLOOKUP($S$138,'TAR FIN'!$A$1:$O$85,15,0))</f>
        <v>0</v>
      </c>
      <c r="W138" s="6">
        <f>IF(ISERROR(VLOOKUP($T$138,'TAR FIN'!$A$1:$O$85,15,0)),0,VLOOKUP($T$138,'TAR FIN'!$A$1:$O$85,15,0))</f>
        <v>258.58</v>
      </c>
      <c r="X138" s="6">
        <f>IF(ISERROR(VLOOKUP($U$138,'TAR FIN'!$A$1:$O$85,15,0)),0,VLOOKUP($U$138,'TAR FIN'!$A$1:$O$85,15,0))</f>
        <v>241.85</v>
      </c>
      <c r="Y138" s="6"/>
      <c r="Z138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138" s="6">
        <f>('TE BE'!$AB$15+'TE BF'!$AB$15+'TE CVA'!$AB$15)*(1-CUSTOS!$M$37)</f>
        <v>227.55060294064452</v>
      </c>
      <c r="AB138" s="6">
        <f t="shared" si="17"/>
        <v>0</v>
      </c>
      <c r="AC138" s="6">
        <f>(L138-M138)*(W138+X138)+($W$135+$X$135-$W$138-$X$138)*(L138)</f>
        <v>-1.1635847840807402E-13</v>
      </c>
      <c r="AD138" s="6">
        <f t="shared" si="18"/>
        <v>0</v>
      </c>
      <c r="AE138" s="6">
        <f ca="1">(L138-M138)*(Z138+AA138)+($Z$135+$AA$135-$Z$138-$AA$138)*(L138)</f>
        <v>0</v>
      </c>
      <c r="AF138" s="4" t="s">
        <v>601</v>
      </c>
    </row>
    <row r="139" spans="1:32" ht="11.25" customHeight="1" x14ac:dyDescent="0.25">
      <c r="A139" s="4" t="s">
        <v>21</v>
      </c>
      <c r="B139" s="4" t="s">
        <v>22</v>
      </c>
      <c r="C139" s="4" t="s">
        <v>23</v>
      </c>
      <c r="D139" s="4" t="s">
        <v>24</v>
      </c>
      <c r="E139" s="4" t="s">
        <v>31</v>
      </c>
      <c r="F139" s="4" t="s">
        <v>25</v>
      </c>
      <c r="G139" s="4" t="s">
        <v>25</v>
      </c>
      <c r="H139" s="4" t="s">
        <v>25</v>
      </c>
      <c r="I139" s="5">
        <v>44501</v>
      </c>
      <c r="J139" s="6">
        <v>0</v>
      </c>
      <c r="K139" s="6">
        <v>0</v>
      </c>
      <c r="L139" s="6">
        <v>5.2089999999999996</v>
      </c>
      <c r="M139" s="6">
        <v>5.2089999999999996</v>
      </c>
      <c r="N139" s="6">
        <v>5.2089999999999996</v>
      </c>
      <c r="O139" s="6">
        <v>5.2089999999999996</v>
      </c>
      <c r="P139" s="6">
        <v>83</v>
      </c>
      <c r="Q139" s="4" t="s">
        <v>26</v>
      </c>
      <c r="R139" s="4">
        <v>0</v>
      </c>
      <c r="S139" s="4">
        <v>0</v>
      </c>
      <c r="T139" s="4">
        <v>37</v>
      </c>
      <c r="U139" s="4">
        <v>59</v>
      </c>
      <c r="V139" s="6">
        <f>IF(ISERROR(VLOOKUP($S$139,'TAR FIN'!$A$1:$O$85,15,0)),0,VLOOKUP($S$139,'TAR FIN'!$A$1:$O$85,15,0))</f>
        <v>0</v>
      </c>
      <c r="W139" s="6">
        <f>IF(ISERROR(VLOOKUP($T$139,'TAR FIN'!$A$1:$O$85,15,0)),0,VLOOKUP($T$139,'TAR FIN'!$A$1:$O$85,15,0))</f>
        <v>258.58</v>
      </c>
      <c r="X139" s="6">
        <f>IF(ISERROR(VLOOKUP($U$139,'TAR FIN'!$A$1:$O$85,15,0)),0,VLOOKUP($U$139,'TAR FIN'!$A$1:$O$85,15,0))</f>
        <v>241.85</v>
      </c>
      <c r="Y139" s="6"/>
      <c r="Z139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139" s="6">
        <f>('TE BE'!$AB$15+'TE BF'!$AB$15+'TE CVA'!$AB$15)*(1-CUSTOS!$M$37)</f>
        <v>227.55060294064452</v>
      </c>
      <c r="AB139" s="6">
        <f t="shared" si="17"/>
        <v>0</v>
      </c>
      <c r="AC139" s="6">
        <f>(L139-M139)*(W139+X139)+($W$135+$X$135-$W$139-$X$139)*(L139)</f>
        <v>-1.4804868442297446E-13</v>
      </c>
      <c r="AD139" s="6">
        <f t="shared" si="18"/>
        <v>0</v>
      </c>
      <c r="AE139" s="6">
        <f ca="1">(L139-M139)*(Z139+AA139)+($Z$135+$AA$135-$Z$139-$AA$139)*(L139)</f>
        <v>0</v>
      </c>
      <c r="AF139" s="4" t="s">
        <v>601</v>
      </c>
    </row>
    <row r="140" spans="1:32" ht="11.25" customHeight="1" x14ac:dyDescent="0.25">
      <c r="A140" s="4" t="s">
        <v>21</v>
      </c>
      <c r="B140" s="4" t="s">
        <v>22</v>
      </c>
      <c r="C140" s="4" t="s">
        <v>23</v>
      </c>
      <c r="D140" s="4" t="s">
        <v>24</v>
      </c>
      <c r="E140" s="4" t="s">
        <v>31</v>
      </c>
      <c r="F140" s="4" t="s">
        <v>25</v>
      </c>
      <c r="G140" s="4" t="s">
        <v>25</v>
      </c>
      <c r="H140" s="4" t="s">
        <v>25</v>
      </c>
      <c r="I140" s="5">
        <v>44531</v>
      </c>
      <c r="J140" s="6">
        <v>0</v>
      </c>
      <c r="K140" s="6">
        <v>0</v>
      </c>
      <c r="L140" s="6">
        <v>8.6460000000000008</v>
      </c>
      <c r="M140" s="6">
        <v>8.6460000000000008</v>
      </c>
      <c r="N140" s="6">
        <v>8.6460000000000008</v>
      </c>
      <c r="O140" s="6">
        <v>8.6460000000000008</v>
      </c>
      <c r="P140" s="6">
        <v>112</v>
      </c>
      <c r="Q140" s="4" t="s">
        <v>26</v>
      </c>
      <c r="R140" s="4">
        <v>0</v>
      </c>
      <c r="S140" s="4">
        <v>0</v>
      </c>
      <c r="T140" s="4">
        <v>37</v>
      </c>
      <c r="U140" s="4">
        <v>59</v>
      </c>
      <c r="V140" s="6">
        <f>IF(ISERROR(VLOOKUP($S$140,'TAR FIN'!$A$1:$O$85,15,0)),0,VLOOKUP($S$140,'TAR FIN'!$A$1:$O$85,15,0))</f>
        <v>0</v>
      </c>
      <c r="W140" s="6">
        <f>IF(ISERROR(VLOOKUP($T$140,'TAR FIN'!$A$1:$O$85,15,0)),0,VLOOKUP($T$140,'TAR FIN'!$A$1:$O$85,15,0))</f>
        <v>258.58</v>
      </c>
      <c r="X140" s="6">
        <f>IF(ISERROR(VLOOKUP($U$140,'TAR FIN'!$A$1:$O$85,15,0)),0,VLOOKUP($U$140,'TAR FIN'!$A$1:$O$85,15,0))</f>
        <v>241.85</v>
      </c>
      <c r="Y140" s="6"/>
      <c r="Z140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140" s="6">
        <f>('TE BE'!$AB$15+'TE BF'!$AB$15+'TE CVA'!$AB$15)*(1-CUSTOS!$M$37)</f>
        <v>227.55060294064452</v>
      </c>
      <c r="AB140" s="6">
        <f t="shared" si="17"/>
        <v>0</v>
      </c>
      <c r="AC140" s="6">
        <f>(L140-M140)*(W140+X140)+($W$135+$X$135-$W$140-$X$140)*(L140)</f>
        <v>-2.4573409973527307E-13</v>
      </c>
      <c r="AD140" s="6">
        <f t="shared" si="18"/>
        <v>0</v>
      </c>
      <c r="AE140" s="6">
        <f ca="1">(L140-M140)*(Z140+AA140)+($Z$135+$AA$135-$Z$140-$AA$140)*(L140)</f>
        <v>0</v>
      </c>
      <c r="AF140" s="4" t="s">
        <v>601</v>
      </c>
    </row>
    <row r="141" spans="1:32" ht="11.25" customHeight="1" x14ac:dyDescent="0.25">
      <c r="A141" s="4" t="s">
        <v>21</v>
      </c>
      <c r="B141" s="4" t="s">
        <v>22</v>
      </c>
      <c r="C141" s="4" t="s">
        <v>23</v>
      </c>
      <c r="D141" s="4" t="s">
        <v>24</v>
      </c>
      <c r="E141" s="4" t="s">
        <v>31</v>
      </c>
      <c r="F141" s="4" t="s">
        <v>25</v>
      </c>
      <c r="G141" s="4" t="s">
        <v>25</v>
      </c>
      <c r="H141" s="4" t="s">
        <v>25</v>
      </c>
      <c r="I141" s="5">
        <v>44562</v>
      </c>
      <c r="J141" s="6">
        <v>0</v>
      </c>
      <c r="K141" s="6">
        <v>0</v>
      </c>
      <c r="L141" s="6">
        <v>12.211</v>
      </c>
      <c r="M141" s="6">
        <v>12.211</v>
      </c>
      <c r="N141" s="6">
        <v>12.211</v>
      </c>
      <c r="O141" s="6">
        <v>12.211</v>
      </c>
      <c r="P141" s="6">
        <v>141</v>
      </c>
      <c r="Q141" s="4" t="s">
        <v>26</v>
      </c>
      <c r="R141" s="4">
        <v>0</v>
      </c>
      <c r="S141" s="4">
        <v>0</v>
      </c>
      <c r="T141" s="4">
        <v>37</v>
      </c>
      <c r="U141" s="4">
        <v>59</v>
      </c>
      <c r="V141" s="6">
        <f>IF(ISERROR(VLOOKUP($S$141,'TAR FIN'!$A$1:$O$85,15,0)),0,VLOOKUP($S$141,'TAR FIN'!$A$1:$O$85,15,0))</f>
        <v>0</v>
      </c>
      <c r="W141" s="6">
        <f>IF(ISERROR(VLOOKUP($T$141,'TAR FIN'!$A$1:$O$85,15,0)),0,VLOOKUP($T$141,'TAR FIN'!$A$1:$O$85,15,0))</f>
        <v>258.58</v>
      </c>
      <c r="X141" s="6">
        <f>IF(ISERROR(VLOOKUP($U$141,'TAR FIN'!$A$1:$O$85,15,0)),0,VLOOKUP($U$141,'TAR FIN'!$A$1:$O$85,15,0))</f>
        <v>241.85</v>
      </c>
      <c r="Y141" s="6"/>
      <c r="Z141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141" s="6">
        <f>('TE BE'!$AB$15+'TE BF'!$AB$15+'TE CVA'!$AB$15)*(1-CUSTOS!$M$37)</f>
        <v>227.55060294064452</v>
      </c>
      <c r="AB141" s="6">
        <f t="shared" si="17"/>
        <v>0</v>
      </c>
      <c r="AC141" s="6">
        <f>(L141-M141)*(W141+X141)+($W$135+$X$135-$W$141-$X$141)*(L141)</f>
        <v>-3.4705749385466334E-13</v>
      </c>
      <c r="AD141" s="6">
        <f t="shared" si="18"/>
        <v>0</v>
      </c>
      <c r="AE141" s="6">
        <f ca="1">(L141-M141)*(Z141+AA141)+($Z$135+$AA$135-$Z$141-$AA$141)*(L141)</f>
        <v>0</v>
      </c>
      <c r="AF141" s="4" t="s">
        <v>601</v>
      </c>
    </row>
    <row r="142" spans="1:32" ht="11.25" customHeight="1" x14ac:dyDescent="0.25">
      <c r="A142" s="4" t="s">
        <v>21</v>
      </c>
      <c r="B142" s="4" t="s">
        <v>22</v>
      </c>
      <c r="C142" s="4" t="s">
        <v>23</v>
      </c>
      <c r="D142" s="4" t="s">
        <v>24</v>
      </c>
      <c r="E142" s="4" t="s">
        <v>31</v>
      </c>
      <c r="F142" s="4" t="s">
        <v>25</v>
      </c>
      <c r="G142" s="4" t="s">
        <v>25</v>
      </c>
      <c r="H142" s="4" t="s">
        <v>25</v>
      </c>
      <c r="I142" s="5">
        <v>44593</v>
      </c>
      <c r="J142" s="6">
        <v>0</v>
      </c>
      <c r="K142" s="6">
        <v>0</v>
      </c>
      <c r="L142" s="6">
        <v>13.118</v>
      </c>
      <c r="M142" s="6">
        <v>13.118</v>
      </c>
      <c r="N142" s="6">
        <v>13.118</v>
      </c>
      <c r="O142" s="6">
        <v>13.118</v>
      </c>
      <c r="P142" s="6">
        <v>151</v>
      </c>
      <c r="Q142" s="4" t="s">
        <v>26</v>
      </c>
      <c r="R142" s="4">
        <v>0</v>
      </c>
      <c r="S142" s="4">
        <v>0</v>
      </c>
      <c r="T142" s="4">
        <v>37</v>
      </c>
      <c r="U142" s="4">
        <v>59</v>
      </c>
      <c r="V142" s="6">
        <f>IF(ISERROR(VLOOKUP($S$142,'TAR FIN'!$A$1:$O$85,15,0)),0,VLOOKUP($S$142,'TAR FIN'!$A$1:$O$85,15,0))</f>
        <v>0</v>
      </c>
      <c r="W142" s="6">
        <f>IF(ISERROR(VLOOKUP($T$142,'TAR FIN'!$A$1:$O$85,15,0)),0,VLOOKUP($T$142,'TAR FIN'!$A$1:$O$85,15,0))</f>
        <v>258.58</v>
      </c>
      <c r="X142" s="6">
        <f>IF(ISERROR(VLOOKUP($U$142,'TAR FIN'!$A$1:$O$85,15,0)),0,VLOOKUP($U$142,'TAR FIN'!$A$1:$O$85,15,0))</f>
        <v>241.85</v>
      </c>
      <c r="Y142" s="6"/>
      <c r="Z142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142" s="6">
        <f>('TE BE'!$AB$15+'TE BF'!$AB$15+'TE CVA'!$AB$15)*(1-CUSTOS!$M$37)</f>
        <v>227.55060294064452</v>
      </c>
      <c r="AB142" s="6">
        <f t="shared" si="17"/>
        <v>0</v>
      </c>
      <c r="AC142" s="6">
        <f>(L142-M142)*(W142+X142)+($W$135+$X$135-$W$142-$X$142)*(L142)</f>
        <v>-3.7283598430803978E-13</v>
      </c>
      <c r="AD142" s="6">
        <f t="shared" si="18"/>
        <v>0</v>
      </c>
      <c r="AE142" s="6">
        <f ca="1">(L142-M142)*(Z142+AA142)+($Z$135+$AA$135-$Z$142-$AA$142)*(L142)</f>
        <v>0</v>
      </c>
      <c r="AF142" s="4" t="s">
        <v>601</v>
      </c>
    </row>
    <row r="143" spans="1:32" ht="11.25" customHeight="1" x14ac:dyDescent="0.25">
      <c r="A143" s="4" t="s">
        <v>21</v>
      </c>
      <c r="B143" s="4" t="s">
        <v>22</v>
      </c>
      <c r="C143" s="4" t="s">
        <v>23</v>
      </c>
      <c r="D143" s="4" t="s">
        <v>24</v>
      </c>
      <c r="E143" s="4" t="s">
        <v>31</v>
      </c>
      <c r="F143" s="4" t="s">
        <v>25</v>
      </c>
      <c r="G143" s="4" t="s">
        <v>25</v>
      </c>
      <c r="H143" s="4" t="s">
        <v>25</v>
      </c>
      <c r="I143" s="5">
        <v>44621</v>
      </c>
      <c r="J143" s="6">
        <v>0</v>
      </c>
      <c r="K143" s="6">
        <v>0</v>
      </c>
      <c r="L143" s="6">
        <v>11.275</v>
      </c>
      <c r="M143" s="6">
        <v>11.275</v>
      </c>
      <c r="N143" s="6">
        <v>11.275</v>
      </c>
      <c r="O143" s="6">
        <v>11.275</v>
      </c>
      <c r="P143" s="6">
        <v>144</v>
      </c>
      <c r="Q143" s="4" t="s">
        <v>26</v>
      </c>
      <c r="R143" s="4">
        <v>0</v>
      </c>
      <c r="S143" s="4">
        <v>0</v>
      </c>
      <c r="T143" s="4">
        <v>37</v>
      </c>
      <c r="U143" s="4">
        <v>59</v>
      </c>
      <c r="V143" s="6">
        <f>IF(ISERROR(VLOOKUP($S$143,'TAR FIN'!$A$1:$O$85,15,0)),0,VLOOKUP($S$143,'TAR FIN'!$A$1:$O$85,15,0))</f>
        <v>0</v>
      </c>
      <c r="W143" s="6">
        <f>IF(ISERROR(VLOOKUP($T$143,'TAR FIN'!$A$1:$O$85,15,0)),0,VLOOKUP($T$143,'TAR FIN'!$A$1:$O$85,15,0))</f>
        <v>258.58</v>
      </c>
      <c r="X143" s="6">
        <f>IF(ISERROR(VLOOKUP($U$143,'TAR FIN'!$A$1:$O$85,15,0)),0,VLOOKUP($U$143,'TAR FIN'!$A$1:$O$85,15,0))</f>
        <v>241.85</v>
      </c>
      <c r="Y143" s="6"/>
      <c r="Z143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143" s="6">
        <f>('TE BE'!$AB$15+'TE BF'!$AB$15+'TE CVA'!$AB$15)*(1-CUSTOS!$M$37)</f>
        <v>227.55060294064452</v>
      </c>
      <c r="AB143" s="6">
        <f t="shared" si="17"/>
        <v>0</v>
      </c>
      <c r="AC143" s="6">
        <f>(L143-M143)*(W143+X143)+($W$135+$X$135-$W$143-$X$143)*(L143)</f>
        <v>-3.2045477382780519E-13</v>
      </c>
      <c r="AD143" s="6">
        <f t="shared" si="18"/>
        <v>0</v>
      </c>
      <c r="AE143" s="6">
        <f ca="1">(L143-M143)*(Z143+AA143)+($Z$135+$AA$135-$Z$143-$AA$143)*(L143)</f>
        <v>0</v>
      </c>
      <c r="AF143" s="4" t="s">
        <v>601</v>
      </c>
    </row>
    <row r="144" spans="1:32" ht="11.25" customHeight="1" x14ac:dyDescent="0.25">
      <c r="A144" s="4" t="s">
        <v>21</v>
      </c>
      <c r="B144" s="4" t="s">
        <v>22</v>
      </c>
      <c r="C144" s="4" t="s">
        <v>23</v>
      </c>
      <c r="D144" s="4" t="s">
        <v>24</v>
      </c>
      <c r="E144" s="4" t="s">
        <v>31</v>
      </c>
      <c r="F144" s="4" t="s">
        <v>25</v>
      </c>
      <c r="G144" s="4" t="s">
        <v>25</v>
      </c>
      <c r="H144" s="4" t="s">
        <v>25</v>
      </c>
      <c r="I144" s="5">
        <v>44652</v>
      </c>
      <c r="J144" s="6">
        <v>0</v>
      </c>
      <c r="K144" s="6">
        <v>0</v>
      </c>
      <c r="L144" s="6">
        <v>8.8469999999999995</v>
      </c>
      <c r="M144" s="6">
        <v>8.8469999999999995</v>
      </c>
      <c r="N144" s="6">
        <v>8.8469999999999995</v>
      </c>
      <c r="O144" s="6">
        <v>8.8469999999999995</v>
      </c>
      <c r="P144" s="6">
        <v>125</v>
      </c>
      <c r="Q144" s="4" t="s">
        <v>26</v>
      </c>
      <c r="R144" s="4">
        <v>0</v>
      </c>
      <c r="S144" s="4">
        <v>0</v>
      </c>
      <c r="T144" s="4">
        <v>37</v>
      </c>
      <c r="U144" s="4">
        <v>59</v>
      </c>
      <c r="V144" s="6">
        <f>IF(ISERROR(VLOOKUP($S$144,'TAR FIN'!$A$1:$O$85,15,0)),0,VLOOKUP($S$144,'TAR FIN'!$A$1:$O$85,15,0))</f>
        <v>0</v>
      </c>
      <c r="W144" s="6">
        <f>IF(ISERROR(VLOOKUP($T$144,'TAR FIN'!$A$1:$O$85,15,0)),0,VLOOKUP($T$144,'TAR FIN'!$A$1:$O$85,15,0))</f>
        <v>258.58</v>
      </c>
      <c r="X144" s="6">
        <f>IF(ISERROR(VLOOKUP($U$144,'TAR FIN'!$A$1:$O$85,15,0)),0,VLOOKUP($U$144,'TAR FIN'!$A$1:$O$85,15,0))</f>
        <v>241.85</v>
      </c>
      <c r="Y144" s="6"/>
      <c r="Z144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144" s="6">
        <f>('TE BE'!$AB$15+'TE BF'!$AB$15+'TE CVA'!$AB$15)*(1-CUSTOS!$M$37)</f>
        <v>227.55060294064452</v>
      </c>
      <c r="AB144" s="6">
        <f t="shared" si="17"/>
        <v>0</v>
      </c>
      <c r="AC144" s="6">
        <f>(L144-M144)*(W144+X144)+($W$135+$X$135-$W$144-$X$144)*(L144)</f>
        <v>-2.5144686333078424E-13</v>
      </c>
      <c r="AD144" s="6">
        <f t="shared" si="18"/>
        <v>0</v>
      </c>
      <c r="AE144" s="6">
        <f ca="1">(L144-M144)*(Z144+AA144)+($Z$135+$AA$135-$Z$144-$AA$144)*(L144)</f>
        <v>0</v>
      </c>
      <c r="AF144" s="4" t="s">
        <v>601</v>
      </c>
    </row>
    <row r="145" spans="1:32" ht="11.25" customHeight="1" x14ac:dyDescent="0.25">
      <c r="A145" s="4" t="s">
        <v>21</v>
      </c>
      <c r="B145" s="4" t="s">
        <v>22</v>
      </c>
      <c r="C145" s="4" t="s">
        <v>23</v>
      </c>
      <c r="D145" s="4" t="s">
        <v>24</v>
      </c>
      <c r="E145" s="4" t="s">
        <v>31</v>
      </c>
      <c r="F145" s="4" t="s">
        <v>25</v>
      </c>
      <c r="G145" s="4" t="s">
        <v>25</v>
      </c>
      <c r="H145" s="4" t="s">
        <v>25</v>
      </c>
      <c r="I145" s="5">
        <v>44682</v>
      </c>
      <c r="J145" s="6">
        <v>0</v>
      </c>
      <c r="K145" s="6">
        <v>0</v>
      </c>
      <c r="L145" s="6">
        <v>12.144</v>
      </c>
      <c r="M145" s="6">
        <v>12.144</v>
      </c>
      <c r="N145" s="6">
        <v>12.144</v>
      </c>
      <c r="O145" s="6">
        <v>12.144</v>
      </c>
      <c r="P145" s="6">
        <v>148</v>
      </c>
      <c r="Q145" s="4" t="s">
        <v>26</v>
      </c>
      <c r="R145" s="4">
        <v>0</v>
      </c>
      <c r="S145" s="4">
        <v>0</v>
      </c>
      <c r="T145" s="4">
        <v>37</v>
      </c>
      <c r="U145" s="4">
        <v>59</v>
      </c>
      <c r="V145" s="6">
        <f>IF(ISERROR(VLOOKUP($S$145,'TAR FIN'!$A$1:$O$85,15,0)),0,VLOOKUP($S$145,'TAR FIN'!$A$1:$O$85,15,0))</f>
        <v>0</v>
      </c>
      <c r="W145" s="6">
        <f>IF(ISERROR(VLOOKUP($T$145,'TAR FIN'!$A$1:$O$85,15,0)),0,VLOOKUP($T$145,'TAR FIN'!$A$1:$O$85,15,0))</f>
        <v>258.58</v>
      </c>
      <c r="X145" s="6">
        <f>IF(ISERROR(VLOOKUP($U$145,'TAR FIN'!$A$1:$O$85,15,0)),0,VLOOKUP($U$145,'TAR FIN'!$A$1:$O$85,15,0))</f>
        <v>241.85</v>
      </c>
      <c r="Y145" s="6"/>
      <c r="Z145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145" s="6">
        <f>('TE BE'!$AB$15+'TE BF'!$AB$15+'TE CVA'!$AB$15)*(1-CUSTOS!$M$37)</f>
        <v>227.55060294064452</v>
      </c>
      <c r="AB145" s="6">
        <f t="shared" si="17"/>
        <v>0</v>
      </c>
      <c r="AC145" s="6">
        <f>(L145-M145)*(W145+X145)+($W$135+$X$135-$W$145-$X$145)*(L145)</f>
        <v>-3.4515323932282627E-13</v>
      </c>
      <c r="AD145" s="6">
        <f t="shared" si="18"/>
        <v>0</v>
      </c>
      <c r="AE145" s="6">
        <f ca="1">(L145-M145)*(Z145+AA145)+($Z$135+$AA$135-$Z$145-$AA$145)*(L145)</f>
        <v>0</v>
      </c>
      <c r="AF145" s="4" t="s">
        <v>601</v>
      </c>
    </row>
    <row r="146" spans="1:32" ht="11.25" customHeight="1" x14ac:dyDescent="0.25">
      <c r="A146" s="4" t="s">
        <v>27</v>
      </c>
      <c r="B146" s="4" t="s">
        <v>22</v>
      </c>
      <c r="C146" s="4" t="s">
        <v>23</v>
      </c>
      <c r="D146" s="4" t="s">
        <v>24</v>
      </c>
      <c r="E146" s="4" t="s">
        <v>31</v>
      </c>
      <c r="F146" s="4" t="s">
        <v>25</v>
      </c>
      <c r="G146" s="4" t="s">
        <v>25</v>
      </c>
      <c r="H146" s="4" t="s">
        <v>25</v>
      </c>
      <c r="I146" s="5">
        <v>44682</v>
      </c>
      <c r="J146" s="6">
        <v>0</v>
      </c>
      <c r="K146" s="6">
        <v>0</v>
      </c>
      <c r="L146" s="6">
        <v>6.0999999999999999E-2</v>
      </c>
      <c r="M146" s="6">
        <v>6.0999999999999999E-2</v>
      </c>
      <c r="N146" s="6">
        <v>6.0999999999999999E-2</v>
      </c>
      <c r="O146" s="6">
        <v>6.0999999999999999E-2</v>
      </c>
      <c r="P146" s="6">
        <v>1</v>
      </c>
      <c r="Q146" s="4" t="s">
        <v>26</v>
      </c>
      <c r="R146" s="4">
        <v>0</v>
      </c>
      <c r="S146" s="4">
        <v>0</v>
      </c>
      <c r="T146" s="4">
        <v>37</v>
      </c>
      <c r="U146" s="4">
        <v>59</v>
      </c>
      <c r="V146" s="6">
        <f>IF(ISERROR(VLOOKUP($S$146,'TAR FIN'!$A$1:$O$85,15,0)),0,VLOOKUP($S$146,'TAR FIN'!$A$1:$O$85,15,0))</f>
        <v>0</v>
      </c>
      <c r="W146" s="6">
        <f>IF(ISERROR(VLOOKUP($T$146,'TAR FIN'!$A$1:$O$85,15,0)),0,VLOOKUP($T$146,'TAR FIN'!$A$1:$O$85,15,0))</f>
        <v>258.58</v>
      </c>
      <c r="X146" s="6">
        <f>IF(ISERROR(VLOOKUP($U$146,'TAR FIN'!$A$1:$O$85,15,0)),0,VLOOKUP($U$146,'TAR FIN'!$A$1:$O$85,15,0))</f>
        <v>241.85</v>
      </c>
      <c r="Y146" s="6"/>
      <c r="Z146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146" s="6">
        <f>('TE BE'!$AB$15+'TE BF'!$AB$15+'TE CVA'!$AB$15)*(1-CUSTOS!$M$37)</f>
        <v>227.55060294064452</v>
      </c>
      <c r="AB146" s="6">
        <f t="shared" si="17"/>
        <v>0</v>
      </c>
      <c r="AC146" s="6">
        <f>(L146-M146)*(W146+X146)+($W$135+$X$135-$W$146-$X$146)*(L146)</f>
        <v>-1.7337242752546444E-15</v>
      </c>
      <c r="AD146" s="6">
        <f t="shared" si="18"/>
        <v>0</v>
      </c>
      <c r="AE146" s="6">
        <f ca="1">(L146-M146)*(Z146+AA146)+($Z$135+$AA$135-$Z$146-$AA$146)*(L146)</f>
        <v>0</v>
      </c>
      <c r="AF146" s="4" t="s">
        <v>601</v>
      </c>
    </row>
    <row r="147" spans="1:32" ht="11.25" customHeight="1" x14ac:dyDescent="0.25">
      <c r="A147" s="4" t="s">
        <v>21</v>
      </c>
      <c r="B147" s="4" t="s">
        <v>22</v>
      </c>
      <c r="C147" s="4" t="s">
        <v>23</v>
      </c>
      <c r="D147" s="4" t="s">
        <v>24</v>
      </c>
      <c r="E147" s="4" t="s">
        <v>31</v>
      </c>
      <c r="F147" s="4" t="s">
        <v>25</v>
      </c>
      <c r="G147" s="4" t="s">
        <v>25</v>
      </c>
      <c r="H147" s="4" t="s">
        <v>25</v>
      </c>
      <c r="I147" s="5">
        <v>44713</v>
      </c>
      <c r="J147" s="6">
        <v>0</v>
      </c>
      <c r="K147" s="6">
        <v>0</v>
      </c>
      <c r="L147" s="6">
        <v>20.437999999999999</v>
      </c>
      <c r="M147" s="6">
        <v>20.437999999999999</v>
      </c>
      <c r="N147" s="6">
        <v>20.437999999999999</v>
      </c>
      <c r="O147" s="6">
        <v>20.437999999999999</v>
      </c>
      <c r="P147" s="6">
        <v>204</v>
      </c>
      <c r="Q147" s="4" t="s">
        <v>26</v>
      </c>
      <c r="R147" s="4">
        <v>0</v>
      </c>
      <c r="S147" s="4">
        <v>0</v>
      </c>
      <c r="T147" s="4">
        <v>37</v>
      </c>
      <c r="U147" s="4">
        <v>59</v>
      </c>
      <c r="V147" s="6">
        <f>IF(ISERROR(VLOOKUP($S$147,'TAR FIN'!$A$1:$O$85,15,0)),0,VLOOKUP($S$147,'TAR FIN'!$A$1:$O$85,15,0))</f>
        <v>0</v>
      </c>
      <c r="W147" s="6">
        <f>IF(ISERROR(VLOOKUP($T$147,'TAR FIN'!$A$1:$O$85,15,0)),0,VLOOKUP($T$147,'TAR FIN'!$A$1:$O$85,15,0))</f>
        <v>258.58</v>
      </c>
      <c r="X147" s="6">
        <f>IF(ISERROR(VLOOKUP($U$147,'TAR FIN'!$A$1:$O$85,15,0)),0,VLOOKUP($U$147,'TAR FIN'!$A$1:$O$85,15,0))</f>
        <v>241.85</v>
      </c>
      <c r="Y147" s="6"/>
      <c r="Z147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147" s="6">
        <f>('TE BE'!$AB$15+'TE BF'!$AB$15+'TE CVA'!$AB$15)*(1-CUSTOS!$M$37)</f>
        <v>227.55060294064452</v>
      </c>
      <c r="AB147" s="6">
        <f t="shared" si="17"/>
        <v>0</v>
      </c>
      <c r="AC147" s="6">
        <f>(L147-M147)*(W147+X147)+($W$135+$X$135-$W$147-$X$147)*(L147)</f>
        <v>-5.8088289733859707E-13</v>
      </c>
      <c r="AD147" s="6">
        <f t="shared" si="18"/>
        <v>0</v>
      </c>
      <c r="AE147" s="6">
        <f ca="1">(L147-M147)*(Z147+AA147)+($Z$135+$AA$135-$Z$147-$AA$147)*(L147)</f>
        <v>0</v>
      </c>
      <c r="AF147" s="4" t="s">
        <v>601</v>
      </c>
    </row>
    <row r="148" spans="1:32" ht="11.25" customHeight="1" x14ac:dyDescent="0.25">
      <c r="A148" s="4" t="s">
        <v>27</v>
      </c>
      <c r="B148" s="4" t="s">
        <v>22</v>
      </c>
      <c r="C148" s="4" t="s">
        <v>23</v>
      </c>
      <c r="D148" s="4" t="s">
        <v>24</v>
      </c>
      <c r="E148" s="4" t="s">
        <v>31</v>
      </c>
      <c r="F148" s="4" t="s">
        <v>25</v>
      </c>
      <c r="G148" s="4" t="s">
        <v>25</v>
      </c>
      <c r="H148" s="4" t="s">
        <v>25</v>
      </c>
      <c r="I148" s="5">
        <v>44713</v>
      </c>
      <c r="J148" s="6">
        <v>0</v>
      </c>
      <c r="K148" s="6">
        <v>0</v>
      </c>
      <c r="L148" s="6">
        <v>6.4000000000000001E-2</v>
      </c>
      <c r="M148" s="6">
        <v>6.4000000000000001E-2</v>
      </c>
      <c r="N148" s="6">
        <v>6.4000000000000001E-2</v>
      </c>
      <c r="O148" s="6">
        <v>6.4000000000000001E-2</v>
      </c>
      <c r="P148" s="6">
        <v>2</v>
      </c>
      <c r="Q148" s="4" t="s">
        <v>26</v>
      </c>
      <c r="R148" s="4">
        <v>0</v>
      </c>
      <c r="S148" s="4">
        <v>0</v>
      </c>
      <c r="T148" s="4">
        <v>37</v>
      </c>
      <c r="U148" s="4">
        <v>59</v>
      </c>
      <c r="V148" s="6">
        <f>IF(ISERROR(VLOOKUP($S$148,'TAR FIN'!$A$1:$O$85,15,0)),0,VLOOKUP($S$148,'TAR FIN'!$A$1:$O$85,15,0))</f>
        <v>0</v>
      </c>
      <c r="W148" s="6">
        <f>IF(ISERROR(VLOOKUP($T$148,'TAR FIN'!$A$1:$O$85,15,0)),0,VLOOKUP($T$148,'TAR FIN'!$A$1:$O$85,15,0))</f>
        <v>258.58</v>
      </c>
      <c r="X148" s="6">
        <f>IF(ISERROR(VLOOKUP($U$148,'TAR FIN'!$A$1:$O$85,15,0)),0,VLOOKUP($U$148,'TAR FIN'!$A$1:$O$85,15,0))</f>
        <v>241.85</v>
      </c>
      <c r="Y148" s="6"/>
      <c r="Z148" s="6">
        <f ca="1">('TUSD BE'!$AM$24+'TUSD BF'!$AM$24+'TUSD CVA'!$AM$24-('TUSD BE'!$P$24+'TUSD BF'!$P$24+'TUSD CVA'!$P$24)-('TUSD BE'!$Q$24+'TUSD BF'!$Q$24+'TUSD CVA'!$Q$24)-('TUSD BE'!$R$24+'TUSD BF'!$R$24+'TUSD CVA'!$R$24))*(1-CUSTOS!$M$37)</f>
        <v>257.16442079434273</v>
      </c>
      <c r="AA148" s="6">
        <f>('TE BE'!$AB$15+'TE BF'!$AB$15+'TE CVA'!$AB$15)*(1-CUSTOS!$M$37)</f>
        <v>227.55060294064452</v>
      </c>
      <c r="AB148" s="6">
        <f t="shared" si="17"/>
        <v>0</v>
      </c>
      <c r="AC148" s="6">
        <f>(L148-M148)*(W148+X148)+($W$135+$X$135-$W$148-$X$148)*(L148)</f>
        <v>-1.8189894035458565E-15</v>
      </c>
      <c r="AD148" s="6">
        <f t="shared" si="18"/>
        <v>0</v>
      </c>
      <c r="AE148" s="6">
        <f ca="1">(L148-M148)*(Z148+AA148)+($Z$135+$AA$135-$Z$148-$AA$148)*(L148)</f>
        <v>0</v>
      </c>
      <c r="AF148" s="4" t="s">
        <v>601</v>
      </c>
    </row>
    <row r="149" spans="1:32" ht="11.25" customHeight="1" x14ac:dyDescent="0.25">
      <c r="A149" s="4" t="s">
        <v>21</v>
      </c>
      <c r="B149" s="4" t="s">
        <v>39</v>
      </c>
      <c r="C149" s="4" t="s">
        <v>23</v>
      </c>
      <c r="D149" s="4" t="s">
        <v>40</v>
      </c>
      <c r="E149" s="4" t="s">
        <v>25</v>
      </c>
      <c r="F149" s="4" t="s">
        <v>25</v>
      </c>
      <c r="G149" s="4" t="s">
        <v>25</v>
      </c>
      <c r="H149" s="4" t="s">
        <v>25</v>
      </c>
      <c r="I149" s="5">
        <v>44378</v>
      </c>
      <c r="J149" s="6">
        <v>0</v>
      </c>
      <c r="K149" s="6">
        <v>0</v>
      </c>
      <c r="L149" s="6">
        <v>3.9630000000000001</v>
      </c>
      <c r="M149" s="6">
        <v>3.9630000000000001</v>
      </c>
      <c r="N149" s="6">
        <v>3.9630000000000001</v>
      </c>
      <c r="O149" s="6">
        <v>3.9630000000000001</v>
      </c>
      <c r="P149" s="6">
        <v>13</v>
      </c>
      <c r="Q149" s="4" t="s">
        <v>26</v>
      </c>
      <c r="R149" s="4">
        <v>0</v>
      </c>
      <c r="S149" s="4">
        <v>0</v>
      </c>
      <c r="T149" s="4">
        <v>22</v>
      </c>
      <c r="U149" s="4">
        <v>57</v>
      </c>
      <c r="V149" s="6">
        <f>IF(ISERROR(VLOOKUP($S$149,'TAR FIN'!$A$1:$O$85,15,0)),0,VLOOKUP($S$149,'TAR FIN'!$A$1:$O$85,15,0))</f>
        <v>0</v>
      </c>
      <c r="W149" s="6">
        <f>IF(ISERROR(VLOOKUP($T$149,'TAR FIN'!$A$1:$O$85,15,0)),0,VLOOKUP($T$149,'TAR FIN'!$A$1:$O$85,15,0))</f>
        <v>293.17</v>
      </c>
      <c r="X149" s="6">
        <f>IF(ISERROR(VLOOKUP($U$149,'TAR FIN'!$A$1:$O$85,15,0)),0,VLOOKUP($U$149,'TAR FIN'!$A$1:$O$85,15,0))</f>
        <v>212.83</v>
      </c>
      <c r="Y149" s="6"/>
      <c r="Z149" s="6">
        <f ca="1">('TUSD BE'!$AM$33+'TUSD BF'!$AM$33+'TUSD CVA'!$AM$33)*(1-CUSTOS!$M$38)</f>
        <v>353.56542979146212</v>
      </c>
      <c r="AA149" s="6">
        <f>('TE BE'!$AB$24+'TE BF'!$AB$24+'TE CVA'!$AB$24)*(1-CUSTOS!$M$38)</f>
        <v>213.89756676420583</v>
      </c>
      <c r="AB149" s="6">
        <f t="shared" si="17"/>
        <v>0</v>
      </c>
      <c r="AC149" s="6">
        <f>(L149-M149)*(W149+X149)+($W$92+$X$92-$W$149-$X$149)*(L149)</f>
        <v>273.44699999999989</v>
      </c>
      <c r="AD149" s="6">
        <f t="shared" si="18"/>
        <v>0</v>
      </c>
      <c r="AE149" s="6">
        <f ca="1">(L149-M149)*(Z149+AA149)+($Z$92+$AA$92-$Z$149-$AA$149)*(L149)</f>
        <v>143.5439907670283</v>
      </c>
      <c r="AF149" s="4" t="s">
        <v>600</v>
      </c>
    </row>
    <row r="150" spans="1:32" ht="11.25" customHeight="1" x14ac:dyDescent="0.25">
      <c r="A150" s="4" t="s">
        <v>21</v>
      </c>
      <c r="B150" s="4" t="s">
        <v>39</v>
      </c>
      <c r="C150" s="4" t="s">
        <v>23</v>
      </c>
      <c r="D150" s="4" t="s">
        <v>40</v>
      </c>
      <c r="E150" s="4" t="s">
        <v>25</v>
      </c>
      <c r="F150" s="4" t="s">
        <v>25</v>
      </c>
      <c r="G150" s="4" t="s">
        <v>25</v>
      </c>
      <c r="H150" s="4" t="s">
        <v>25</v>
      </c>
      <c r="I150" s="5">
        <v>44409</v>
      </c>
      <c r="J150" s="6">
        <v>0</v>
      </c>
      <c r="K150" s="6">
        <v>0</v>
      </c>
      <c r="L150" s="6">
        <v>4.1479999999999997</v>
      </c>
      <c r="M150" s="6">
        <v>4.1479999999999997</v>
      </c>
      <c r="N150" s="6">
        <v>4.1479999999999997</v>
      </c>
      <c r="O150" s="6">
        <v>4.1479999999999997</v>
      </c>
      <c r="P150" s="6">
        <v>13</v>
      </c>
      <c r="Q150" s="4" t="s">
        <v>26</v>
      </c>
      <c r="R150" s="4">
        <v>0</v>
      </c>
      <c r="S150" s="4">
        <v>0</v>
      </c>
      <c r="T150" s="4">
        <v>22</v>
      </c>
      <c r="U150" s="4">
        <v>57</v>
      </c>
      <c r="V150" s="6">
        <f>IF(ISERROR(VLOOKUP($S$150,'TAR FIN'!$A$1:$O$85,15,0)),0,VLOOKUP($S$150,'TAR FIN'!$A$1:$O$85,15,0))</f>
        <v>0</v>
      </c>
      <c r="W150" s="6">
        <f>IF(ISERROR(VLOOKUP($T$150,'TAR FIN'!$A$1:$O$85,15,0)),0,VLOOKUP($T$150,'TAR FIN'!$A$1:$O$85,15,0))</f>
        <v>293.17</v>
      </c>
      <c r="X150" s="6">
        <f>IF(ISERROR(VLOOKUP($U$150,'TAR FIN'!$A$1:$O$85,15,0)),0,VLOOKUP($U$150,'TAR FIN'!$A$1:$O$85,15,0))</f>
        <v>212.83</v>
      </c>
      <c r="Y150" s="6"/>
      <c r="Z150" s="6">
        <f ca="1">('TUSD BE'!$AM$33+'TUSD BF'!$AM$33+'TUSD CVA'!$AM$33)*(1-CUSTOS!$M$38)</f>
        <v>353.56542979146212</v>
      </c>
      <c r="AA150" s="6">
        <f>('TE BE'!$AB$24+'TE BF'!$AB$24+'TE CVA'!$AB$24)*(1-CUSTOS!$M$38)</f>
        <v>213.89756676420583</v>
      </c>
      <c r="AB150" s="6">
        <f t="shared" si="17"/>
        <v>0</v>
      </c>
      <c r="AC150" s="6">
        <f>(L150-M150)*(W150+X150)+($W$92+$X$92-$W$150-$X$150)*(L150)</f>
        <v>286.21199999999988</v>
      </c>
      <c r="AD150" s="6">
        <f t="shared" si="18"/>
        <v>0</v>
      </c>
      <c r="AE150" s="6">
        <f ca="1">(L150-M150)*(Z150+AA150)+($Z$92+$AA$92-$Z$150-$AA$150)*(L150)</f>
        <v>150.24488359869628</v>
      </c>
      <c r="AF150" s="4" t="s">
        <v>600</v>
      </c>
    </row>
    <row r="151" spans="1:32" ht="11.25" customHeight="1" x14ac:dyDescent="0.25">
      <c r="A151" s="4" t="s">
        <v>21</v>
      </c>
      <c r="B151" s="4" t="s">
        <v>39</v>
      </c>
      <c r="C151" s="4" t="s">
        <v>23</v>
      </c>
      <c r="D151" s="4" t="s">
        <v>40</v>
      </c>
      <c r="E151" s="4" t="s">
        <v>25</v>
      </c>
      <c r="F151" s="4" t="s">
        <v>25</v>
      </c>
      <c r="G151" s="4" t="s">
        <v>25</v>
      </c>
      <c r="H151" s="4" t="s">
        <v>25</v>
      </c>
      <c r="I151" s="5">
        <v>44440</v>
      </c>
      <c r="J151" s="6">
        <v>0</v>
      </c>
      <c r="K151" s="6">
        <v>0</v>
      </c>
      <c r="L151" s="6">
        <v>4.1529999999999996</v>
      </c>
      <c r="M151" s="6">
        <v>4.1529999999999996</v>
      </c>
      <c r="N151" s="6">
        <v>4.1529999999999996</v>
      </c>
      <c r="O151" s="6">
        <v>4.1529999999999996</v>
      </c>
      <c r="P151" s="6">
        <v>13</v>
      </c>
      <c r="Q151" s="4" t="s">
        <v>26</v>
      </c>
      <c r="R151" s="4">
        <v>0</v>
      </c>
      <c r="S151" s="4">
        <v>0</v>
      </c>
      <c r="T151" s="4">
        <v>22</v>
      </c>
      <c r="U151" s="4">
        <v>57</v>
      </c>
      <c r="V151" s="6">
        <f>IF(ISERROR(VLOOKUP($S$151,'TAR FIN'!$A$1:$O$85,15,0)),0,VLOOKUP($S$151,'TAR FIN'!$A$1:$O$85,15,0))</f>
        <v>0</v>
      </c>
      <c r="W151" s="6">
        <f>IF(ISERROR(VLOOKUP($T$151,'TAR FIN'!$A$1:$O$85,15,0)),0,VLOOKUP($T$151,'TAR FIN'!$A$1:$O$85,15,0))</f>
        <v>293.17</v>
      </c>
      <c r="X151" s="6">
        <f>IF(ISERROR(VLOOKUP($U$151,'TAR FIN'!$A$1:$O$85,15,0)),0,VLOOKUP($U$151,'TAR FIN'!$A$1:$O$85,15,0))</f>
        <v>212.83</v>
      </c>
      <c r="Y151" s="6"/>
      <c r="Z151" s="6">
        <f ca="1">('TUSD BE'!$AM$33+'TUSD BF'!$AM$33+'TUSD CVA'!$AM$33)*(1-CUSTOS!$M$38)</f>
        <v>353.56542979146212</v>
      </c>
      <c r="AA151" s="6">
        <f>('TE BE'!$AB$24+'TE BF'!$AB$24+'TE CVA'!$AB$24)*(1-CUSTOS!$M$38)</f>
        <v>213.89756676420583</v>
      </c>
      <c r="AB151" s="6">
        <f t="shared" si="17"/>
        <v>0</v>
      </c>
      <c r="AC151" s="6">
        <f>(L151-M151)*(W151+X151)+($W$92+$X$92-$W$151-$X$151)*(L151)</f>
        <v>286.55699999999985</v>
      </c>
      <c r="AD151" s="6">
        <f t="shared" si="18"/>
        <v>0</v>
      </c>
      <c r="AE151" s="6">
        <f ca="1">(L151-M151)*(Z151+AA151)+($Z$92+$AA$92-$Z$151-$AA$151)*(L151)</f>
        <v>150.42598881036298</v>
      </c>
      <c r="AF151" s="4" t="s">
        <v>600</v>
      </c>
    </row>
    <row r="152" spans="1:32" ht="11.25" customHeight="1" x14ac:dyDescent="0.25">
      <c r="A152" s="4" t="s">
        <v>21</v>
      </c>
      <c r="B152" s="4" t="s">
        <v>39</v>
      </c>
      <c r="C152" s="4" t="s">
        <v>23</v>
      </c>
      <c r="D152" s="4" t="s">
        <v>40</v>
      </c>
      <c r="E152" s="4" t="s">
        <v>25</v>
      </c>
      <c r="F152" s="4" t="s">
        <v>25</v>
      </c>
      <c r="G152" s="4" t="s">
        <v>25</v>
      </c>
      <c r="H152" s="4" t="s">
        <v>25</v>
      </c>
      <c r="I152" s="5">
        <v>44470</v>
      </c>
      <c r="J152" s="6">
        <v>0</v>
      </c>
      <c r="K152" s="6">
        <v>0</v>
      </c>
      <c r="L152" s="6">
        <v>4.0789999999999997</v>
      </c>
      <c r="M152" s="6">
        <v>4.0789999999999997</v>
      </c>
      <c r="N152" s="6">
        <v>4.0789999999999997</v>
      </c>
      <c r="O152" s="6">
        <v>4.0789999999999997</v>
      </c>
      <c r="P152" s="6">
        <v>13</v>
      </c>
      <c r="Q152" s="4" t="s">
        <v>26</v>
      </c>
      <c r="R152" s="4">
        <v>0</v>
      </c>
      <c r="S152" s="4">
        <v>0</v>
      </c>
      <c r="T152" s="4">
        <v>22</v>
      </c>
      <c r="U152" s="4">
        <v>57</v>
      </c>
      <c r="V152" s="6">
        <f>IF(ISERROR(VLOOKUP($S$152,'TAR FIN'!$A$1:$O$85,15,0)),0,VLOOKUP($S$152,'TAR FIN'!$A$1:$O$85,15,0))</f>
        <v>0</v>
      </c>
      <c r="W152" s="6">
        <f>IF(ISERROR(VLOOKUP($T$152,'TAR FIN'!$A$1:$O$85,15,0)),0,VLOOKUP($T$152,'TAR FIN'!$A$1:$O$85,15,0))</f>
        <v>293.17</v>
      </c>
      <c r="X152" s="6">
        <f>IF(ISERROR(VLOOKUP($U$152,'TAR FIN'!$A$1:$O$85,15,0)),0,VLOOKUP($U$152,'TAR FIN'!$A$1:$O$85,15,0))</f>
        <v>212.83</v>
      </c>
      <c r="Y152" s="6"/>
      <c r="Z152" s="6">
        <f ca="1">('TUSD BE'!$AM$33+'TUSD BF'!$AM$33+'TUSD CVA'!$AM$33)*(1-CUSTOS!$M$38)</f>
        <v>353.56542979146212</v>
      </c>
      <c r="AA152" s="6">
        <f>('TE BE'!$AB$24+'TE BF'!$AB$24+'TE CVA'!$AB$24)*(1-CUSTOS!$M$38)</f>
        <v>213.89756676420583</v>
      </c>
      <c r="AB152" s="6">
        <f t="shared" si="17"/>
        <v>0</v>
      </c>
      <c r="AC152" s="6">
        <f>(L152-M152)*(W152+X152)+($W$92+$X$92-$W$152-$X$152)*(L152)</f>
        <v>281.45099999999985</v>
      </c>
      <c r="AD152" s="6">
        <f t="shared" si="18"/>
        <v>0</v>
      </c>
      <c r="AE152" s="6">
        <f ca="1">(L152-M152)*(Z152+AA152)+($Z$92+$AA$92-$Z$152-$AA$152)*(L152)</f>
        <v>147.7456316776958</v>
      </c>
      <c r="AF152" s="4" t="s">
        <v>600</v>
      </c>
    </row>
    <row r="153" spans="1:32" ht="11.25" customHeight="1" x14ac:dyDescent="0.25">
      <c r="A153" s="4" t="s">
        <v>21</v>
      </c>
      <c r="B153" s="4" t="s">
        <v>39</v>
      </c>
      <c r="C153" s="4" t="s">
        <v>23</v>
      </c>
      <c r="D153" s="4" t="s">
        <v>40</v>
      </c>
      <c r="E153" s="4" t="s">
        <v>25</v>
      </c>
      <c r="F153" s="4" t="s">
        <v>25</v>
      </c>
      <c r="G153" s="4" t="s">
        <v>25</v>
      </c>
      <c r="H153" s="4" t="s">
        <v>25</v>
      </c>
      <c r="I153" s="5">
        <v>44501</v>
      </c>
      <c r="J153" s="6">
        <v>0</v>
      </c>
      <c r="K153" s="6">
        <v>0</v>
      </c>
      <c r="L153" s="6">
        <v>4.3499999999999996</v>
      </c>
      <c r="M153" s="6">
        <v>4.3499999999999996</v>
      </c>
      <c r="N153" s="6">
        <v>4.3499999999999996</v>
      </c>
      <c r="O153" s="6">
        <v>4.3499999999999996</v>
      </c>
      <c r="P153" s="6">
        <v>13</v>
      </c>
      <c r="Q153" s="4" t="s">
        <v>26</v>
      </c>
      <c r="R153" s="4">
        <v>0</v>
      </c>
      <c r="S153" s="4">
        <v>0</v>
      </c>
      <c r="T153" s="4">
        <v>22</v>
      </c>
      <c r="U153" s="4">
        <v>57</v>
      </c>
      <c r="V153" s="6">
        <f>IF(ISERROR(VLOOKUP($S$153,'TAR FIN'!$A$1:$O$85,15,0)),0,VLOOKUP($S$153,'TAR FIN'!$A$1:$O$85,15,0))</f>
        <v>0</v>
      </c>
      <c r="W153" s="6">
        <f>IF(ISERROR(VLOOKUP($T$153,'TAR FIN'!$A$1:$O$85,15,0)),0,VLOOKUP($T$153,'TAR FIN'!$A$1:$O$85,15,0))</f>
        <v>293.17</v>
      </c>
      <c r="X153" s="6">
        <f>IF(ISERROR(VLOOKUP($U$153,'TAR FIN'!$A$1:$O$85,15,0)),0,VLOOKUP($U$153,'TAR FIN'!$A$1:$O$85,15,0))</f>
        <v>212.83</v>
      </c>
      <c r="Y153" s="6"/>
      <c r="Z153" s="6">
        <f ca="1">('TUSD BE'!$AM$33+'TUSD BF'!$AM$33+'TUSD CVA'!$AM$33)*(1-CUSTOS!$M$38)</f>
        <v>353.56542979146212</v>
      </c>
      <c r="AA153" s="6">
        <f>('TE BE'!$AB$24+'TE BF'!$AB$24+'TE CVA'!$AB$24)*(1-CUSTOS!$M$38)</f>
        <v>213.89756676420583</v>
      </c>
      <c r="AB153" s="6">
        <f t="shared" si="17"/>
        <v>0</v>
      </c>
      <c r="AC153" s="6">
        <f>(L153-M153)*(W153+X153)+($W$92+$X$92-$W$153-$X$153)*(L153)</f>
        <v>300.14999999999986</v>
      </c>
      <c r="AD153" s="6">
        <f t="shared" si="18"/>
        <v>0</v>
      </c>
      <c r="AE153" s="6">
        <f ca="1">(L153-M153)*(Z153+AA153)+($Z$92+$AA$92-$Z$153-$AA$153)*(L153)</f>
        <v>157.56153415003106</v>
      </c>
      <c r="AF153" s="4" t="s">
        <v>600</v>
      </c>
    </row>
    <row r="154" spans="1:32" ht="11.25" customHeight="1" x14ac:dyDescent="0.25">
      <c r="A154" s="4" t="s">
        <v>21</v>
      </c>
      <c r="B154" s="4" t="s">
        <v>39</v>
      </c>
      <c r="C154" s="4" t="s">
        <v>23</v>
      </c>
      <c r="D154" s="4" t="s">
        <v>40</v>
      </c>
      <c r="E154" s="4" t="s">
        <v>25</v>
      </c>
      <c r="F154" s="4" t="s">
        <v>25</v>
      </c>
      <c r="G154" s="4" t="s">
        <v>25</v>
      </c>
      <c r="H154" s="4" t="s">
        <v>25</v>
      </c>
      <c r="I154" s="5">
        <v>44531</v>
      </c>
      <c r="J154" s="6">
        <v>0</v>
      </c>
      <c r="K154" s="6">
        <v>0</v>
      </c>
      <c r="L154" s="6">
        <v>4.3620000000000001</v>
      </c>
      <c r="M154" s="6">
        <v>4.3620000000000001</v>
      </c>
      <c r="N154" s="6">
        <v>4.3620000000000001</v>
      </c>
      <c r="O154" s="6">
        <v>4.3620000000000001</v>
      </c>
      <c r="P154" s="6">
        <v>13</v>
      </c>
      <c r="Q154" s="4" t="s">
        <v>26</v>
      </c>
      <c r="R154" s="4">
        <v>0</v>
      </c>
      <c r="S154" s="4">
        <v>0</v>
      </c>
      <c r="T154" s="4">
        <v>22</v>
      </c>
      <c r="U154" s="4">
        <v>57</v>
      </c>
      <c r="V154" s="6">
        <f>IF(ISERROR(VLOOKUP($S$154,'TAR FIN'!$A$1:$O$85,15,0)),0,VLOOKUP($S$154,'TAR FIN'!$A$1:$O$85,15,0))</f>
        <v>0</v>
      </c>
      <c r="W154" s="6">
        <f>IF(ISERROR(VLOOKUP($T$154,'TAR FIN'!$A$1:$O$85,15,0)),0,VLOOKUP($T$154,'TAR FIN'!$A$1:$O$85,15,0))</f>
        <v>293.17</v>
      </c>
      <c r="X154" s="6">
        <f>IF(ISERROR(VLOOKUP($U$154,'TAR FIN'!$A$1:$O$85,15,0)),0,VLOOKUP($U$154,'TAR FIN'!$A$1:$O$85,15,0))</f>
        <v>212.83</v>
      </c>
      <c r="Y154" s="6"/>
      <c r="Z154" s="6">
        <f ca="1">('TUSD BE'!$AM$33+'TUSD BF'!$AM$33+'TUSD CVA'!$AM$33)*(1-CUSTOS!$M$38)</f>
        <v>353.56542979146212</v>
      </c>
      <c r="AA154" s="6">
        <f>('TE BE'!$AB$24+'TE BF'!$AB$24+'TE CVA'!$AB$24)*(1-CUSTOS!$M$38)</f>
        <v>213.89756676420583</v>
      </c>
      <c r="AB154" s="6">
        <f t="shared" si="17"/>
        <v>0</v>
      </c>
      <c r="AC154" s="6">
        <f>(L154-M154)*(W154+X154)+($W$92+$X$92-$W$154-$X$154)*(L154)</f>
        <v>300.97799999999989</v>
      </c>
      <c r="AD154" s="6">
        <f t="shared" si="18"/>
        <v>0</v>
      </c>
      <c r="AE154" s="6">
        <f ca="1">(L154-M154)*(Z154+AA154)+($Z$92+$AA$92-$Z$154-$AA$154)*(L154)</f>
        <v>157.99618665803118</v>
      </c>
      <c r="AF154" s="4" t="s">
        <v>600</v>
      </c>
    </row>
    <row r="155" spans="1:32" ht="11.25" customHeight="1" x14ac:dyDescent="0.25">
      <c r="A155" s="4" t="s">
        <v>21</v>
      </c>
      <c r="B155" s="4" t="s">
        <v>39</v>
      </c>
      <c r="C155" s="4" t="s">
        <v>23</v>
      </c>
      <c r="D155" s="4" t="s">
        <v>40</v>
      </c>
      <c r="E155" s="4" t="s">
        <v>25</v>
      </c>
      <c r="F155" s="4" t="s">
        <v>25</v>
      </c>
      <c r="G155" s="4" t="s">
        <v>25</v>
      </c>
      <c r="H155" s="4" t="s">
        <v>25</v>
      </c>
      <c r="I155" s="5">
        <v>44562</v>
      </c>
      <c r="J155" s="6">
        <v>0</v>
      </c>
      <c r="K155" s="6">
        <v>0</v>
      </c>
      <c r="L155" s="6">
        <v>2.8919999999999999</v>
      </c>
      <c r="M155" s="6">
        <v>2.8919999999999999</v>
      </c>
      <c r="N155" s="6">
        <v>2.8919999999999999</v>
      </c>
      <c r="O155" s="6">
        <v>2.8919999999999999</v>
      </c>
      <c r="P155" s="6">
        <v>11</v>
      </c>
      <c r="Q155" s="4" t="s">
        <v>26</v>
      </c>
      <c r="R155" s="4">
        <v>0</v>
      </c>
      <c r="S155" s="4">
        <v>0</v>
      </c>
      <c r="T155" s="4">
        <v>22</v>
      </c>
      <c r="U155" s="4">
        <v>57</v>
      </c>
      <c r="V155" s="6">
        <f>IF(ISERROR(VLOOKUP($S$155,'TAR FIN'!$A$1:$O$85,15,0)),0,VLOOKUP($S$155,'TAR FIN'!$A$1:$O$85,15,0))</f>
        <v>0</v>
      </c>
      <c r="W155" s="6">
        <f>IF(ISERROR(VLOOKUP($T$155,'TAR FIN'!$A$1:$O$85,15,0)),0,VLOOKUP($T$155,'TAR FIN'!$A$1:$O$85,15,0))</f>
        <v>293.17</v>
      </c>
      <c r="X155" s="6">
        <f>IF(ISERROR(VLOOKUP($U$155,'TAR FIN'!$A$1:$O$85,15,0)),0,VLOOKUP($U$155,'TAR FIN'!$A$1:$O$85,15,0))</f>
        <v>212.83</v>
      </c>
      <c r="Y155" s="6"/>
      <c r="Z155" s="6">
        <f ca="1">('TUSD BE'!$AM$33+'TUSD BF'!$AM$33+'TUSD CVA'!$AM$33)*(1-CUSTOS!$M$38)</f>
        <v>353.56542979146212</v>
      </c>
      <c r="AA155" s="6">
        <f>('TE BE'!$AB$24+'TE BF'!$AB$24+'TE CVA'!$AB$24)*(1-CUSTOS!$M$38)</f>
        <v>213.89756676420583</v>
      </c>
      <c r="AB155" s="6">
        <f t="shared" si="17"/>
        <v>0</v>
      </c>
      <c r="AC155" s="6">
        <f>(L155-M155)*(W155+X155)+($W$92+$X$92-$W$155-$X$155)*(L155)</f>
        <v>199.54799999999992</v>
      </c>
      <c r="AD155" s="6">
        <f t="shared" si="18"/>
        <v>0</v>
      </c>
      <c r="AE155" s="6">
        <f ca="1">(L155-M155)*(Z155+AA155)+($Z$92+$AA$92-$Z$155-$AA$155)*(L155)</f>
        <v>104.75125442802066</v>
      </c>
      <c r="AF155" s="4" t="s">
        <v>600</v>
      </c>
    </row>
    <row r="156" spans="1:32" ht="11.25" customHeight="1" x14ac:dyDescent="0.25">
      <c r="A156" s="4" t="s">
        <v>27</v>
      </c>
      <c r="B156" s="4" t="s">
        <v>39</v>
      </c>
      <c r="C156" s="4" t="s">
        <v>23</v>
      </c>
      <c r="D156" s="4" t="s">
        <v>40</v>
      </c>
      <c r="E156" s="4" t="s">
        <v>25</v>
      </c>
      <c r="F156" s="4" t="s">
        <v>25</v>
      </c>
      <c r="G156" s="4" t="s">
        <v>25</v>
      </c>
      <c r="H156" s="4" t="s">
        <v>25</v>
      </c>
      <c r="I156" s="5">
        <v>44562</v>
      </c>
      <c r="J156" s="6">
        <v>0</v>
      </c>
      <c r="K156" s="6">
        <v>0</v>
      </c>
      <c r="L156" s="6">
        <v>0.36299999999999999</v>
      </c>
      <c r="M156" s="6">
        <v>0.36299999999999999</v>
      </c>
      <c r="N156" s="6">
        <v>0.36299999999999999</v>
      </c>
      <c r="O156" s="6">
        <v>0.36299999999999999</v>
      </c>
      <c r="P156" s="6">
        <v>1</v>
      </c>
      <c r="Q156" s="4" t="s">
        <v>26</v>
      </c>
      <c r="R156" s="4">
        <v>0</v>
      </c>
      <c r="S156" s="4">
        <v>0</v>
      </c>
      <c r="T156" s="4">
        <v>22</v>
      </c>
      <c r="U156" s="4">
        <v>57</v>
      </c>
      <c r="V156" s="6">
        <f>IF(ISERROR(VLOOKUP($S$156,'TAR FIN'!$A$1:$O$85,15,0)),0,VLOOKUP($S$156,'TAR FIN'!$A$1:$O$85,15,0))</f>
        <v>0</v>
      </c>
      <c r="W156" s="6">
        <f>IF(ISERROR(VLOOKUP($T$156,'TAR FIN'!$A$1:$O$85,15,0)),0,VLOOKUP($T$156,'TAR FIN'!$A$1:$O$85,15,0))</f>
        <v>293.17</v>
      </c>
      <c r="X156" s="6">
        <f>IF(ISERROR(VLOOKUP($U$156,'TAR FIN'!$A$1:$O$85,15,0)),0,VLOOKUP($U$156,'TAR FIN'!$A$1:$O$85,15,0))</f>
        <v>212.83</v>
      </c>
      <c r="Y156" s="6"/>
      <c r="Z156" s="6">
        <f ca="1">('TUSD BE'!$AM$33+'TUSD BF'!$AM$33+'TUSD CVA'!$AM$33)*(1-CUSTOS!$M$38)</f>
        <v>353.56542979146212</v>
      </c>
      <c r="AA156" s="6">
        <f>('TE BE'!$AB$24+'TE BF'!$AB$24+'TE CVA'!$AB$24)*(1-CUSTOS!$M$38)</f>
        <v>213.89756676420583</v>
      </c>
      <c r="AB156" s="6">
        <f t="shared" si="17"/>
        <v>0</v>
      </c>
      <c r="AC156" s="6">
        <f>(L156-M156)*(W156+X156)+($W$92+$X$92-$W$156-$X$156)*(L156)</f>
        <v>25.04699999999999</v>
      </c>
      <c r="AD156" s="6">
        <f t="shared" si="18"/>
        <v>0</v>
      </c>
      <c r="AE156" s="6">
        <f ca="1">(L156-M156)*(Z156+AA156)+($Z$92+$AA$92-$Z$156-$AA$156)*(L156)</f>
        <v>13.148238367002593</v>
      </c>
      <c r="AF156" s="4" t="s">
        <v>600</v>
      </c>
    </row>
    <row r="157" spans="1:32" ht="11.25" customHeight="1" x14ac:dyDescent="0.25">
      <c r="A157" s="4" t="s">
        <v>21</v>
      </c>
      <c r="B157" s="4" t="s">
        <v>39</v>
      </c>
      <c r="C157" s="4" t="s">
        <v>23</v>
      </c>
      <c r="D157" s="4" t="s">
        <v>40</v>
      </c>
      <c r="E157" s="4" t="s">
        <v>25</v>
      </c>
      <c r="F157" s="4" t="s">
        <v>25</v>
      </c>
      <c r="G157" s="4" t="s">
        <v>25</v>
      </c>
      <c r="H157" s="4" t="s">
        <v>25</v>
      </c>
      <c r="I157" s="5">
        <v>44593</v>
      </c>
      <c r="J157" s="6">
        <v>0</v>
      </c>
      <c r="K157" s="6">
        <v>0</v>
      </c>
      <c r="L157" s="6">
        <v>3.7050000000000001</v>
      </c>
      <c r="M157" s="6">
        <v>3.7050000000000001</v>
      </c>
      <c r="N157" s="6">
        <v>3.7050000000000001</v>
      </c>
      <c r="O157" s="6">
        <v>3.7050000000000001</v>
      </c>
      <c r="P157" s="6">
        <v>12</v>
      </c>
      <c r="Q157" s="4" t="s">
        <v>26</v>
      </c>
      <c r="R157" s="4">
        <v>0</v>
      </c>
      <c r="S157" s="4">
        <v>0</v>
      </c>
      <c r="T157" s="4">
        <v>22</v>
      </c>
      <c r="U157" s="4">
        <v>57</v>
      </c>
      <c r="V157" s="6">
        <f>IF(ISERROR(VLOOKUP($S$157,'TAR FIN'!$A$1:$O$85,15,0)),0,VLOOKUP($S$157,'TAR FIN'!$A$1:$O$85,15,0))</f>
        <v>0</v>
      </c>
      <c r="W157" s="6">
        <f>IF(ISERROR(VLOOKUP($T$157,'TAR FIN'!$A$1:$O$85,15,0)),0,VLOOKUP($T$157,'TAR FIN'!$A$1:$O$85,15,0))</f>
        <v>293.17</v>
      </c>
      <c r="X157" s="6">
        <f>IF(ISERROR(VLOOKUP($U$157,'TAR FIN'!$A$1:$O$85,15,0)),0,VLOOKUP($U$157,'TAR FIN'!$A$1:$O$85,15,0))</f>
        <v>212.83</v>
      </c>
      <c r="Y157" s="6"/>
      <c r="Z157" s="6">
        <f ca="1">('TUSD BE'!$AM$33+'TUSD BF'!$AM$33+'TUSD CVA'!$AM$33)*(1-CUSTOS!$M$38)</f>
        <v>353.56542979146212</v>
      </c>
      <c r="AA157" s="6">
        <f>('TE BE'!$AB$24+'TE BF'!$AB$24+'TE CVA'!$AB$24)*(1-CUSTOS!$M$38)</f>
        <v>213.89756676420583</v>
      </c>
      <c r="AB157" s="6">
        <f t="shared" si="17"/>
        <v>0</v>
      </c>
      <c r="AC157" s="6">
        <f>(L157-M157)*(W157+X157)+($W$92+$X$92-$W$157-$X$157)*(L157)</f>
        <v>255.6449999999999</v>
      </c>
      <c r="AD157" s="6">
        <f t="shared" si="18"/>
        <v>0</v>
      </c>
      <c r="AE157" s="6">
        <f ca="1">(L157-M157)*(Z157+AA157)+($Z$92+$AA$92-$Z$157-$AA$157)*(L157)</f>
        <v>134.19896184502647</v>
      </c>
      <c r="AF157" s="4" t="s">
        <v>600</v>
      </c>
    </row>
    <row r="158" spans="1:32" ht="11.25" customHeight="1" x14ac:dyDescent="0.25">
      <c r="A158" s="4" t="s">
        <v>27</v>
      </c>
      <c r="B158" s="4" t="s">
        <v>39</v>
      </c>
      <c r="C158" s="4" t="s">
        <v>23</v>
      </c>
      <c r="D158" s="4" t="s">
        <v>40</v>
      </c>
      <c r="E158" s="4" t="s">
        <v>25</v>
      </c>
      <c r="F158" s="4" t="s">
        <v>25</v>
      </c>
      <c r="G158" s="4" t="s">
        <v>25</v>
      </c>
      <c r="H158" s="4" t="s">
        <v>25</v>
      </c>
      <c r="I158" s="5">
        <v>44593</v>
      </c>
      <c r="J158" s="6">
        <v>0</v>
      </c>
      <c r="K158" s="6">
        <v>0</v>
      </c>
      <c r="L158" s="6">
        <v>0.1</v>
      </c>
      <c r="M158" s="6">
        <v>0.1</v>
      </c>
      <c r="N158" s="6">
        <v>0.1</v>
      </c>
      <c r="O158" s="6">
        <v>0.1</v>
      </c>
      <c r="P158" s="6">
        <v>1</v>
      </c>
      <c r="Q158" s="4" t="s">
        <v>26</v>
      </c>
      <c r="R158" s="4">
        <v>0</v>
      </c>
      <c r="S158" s="4">
        <v>0</v>
      </c>
      <c r="T158" s="4">
        <v>22</v>
      </c>
      <c r="U158" s="4">
        <v>57</v>
      </c>
      <c r="V158" s="6">
        <f>IF(ISERROR(VLOOKUP($S$158,'TAR FIN'!$A$1:$O$85,15,0)),0,VLOOKUP($S$158,'TAR FIN'!$A$1:$O$85,15,0))</f>
        <v>0</v>
      </c>
      <c r="W158" s="6">
        <f>IF(ISERROR(VLOOKUP($T$158,'TAR FIN'!$A$1:$O$85,15,0)),0,VLOOKUP($T$158,'TAR FIN'!$A$1:$O$85,15,0))</f>
        <v>293.17</v>
      </c>
      <c r="X158" s="6">
        <f>IF(ISERROR(VLOOKUP($U$158,'TAR FIN'!$A$1:$O$85,15,0)),0,VLOOKUP($U$158,'TAR FIN'!$A$1:$O$85,15,0))</f>
        <v>212.83</v>
      </c>
      <c r="Y158" s="6"/>
      <c r="Z158" s="6">
        <f ca="1">('TUSD BE'!$AM$33+'TUSD BF'!$AM$33+'TUSD CVA'!$AM$33)*(1-CUSTOS!$M$38)</f>
        <v>353.56542979146212</v>
      </c>
      <c r="AA158" s="6">
        <f>('TE BE'!$AB$24+'TE BF'!$AB$24+'TE CVA'!$AB$24)*(1-CUSTOS!$M$38)</f>
        <v>213.89756676420583</v>
      </c>
      <c r="AB158" s="6">
        <f t="shared" si="17"/>
        <v>0</v>
      </c>
      <c r="AC158" s="6">
        <f>(L158-M158)*(W158+X158)+($W$92+$X$92-$W$158-$X$158)*(L158)</f>
        <v>6.8999999999999977</v>
      </c>
      <c r="AD158" s="6">
        <f t="shared" si="18"/>
        <v>0</v>
      </c>
      <c r="AE158" s="6">
        <f ca="1">(L158-M158)*(Z158+AA158)+($Z$92+$AA$92-$Z$158-$AA$158)*(L158)</f>
        <v>3.6221042333340479</v>
      </c>
      <c r="AF158" s="4" t="s">
        <v>600</v>
      </c>
    </row>
    <row r="159" spans="1:32" ht="11.25" customHeight="1" x14ac:dyDescent="0.25">
      <c r="A159" s="4" t="s">
        <v>21</v>
      </c>
      <c r="B159" s="4" t="s">
        <v>39</v>
      </c>
      <c r="C159" s="4" t="s">
        <v>23</v>
      </c>
      <c r="D159" s="4" t="s">
        <v>40</v>
      </c>
      <c r="E159" s="4" t="s">
        <v>25</v>
      </c>
      <c r="F159" s="4" t="s">
        <v>25</v>
      </c>
      <c r="G159" s="4" t="s">
        <v>25</v>
      </c>
      <c r="H159" s="4" t="s">
        <v>25</v>
      </c>
      <c r="I159" s="5">
        <v>44621</v>
      </c>
      <c r="J159" s="6">
        <v>0</v>
      </c>
      <c r="K159" s="6">
        <v>0</v>
      </c>
      <c r="L159" s="6">
        <v>3.218</v>
      </c>
      <c r="M159" s="6">
        <v>3.218</v>
      </c>
      <c r="N159" s="6">
        <v>3.218</v>
      </c>
      <c r="O159" s="6">
        <v>3.218</v>
      </c>
      <c r="P159" s="6">
        <v>12</v>
      </c>
      <c r="Q159" s="4" t="s">
        <v>26</v>
      </c>
      <c r="R159" s="4">
        <v>0</v>
      </c>
      <c r="S159" s="4">
        <v>0</v>
      </c>
      <c r="T159" s="4">
        <v>22</v>
      </c>
      <c r="U159" s="4">
        <v>57</v>
      </c>
      <c r="V159" s="6">
        <f>IF(ISERROR(VLOOKUP($S$159,'TAR FIN'!$A$1:$O$85,15,0)),0,VLOOKUP($S$159,'TAR FIN'!$A$1:$O$85,15,0))</f>
        <v>0</v>
      </c>
      <c r="W159" s="6">
        <f>IF(ISERROR(VLOOKUP($T$159,'TAR FIN'!$A$1:$O$85,15,0)),0,VLOOKUP($T$159,'TAR FIN'!$A$1:$O$85,15,0))</f>
        <v>293.17</v>
      </c>
      <c r="X159" s="6">
        <f>IF(ISERROR(VLOOKUP($U$159,'TAR FIN'!$A$1:$O$85,15,0)),0,VLOOKUP($U$159,'TAR FIN'!$A$1:$O$85,15,0))</f>
        <v>212.83</v>
      </c>
      <c r="Y159" s="6"/>
      <c r="Z159" s="6">
        <f ca="1">('TUSD BE'!$AM$33+'TUSD BF'!$AM$33+'TUSD CVA'!$AM$33)*(1-CUSTOS!$M$38)</f>
        <v>353.56542979146212</v>
      </c>
      <c r="AA159" s="6">
        <f>('TE BE'!$AB$24+'TE BF'!$AB$24+'TE CVA'!$AB$24)*(1-CUSTOS!$M$38)</f>
        <v>213.89756676420583</v>
      </c>
      <c r="AB159" s="6">
        <f t="shared" si="17"/>
        <v>0</v>
      </c>
      <c r="AC159" s="6">
        <f>(L159-M159)*(W159+X159)+($W$92+$X$92-$W$159-$X$159)*(L159)</f>
        <v>222.04199999999992</v>
      </c>
      <c r="AD159" s="6">
        <f t="shared" si="18"/>
        <v>0</v>
      </c>
      <c r="AE159" s="6">
        <f ca="1">(L159-M159)*(Z159+AA159)+($Z$92+$AA$92-$Z$159-$AA$159)*(L159)</f>
        <v>116.55931422868966</v>
      </c>
      <c r="AF159" s="4" t="s">
        <v>600</v>
      </c>
    </row>
    <row r="160" spans="1:32" ht="11.25" customHeight="1" x14ac:dyDescent="0.25">
      <c r="A160" s="4" t="s">
        <v>27</v>
      </c>
      <c r="B160" s="4" t="s">
        <v>39</v>
      </c>
      <c r="C160" s="4" t="s">
        <v>23</v>
      </c>
      <c r="D160" s="4" t="s">
        <v>40</v>
      </c>
      <c r="E160" s="4" t="s">
        <v>25</v>
      </c>
      <c r="F160" s="4" t="s">
        <v>25</v>
      </c>
      <c r="G160" s="4" t="s">
        <v>25</v>
      </c>
      <c r="H160" s="4" t="s">
        <v>25</v>
      </c>
      <c r="I160" s="5">
        <v>44621</v>
      </c>
      <c r="J160" s="6">
        <v>0</v>
      </c>
      <c r="K160" s="6">
        <v>0</v>
      </c>
      <c r="L160" s="6">
        <v>0.1</v>
      </c>
      <c r="M160" s="6">
        <v>0.1</v>
      </c>
      <c r="N160" s="6">
        <v>0.1</v>
      </c>
      <c r="O160" s="6">
        <v>0.1</v>
      </c>
      <c r="P160" s="6">
        <v>1</v>
      </c>
      <c r="Q160" s="4" t="s">
        <v>26</v>
      </c>
      <c r="R160" s="4">
        <v>0</v>
      </c>
      <c r="S160" s="4">
        <v>0</v>
      </c>
      <c r="T160" s="4">
        <v>22</v>
      </c>
      <c r="U160" s="4">
        <v>57</v>
      </c>
      <c r="V160" s="6">
        <f>IF(ISERROR(VLOOKUP($S$160,'TAR FIN'!$A$1:$O$85,15,0)),0,VLOOKUP($S$160,'TAR FIN'!$A$1:$O$85,15,0))</f>
        <v>0</v>
      </c>
      <c r="W160" s="6">
        <f>IF(ISERROR(VLOOKUP($T$160,'TAR FIN'!$A$1:$O$85,15,0)),0,VLOOKUP($T$160,'TAR FIN'!$A$1:$O$85,15,0))</f>
        <v>293.17</v>
      </c>
      <c r="X160" s="6">
        <f>IF(ISERROR(VLOOKUP($U$160,'TAR FIN'!$A$1:$O$85,15,0)),0,VLOOKUP($U$160,'TAR FIN'!$A$1:$O$85,15,0))</f>
        <v>212.83</v>
      </c>
      <c r="Y160" s="6"/>
      <c r="Z160" s="6">
        <f ca="1">('TUSD BE'!$AM$33+'TUSD BF'!$AM$33+'TUSD CVA'!$AM$33)*(1-CUSTOS!$M$38)</f>
        <v>353.56542979146212</v>
      </c>
      <c r="AA160" s="6">
        <f>('TE BE'!$AB$24+'TE BF'!$AB$24+'TE CVA'!$AB$24)*(1-CUSTOS!$M$38)</f>
        <v>213.89756676420583</v>
      </c>
      <c r="AB160" s="6">
        <f t="shared" si="17"/>
        <v>0</v>
      </c>
      <c r="AC160" s="6">
        <f>(L160-M160)*(W160+X160)+($W$92+$X$92-$W$160-$X$160)*(L160)</f>
        <v>6.8999999999999977</v>
      </c>
      <c r="AD160" s="6">
        <f t="shared" si="18"/>
        <v>0</v>
      </c>
      <c r="AE160" s="6">
        <f ca="1">(L160-M160)*(Z160+AA160)+($Z$92+$AA$92-$Z$160-$AA$160)*(L160)</f>
        <v>3.6221042333340479</v>
      </c>
      <c r="AF160" s="4" t="s">
        <v>600</v>
      </c>
    </row>
    <row r="161" spans="1:32" ht="11.25" customHeight="1" x14ac:dyDescent="0.25">
      <c r="A161" s="4" t="s">
        <v>21</v>
      </c>
      <c r="B161" s="4" t="s">
        <v>39</v>
      </c>
      <c r="C161" s="4" t="s">
        <v>23</v>
      </c>
      <c r="D161" s="4" t="s">
        <v>40</v>
      </c>
      <c r="E161" s="4" t="s">
        <v>25</v>
      </c>
      <c r="F161" s="4" t="s">
        <v>25</v>
      </c>
      <c r="G161" s="4" t="s">
        <v>25</v>
      </c>
      <c r="H161" s="4" t="s">
        <v>25</v>
      </c>
      <c r="I161" s="5">
        <v>44652</v>
      </c>
      <c r="J161" s="6">
        <v>0</v>
      </c>
      <c r="K161" s="6">
        <v>0</v>
      </c>
      <c r="L161" s="6">
        <v>3.097</v>
      </c>
      <c r="M161" s="6">
        <v>3.097</v>
      </c>
      <c r="N161" s="6">
        <v>3.097</v>
      </c>
      <c r="O161" s="6">
        <v>3.097</v>
      </c>
      <c r="P161" s="6">
        <v>12</v>
      </c>
      <c r="Q161" s="4" t="s">
        <v>26</v>
      </c>
      <c r="R161" s="4">
        <v>0</v>
      </c>
      <c r="S161" s="4">
        <v>0</v>
      </c>
      <c r="T161" s="4">
        <v>22</v>
      </c>
      <c r="U161" s="4">
        <v>57</v>
      </c>
      <c r="V161" s="6">
        <f>IF(ISERROR(VLOOKUP($S$161,'TAR FIN'!$A$1:$O$85,15,0)),0,VLOOKUP($S$161,'TAR FIN'!$A$1:$O$85,15,0))</f>
        <v>0</v>
      </c>
      <c r="W161" s="6">
        <f>IF(ISERROR(VLOOKUP($T$161,'TAR FIN'!$A$1:$O$85,15,0)),0,VLOOKUP($T$161,'TAR FIN'!$A$1:$O$85,15,0))</f>
        <v>293.17</v>
      </c>
      <c r="X161" s="6">
        <f>IF(ISERROR(VLOOKUP($U$161,'TAR FIN'!$A$1:$O$85,15,0)),0,VLOOKUP($U$161,'TAR FIN'!$A$1:$O$85,15,0))</f>
        <v>212.83</v>
      </c>
      <c r="Y161" s="6"/>
      <c r="Z161" s="6">
        <f ca="1">('TUSD BE'!$AM$33+'TUSD BF'!$AM$33+'TUSD CVA'!$AM$33)*(1-CUSTOS!$M$38)</f>
        <v>353.56542979146212</v>
      </c>
      <c r="AA161" s="6">
        <f>('TE BE'!$AB$24+'TE BF'!$AB$24+'TE CVA'!$AB$24)*(1-CUSTOS!$M$38)</f>
        <v>213.89756676420583</v>
      </c>
      <c r="AB161" s="6">
        <f t="shared" si="17"/>
        <v>0</v>
      </c>
      <c r="AC161" s="6">
        <f>(L161-M161)*(W161+X161)+($W$92+$X$92-$W$161-$X$161)*(L161)</f>
        <v>213.6929999999999</v>
      </c>
      <c r="AD161" s="6">
        <f t="shared" si="18"/>
        <v>0</v>
      </c>
      <c r="AE161" s="6">
        <f ca="1">(L161-M161)*(Z161+AA161)+($Z$92+$AA$92-$Z$161-$AA$161)*(L161)</f>
        <v>112.17656810635546</v>
      </c>
      <c r="AF161" s="4" t="s">
        <v>600</v>
      </c>
    </row>
    <row r="162" spans="1:32" ht="11.25" customHeight="1" x14ac:dyDescent="0.25">
      <c r="A162" s="4" t="s">
        <v>27</v>
      </c>
      <c r="B162" s="4" t="s">
        <v>39</v>
      </c>
      <c r="C162" s="4" t="s">
        <v>23</v>
      </c>
      <c r="D162" s="4" t="s">
        <v>40</v>
      </c>
      <c r="E162" s="4" t="s">
        <v>25</v>
      </c>
      <c r="F162" s="4" t="s">
        <v>25</v>
      </c>
      <c r="G162" s="4" t="s">
        <v>25</v>
      </c>
      <c r="H162" s="4" t="s">
        <v>25</v>
      </c>
      <c r="I162" s="5">
        <v>44652</v>
      </c>
      <c r="J162" s="6">
        <v>0</v>
      </c>
      <c r="K162" s="6">
        <v>0</v>
      </c>
      <c r="L162" s="6">
        <v>0.1</v>
      </c>
      <c r="M162" s="6">
        <v>0.1</v>
      </c>
      <c r="N162" s="6">
        <v>0.1</v>
      </c>
      <c r="O162" s="6">
        <v>0.1</v>
      </c>
      <c r="P162" s="6">
        <v>1</v>
      </c>
      <c r="Q162" s="4" t="s">
        <v>26</v>
      </c>
      <c r="R162" s="4">
        <v>0</v>
      </c>
      <c r="S162" s="4">
        <v>0</v>
      </c>
      <c r="T162" s="4">
        <v>22</v>
      </c>
      <c r="U162" s="4">
        <v>57</v>
      </c>
      <c r="V162" s="6">
        <f>IF(ISERROR(VLOOKUP($S$162,'TAR FIN'!$A$1:$O$85,15,0)),0,VLOOKUP($S$162,'TAR FIN'!$A$1:$O$85,15,0))</f>
        <v>0</v>
      </c>
      <c r="W162" s="6">
        <f>IF(ISERROR(VLOOKUP($T$162,'TAR FIN'!$A$1:$O$85,15,0)),0,VLOOKUP($T$162,'TAR FIN'!$A$1:$O$85,15,0))</f>
        <v>293.17</v>
      </c>
      <c r="X162" s="6">
        <f>IF(ISERROR(VLOOKUP($U$162,'TAR FIN'!$A$1:$O$85,15,0)),0,VLOOKUP($U$162,'TAR FIN'!$A$1:$O$85,15,0))</f>
        <v>212.83</v>
      </c>
      <c r="Y162" s="6"/>
      <c r="Z162" s="6">
        <f ca="1">('TUSD BE'!$AM$33+'TUSD BF'!$AM$33+'TUSD CVA'!$AM$33)*(1-CUSTOS!$M$38)</f>
        <v>353.56542979146212</v>
      </c>
      <c r="AA162" s="6">
        <f>('TE BE'!$AB$24+'TE BF'!$AB$24+'TE CVA'!$AB$24)*(1-CUSTOS!$M$38)</f>
        <v>213.89756676420583</v>
      </c>
      <c r="AB162" s="6">
        <f t="shared" ref="AB162:AB166" si="19">(J162-K162)*V162</f>
        <v>0</v>
      </c>
      <c r="AC162" s="6">
        <f>(L162-M162)*(W162+X162)+($W$92+$X$92-$W$162-$X$162)*(L162)</f>
        <v>6.8999999999999977</v>
      </c>
      <c r="AD162" s="6">
        <f t="shared" ref="AD162:AD166" si="20">(J162-K162)*Y162</f>
        <v>0</v>
      </c>
      <c r="AE162" s="6">
        <f ca="1">(L162-M162)*(Z162+AA162)+($Z$92+$AA$92-$Z$162-$AA$162)*(L162)</f>
        <v>3.6221042333340479</v>
      </c>
      <c r="AF162" s="4" t="s">
        <v>600</v>
      </c>
    </row>
    <row r="163" spans="1:32" ht="11.25" customHeight="1" x14ac:dyDescent="0.25">
      <c r="A163" s="4" t="s">
        <v>21</v>
      </c>
      <c r="B163" s="4" t="s">
        <v>39</v>
      </c>
      <c r="C163" s="4" t="s">
        <v>23</v>
      </c>
      <c r="D163" s="4" t="s">
        <v>40</v>
      </c>
      <c r="E163" s="4" t="s">
        <v>25</v>
      </c>
      <c r="F163" s="4" t="s">
        <v>25</v>
      </c>
      <c r="G163" s="4" t="s">
        <v>25</v>
      </c>
      <c r="H163" s="4" t="s">
        <v>25</v>
      </c>
      <c r="I163" s="5">
        <v>44682</v>
      </c>
      <c r="J163" s="6">
        <v>0</v>
      </c>
      <c r="K163" s="6">
        <v>0</v>
      </c>
      <c r="L163" s="6">
        <v>3.1269999999999998</v>
      </c>
      <c r="M163" s="6">
        <v>3.1269999999999998</v>
      </c>
      <c r="N163" s="6">
        <v>3.1269999999999998</v>
      </c>
      <c r="O163" s="6">
        <v>3.1269999999999998</v>
      </c>
      <c r="P163" s="6">
        <v>12</v>
      </c>
      <c r="Q163" s="4" t="s">
        <v>26</v>
      </c>
      <c r="R163" s="4">
        <v>0</v>
      </c>
      <c r="S163" s="4">
        <v>0</v>
      </c>
      <c r="T163" s="4">
        <v>22</v>
      </c>
      <c r="U163" s="4">
        <v>57</v>
      </c>
      <c r="V163" s="6">
        <f>IF(ISERROR(VLOOKUP($S$163,'TAR FIN'!$A$1:$O$85,15,0)),0,VLOOKUP($S$163,'TAR FIN'!$A$1:$O$85,15,0))</f>
        <v>0</v>
      </c>
      <c r="W163" s="6">
        <f>IF(ISERROR(VLOOKUP($T$163,'TAR FIN'!$A$1:$O$85,15,0)),0,VLOOKUP($T$163,'TAR FIN'!$A$1:$O$85,15,0))</f>
        <v>293.17</v>
      </c>
      <c r="X163" s="6">
        <f>IF(ISERROR(VLOOKUP($U$163,'TAR FIN'!$A$1:$O$85,15,0)),0,VLOOKUP($U$163,'TAR FIN'!$A$1:$O$85,15,0))</f>
        <v>212.83</v>
      </c>
      <c r="Y163" s="6"/>
      <c r="Z163" s="6">
        <f ca="1">('TUSD BE'!$AM$33+'TUSD BF'!$AM$33+'TUSD CVA'!$AM$33)*(1-CUSTOS!$M$38)</f>
        <v>353.56542979146212</v>
      </c>
      <c r="AA163" s="6">
        <f>('TE BE'!$AB$24+'TE BF'!$AB$24+'TE CVA'!$AB$24)*(1-CUSTOS!$M$38)</f>
        <v>213.89756676420583</v>
      </c>
      <c r="AB163" s="6">
        <f t="shared" si="19"/>
        <v>0</v>
      </c>
      <c r="AC163" s="6">
        <f>(L163-M163)*(W163+X163)+($W$92+$X$92-$W$163-$X$163)*(L163)</f>
        <v>215.76299999999989</v>
      </c>
      <c r="AD163" s="6">
        <f t="shared" si="20"/>
        <v>0</v>
      </c>
      <c r="AE163" s="6">
        <f ca="1">(L163-M163)*(Z163+AA163)+($Z$92+$AA$92-$Z$163-$AA$163)*(L163)</f>
        <v>113.26319937635567</v>
      </c>
      <c r="AF163" s="4" t="s">
        <v>600</v>
      </c>
    </row>
    <row r="164" spans="1:32" ht="11.25" customHeight="1" x14ac:dyDescent="0.25">
      <c r="A164" s="4" t="s">
        <v>27</v>
      </c>
      <c r="B164" s="4" t="s">
        <v>39</v>
      </c>
      <c r="C164" s="4" t="s">
        <v>23</v>
      </c>
      <c r="D164" s="4" t="s">
        <v>40</v>
      </c>
      <c r="E164" s="4" t="s">
        <v>25</v>
      </c>
      <c r="F164" s="4" t="s">
        <v>25</v>
      </c>
      <c r="G164" s="4" t="s">
        <v>25</v>
      </c>
      <c r="H164" s="4" t="s">
        <v>25</v>
      </c>
      <c r="I164" s="5">
        <v>44682</v>
      </c>
      <c r="J164" s="6">
        <v>0</v>
      </c>
      <c r="K164" s="6">
        <v>0</v>
      </c>
      <c r="L164" s="6">
        <v>0.1</v>
      </c>
      <c r="M164" s="6">
        <v>0.1</v>
      </c>
      <c r="N164" s="6">
        <v>0.1</v>
      </c>
      <c r="O164" s="6">
        <v>0.1</v>
      </c>
      <c r="P164" s="6">
        <v>1</v>
      </c>
      <c r="Q164" s="4" t="s">
        <v>26</v>
      </c>
      <c r="R164" s="4">
        <v>0</v>
      </c>
      <c r="S164" s="4">
        <v>0</v>
      </c>
      <c r="T164" s="4">
        <v>22</v>
      </c>
      <c r="U164" s="4">
        <v>57</v>
      </c>
      <c r="V164" s="6">
        <f>IF(ISERROR(VLOOKUP($S$164,'TAR FIN'!$A$1:$O$85,15,0)),0,VLOOKUP($S$164,'TAR FIN'!$A$1:$O$85,15,0))</f>
        <v>0</v>
      </c>
      <c r="W164" s="6">
        <f>IF(ISERROR(VLOOKUP($T$164,'TAR FIN'!$A$1:$O$85,15,0)),0,VLOOKUP($T$164,'TAR FIN'!$A$1:$O$85,15,0))</f>
        <v>293.17</v>
      </c>
      <c r="X164" s="6">
        <f>IF(ISERROR(VLOOKUP($U$164,'TAR FIN'!$A$1:$O$85,15,0)),0,VLOOKUP($U$164,'TAR FIN'!$A$1:$O$85,15,0))</f>
        <v>212.83</v>
      </c>
      <c r="Y164" s="6"/>
      <c r="Z164" s="6">
        <f ca="1">('TUSD BE'!$AM$33+'TUSD BF'!$AM$33+'TUSD CVA'!$AM$33)*(1-CUSTOS!$M$38)</f>
        <v>353.56542979146212</v>
      </c>
      <c r="AA164" s="6">
        <f>('TE BE'!$AB$24+'TE BF'!$AB$24+'TE CVA'!$AB$24)*(1-CUSTOS!$M$38)</f>
        <v>213.89756676420583</v>
      </c>
      <c r="AB164" s="6">
        <f t="shared" si="19"/>
        <v>0</v>
      </c>
      <c r="AC164" s="6">
        <f>(L164-M164)*(W164+X164)+($W$92+$X$92-$W$164-$X$164)*(L164)</f>
        <v>6.8999999999999977</v>
      </c>
      <c r="AD164" s="6">
        <f t="shared" si="20"/>
        <v>0</v>
      </c>
      <c r="AE164" s="6">
        <f ca="1">(L164-M164)*(Z164+AA164)+($Z$92+$AA$92-$Z$164-$AA$164)*(L164)</f>
        <v>3.6221042333340479</v>
      </c>
      <c r="AF164" s="4" t="s">
        <v>600</v>
      </c>
    </row>
    <row r="165" spans="1:32" ht="11.25" customHeight="1" x14ac:dyDescent="0.25">
      <c r="A165" s="4" t="s">
        <v>21</v>
      </c>
      <c r="B165" s="4" t="s">
        <v>39</v>
      </c>
      <c r="C165" s="4" t="s">
        <v>23</v>
      </c>
      <c r="D165" s="4" t="s">
        <v>40</v>
      </c>
      <c r="E165" s="4" t="s">
        <v>25</v>
      </c>
      <c r="F165" s="4" t="s">
        <v>25</v>
      </c>
      <c r="G165" s="4" t="s">
        <v>25</v>
      </c>
      <c r="H165" s="4" t="s">
        <v>25</v>
      </c>
      <c r="I165" s="5">
        <v>44713</v>
      </c>
      <c r="J165" s="6">
        <v>0</v>
      </c>
      <c r="K165" s="6">
        <v>0</v>
      </c>
      <c r="L165" s="6">
        <v>3.5150000000000001</v>
      </c>
      <c r="M165" s="6">
        <v>3.5150000000000001</v>
      </c>
      <c r="N165" s="6">
        <v>3.5150000000000001</v>
      </c>
      <c r="O165" s="6">
        <v>3.5150000000000001</v>
      </c>
      <c r="P165" s="6">
        <v>12</v>
      </c>
      <c r="Q165" s="4" t="s">
        <v>26</v>
      </c>
      <c r="R165" s="4">
        <v>0</v>
      </c>
      <c r="S165" s="4">
        <v>0</v>
      </c>
      <c r="T165" s="4">
        <v>22</v>
      </c>
      <c r="U165" s="4">
        <v>57</v>
      </c>
      <c r="V165" s="6">
        <f>IF(ISERROR(VLOOKUP($S$165,'TAR FIN'!$A$1:$O$85,15,0)),0,VLOOKUP($S$165,'TAR FIN'!$A$1:$O$85,15,0))</f>
        <v>0</v>
      </c>
      <c r="W165" s="6">
        <f>IF(ISERROR(VLOOKUP($T$165,'TAR FIN'!$A$1:$O$85,15,0)),0,VLOOKUP($T$165,'TAR FIN'!$A$1:$O$85,15,0))</f>
        <v>293.17</v>
      </c>
      <c r="X165" s="6">
        <f>IF(ISERROR(VLOOKUP($U$165,'TAR FIN'!$A$1:$O$85,15,0)),0,VLOOKUP($U$165,'TAR FIN'!$A$1:$O$85,15,0))</f>
        <v>212.83</v>
      </c>
      <c r="Y165" s="6"/>
      <c r="Z165" s="6">
        <f ca="1">('TUSD BE'!$AM$33+'TUSD BF'!$AM$33+'TUSD CVA'!$AM$33)*(1-CUSTOS!$M$38)</f>
        <v>353.56542979146212</v>
      </c>
      <c r="AA165" s="6">
        <f>('TE BE'!$AB$24+'TE BF'!$AB$24+'TE CVA'!$AB$24)*(1-CUSTOS!$M$38)</f>
        <v>213.89756676420583</v>
      </c>
      <c r="AB165" s="6">
        <f t="shared" si="19"/>
        <v>0</v>
      </c>
      <c r="AC165" s="6">
        <f>(L165-M165)*(W165+X165)+($W$92+$X$92-$W$165-$X$165)*(L165)</f>
        <v>242.53499999999991</v>
      </c>
      <c r="AD165" s="6">
        <f t="shared" si="20"/>
        <v>0</v>
      </c>
      <c r="AE165" s="6">
        <f ca="1">(L165-M165)*(Z165+AA165)+($Z$92+$AA$92-$Z$165-$AA$165)*(L165)</f>
        <v>127.31696380169178</v>
      </c>
      <c r="AF165" s="4" t="s">
        <v>600</v>
      </c>
    </row>
    <row r="166" spans="1:32" ht="11.25" customHeight="1" x14ac:dyDescent="0.25">
      <c r="A166" s="4" t="s">
        <v>27</v>
      </c>
      <c r="B166" s="4" t="s">
        <v>39</v>
      </c>
      <c r="C166" s="4" t="s">
        <v>23</v>
      </c>
      <c r="D166" s="4" t="s">
        <v>40</v>
      </c>
      <c r="E166" s="4" t="s">
        <v>25</v>
      </c>
      <c r="F166" s="4" t="s">
        <v>25</v>
      </c>
      <c r="G166" s="4" t="s">
        <v>25</v>
      </c>
      <c r="H166" s="4" t="s">
        <v>25</v>
      </c>
      <c r="I166" s="5">
        <v>44713</v>
      </c>
      <c r="J166" s="6">
        <v>0</v>
      </c>
      <c r="K166" s="6">
        <v>0</v>
      </c>
      <c r="L166" s="6">
        <v>0.1</v>
      </c>
      <c r="M166" s="6">
        <v>0.1</v>
      </c>
      <c r="N166" s="6">
        <v>0.1</v>
      </c>
      <c r="O166" s="6">
        <v>0.1</v>
      </c>
      <c r="P166" s="6">
        <v>1</v>
      </c>
      <c r="Q166" s="4" t="s">
        <v>26</v>
      </c>
      <c r="R166" s="4">
        <v>0</v>
      </c>
      <c r="S166" s="4">
        <v>0</v>
      </c>
      <c r="T166" s="4">
        <v>22</v>
      </c>
      <c r="U166" s="4">
        <v>57</v>
      </c>
      <c r="V166" s="6">
        <f>IF(ISERROR(VLOOKUP($S$166,'TAR FIN'!$A$1:$O$85,15,0)),0,VLOOKUP($S$166,'TAR FIN'!$A$1:$O$85,15,0))</f>
        <v>0</v>
      </c>
      <c r="W166" s="6">
        <f>IF(ISERROR(VLOOKUP($T$166,'TAR FIN'!$A$1:$O$85,15,0)),0,VLOOKUP($T$166,'TAR FIN'!$A$1:$O$85,15,0))</f>
        <v>293.17</v>
      </c>
      <c r="X166" s="6">
        <f>IF(ISERROR(VLOOKUP($U$166,'TAR FIN'!$A$1:$O$85,15,0)),0,VLOOKUP($U$166,'TAR FIN'!$A$1:$O$85,15,0))</f>
        <v>212.83</v>
      </c>
      <c r="Y166" s="6"/>
      <c r="Z166" s="6">
        <f ca="1">('TUSD BE'!$AM$33+'TUSD BF'!$AM$33+'TUSD CVA'!$AM$33)*(1-CUSTOS!$M$38)</f>
        <v>353.56542979146212</v>
      </c>
      <c r="AA166" s="6">
        <f>('TE BE'!$AB$24+'TE BF'!$AB$24+'TE CVA'!$AB$24)*(1-CUSTOS!$M$38)</f>
        <v>213.89756676420583</v>
      </c>
      <c r="AB166" s="6">
        <f t="shared" si="19"/>
        <v>0</v>
      </c>
      <c r="AC166" s="6">
        <f>(L166-M166)*(W166+X166)+($W$92+$X$92-$W$166-$X$166)*(L166)</f>
        <v>6.8999999999999977</v>
      </c>
      <c r="AD166" s="6">
        <f t="shared" si="20"/>
        <v>0</v>
      </c>
      <c r="AE166" s="6">
        <f ca="1">(L166-M166)*(Z166+AA166)+($Z$92+$AA$92-$Z$166-$AA$166)*(L166)</f>
        <v>3.6221042333340479</v>
      </c>
      <c r="AF166" s="4" t="s">
        <v>600</v>
      </c>
    </row>
    <row r="167" spans="1:32" ht="11.25" customHeight="1" x14ac:dyDescent="0.25">
      <c r="A167" s="4" t="s">
        <v>21</v>
      </c>
      <c r="B167" s="4" t="s">
        <v>32</v>
      </c>
      <c r="C167" s="4" t="s">
        <v>23</v>
      </c>
      <c r="D167" s="4" t="s">
        <v>45</v>
      </c>
      <c r="E167" s="4" t="s">
        <v>46</v>
      </c>
      <c r="F167" s="4" t="s">
        <v>25</v>
      </c>
      <c r="G167" s="4" t="s">
        <v>25</v>
      </c>
      <c r="H167" s="4" t="s">
        <v>25</v>
      </c>
      <c r="I167" s="5">
        <v>44378</v>
      </c>
      <c r="J167" s="6">
        <v>0</v>
      </c>
      <c r="K167" s="65">
        <v>0</v>
      </c>
      <c r="L167" s="6">
        <v>145.33199999999999</v>
      </c>
      <c r="M167" s="65">
        <v>145.33199999999999</v>
      </c>
      <c r="N167" s="6">
        <v>145.33199999999999</v>
      </c>
      <c r="O167" s="65">
        <v>145.33199999999999</v>
      </c>
      <c r="P167" s="6">
        <v>17</v>
      </c>
      <c r="Q167" s="4" t="s">
        <v>26</v>
      </c>
      <c r="R167" s="4">
        <v>0</v>
      </c>
      <c r="S167" s="4">
        <v>0</v>
      </c>
      <c r="T167" s="4">
        <v>46</v>
      </c>
      <c r="U167" s="4">
        <v>83</v>
      </c>
      <c r="V167" s="65">
        <f>IF(ISERROR(VLOOKUP($S$167,'TAR FIN'!$A$1:$O$85,15,0)),0,VLOOKUP($S$167,'TAR FIN'!$A$1:$O$85,15,0))</f>
        <v>0</v>
      </c>
      <c r="W167" s="65">
        <f>IF(ISERROR(VLOOKUP($T$167,'TAR FIN'!$A$1:$O$85,15,0)),0,VLOOKUP($T$167,'TAR FIN'!$A$1:$O$85,15,0))*(1-0.06)</f>
        <v>313.16099999999994</v>
      </c>
      <c r="X167" s="65">
        <f>IF(ISERROR(VLOOKUP($U$167,'TAR FIN'!$A$1:$O$85,15,0)),0,VLOOKUP($U$167,'TAR FIN'!$A$1:$O$85,15,0))*(1-0.06)</f>
        <v>227.33899999999997</v>
      </c>
      <c r="Y167" s="65"/>
      <c r="Z167" s="65">
        <f ca="1">('TUSD BE'!$AM$48+'TUSD BF'!$AM$48+'TUSD CVA'!$AM$48)*1*(1-0.03)</f>
        <v>364.84943286991302</v>
      </c>
      <c r="AA167" s="65">
        <f>('TE BE'!$AB$39+'TE BF'!$AB$39+'TE CVA'!$AB$39)*1*(1-0.03)</f>
        <v>220.72408485242519</v>
      </c>
      <c r="AB167" s="65">
        <f>(SUBSIDIO!$J$167*SUBSIDIO!$V$167)*(0.06)/(1-0.06)</f>
        <v>0</v>
      </c>
      <c r="AC167" s="65">
        <f>((SUBSIDIO!$L$167*SUBSIDIO!$W$167)+(SUBSIDIO!$N$167*SUBSIDIO!$X$167))*(0.06)/(1-0.06)</f>
        <v>5013.9539999999997</v>
      </c>
      <c r="AD167" s="65">
        <f>(SUBSIDIO!$J$167*SUBSIDIO!$Y$167)*(0.03)/(1-0.03)</f>
        <v>0</v>
      </c>
      <c r="AE167" s="65">
        <f ca="1">((SUBSIDIO!$L$167*SUBSIDIO!$Z$167)+(SUBSIDIO!$N$167*SUBSIDIO!$AA$167))*(0.03)/(1-0.03)</f>
        <v>2632.0382621945214</v>
      </c>
      <c r="AF167" s="4" t="s">
        <v>602</v>
      </c>
    </row>
    <row r="168" spans="1:32" ht="11.25" customHeight="1" x14ac:dyDescent="0.25">
      <c r="A168" s="4" t="s">
        <v>21</v>
      </c>
      <c r="B168" s="4" t="s">
        <v>32</v>
      </c>
      <c r="C168" s="4" t="s">
        <v>23</v>
      </c>
      <c r="D168" s="4" t="s">
        <v>45</v>
      </c>
      <c r="E168" s="4" t="s">
        <v>46</v>
      </c>
      <c r="F168" s="4" t="s">
        <v>25</v>
      </c>
      <c r="G168" s="4" t="s">
        <v>25</v>
      </c>
      <c r="H168" s="4" t="s">
        <v>25</v>
      </c>
      <c r="I168" s="5">
        <v>44409</v>
      </c>
      <c r="J168" s="6">
        <v>0</v>
      </c>
      <c r="K168" s="65">
        <v>0</v>
      </c>
      <c r="L168" s="6">
        <v>154.017</v>
      </c>
      <c r="M168" s="65">
        <v>154.017</v>
      </c>
      <c r="N168" s="6">
        <v>154.017</v>
      </c>
      <c r="O168" s="65">
        <v>154.017</v>
      </c>
      <c r="P168" s="6">
        <v>18</v>
      </c>
      <c r="Q168" s="4" t="s">
        <v>26</v>
      </c>
      <c r="R168" s="4">
        <v>0</v>
      </c>
      <c r="S168" s="4">
        <v>0</v>
      </c>
      <c r="T168" s="4">
        <v>46</v>
      </c>
      <c r="U168" s="4">
        <v>83</v>
      </c>
      <c r="V168" s="65">
        <f>IF(ISERROR(VLOOKUP($S$168,'TAR FIN'!$A$1:$O$85,15,0)),0,VLOOKUP($S$168,'TAR FIN'!$A$1:$O$85,15,0))</f>
        <v>0</v>
      </c>
      <c r="W168" s="65">
        <f>IF(ISERROR(VLOOKUP($T$168,'TAR FIN'!$A$1:$O$85,15,0)),0,VLOOKUP($T$168,'TAR FIN'!$A$1:$O$85,15,0))*(1-0.06)</f>
        <v>313.16099999999994</v>
      </c>
      <c r="X168" s="65">
        <f>IF(ISERROR(VLOOKUP($U$168,'TAR FIN'!$A$1:$O$85,15,0)),0,VLOOKUP($U$168,'TAR FIN'!$A$1:$O$85,15,0))*(1-0.06)</f>
        <v>227.33899999999997</v>
      </c>
      <c r="Y168" s="65"/>
      <c r="Z168" s="65">
        <f ca="1">('TUSD BE'!$AM$48+'TUSD BF'!$AM$48+'TUSD CVA'!$AM$48)*1*(1-0.03)</f>
        <v>364.84943286991302</v>
      </c>
      <c r="AA168" s="65">
        <f>('TE BE'!$AB$39+'TE BF'!$AB$39+'TE CVA'!$AB$39)*1*(1-0.03)</f>
        <v>220.72408485242519</v>
      </c>
      <c r="AB168" s="65">
        <f>(SUBSIDIO!$J$168*SUBSIDIO!$V$168)*(0.06)/(1-0.06)</f>
        <v>0</v>
      </c>
      <c r="AC168" s="65">
        <f>((SUBSIDIO!$L$168*SUBSIDIO!$W$168)+(SUBSIDIO!$N$168*SUBSIDIO!$X$168))*(0.06)/(1-0.06)</f>
        <v>5313.5864999999994</v>
      </c>
      <c r="AD168" s="65">
        <f>(SUBSIDIO!$J$168*SUBSIDIO!$Y$168)*(0.03)/(1-0.03)</f>
        <v>0</v>
      </c>
      <c r="AE168" s="65">
        <f ca="1">((SUBSIDIO!$L$168*SUBSIDIO!$Z$168)+(SUBSIDIO!$N$168*SUBSIDIO!$AA$168))*(0.03)/(1-0.03)</f>
        <v>2789.3281385270525</v>
      </c>
      <c r="AF168" s="4" t="s">
        <v>602</v>
      </c>
    </row>
    <row r="169" spans="1:32" ht="11.25" customHeight="1" x14ac:dyDescent="0.25">
      <c r="A169" s="4" t="s">
        <v>21</v>
      </c>
      <c r="B169" s="4" t="s">
        <v>32</v>
      </c>
      <c r="C169" s="4" t="s">
        <v>23</v>
      </c>
      <c r="D169" s="4" t="s">
        <v>45</v>
      </c>
      <c r="E169" s="4" t="s">
        <v>46</v>
      </c>
      <c r="F169" s="4" t="s">
        <v>25</v>
      </c>
      <c r="G169" s="4" t="s">
        <v>25</v>
      </c>
      <c r="H169" s="4" t="s">
        <v>25</v>
      </c>
      <c r="I169" s="5">
        <v>44440</v>
      </c>
      <c r="J169" s="6">
        <v>0</v>
      </c>
      <c r="K169" s="65">
        <v>0</v>
      </c>
      <c r="L169" s="6">
        <v>155.10900000000001</v>
      </c>
      <c r="M169" s="65">
        <v>155.10900000000001</v>
      </c>
      <c r="N169" s="6">
        <v>155.10900000000001</v>
      </c>
      <c r="O169" s="65">
        <v>155.10900000000001</v>
      </c>
      <c r="P169" s="6">
        <v>18</v>
      </c>
      <c r="Q169" s="4" t="s">
        <v>26</v>
      </c>
      <c r="R169" s="4">
        <v>0</v>
      </c>
      <c r="S169" s="4">
        <v>0</v>
      </c>
      <c r="T169" s="4">
        <v>46</v>
      </c>
      <c r="U169" s="4">
        <v>83</v>
      </c>
      <c r="V169" s="65">
        <f>IF(ISERROR(VLOOKUP($S$169,'TAR FIN'!$A$1:$O$85,15,0)),0,VLOOKUP($S$169,'TAR FIN'!$A$1:$O$85,15,0))</f>
        <v>0</v>
      </c>
      <c r="W169" s="65">
        <f>IF(ISERROR(VLOOKUP($T$169,'TAR FIN'!$A$1:$O$85,15,0)),0,VLOOKUP($T$169,'TAR FIN'!$A$1:$O$85,15,0))*(1-0.06)</f>
        <v>313.16099999999994</v>
      </c>
      <c r="X169" s="65">
        <f>IF(ISERROR(VLOOKUP($U$169,'TAR FIN'!$A$1:$O$85,15,0)),0,VLOOKUP($U$169,'TAR FIN'!$A$1:$O$85,15,0))*(1-0.06)</f>
        <v>227.33899999999997</v>
      </c>
      <c r="Y169" s="65"/>
      <c r="Z169" s="65">
        <f ca="1">('TUSD BE'!$AM$48+'TUSD BF'!$AM$48+'TUSD CVA'!$AM$48)*1*(1-0.03)</f>
        <v>364.84943286991302</v>
      </c>
      <c r="AA169" s="65">
        <f>('TE BE'!$AB$39+'TE BF'!$AB$39+'TE CVA'!$AB$39)*1*(1-0.03)</f>
        <v>220.72408485242519</v>
      </c>
      <c r="AB169" s="65">
        <f>(SUBSIDIO!$J$169*SUBSIDIO!$V$169)*(0.06)/(1-0.06)</f>
        <v>0</v>
      </c>
      <c r="AC169" s="65">
        <f>((SUBSIDIO!$L$169*SUBSIDIO!$W$169)+(SUBSIDIO!$N$169*SUBSIDIO!$X$169))*(0.06)/(1-0.06)</f>
        <v>5351.2604999999994</v>
      </c>
      <c r="AD169" s="65">
        <f>(SUBSIDIO!$J$169*SUBSIDIO!$Y$169)*(0.03)/(1-0.03)</f>
        <v>0</v>
      </c>
      <c r="AE169" s="65">
        <f ca="1">((SUBSIDIO!$L$169*SUBSIDIO!$Z$169)+(SUBSIDIO!$N$169*SUBSIDIO!$AA$169))*(0.03)/(1-0.03)</f>
        <v>2809.1048276410561</v>
      </c>
      <c r="AF169" s="4" t="s">
        <v>602</v>
      </c>
    </row>
    <row r="170" spans="1:32" ht="11.25" customHeight="1" x14ac:dyDescent="0.25">
      <c r="A170" s="4" t="s">
        <v>21</v>
      </c>
      <c r="B170" s="4" t="s">
        <v>32</v>
      </c>
      <c r="C170" s="4" t="s">
        <v>23</v>
      </c>
      <c r="D170" s="4" t="s">
        <v>45</v>
      </c>
      <c r="E170" s="4" t="s">
        <v>46</v>
      </c>
      <c r="F170" s="4" t="s">
        <v>25</v>
      </c>
      <c r="G170" s="4" t="s">
        <v>25</v>
      </c>
      <c r="H170" s="4" t="s">
        <v>25</v>
      </c>
      <c r="I170" s="5">
        <v>44470</v>
      </c>
      <c r="J170" s="6">
        <v>0</v>
      </c>
      <c r="K170" s="65">
        <v>0</v>
      </c>
      <c r="L170" s="6">
        <v>151.489</v>
      </c>
      <c r="M170" s="65">
        <v>151.489</v>
      </c>
      <c r="N170" s="6">
        <v>151.489</v>
      </c>
      <c r="O170" s="65">
        <v>151.489</v>
      </c>
      <c r="P170" s="6">
        <v>18</v>
      </c>
      <c r="Q170" s="4" t="s">
        <v>26</v>
      </c>
      <c r="R170" s="4">
        <v>0</v>
      </c>
      <c r="S170" s="4">
        <v>0</v>
      </c>
      <c r="T170" s="4">
        <v>46</v>
      </c>
      <c r="U170" s="4">
        <v>83</v>
      </c>
      <c r="V170" s="65">
        <f>IF(ISERROR(VLOOKUP($S$170,'TAR FIN'!$A$1:$O$85,15,0)),0,VLOOKUP($S$170,'TAR FIN'!$A$1:$O$85,15,0))</f>
        <v>0</v>
      </c>
      <c r="W170" s="65">
        <f>IF(ISERROR(VLOOKUP($T$170,'TAR FIN'!$A$1:$O$85,15,0)),0,VLOOKUP($T$170,'TAR FIN'!$A$1:$O$85,15,0))*(1-0.06)</f>
        <v>313.16099999999994</v>
      </c>
      <c r="X170" s="65">
        <f>IF(ISERROR(VLOOKUP($U$170,'TAR FIN'!$A$1:$O$85,15,0)),0,VLOOKUP($U$170,'TAR FIN'!$A$1:$O$85,15,0))*(1-0.06)</f>
        <v>227.33899999999997</v>
      </c>
      <c r="Y170" s="65"/>
      <c r="Z170" s="65">
        <f ca="1">('TUSD BE'!$AM$48+'TUSD BF'!$AM$48+'TUSD CVA'!$AM$48)*1*(1-0.03)</f>
        <v>364.84943286991302</v>
      </c>
      <c r="AA170" s="65">
        <f>('TE BE'!$AB$39+'TE BF'!$AB$39+'TE CVA'!$AB$39)*1*(1-0.03)</f>
        <v>220.72408485242519</v>
      </c>
      <c r="AB170" s="65">
        <f>(SUBSIDIO!$J$170*SUBSIDIO!$V$170)*(0.06)/(1-0.06)</f>
        <v>0</v>
      </c>
      <c r="AC170" s="65">
        <f>((SUBSIDIO!$L$170*SUBSIDIO!$W$170)+(SUBSIDIO!$N$170*SUBSIDIO!$X$170))*(0.06)/(1-0.06)</f>
        <v>5226.3705</v>
      </c>
      <c r="AD170" s="65">
        <f>(SUBSIDIO!$J$170*SUBSIDIO!$Y$170)*(0.03)/(1-0.03)</f>
        <v>0</v>
      </c>
      <c r="AE170" s="65">
        <f ca="1">((SUBSIDIO!$L$170*SUBSIDIO!$Z$170)+(SUBSIDIO!$N$170*SUBSIDIO!$AA$170))*(0.03)/(1-0.03)</f>
        <v>2743.5447410177103</v>
      </c>
      <c r="AF170" s="4" t="s">
        <v>602</v>
      </c>
    </row>
    <row r="171" spans="1:32" ht="11.25" customHeight="1" x14ac:dyDescent="0.25">
      <c r="A171" s="4" t="s">
        <v>21</v>
      </c>
      <c r="B171" s="4" t="s">
        <v>32</v>
      </c>
      <c r="C171" s="4" t="s">
        <v>23</v>
      </c>
      <c r="D171" s="4" t="s">
        <v>45</v>
      </c>
      <c r="E171" s="4" t="s">
        <v>46</v>
      </c>
      <c r="F171" s="4" t="s">
        <v>25</v>
      </c>
      <c r="G171" s="4" t="s">
        <v>25</v>
      </c>
      <c r="H171" s="4" t="s">
        <v>25</v>
      </c>
      <c r="I171" s="5">
        <v>44501</v>
      </c>
      <c r="J171" s="6">
        <v>0</v>
      </c>
      <c r="K171" s="65">
        <v>0</v>
      </c>
      <c r="L171" s="6">
        <v>161.55500000000001</v>
      </c>
      <c r="M171" s="65">
        <v>161.55500000000001</v>
      </c>
      <c r="N171" s="6">
        <v>161.55500000000001</v>
      </c>
      <c r="O171" s="65">
        <v>161.55500000000001</v>
      </c>
      <c r="P171" s="6">
        <v>18</v>
      </c>
      <c r="Q171" s="4" t="s">
        <v>26</v>
      </c>
      <c r="R171" s="4">
        <v>0</v>
      </c>
      <c r="S171" s="4">
        <v>0</v>
      </c>
      <c r="T171" s="4">
        <v>46</v>
      </c>
      <c r="U171" s="4">
        <v>83</v>
      </c>
      <c r="V171" s="65">
        <f>IF(ISERROR(VLOOKUP($S$171,'TAR FIN'!$A$1:$O$85,15,0)),0,VLOOKUP($S$171,'TAR FIN'!$A$1:$O$85,15,0))</f>
        <v>0</v>
      </c>
      <c r="W171" s="65">
        <f>IF(ISERROR(VLOOKUP($T$171,'TAR FIN'!$A$1:$O$85,15,0)),0,VLOOKUP($T$171,'TAR FIN'!$A$1:$O$85,15,0))*(1-0.06)</f>
        <v>313.16099999999994</v>
      </c>
      <c r="X171" s="65">
        <f>IF(ISERROR(VLOOKUP($U$171,'TAR FIN'!$A$1:$O$85,15,0)),0,VLOOKUP($U$171,'TAR FIN'!$A$1:$O$85,15,0))*(1-0.06)</f>
        <v>227.33899999999997</v>
      </c>
      <c r="Y171" s="65"/>
      <c r="Z171" s="65">
        <f ca="1">('TUSD BE'!$AM$48+'TUSD BF'!$AM$48+'TUSD CVA'!$AM$48)*1*(1-0.03)</f>
        <v>364.84943286991302</v>
      </c>
      <c r="AA171" s="65">
        <f>('TE BE'!$AB$39+'TE BF'!$AB$39+'TE CVA'!$AB$39)*1*(1-0.03)</f>
        <v>220.72408485242519</v>
      </c>
      <c r="AB171" s="65">
        <f>(SUBSIDIO!$J$171*SUBSIDIO!$V$171)*(0.06)/(1-0.06)</f>
        <v>0</v>
      </c>
      <c r="AC171" s="65">
        <f>((SUBSIDIO!$L$171*SUBSIDIO!$W$171)+(SUBSIDIO!$N$171*SUBSIDIO!$X$171))*(0.06)/(1-0.06)</f>
        <v>5573.6474999999991</v>
      </c>
      <c r="AD171" s="65">
        <f>(SUBSIDIO!$J$171*SUBSIDIO!$Y$171)*(0.03)/(1-0.03)</f>
        <v>0</v>
      </c>
      <c r="AE171" s="65">
        <f ca="1">((SUBSIDIO!$L$171*SUBSIDIO!$Z$171)+(SUBSIDIO!$N$171*SUBSIDIO!$AA$171))*(0.03)/(1-0.03)</f>
        <v>2925.8452470814132</v>
      </c>
      <c r="AF171" s="4" t="s">
        <v>602</v>
      </c>
    </row>
    <row r="172" spans="1:32" ht="11.25" customHeight="1" x14ac:dyDescent="0.25">
      <c r="A172" s="4" t="s">
        <v>21</v>
      </c>
      <c r="B172" s="4" t="s">
        <v>32</v>
      </c>
      <c r="C172" s="4" t="s">
        <v>23</v>
      </c>
      <c r="D172" s="4" t="s">
        <v>45</v>
      </c>
      <c r="E172" s="4" t="s">
        <v>46</v>
      </c>
      <c r="F172" s="4" t="s">
        <v>25</v>
      </c>
      <c r="G172" s="4" t="s">
        <v>25</v>
      </c>
      <c r="H172" s="4" t="s">
        <v>25</v>
      </c>
      <c r="I172" s="5">
        <v>44531</v>
      </c>
      <c r="J172" s="6">
        <v>0</v>
      </c>
      <c r="K172" s="65">
        <v>0</v>
      </c>
      <c r="L172" s="6">
        <v>156.51300000000001</v>
      </c>
      <c r="M172" s="65">
        <v>156.51300000000001</v>
      </c>
      <c r="N172" s="6">
        <v>156.51300000000001</v>
      </c>
      <c r="O172" s="65">
        <v>156.51300000000001</v>
      </c>
      <c r="P172" s="6">
        <v>18</v>
      </c>
      <c r="Q172" s="4" t="s">
        <v>26</v>
      </c>
      <c r="R172" s="4">
        <v>0</v>
      </c>
      <c r="S172" s="4">
        <v>0</v>
      </c>
      <c r="T172" s="4">
        <v>46</v>
      </c>
      <c r="U172" s="4">
        <v>83</v>
      </c>
      <c r="V172" s="65">
        <f>IF(ISERROR(VLOOKUP($S$172,'TAR FIN'!$A$1:$O$85,15,0)),0,VLOOKUP($S$172,'TAR FIN'!$A$1:$O$85,15,0))</f>
        <v>0</v>
      </c>
      <c r="W172" s="65">
        <f>IF(ISERROR(VLOOKUP($T$172,'TAR FIN'!$A$1:$O$85,15,0)),0,VLOOKUP($T$172,'TAR FIN'!$A$1:$O$85,15,0))*(1-0.06)</f>
        <v>313.16099999999994</v>
      </c>
      <c r="X172" s="65">
        <f>IF(ISERROR(VLOOKUP($U$172,'TAR FIN'!$A$1:$O$85,15,0)),0,VLOOKUP($U$172,'TAR FIN'!$A$1:$O$85,15,0))*(1-0.06)</f>
        <v>227.33899999999997</v>
      </c>
      <c r="Y172" s="65"/>
      <c r="Z172" s="65">
        <f ca="1">('TUSD BE'!$AM$48+'TUSD BF'!$AM$48+'TUSD CVA'!$AM$48)*1*(1-0.03)</f>
        <v>364.84943286991302</v>
      </c>
      <c r="AA172" s="65">
        <f>('TE BE'!$AB$39+'TE BF'!$AB$39+'TE CVA'!$AB$39)*1*(1-0.03)</f>
        <v>220.72408485242519</v>
      </c>
      <c r="AB172" s="65">
        <f>(SUBSIDIO!$J$172*SUBSIDIO!$V$172)*(0.06)/(1-0.06)</f>
        <v>0</v>
      </c>
      <c r="AC172" s="65">
        <f>((SUBSIDIO!$L$172*SUBSIDIO!$W$172)+(SUBSIDIO!$N$172*SUBSIDIO!$X$172))*(0.06)/(1-0.06)</f>
        <v>5399.6984999999986</v>
      </c>
      <c r="AD172" s="65">
        <f>(SUBSIDIO!$J$172*SUBSIDIO!$Y$172)*(0.03)/(1-0.03)</f>
        <v>0</v>
      </c>
      <c r="AE172" s="65">
        <f ca="1">((SUBSIDIO!$L$172*SUBSIDIO!$Z$172)+(SUBSIDIO!$N$172*SUBSIDIO!$AA$172))*(0.03)/(1-0.03)</f>
        <v>2834.5319993590615</v>
      </c>
      <c r="AF172" s="4" t="s">
        <v>602</v>
      </c>
    </row>
    <row r="173" spans="1:32" ht="11.25" customHeight="1" x14ac:dyDescent="0.25">
      <c r="A173" s="4" t="s">
        <v>21</v>
      </c>
      <c r="B173" s="4" t="s">
        <v>32</v>
      </c>
      <c r="C173" s="4" t="s">
        <v>23</v>
      </c>
      <c r="D173" s="4" t="s">
        <v>45</v>
      </c>
      <c r="E173" s="4" t="s">
        <v>46</v>
      </c>
      <c r="F173" s="4" t="s">
        <v>25</v>
      </c>
      <c r="G173" s="4" t="s">
        <v>25</v>
      </c>
      <c r="H173" s="4" t="s">
        <v>25</v>
      </c>
      <c r="I173" s="5">
        <v>44562</v>
      </c>
      <c r="J173" s="6">
        <v>0</v>
      </c>
      <c r="K173" s="65">
        <v>0</v>
      </c>
      <c r="L173" s="6">
        <v>180.785</v>
      </c>
      <c r="M173" s="65">
        <v>180.785</v>
      </c>
      <c r="N173" s="6">
        <v>180.785</v>
      </c>
      <c r="O173" s="65">
        <v>180.785</v>
      </c>
      <c r="P173" s="6">
        <v>18</v>
      </c>
      <c r="Q173" s="4" t="s">
        <v>26</v>
      </c>
      <c r="R173" s="4">
        <v>0</v>
      </c>
      <c r="S173" s="4">
        <v>0</v>
      </c>
      <c r="T173" s="4">
        <v>46</v>
      </c>
      <c r="U173" s="4">
        <v>83</v>
      </c>
      <c r="V173" s="65">
        <f>IF(ISERROR(VLOOKUP($S$173,'TAR FIN'!$A$1:$O$85,15,0)),0,VLOOKUP($S$173,'TAR FIN'!$A$1:$O$85,15,0))</f>
        <v>0</v>
      </c>
      <c r="W173" s="65">
        <f>IF(ISERROR(VLOOKUP($T$173,'TAR FIN'!$A$1:$O$85,15,0)),0,VLOOKUP($T$173,'TAR FIN'!$A$1:$O$85,15,0))*(1-0.06)</f>
        <v>313.16099999999994</v>
      </c>
      <c r="X173" s="65">
        <f>IF(ISERROR(VLOOKUP($U$173,'TAR FIN'!$A$1:$O$85,15,0)),0,VLOOKUP($U$173,'TAR FIN'!$A$1:$O$85,15,0))*(1-0.06)</f>
        <v>227.33899999999997</v>
      </c>
      <c r="Y173" s="65"/>
      <c r="Z173" s="65">
        <f ca="1">('TUSD BE'!$AM$48+'TUSD BF'!$AM$48+'TUSD CVA'!$AM$48)*1*(1-0.03)</f>
        <v>364.84943286991302</v>
      </c>
      <c r="AA173" s="65">
        <f>('TE BE'!$AB$39+'TE BF'!$AB$39+'TE CVA'!$AB$39)*1*(1-0.03)</f>
        <v>220.72408485242519</v>
      </c>
      <c r="AB173" s="65">
        <f>(SUBSIDIO!$J$173*SUBSIDIO!$V$173)*(0.06)/(1-0.06)</f>
        <v>0</v>
      </c>
      <c r="AC173" s="65">
        <f>((SUBSIDIO!$L$173*SUBSIDIO!$W$173)+(SUBSIDIO!$N$173*SUBSIDIO!$X$173))*(0.06)/(1-0.06)</f>
        <v>6237.0824999999995</v>
      </c>
      <c r="AD173" s="65">
        <f>(SUBSIDIO!$J$173*SUBSIDIO!$Y$173)*(0.03)/(1-0.03)</f>
        <v>0</v>
      </c>
      <c r="AE173" s="65">
        <f ca="1">((SUBSIDIO!$L$173*SUBSIDIO!$Z$173)+(SUBSIDIO!$N$173*SUBSIDIO!$AA$173))*(0.03)/(1-0.03)</f>
        <v>3274.1105691164817</v>
      </c>
      <c r="AF173" s="4" t="s">
        <v>602</v>
      </c>
    </row>
    <row r="174" spans="1:32" ht="11.25" customHeight="1" x14ac:dyDescent="0.25">
      <c r="A174" s="4" t="s">
        <v>21</v>
      </c>
      <c r="B174" s="4" t="s">
        <v>32</v>
      </c>
      <c r="C174" s="4" t="s">
        <v>23</v>
      </c>
      <c r="D174" s="4" t="s">
        <v>45</v>
      </c>
      <c r="E174" s="4" t="s">
        <v>46</v>
      </c>
      <c r="F174" s="4" t="s">
        <v>25</v>
      </c>
      <c r="G174" s="4" t="s">
        <v>25</v>
      </c>
      <c r="H174" s="4" t="s">
        <v>25</v>
      </c>
      <c r="I174" s="5">
        <v>44593</v>
      </c>
      <c r="J174" s="6">
        <v>0</v>
      </c>
      <c r="K174" s="65">
        <v>0</v>
      </c>
      <c r="L174" s="6">
        <v>169.27</v>
      </c>
      <c r="M174" s="65">
        <v>169.27</v>
      </c>
      <c r="N174" s="6">
        <v>169.27</v>
      </c>
      <c r="O174" s="65">
        <v>169.27</v>
      </c>
      <c r="P174" s="6">
        <v>18</v>
      </c>
      <c r="Q174" s="4" t="s">
        <v>26</v>
      </c>
      <c r="R174" s="4">
        <v>0</v>
      </c>
      <c r="S174" s="4">
        <v>0</v>
      </c>
      <c r="T174" s="4">
        <v>46</v>
      </c>
      <c r="U174" s="4">
        <v>83</v>
      </c>
      <c r="V174" s="65">
        <f>IF(ISERROR(VLOOKUP($S$174,'TAR FIN'!$A$1:$O$85,15,0)),0,VLOOKUP($S$174,'TAR FIN'!$A$1:$O$85,15,0))</f>
        <v>0</v>
      </c>
      <c r="W174" s="65">
        <f>IF(ISERROR(VLOOKUP($T$174,'TAR FIN'!$A$1:$O$85,15,0)),0,VLOOKUP($T$174,'TAR FIN'!$A$1:$O$85,15,0))*(1-0.06)</f>
        <v>313.16099999999994</v>
      </c>
      <c r="X174" s="65">
        <f>IF(ISERROR(VLOOKUP($U$174,'TAR FIN'!$A$1:$O$85,15,0)),0,VLOOKUP($U$174,'TAR FIN'!$A$1:$O$85,15,0))*(1-0.06)</f>
        <v>227.33899999999997</v>
      </c>
      <c r="Y174" s="65"/>
      <c r="Z174" s="65">
        <f ca="1">('TUSD BE'!$AM$48+'TUSD BF'!$AM$48+'TUSD CVA'!$AM$48)*1*(1-0.03)</f>
        <v>364.84943286991302</v>
      </c>
      <c r="AA174" s="65">
        <f>('TE BE'!$AB$39+'TE BF'!$AB$39+'TE CVA'!$AB$39)*1*(1-0.03)</f>
        <v>220.72408485242519</v>
      </c>
      <c r="AB174" s="65">
        <f>(SUBSIDIO!$J$174*SUBSIDIO!$V$174)*(0.06)/(1-0.06)</f>
        <v>0</v>
      </c>
      <c r="AC174" s="65">
        <f>((SUBSIDIO!$L$174*SUBSIDIO!$W$174)+(SUBSIDIO!$N$174*SUBSIDIO!$X$174))*(0.06)/(1-0.06)</f>
        <v>5839.8149999999996</v>
      </c>
      <c r="AD174" s="65">
        <f>(SUBSIDIO!$J$174*SUBSIDIO!$Y$174)*(0.03)/(1-0.03)</f>
        <v>0</v>
      </c>
      <c r="AE174" s="65">
        <f ca="1">((SUBSIDIO!$L$174*SUBSIDIO!$Z$174)+(SUBSIDIO!$N$174*SUBSIDIO!$AA$174))*(0.03)/(1-0.03)</f>
        <v>3065.5679178822743</v>
      </c>
      <c r="AF174" s="4" t="s">
        <v>602</v>
      </c>
    </row>
    <row r="175" spans="1:32" ht="11.25" customHeight="1" x14ac:dyDescent="0.25">
      <c r="A175" s="4" t="s">
        <v>21</v>
      </c>
      <c r="B175" s="4" t="s">
        <v>32</v>
      </c>
      <c r="C175" s="4" t="s">
        <v>23</v>
      </c>
      <c r="D175" s="4" t="s">
        <v>45</v>
      </c>
      <c r="E175" s="4" t="s">
        <v>46</v>
      </c>
      <c r="F175" s="4" t="s">
        <v>25</v>
      </c>
      <c r="G175" s="4" t="s">
        <v>25</v>
      </c>
      <c r="H175" s="4" t="s">
        <v>25</v>
      </c>
      <c r="I175" s="5">
        <v>44621</v>
      </c>
      <c r="J175" s="6">
        <v>0</v>
      </c>
      <c r="K175" s="65">
        <v>0</v>
      </c>
      <c r="L175" s="6">
        <v>156.37100000000001</v>
      </c>
      <c r="M175" s="65">
        <v>156.37100000000001</v>
      </c>
      <c r="N175" s="6">
        <v>156.37100000000001</v>
      </c>
      <c r="O175" s="65">
        <v>156.37100000000001</v>
      </c>
      <c r="P175" s="6">
        <v>19</v>
      </c>
      <c r="Q175" s="4" t="s">
        <v>26</v>
      </c>
      <c r="R175" s="4">
        <v>0</v>
      </c>
      <c r="S175" s="4">
        <v>0</v>
      </c>
      <c r="T175" s="4">
        <v>46</v>
      </c>
      <c r="U175" s="4">
        <v>83</v>
      </c>
      <c r="V175" s="65">
        <f>IF(ISERROR(VLOOKUP($S$175,'TAR FIN'!$A$1:$O$85,15,0)),0,VLOOKUP($S$175,'TAR FIN'!$A$1:$O$85,15,0))</f>
        <v>0</v>
      </c>
      <c r="W175" s="65">
        <f>IF(ISERROR(VLOOKUP($T$175,'TAR FIN'!$A$1:$O$85,15,0)),0,VLOOKUP($T$175,'TAR FIN'!$A$1:$O$85,15,0))*(1-0.06)</f>
        <v>313.16099999999994</v>
      </c>
      <c r="X175" s="65">
        <f>IF(ISERROR(VLOOKUP($U$175,'TAR FIN'!$A$1:$O$85,15,0)),0,VLOOKUP($U$175,'TAR FIN'!$A$1:$O$85,15,0))*(1-0.06)</f>
        <v>227.33899999999997</v>
      </c>
      <c r="Y175" s="65"/>
      <c r="Z175" s="65">
        <f ca="1">('TUSD BE'!$AM$48+'TUSD BF'!$AM$48+'TUSD CVA'!$AM$48)*1*(1-0.03)</f>
        <v>364.84943286991302</v>
      </c>
      <c r="AA175" s="65">
        <f>('TE BE'!$AB$39+'TE BF'!$AB$39+'TE CVA'!$AB$39)*1*(1-0.03)</f>
        <v>220.72408485242519</v>
      </c>
      <c r="AB175" s="65">
        <f>(SUBSIDIO!$J$175*SUBSIDIO!$V$175)*(0.06)/(1-0.06)</f>
        <v>0</v>
      </c>
      <c r="AC175" s="65">
        <f>((SUBSIDIO!$L$175*SUBSIDIO!$W$175)+(SUBSIDIO!$N$175*SUBSIDIO!$X$175))*(0.06)/(1-0.06)</f>
        <v>5394.7994999999992</v>
      </c>
      <c r="AD175" s="65">
        <f>(SUBSIDIO!$J$175*SUBSIDIO!$Y$175)*(0.03)/(1-0.03)</f>
        <v>0</v>
      </c>
      <c r="AE175" s="65">
        <f ca="1">((SUBSIDIO!$L$175*SUBSIDIO!$Z$175)+(SUBSIDIO!$N$175*SUBSIDIO!$AA$175))*(0.03)/(1-0.03)</f>
        <v>2831.9603053533942</v>
      </c>
      <c r="AF175" s="4" t="s">
        <v>602</v>
      </c>
    </row>
    <row r="176" spans="1:32" ht="11.25" customHeight="1" x14ac:dyDescent="0.25">
      <c r="A176" s="4" t="s">
        <v>21</v>
      </c>
      <c r="B176" s="4" t="s">
        <v>32</v>
      </c>
      <c r="C176" s="4" t="s">
        <v>23</v>
      </c>
      <c r="D176" s="4" t="s">
        <v>45</v>
      </c>
      <c r="E176" s="4" t="s">
        <v>46</v>
      </c>
      <c r="F176" s="4" t="s">
        <v>25</v>
      </c>
      <c r="G176" s="4" t="s">
        <v>25</v>
      </c>
      <c r="H176" s="4" t="s">
        <v>25</v>
      </c>
      <c r="I176" s="5">
        <v>44652</v>
      </c>
      <c r="J176" s="6">
        <v>0</v>
      </c>
      <c r="K176" s="65">
        <v>0</v>
      </c>
      <c r="L176" s="6">
        <v>163.58500000000001</v>
      </c>
      <c r="M176" s="65">
        <v>163.58500000000001</v>
      </c>
      <c r="N176" s="6">
        <v>163.58500000000001</v>
      </c>
      <c r="O176" s="65">
        <v>163.58500000000001</v>
      </c>
      <c r="P176" s="6">
        <v>19</v>
      </c>
      <c r="Q176" s="4" t="s">
        <v>26</v>
      </c>
      <c r="R176" s="4">
        <v>0</v>
      </c>
      <c r="S176" s="4">
        <v>0</v>
      </c>
      <c r="T176" s="4">
        <v>46</v>
      </c>
      <c r="U176" s="4">
        <v>83</v>
      </c>
      <c r="V176" s="65">
        <f>IF(ISERROR(VLOOKUP($S$176,'TAR FIN'!$A$1:$O$85,15,0)),0,VLOOKUP($S$176,'TAR FIN'!$A$1:$O$85,15,0))</f>
        <v>0</v>
      </c>
      <c r="W176" s="65">
        <f>IF(ISERROR(VLOOKUP($T$176,'TAR FIN'!$A$1:$O$85,15,0)),0,VLOOKUP($T$176,'TAR FIN'!$A$1:$O$85,15,0))*(1-0.06)</f>
        <v>313.16099999999994</v>
      </c>
      <c r="X176" s="65">
        <f>IF(ISERROR(VLOOKUP($U$176,'TAR FIN'!$A$1:$O$85,15,0)),0,VLOOKUP($U$176,'TAR FIN'!$A$1:$O$85,15,0))*(1-0.06)</f>
        <v>227.33899999999997</v>
      </c>
      <c r="Y176" s="65"/>
      <c r="Z176" s="65">
        <f ca="1">('TUSD BE'!$AM$48+'TUSD BF'!$AM$48+'TUSD CVA'!$AM$48)*1*(1-0.03)</f>
        <v>364.84943286991302</v>
      </c>
      <c r="AA176" s="65">
        <f>('TE BE'!$AB$39+'TE BF'!$AB$39+'TE CVA'!$AB$39)*1*(1-0.03)</f>
        <v>220.72408485242519</v>
      </c>
      <c r="AB176" s="65">
        <f>(SUBSIDIO!$J$176*SUBSIDIO!$V$176)*(0.06)/(1-0.06)</f>
        <v>0</v>
      </c>
      <c r="AC176" s="65">
        <f>((SUBSIDIO!$L$176*SUBSIDIO!$W$176)+(SUBSIDIO!$N$176*SUBSIDIO!$X$176))*(0.06)/(1-0.06)</f>
        <v>5643.6824999999999</v>
      </c>
      <c r="AD176" s="65">
        <f>(SUBSIDIO!$J$176*SUBSIDIO!$Y$176)*(0.03)/(1-0.03)</f>
        <v>0</v>
      </c>
      <c r="AE176" s="65">
        <f ca="1">((SUBSIDIO!$L$176*SUBSIDIO!$Z$176)+(SUBSIDIO!$N$176*SUBSIDIO!$AA$176))*(0.03)/(1-0.03)</f>
        <v>2962.6096050497536</v>
      </c>
      <c r="AF176" s="4" t="s">
        <v>602</v>
      </c>
    </row>
    <row r="177" spans="1:32" ht="11.25" customHeight="1" x14ac:dyDescent="0.25">
      <c r="A177" s="4" t="s">
        <v>21</v>
      </c>
      <c r="B177" s="4" t="s">
        <v>32</v>
      </c>
      <c r="C177" s="4" t="s">
        <v>23</v>
      </c>
      <c r="D177" s="4" t="s">
        <v>45</v>
      </c>
      <c r="E177" s="4" t="s">
        <v>46</v>
      </c>
      <c r="F177" s="4" t="s">
        <v>25</v>
      </c>
      <c r="G177" s="4" t="s">
        <v>25</v>
      </c>
      <c r="H177" s="4" t="s">
        <v>25</v>
      </c>
      <c r="I177" s="5">
        <v>44682</v>
      </c>
      <c r="J177" s="6">
        <v>0</v>
      </c>
      <c r="K177" s="65">
        <v>0</v>
      </c>
      <c r="L177" s="6">
        <v>163.441</v>
      </c>
      <c r="M177" s="65">
        <v>163.441</v>
      </c>
      <c r="N177" s="6">
        <v>163.441</v>
      </c>
      <c r="O177" s="65">
        <v>163.441</v>
      </c>
      <c r="P177" s="6">
        <v>19</v>
      </c>
      <c r="Q177" s="4" t="s">
        <v>26</v>
      </c>
      <c r="R177" s="4">
        <v>0</v>
      </c>
      <c r="S177" s="4">
        <v>0</v>
      </c>
      <c r="T177" s="4">
        <v>46</v>
      </c>
      <c r="U177" s="4">
        <v>83</v>
      </c>
      <c r="V177" s="65">
        <f>IF(ISERROR(VLOOKUP($S$177,'TAR FIN'!$A$1:$O$85,15,0)),0,VLOOKUP($S$177,'TAR FIN'!$A$1:$O$85,15,0))</f>
        <v>0</v>
      </c>
      <c r="W177" s="65">
        <f>IF(ISERROR(VLOOKUP($T$177,'TAR FIN'!$A$1:$O$85,15,0)),0,VLOOKUP($T$177,'TAR FIN'!$A$1:$O$85,15,0))*(1-0.06)</f>
        <v>313.16099999999994</v>
      </c>
      <c r="X177" s="65">
        <f>IF(ISERROR(VLOOKUP($U$177,'TAR FIN'!$A$1:$O$85,15,0)),0,VLOOKUP($U$177,'TAR FIN'!$A$1:$O$85,15,0))*(1-0.06)</f>
        <v>227.33899999999997</v>
      </c>
      <c r="Y177" s="65"/>
      <c r="Z177" s="65">
        <f ca="1">('TUSD BE'!$AM$48+'TUSD BF'!$AM$48+'TUSD CVA'!$AM$48)*1*(1-0.03)</f>
        <v>364.84943286991302</v>
      </c>
      <c r="AA177" s="65">
        <f>('TE BE'!$AB$39+'TE BF'!$AB$39+'TE CVA'!$AB$39)*1*(1-0.03)</f>
        <v>220.72408485242519</v>
      </c>
      <c r="AB177" s="65">
        <f>(SUBSIDIO!$J$177*SUBSIDIO!$V$177)*(0.06)/(1-0.06)</f>
        <v>0</v>
      </c>
      <c r="AC177" s="65">
        <f>((SUBSIDIO!$L$177*SUBSIDIO!$W$177)+(SUBSIDIO!$N$177*SUBSIDIO!$X$177))*(0.06)/(1-0.06)</f>
        <v>5638.7144999999982</v>
      </c>
      <c r="AD177" s="65">
        <f>(SUBSIDIO!$J$177*SUBSIDIO!$Y$177)*(0.03)/(1-0.03)</f>
        <v>0</v>
      </c>
      <c r="AE177" s="65">
        <f ca="1">((SUBSIDIO!$L$177*SUBSIDIO!$Z$177)+(SUBSIDIO!$N$177*SUBSIDIO!$AA$177))*(0.03)/(1-0.03)</f>
        <v>2960.0016900017531</v>
      </c>
      <c r="AF177" s="4" t="s">
        <v>602</v>
      </c>
    </row>
    <row r="178" spans="1:32" ht="11.25" customHeight="1" x14ac:dyDescent="0.25">
      <c r="A178" s="4" t="s">
        <v>21</v>
      </c>
      <c r="B178" s="4" t="s">
        <v>32</v>
      </c>
      <c r="C178" s="4" t="s">
        <v>23</v>
      </c>
      <c r="D178" s="4" t="s">
        <v>45</v>
      </c>
      <c r="E178" s="4" t="s">
        <v>46</v>
      </c>
      <c r="F178" s="4" t="s">
        <v>25</v>
      </c>
      <c r="G178" s="4" t="s">
        <v>25</v>
      </c>
      <c r="H178" s="4" t="s">
        <v>25</v>
      </c>
      <c r="I178" s="5">
        <v>44713</v>
      </c>
      <c r="J178" s="6">
        <v>0</v>
      </c>
      <c r="K178" s="65">
        <v>0</v>
      </c>
      <c r="L178" s="6">
        <v>165.161</v>
      </c>
      <c r="M178" s="65">
        <v>165.161</v>
      </c>
      <c r="N178" s="6">
        <v>165.161</v>
      </c>
      <c r="O178" s="65">
        <v>165.161</v>
      </c>
      <c r="P178" s="6">
        <v>19</v>
      </c>
      <c r="Q178" s="4" t="s">
        <v>26</v>
      </c>
      <c r="R178" s="4">
        <v>0</v>
      </c>
      <c r="S178" s="4">
        <v>0</v>
      </c>
      <c r="T178" s="4">
        <v>46</v>
      </c>
      <c r="U178" s="4">
        <v>83</v>
      </c>
      <c r="V178" s="65">
        <f>IF(ISERROR(VLOOKUP($S$178,'TAR FIN'!$A$1:$O$85,15,0)),0,VLOOKUP($S$178,'TAR FIN'!$A$1:$O$85,15,0))</f>
        <v>0</v>
      </c>
      <c r="W178" s="65">
        <f>IF(ISERROR(VLOOKUP($T$178,'TAR FIN'!$A$1:$O$85,15,0)),0,VLOOKUP($T$178,'TAR FIN'!$A$1:$O$85,15,0))*(1-0.06)</f>
        <v>313.16099999999994</v>
      </c>
      <c r="X178" s="65">
        <f>IF(ISERROR(VLOOKUP($U$178,'TAR FIN'!$A$1:$O$85,15,0)),0,VLOOKUP($U$178,'TAR FIN'!$A$1:$O$85,15,0))*(1-0.06)</f>
        <v>227.33899999999997</v>
      </c>
      <c r="Y178" s="65"/>
      <c r="Z178" s="65">
        <f ca="1">('TUSD BE'!$AM$48+'TUSD BF'!$AM$48+'TUSD CVA'!$AM$48)*1*(1-0.03)</f>
        <v>364.84943286991302</v>
      </c>
      <c r="AA178" s="65">
        <f>('TE BE'!$AB$39+'TE BF'!$AB$39+'TE CVA'!$AB$39)*1*(1-0.03)</f>
        <v>220.72408485242519</v>
      </c>
      <c r="AB178" s="65">
        <f>(SUBSIDIO!$J$178*SUBSIDIO!$V$178)*(0.06)/(1-0.06)</f>
        <v>0</v>
      </c>
      <c r="AC178" s="65">
        <f>((SUBSIDIO!$L$178*SUBSIDIO!$W$178)+(SUBSIDIO!$N$178*SUBSIDIO!$X$178))*(0.06)/(1-0.06)</f>
        <v>5698.0544999999993</v>
      </c>
      <c r="AD178" s="65">
        <f>(SUBSIDIO!$J$178*SUBSIDIO!$Y$178)*(0.03)/(1-0.03)</f>
        <v>0</v>
      </c>
      <c r="AE178" s="65">
        <f ca="1">((SUBSIDIO!$L$178*SUBSIDIO!$Z$178)+(SUBSIDIO!$N$178*SUBSIDIO!$AA$178))*(0.03)/(1-0.03)</f>
        <v>2991.1517864084253</v>
      </c>
      <c r="AF178" s="4" t="s">
        <v>602</v>
      </c>
    </row>
    <row r="179" spans="1:32" ht="11.25" customHeight="1" x14ac:dyDescent="0.25">
      <c r="V179" s="6"/>
      <c r="W179" s="6"/>
      <c r="X179" s="6"/>
      <c r="Y179" s="6"/>
      <c r="Z179" s="6"/>
      <c r="AA179" s="6"/>
      <c r="AB179" s="6"/>
      <c r="AC179" s="6"/>
      <c r="AD179" s="6"/>
      <c r="AE179" s="6"/>
    </row>
    <row r="180" spans="1:32" ht="11.25" customHeight="1" x14ac:dyDescent="0.25">
      <c r="V180" s="6"/>
      <c r="W180" s="6"/>
      <c r="X180" s="6"/>
      <c r="Y180" s="6"/>
      <c r="Z180" s="6"/>
      <c r="AA180" s="6"/>
      <c r="AB180" s="6"/>
      <c r="AC180" s="6"/>
      <c r="AD180" s="6"/>
      <c r="AE180" s="6"/>
    </row>
    <row r="181" spans="1:32" ht="11.25" customHeight="1" x14ac:dyDescent="0.25">
      <c r="V181" s="6"/>
      <c r="W181" s="6"/>
      <c r="X181" s="6"/>
      <c r="Y181" s="6"/>
      <c r="Z181" s="6"/>
      <c r="AA181" s="6"/>
      <c r="AB181" s="6"/>
      <c r="AC181" s="6"/>
      <c r="AD181" s="6"/>
      <c r="AE181" s="6"/>
    </row>
    <row r="182" spans="1:32" ht="11.25" customHeight="1" x14ac:dyDescent="0.25">
      <c r="V182" s="6"/>
      <c r="W182" s="6"/>
      <c r="X182" s="6"/>
      <c r="Y182" s="6"/>
      <c r="Z182" s="6"/>
      <c r="AA182" s="6"/>
      <c r="AB182" s="6"/>
      <c r="AC182" s="6"/>
      <c r="AD182" s="6"/>
      <c r="AE182" s="6"/>
    </row>
    <row r="183" spans="1:32" ht="11.25" customHeight="1" x14ac:dyDescent="0.25">
      <c r="V183" s="6"/>
      <c r="W183" s="6"/>
      <c r="X183" s="6"/>
      <c r="Y183" s="6"/>
      <c r="Z183" s="6"/>
      <c r="AA183" s="6"/>
      <c r="AB183" s="6"/>
      <c r="AC183" s="6"/>
      <c r="AD183" s="6"/>
      <c r="AE183" s="6"/>
    </row>
    <row r="184" spans="1:32" ht="11.25" customHeight="1" x14ac:dyDescent="0.25">
      <c r="V184" s="6"/>
      <c r="W184" s="6"/>
      <c r="X184" s="6"/>
      <c r="Y184" s="6"/>
      <c r="Z184" s="6"/>
      <c r="AA184" s="6"/>
      <c r="AB184" s="6"/>
      <c r="AC184" s="6"/>
      <c r="AD184" s="6"/>
      <c r="AE184" s="6"/>
    </row>
    <row r="185" spans="1:32" ht="11.25" customHeight="1" x14ac:dyDescent="0.25">
      <c r="V185" s="6"/>
      <c r="W185" s="6"/>
      <c r="X185" s="6"/>
      <c r="Y185" s="6"/>
      <c r="Z185" s="6"/>
      <c r="AA185" s="6"/>
      <c r="AB185" s="6"/>
      <c r="AC185" s="6"/>
      <c r="AD185" s="6"/>
      <c r="AE185" s="6"/>
    </row>
    <row r="186" spans="1:32" ht="11.25" customHeight="1" x14ac:dyDescent="0.25">
      <c r="V186" s="6"/>
      <c r="W186" s="6"/>
      <c r="X186" s="6"/>
      <c r="Y186" s="6"/>
      <c r="Z186" s="6"/>
      <c r="AA186" s="6"/>
      <c r="AB186" s="6"/>
      <c r="AC186" s="6"/>
      <c r="AD186" s="6"/>
      <c r="AE186" s="6"/>
    </row>
    <row r="187" spans="1:32" ht="11.25" customHeight="1" x14ac:dyDescent="0.25">
      <c r="V187" s="6"/>
      <c r="W187" s="6"/>
      <c r="X187" s="6"/>
      <c r="Y187" s="6"/>
      <c r="Z187" s="6"/>
      <c r="AA187" s="6"/>
      <c r="AB187" s="6"/>
      <c r="AC187" s="6"/>
      <c r="AD187" s="6"/>
      <c r="AE187" s="6"/>
    </row>
    <row r="188" spans="1:32" ht="11.25" customHeight="1" x14ac:dyDescent="0.25">
      <c r="V188" s="6"/>
      <c r="W188" s="6"/>
      <c r="X188" s="6"/>
      <c r="Y188" s="6"/>
      <c r="Z188" s="6"/>
      <c r="AA188" s="6"/>
      <c r="AB188" s="6"/>
      <c r="AC188" s="6"/>
      <c r="AD188" s="6"/>
      <c r="AE188" s="6"/>
    </row>
    <row r="189" spans="1:32" ht="11.25" customHeight="1" x14ac:dyDescent="0.25">
      <c r="V189" s="6"/>
      <c r="W189" s="6"/>
      <c r="X189" s="6"/>
      <c r="Y189" s="6"/>
      <c r="Z189" s="6"/>
      <c r="AA189" s="6"/>
      <c r="AB189" s="6"/>
      <c r="AC189" s="6"/>
      <c r="AD189" s="6"/>
      <c r="AE189" s="6"/>
    </row>
    <row r="190" spans="1:32" ht="11.25" customHeight="1" x14ac:dyDescent="0.25">
      <c r="V190" s="6"/>
      <c r="W190" s="6"/>
      <c r="X190" s="6"/>
      <c r="Y190" s="6"/>
      <c r="Z190" s="6"/>
      <c r="AA190" s="6"/>
      <c r="AB190" s="6"/>
      <c r="AC190" s="6"/>
      <c r="AD190" s="6"/>
      <c r="AE190" s="6"/>
    </row>
    <row r="191" spans="1:32" ht="11.25" customHeight="1" x14ac:dyDescent="0.25">
      <c r="V191" s="6"/>
      <c r="W191" s="6"/>
      <c r="X191" s="6"/>
      <c r="Y191" s="6"/>
      <c r="Z191" s="6"/>
      <c r="AA191" s="6"/>
      <c r="AB191" s="6"/>
      <c r="AC191" s="6"/>
      <c r="AD191" s="6"/>
      <c r="AE191" s="6"/>
    </row>
    <row r="192" spans="1:32" ht="11.25" customHeight="1" x14ac:dyDescent="0.25">
      <c r="V192" s="6"/>
      <c r="W192" s="6"/>
      <c r="X192" s="6"/>
      <c r="Y192" s="6"/>
      <c r="Z192" s="6"/>
      <c r="AA192" s="6"/>
      <c r="AB192" s="6"/>
      <c r="AC192" s="6"/>
      <c r="AD192" s="6"/>
      <c r="AE192" s="6"/>
    </row>
    <row r="193" spans="22:31" ht="11.25" customHeight="1" x14ac:dyDescent="0.25">
      <c r="V193" s="6"/>
      <c r="W193" s="6"/>
      <c r="X193" s="6"/>
      <c r="Y193" s="6"/>
      <c r="Z193" s="6"/>
      <c r="AA193" s="6"/>
      <c r="AB193" s="6"/>
      <c r="AC193" s="6"/>
      <c r="AD193" s="6"/>
      <c r="AE193" s="6"/>
    </row>
    <row r="194" spans="22:31" ht="11.25" customHeight="1" x14ac:dyDescent="0.25">
      <c r="V194" s="6"/>
      <c r="W194" s="6"/>
      <c r="X194" s="6"/>
      <c r="Y194" s="6"/>
      <c r="Z194" s="6"/>
      <c r="AA194" s="6"/>
      <c r="AB194" s="6"/>
      <c r="AC194" s="6"/>
      <c r="AD194" s="6"/>
      <c r="AE194" s="6"/>
    </row>
    <row r="195" spans="22:31" ht="11.25" customHeight="1" x14ac:dyDescent="0.25">
      <c r="V195" s="6"/>
      <c r="W195" s="6"/>
      <c r="X195" s="6"/>
      <c r="Y195" s="6"/>
      <c r="Z195" s="6"/>
      <c r="AA195" s="6"/>
      <c r="AB195" s="6"/>
      <c r="AC195" s="6"/>
      <c r="AD195" s="6"/>
      <c r="AE195" s="6"/>
    </row>
    <row r="196" spans="22:31" ht="11.25" customHeight="1" x14ac:dyDescent="0.25">
      <c r="V196" s="6"/>
      <c r="W196" s="6"/>
      <c r="X196" s="6"/>
      <c r="Y196" s="6"/>
      <c r="Z196" s="6"/>
      <c r="AA196" s="6"/>
      <c r="AB196" s="6"/>
      <c r="AC196" s="6"/>
      <c r="AD196" s="6"/>
      <c r="AE196" s="6"/>
    </row>
    <row r="197" spans="22:31" ht="11.25" customHeight="1" x14ac:dyDescent="0.25">
      <c r="V197" s="6"/>
      <c r="W197" s="6"/>
      <c r="X197" s="6"/>
      <c r="Y197" s="6"/>
      <c r="Z197" s="6"/>
      <c r="AA197" s="6"/>
      <c r="AB197" s="6"/>
      <c r="AC197" s="6"/>
      <c r="AD197" s="6"/>
      <c r="AE197" s="6"/>
    </row>
    <row r="198" spans="22:31" ht="11.25" customHeight="1" x14ac:dyDescent="0.25">
      <c r="V198" s="6"/>
      <c r="W198" s="6"/>
      <c r="X198" s="6"/>
      <c r="Y198" s="6"/>
      <c r="Z198" s="6"/>
      <c r="AA198" s="6"/>
      <c r="AB198" s="6"/>
      <c r="AC198" s="6"/>
      <c r="AD198" s="6"/>
      <c r="AE198" s="6"/>
    </row>
    <row r="199" spans="22:31" ht="11.25" customHeight="1" x14ac:dyDescent="0.25">
      <c r="V199" s="6"/>
      <c r="W199" s="6"/>
      <c r="X199" s="6"/>
      <c r="Y199" s="6"/>
      <c r="Z199" s="6"/>
      <c r="AA199" s="6"/>
      <c r="AB199" s="6"/>
      <c r="AC199" s="6"/>
      <c r="AD199" s="6"/>
      <c r="AE199" s="6"/>
    </row>
    <row r="200" spans="22:31" ht="11.25" customHeight="1" x14ac:dyDescent="0.25">
      <c r="V200" s="6"/>
      <c r="W200" s="6"/>
      <c r="X200" s="6"/>
      <c r="Y200" s="6"/>
      <c r="Z200" s="6"/>
      <c r="AA200" s="6"/>
      <c r="AB200" s="6"/>
      <c r="AC200" s="6"/>
      <c r="AD200" s="6"/>
      <c r="AE200" s="6"/>
    </row>
    <row r="201" spans="22:31" ht="11.25" customHeight="1" x14ac:dyDescent="0.25">
      <c r="V201" s="6"/>
      <c r="W201" s="6"/>
      <c r="X201" s="6"/>
      <c r="Y201" s="6"/>
      <c r="Z201" s="6"/>
      <c r="AA201" s="6"/>
      <c r="AB201" s="6"/>
      <c r="AC201" s="6"/>
      <c r="AD201" s="6"/>
      <c r="AE201" s="6"/>
    </row>
    <row r="202" spans="22:31" ht="11.25" customHeight="1" x14ac:dyDescent="0.25">
      <c r="V202" s="6"/>
      <c r="W202" s="6"/>
      <c r="X202" s="6"/>
      <c r="Y202" s="6"/>
      <c r="Z202" s="6"/>
      <c r="AA202" s="6"/>
      <c r="AB202" s="6"/>
      <c r="AC202" s="6"/>
      <c r="AD202" s="6"/>
      <c r="AE202" s="6"/>
    </row>
    <row r="203" spans="22:31" ht="11.25" customHeight="1" x14ac:dyDescent="0.25">
      <c r="V203" s="6"/>
      <c r="W203" s="6"/>
      <c r="X203" s="6"/>
      <c r="Y203" s="6"/>
      <c r="Z203" s="6"/>
      <c r="AA203" s="6"/>
      <c r="AB203" s="6"/>
      <c r="AC203" s="6"/>
      <c r="AD203" s="6"/>
      <c r="AE203" s="6"/>
    </row>
    <row r="204" spans="22:31" ht="11.25" customHeight="1" x14ac:dyDescent="0.25">
      <c r="V204" s="6"/>
      <c r="W204" s="6"/>
      <c r="X204" s="6"/>
      <c r="Y204" s="6"/>
      <c r="Z204" s="6"/>
      <c r="AA204" s="6"/>
      <c r="AB204" s="6"/>
      <c r="AC204" s="6"/>
      <c r="AD204" s="6"/>
      <c r="AE204" s="6"/>
    </row>
    <row r="205" spans="22:31" ht="11.25" customHeight="1" x14ac:dyDescent="0.25">
      <c r="V205" s="6"/>
      <c r="W205" s="6"/>
      <c r="X205" s="6"/>
      <c r="Y205" s="6"/>
      <c r="Z205" s="6"/>
      <c r="AA205" s="6"/>
      <c r="AB205" s="6"/>
      <c r="AC205" s="6"/>
      <c r="AD205" s="6"/>
      <c r="AE205" s="6"/>
    </row>
    <row r="206" spans="22:31" ht="11.25" customHeight="1" x14ac:dyDescent="0.25">
      <c r="V206" s="6"/>
      <c r="W206" s="6"/>
      <c r="X206" s="6"/>
      <c r="Y206" s="6"/>
      <c r="Z206" s="6"/>
      <c r="AA206" s="6"/>
      <c r="AB206" s="6"/>
      <c r="AC206" s="6"/>
      <c r="AD206" s="6"/>
      <c r="AE206" s="6"/>
    </row>
    <row r="207" spans="22:31" ht="11.25" customHeight="1" x14ac:dyDescent="0.25">
      <c r="V207" s="6"/>
      <c r="W207" s="6"/>
      <c r="X207" s="6"/>
      <c r="Y207" s="6"/>
      <c r="Z207" s="6"/>
      <c r="AA207" s="6"/>
      <c r="AB207" s="6"/>
      <c r="AC207" s="6"/>
      <c r="AD207" s="6"/>
      <c r="AE207" s="6"/>
    </row>
    <row r="208" spans="22:31" ht="11.25" customHeight="1" x14ac:dyDescent="0.25">
      <c r="V208" s="6"/>
      <c r="W208" s="6"/>
      <c r="X208" s="6"/>
      <c r="Y208" s="6"/>
      <c r="Z208" s="6"/>
      <c r="AA208" s="6"/>
      <c r="AB208" s="6"/>
      <c r="AC208" s="6"/>
      <c r="AD208" s="6"/>
      <c r="AE208" s="6"/>
    </row>
    <row r="209" spans="22:31" ht="11.25" customHeight="1" x14ac:dyDescent="0.25">
      <c r="V209" s="6"/>
      <c r="W209" s="6"/>
      <c r="X209" s="6"/>
      <c r="Y209" s="6"/>
      <c r="Z209" s="6"/>
      <c r="AA209" s="6"/>
      <c r="AB209" s="6"/>
      <c r="AC209" s="6"/>
      <c r="AD209" s="6"/>
      <c r="AE209" s="6"/>
    </row>
    <row r="210" spans="22:31" ht="11.25" customHeight="1" x14ac:dyDescent="0.25">
      <c r="V210" s="6"/>
      <c r="W210" s="6"/>
      <c r="X210" s="6"/>
      <c r="Y210" s="6"/>
      <c r="Z210" s="6"/>
      <c r="AA210" s="6"/>
      <c r="AB210" s="6"/>
      <c r="AC210" s="6"/>
      <c r="AD210" s="6"/>
      <c r="AE210" s="6"/>
    </row>
    <row r="211" spans="22:31" ht="11.25" customHeight="1" x14ac:dyDescent="0.25">
      <c r="V211" s="6"/>
      <c r="W211" s="6"/>
      <c r="X211" s="6"/>
      <c r="Y211" s="6"/>
      <c r="Z211" s="6"/>
      <c r="AA211" s="6"/>
      <c r="AB211" s="6"/>
      <c r="AC211" s="6"/>
      <c r="AD211" s="6"/>
      <c r="AE211" s="6"/>
    </row>
    <row r="212" spans="22:31" ht="11.25" customHeight="1" x14ac:dyDescent="0.25">
      <c r="V212" s="6"/>
      <c r="W212" s="6"/>
      <c r="X212" s="6"/>
      <c r="Y212" s="6"/>
      <c r="Z212" s="6"/>
      <c r="AA212" s="6"/>
      <c r="AB212" s="6"/>
      <c r="AC212" s="6"/>
      <c r="AD212" s="6"/>
      <c r="AE212" s="6"/>
    </row>
    <row r="213" spans="22:31" ht="11.25" customHeight="1" x14ac:dyDescent="0.25">
      <c r="V213" s="6"/>
      <c r="W213" s="6"/>
      <c r="X213" s="6"/>
      <c r="Y213" s="6"/>
      <c r="Z213" s="6"/>
      <c r="AA213" s="6"/>
      <c r="AB213" s="6"/>
      <c r="AC213" s="6"/>
      <c r="AD213" s="6"/>
      <c r="AE213" s="6"/>
    </row>
    <row r="214" spans="22:31" ht="11.25" customHeight="1" x14ac:dyDescent="0.25">
      <c r="V214" s="6"/>
      <c r="W214" s="6"/>
      <c r="X214" s="6"/>
      <c r="Y214" s="6"/>
      <c r="Z214" s="6"/>
      <c r="AA214" s="6"/>
      <c r="AB214" s="6"/>
      <c r="AC214" s="6"/>
      <c r="AD214" s="6"/>
      <c r="AE214" s="6"/>
    </row>
    <row r="215" spans="22:31" ht="11.25" customHeight="1" x14ac:dyDescent="0.25">
      <c r="V215" s="6"/>
      <c r="W215" s="6"/>
      <c r="X215" s="6"/>
      <c r="Y215" s="6"/>
      <c r="Z215" s="6"/>
      <c r="AA215" s="6"/>
      <c r="AB215" s="6"/>
      <c r="AC215" s="6"/>
      <c r="AD215" s="6"/>
      <c r="AE215" s="6"/>
    </row>
    <row r="216" spans="22:31" ht="11.25" customHeight="1" x14ac:dyDescent="0.25">
      <c r="V216" s="6"/>
      <c r="W216" s="6"/>
      <c r="X216" s="6"/>
      <c r="Y216" s="6"/>
      <c r="Z216" s="6"/>
      <c r="AA216" s="6"/>
      <c r="AB216" s="6"/>
      <c r="AC216" s="6"/>
      <c r="AD216" s="6"/>
      <c r="AE216" s="6"/>
    </row>
    <row r="217" spans="22:31" ht="11.25" customHeight="1" x14ac:dyDescent="0.25">
      <c r="V217" s="6"/>
      <c r="W217" s="6"/>
      <c r="X217" s="6"/>
      <c r="Y217" s="6"/>
      <c r="Z217" s="6"/>
      <c r="AA217" s="6"/>
      <c r="AB217" s="6"/>
      <c r="AC217" s="6"/>
      <c r="AD217" s="6"/>
      <c r="AE217" s="6"/>
    </row>
    <row r="218" spans="22:31" ht="11.25" customHeight="1" x14ac:dyDescent="0.25">
      <c r="V218" s="6"/>
      <c r="W218" s="6"/>
      <c r="X218" s="6"/>
      <c r="Y218" s="6"/>
      <c r="Z218" s="6"/>
      <c r="AA218" s="6"/>
      <c r="AB218" s="6"/>
      <c r="AC218" s="6"/>
      <c r="AD218" s="6"/>
      <c r="AE218" s="6"/>
    </row>
    <row r="219" spans="22:31" ht="11.25" customHeight="1" x14ac:dyDescent="0.25">
      <c r="V219" s="6"/>
      <c r="W219" s="6"/>
      <c r="X219" s="6"/>
      <c r="Y219" s="6"/>
      <c r="Z219" s="6"/>
      <c r="AA219" s="6"/>
      <c r="AB219" s="6"/>
      <c r="AC219" s="6"/>
      <c r="AD219" s="6"/>
      <c r="AE219" s="6"/>
    </row>
    <row r="220" spans="22:31" ht="11.25" customHeight="1" x14ac:dyDescent="0.25">
      <c r="V220" s="6"/>
      <c r="W220" s="6"/>
      <c r="X220" s="6"/>
      <c r="Y220" s="6"/>
      <c r="Z220" s="6"/>
      <c r="AA220" s="6"/>
      <c r="AB220" s="6"/>
      <c r="AC220" s="6"/>
      <c r="AD220" s="6"/>
      <c r="AE220" s="6"/>
    </row>
    <row r="221" spans="22:31" ht="11.25" customHeight="1" x14ac:dyDescent="0.25">
      <c r="V221" s="6"/>
      <c r="W221" s="6"/>
      <c r="X221" s="6"/>
      <c r="Y221" s="6"/>
      <c r="Z221" s="6"/>
      <c r="AA221" s="6"/>
      <c r="AB221" s="6"/>
      <c r="AC221" s="6"/>
      <c r="AD221" s="6"/>
      <c r="AE221" s="6"/>
    </row>
    <row r="222" spans="22:31" ht="11.25" customHeight="1" x14ac:dyDescent="0.25">
      <c r="V222" s="6"/>
      <c r="W222" s="6"/>
      <c r="X222" s="6"/>
      <c r="Y222" s="6"/>
      <c r="Z222" s="6"/>
      <c r="AA222" s="6"/>
      <c r="AB222" s="6"/>
      <c r="AC222" s="6"/>
      <c r="AD222" s="6"/>
      <c r="AE222" s="6"/>
    </row>
    <row r="223" spans="22:31" ht="11.25" customHeight="1" x14ac:dyDescent="0.25">
      <c r="V223" s="6"/>
      <c r="W223" s="6"/>
      <c r="X223" s="6"/>
      <c r="Y223" s="6"/>
      <c r="Z223" s="6"/>
      <c r="AA223" s="6"/>
      <c r="AB223" s="6"/>
      <c r="AC223" s="6"/>
      <c r="AD223" s="6"/>
      <c r="AE223" s="6"/>
    </row>
    <row r="224" spans="22:31" ht="11.25" customHeight="1" x14ac:dyDescent="0.25">
      <c r="V224" s="6"/>
      <c r="W224" s="6"/>
      <c r="X224" s="6"/>
      <c r="Y224" s="6"/>
      <c r="Z224" s="6"/>
      <c r="AA224" s="6"/>
      <c r="AB224" s="6"/>
      <c r="AC224" s="6"/>
      <c r="AD224" s="6"/>
      <c r="AE224" s="6"/>
    </row>
    <row r="225" spans="22:31" ht="11.25" customHeight="1" x14ac:dyDescent="0.25">
      <c r="V225" s="6"/>
      <c r="W225" s="6"/>
      <c r="X225" s="6"/>
      <c r="Y225" s="6"/>
      <c r="Z225" s="6"/>
      <c r="AA225" s="6"/>
      <c r="AB225" s="6"/>
      <c r="AC225" s="6"/>
      <c r="AD225" s="6"/>
      <c r="AE225" s="6"/>
    </row>
    <row r="226" spans="22:31" ht="11.25" customHeight="1" x14ac:dyDescent="0.25">
      <c r="V226" s="6"/>
      <c r="W226" s="6"/>
      <c r="X226" s="6"/>
      <c r="Y226" s="6"/>
      <c r="Z226" s="6"/>
      <c r="AA226" s="6"/>
      <c r="AB226" s="6"/>
      <c r="AC226" s="6"/>
      <c r="AD226" s="6"/>
      <c r="AE226" s="6"/>
    </row>
    <row r="227" spans="22:31" ht="11.25" customHeight="1" x14ac:dyDescent="0.25">
      <c r="V227" s="6"/>
      <c r="W227" s="6"/>
      <c r="X227" s="6"/>
      <c r="Y227" s="6"/>
      <c r="Z227" s="6"/>
      <c r="AA227" s="6"/>
      <c r="AB227" s="6"/>
      <c r="AC227" s="6"/>
      <c r="AD227" s="6"/>
      <c r="AE227" s="6"/>
    </row>
    <row r="228" spans="22:31" ht="11.25" customHeight="1" x14ac:dyDescent="0.25">
      <c r="V228" s="6"/>
      <c r="W228" s="6"/>
      <c r="X228" s="6"/>
      <c r="Y228" s="6"/>
      <c r="Z228" s="6"/>
      <c r="AA228" s="6"/>
      <c r="AB228" s="6"/>
      <c r="AC228" s="6"/>
      <c r="AD228" s="6"/>
      <c r="AE228" s="6"/>
    </row>
    <row r="229" spans="22:31" ht="11.25" customHeight="1" x14ac:dyDescent="0.25">
      <c r="V229" s="6"/>
      <c r="W229" s="6"/>
      <c r="X229" s="6"/>
      <c r="Y229" s="6"/>
      <c r="Z229" s="6"/>
      <c r="AA229" s="6"/>
      <c r="AB229" s="6"/>
      <c r="AC229" s="6"/>
      <c r="AD229" s="6"/>
      <c r="AE229" s="6"/>
    </row>
    <row r="230" spans="22:31" ht="11.25" customHeight="1" x14ac:dyDescent="0.25">
      <c r="V230" s="6"/>
      <c r="W230" s="6"/>
      <c r="X230" s="6"/>
      <c r="Y230" s="6"/>
      <c r="Z230" s="6"/>
      <c r="AA230" s="6"/>
      <c r="AB230" s="6"/>
      <c r="AC230" s="6"/>
      <c r="AD230" s="6"/>
      <c r="AE230" s="6"/>
    </row>
    <row r="231" spans="22:31" ht="11.25" customHeight="1" x14ac:dyDescent="0.25">
      <c r="V231" s="6"/>
      <c r="W231" s="6"/>
      <c r="X231" s="6"/>
      <c r="Y231" s="6"/>
      <c r="Z231" s="6"/>
      <c r="AA231" s="6"/>
      <c r="AB231" s="6"/>
      <c r="AC231" s="6"/>
      <c r="AD231" s="6"/>
      <c r="AE231" s="6"/>
    </row>
    <row r="232" spans="22:31" ht="11.25" customHeight="1" x14ac:dyDescent="0.25">
      <c r="V232" s="6"/>
      <c r="W232" s="6"/>
      <c r="X232" s="6"/>
      <c r="Y232" s="6"/>
      <c r="Z232" s="6"/>
      <c r="AA232" s="6"/>
      <c r="AB232" s="6"/>
      <c r="AC232" s="6"/>
      <c r="AD232" s="6"/>
      <c r="AE232" s="6"/>
    </row>
    <row r="233" spans="22:31" ht="11.25" customHeight="1" x14ac:dyDescent="0.25">
      <c r="V233" s="6"/>
      <c r="W233" s="6"/>
      <c r="X233" s="6"/>
      <c r="Y233" s="6"/>
      <c r="Z233" s="6"/>
      <c r="AA233" s="6"/>
      <c r="AB233" s="6"/>
      <c r="AC233" s="6"/>
      <c r="AD233" s="6"/>
      <c r="AE233" s="6"/>
    </row>
    <row r="234" spans="22:31" ht="11.25" customHeight="1" x14ac:dyDescent="0.25">
      <c r="V234" s="6"/>
      <c r="W234" s="6"/>
      <c r="X234" s="6"/>
      <c r="Y234" s="6"/>
      <c r="Z234" s="6"/>
      <c r="AA234" s="6"/>
      <c r="AB234" s="6"/>
      <c r="AC234" s="6"/>
      <c r="AD234" s="6"/>
      <c r="AE234" s="6"/>
    </row>
    <row r="235" spans="22:31" ht="11.25" customHeight="1" x14ac:dyDescent="0.25">
      <c r="V235" s="6"/>
      <c r="W235" s="6"/>
      <c r="X235" s="6"/>
      <c r="Y235" s="6"/>
      <c r="Z235" s="6"/>
      <c r="AA235" s="6"/>
      <c r="AB235" s="6"/>
      <c r="AC235" s="6"/>
      <c r="AD235" s="6"/>
      <c r="AE235" s="6"/>
    </row>
    <row r="236" spans="22:31" ht="11.25" customHeight="1" x14ac:dyDescent="0.25">
      <c r="V236" s="6"/>
      <c r="W236" s="6"/>
      <c r="X236" s="6"/>
      <c r="Y236" s="6"/>
      <c r="Z236" s="6"/>
      <c r="AA236" s="6"/>
      <c r="AB236" s="6"/>
      <c r="AC236" s="6"/>
      <c r="AD236" s="6"/>
      <c r="AE236" s="6"/>
    </row>
    <row r="237" spans="22:31" ht="11.25" customHeight="1" x14ac:dyDescent="0.25">
      <c r="V237" s="6"/>
      <c r="W237" s="6"/>
      <c r="X237" s="6"/>
      <c r="Y237" s="6"/>
      <c r="Z237" s="6"/>
      <c r="AA237" s="6"/>
      <c r="AB237" s="6"/>
      <c r="AC237" s="6"/>
      <c r="AD237" s="6"/>
      <c r="AE237" s="6"/>
    </row>
    <row r="238" spans="22:31" ht="11.25" customHeight="1" x14ac:dyDescent="0.25">
      <c r="V238" s="6"/>
      <c r="W238" s="6"/>
      <c r="X238" s="6"/>
      <c r="Y238" s="6"/>
      <c r="Z238" s="6"/>
      <c r="AA238" s="6"/>
      <c r="AB238" s="6"/>
      <c r="AC238" s="6"/>
      <c r="AD238" s="6"/>
      <c r="AE238" s="6"/>
    </row>
    <row r="239" spans="22:31" ht="11.25" customHeight="1" x14ac:dyDescent="0.25">
      <c r="V239" s="6"/>
      <c r="W239" s="6"/>
      <c r="X239" s="6"/>
      <c r="Y239" s="6"/>
      <c r="Z239" s="6"/>
      <c r="AA239" s="6"/>
      <c r="AB239" s="6"/>
      <c r="AC239" s="6"/>
      <c r="AD239" s="6"/>
      <c r="AE239" s="6"/>
    </row>
    <row r="240" spans="22:31" ht="11.25" customHeight="1" x14ac:dyDescent="0.25">
      <c r="V240" s="6"/>
      <c r="W240" s="6"/>
      <c r="X240" s="6"/>
      <c r="Y240" s="6"/>
      <c r="Z240" s="6"/>
      <c r="AA240" s="6"/>
      <c r="AB240" s="6"/>
      <c r="AC240" s="6"/>
      <c r="AD240" s="6"/>
      <c r="AE240" s="6"/>
    </row>
    <row r="241" spans="22:31" ht="11.25" customHeight="1" x14ac:dyDescent="0.25">
      <c r="V241" s="6"/>
      <c r="W241" s="6"/>
      <c r="X241" s="6"/>
      <c r="Y241" s="6"/>
      <c r="Z241" s="6"/>
      <c r="AA241" s="6"/>
      <c r="AB241" s="6"/>
      <c r="AC241" s="6"/>
      <c r="AD241" s="6"/>
      <c r="AE241" s="6"/>
    </row>
    <row r="242" spans="22:31" ht="11.25" customHeight="1" x14ac:dyDescent="0.25">
      <c r="V242" s="6"/>
      <c r="W242" s="6"/>
      <c r="X242" s="6"/>
      <c r="Y242" s="6"/>
      <c r="Z242" s="6"/>
      <c r="AA242" s="6"/>
      <c r="AB242" s="6"/>
      <c r="AC242" s="6"/>
      <c r="AD242" s="6"/>
      <c r="AE242" s="6"/>
    </row>
    <row r="243" spans="22:31" ht="11.25" customHeight="1" x14ac:dyDescent="0.25">
      <c r="V243" s="6"/>
      <c r="W243" s="6"/>
      <c r="X243" s="6"/>
      <c r="Y243" s="6"/>
      <c r="Z243" s="6"/>
      <c r="AA243" s="6"/>
      <c r="AB243" s="6"/>
      <c r="AC243" s="6"/>
      <c r="AD243" s="6"/>
      <c r="AE243" s="6"/>
    </row>
    <row r="244" spans="22:31" ht="11.25" customHeight="1" x14ac:dyDescent="0.25">
      <c r="V244" s="6"/>
      <c r="W244" s="6"/>
      <c r="X244" s="6"/>
      <c r="Y244" s="6"/>
      <c r="Z244" s="6"/>
      <c r="AA244" s="6"/>
      <c r="AB244" s="6"/>
      <c r="AC244" s="6"/>
      <c r="AD244" s="6"/>
      <c r="AE244" s="6"/>
    </row>
    <row r="245" spans="22:31" ht="11.25" customHeight="1" x14ac:dyDescent="0.25">
      <c r="V245" s="6"/>
      <c r="W245" s="6"/>
      <c r="X245" s="6"/>
      <c r="Y245" s="6"/>
      <c r="Z245" s="6"/>
      <c r="AA245" s="6"/>
      <c r="AB245" s="6"/>
      <c r="AC245" s="6"/>
      <c r="AD245" s="6"/>
      <c r="AE245" s="6"/>
    </row>
    <row r="246" spans="22:31" ht="11.25" customHeight="1" x14ac:dyDescent="0.25">
      <c r="V246" s="6"/>
      <c r="W246" s="6"/>
      <c r="X246" s="6"/>
      <c r="Y246" s="6"/>
      <c r="Z246" s="6"/>
      <c r="AA246" s="6"/>
      <c r="AB246" s="6"/>
      <c r="AC246" s="6"/>
      <c r="AD246" s="6"/>
      <c r="AE246" s="6"/>
    </row>
    <row r="247" spans="22:31" ht="11.25" customHeight="1" x14ac:dyDescent="0.25">
      <c r="V247" s="6"/>
      <c r="W247" s="6"/>
      <c r="X247" s="6"/>
      <c r="Y247" s="6"/>
      <c r="Z247" s="6"/>
      <c r="AA247" s="6"/>
      <c r="AB247" s="6"/>
      <c r="AC247" s="6"/>
      <c r="AD247" s="6"/>
      <c r="AE247" s="6"/>
    </row>
    <row r="248" spans="22:31" ht="11.25" customHeight="1" x14ac:dyDescent="0.25">
      <c r="V248" s="6"/>
      <c r="W248" s="6"/>
      <c r="X248" s="6"/>
      <c r="Y248" s="6"/>
      <c r="Z248" s="6"/>
      <c r="AA248" s="6"/>
      <c r="AB248" s="6"/>
      <c r="AC248" s="6"/>
      <c r="AD248" s="6"/>
      <c r="AE248" s="6"/>
    </row>
    <row r="249" spans="22:31" ht="11.25" customHeight="1" x14ac:dyDescent="0.25">
      <c r="V249" s="6"/>
      <c r="W249" s="6"/>
      <c r="X249" s="6"/>
      <c r="Y249" s="6"/>
      <c r="Z249" s="6"/>
      <c r="AA249" s="6"/>
      <c r="AB249" s="6"/>
      <c r="AC249" s="6"/>
      <c r="AD249" s="6"/>
      <c r="AE249" s="6"/>
    </row>
    <row r="250" spans="22:31" ht="11.25" customHeight="1" x14ac:dyDescent="0.25">
      <c r="V250" s="6"/>
      <c r="W250" s="6"/>
      <c r="X250" s="6"/>
      <c r="Y250" s="6"/>
      <c r="Z250" s="6"/>
      <c r="AA250" s="6"/>
      <c r="AB250" s="6"/>
      <c r="AC250" s="6"/>
      <c r="AD250" s="6"/>
      <c r="AE250" s="6"/>
    </row>
    <row r="251" spans="22:31" ht="11.25" customHeight="1" x14ac:dyDescent="0.25">
      <c r="V251" s="6"/>
      <c r="W251" s="6"/>
      <c r="X251" s="6"/>
      <c r="Y251" s="6"/>
      <c r="Z251" s="6"/>
      <c r="AA251" s="6"/>
      <c r="AB251" s="6"/>
      <c r="AC251" s="6"/>
      <c r="AD251" s="6"/>
      <c r="AE251" s="6"/>
    </row>
    <row r="252" spans="22:31" ht="11.25" customHeight="1" x14ac:dyDescent="0.25">
      <c r="V252" s="6"/>
      <c r="W252" s="6"/>
      <c r="X252" s="6"/>
      <c r="Y252" s="6"/>
      <c r="Z252" s="6"/>
      <c r="AA252" s="6"/>
      <c r="AB252" s="6"/>
      <c r="AC252" s="6"/>
      <c r="AD252" s="6"/>
      <c r="AE252" s="6"/>
    </row>
    <row r="253" spans="22:31" ht="11.25" customHeight="1" x14ac:dyDescent="0.25">
      <c r="V253" s="6"/>
      <c r="W253" s="6"/>
      <c r="X253" s="6"/>
      <c r="Y253" s="6"/>
      <c r="Z253" s="6"/>
      <c r="AA253" s="6"/>
      <c r="AB253" s="6"/>
      <c r="AC253" s="6"/>
      <c r="AD253" s="6"/>
      <c r="AE253" s="6"/>
    </row>
    <row r="254" spans="22:31" ht="11.25" customHeight="1" x14ac:dyDescent="0.25">
      <c r="V254" s="6"/>
      <c r="W254" s="6"/>
      <c r="X254" s="6"/>
      <c r="Y254" s="6"/>
      <c r="Z254" s="6"/>
      <c r="AA254" s="6"/>
      <c r="AB254" s="6"/>
      <c r="AC254" s="6"/>
      <c r="AD254" s="6"/>
      <c r="AE254" s="6"/>
    </row>
    <row r="255" spans="22:31" ht="11.25" customHeight="1" x14ac:dyDescent="0.25">
      <c r="V255" s="6"/>
      <c r="W255" s="6"/>
      <c r="X255" s="6"/>
      <c r="Y255" s="6"/>
      <c r="Z255" s="6"/>
      <c r="AA255" s="6"/>
      <c r="AB255" s="6"/>
      <c r="AC255" s="6"/>
      <c r="AD255" s="6"/>
      <c r="AE255" s="6"/>
    </row>
    <row r="256" spans="22:31" ht="11.25" customHeight="1" x14ac:dyDescent="0.25">
      <c r="V256" s="6"/>
      <c r="W256" s="6"/>
      <c r="X256" s="6"/>
      <c r="Y256" s="6"/>
      <c r="Z256" s="6"/>
      <c r="AA256" s="6"/>
      <c r="AB256" s="6"/>
      <c r="AC256" s="6"/>
      <c r="AD256" s="6"/>
      <c r="AE256" s="6"/>
    </row>
    <row r="257" spans="22:31" ht="11.25" customHeight="1" x14ac:dyDescent="0.25">
      <c r="V257" s="6"/>
      <c r="W257" s="6"/>
      <c r="X257" s="6"/>
      <c r="Y257" s="6"/>
      <c r="Z257" s="6"/>
      <c r="AA257" s="6"/>
      <c r="AB257" s="6"/>
      <c r="AC257" s="6"/>
      <c r="AD257" s="6"/>
      <c r="AE257" s="6"/>
    </row>
    <row r="258" spans="22:31" ht="11.25" customHeight="1" x14ac:dyDescent="0.25">
      <c r="V258" s="6"/>
      <c r="W258" s="6"/>
      <c r="X258" s="6"/>
      <c r="Y258" s="6"/>
      <c r="Z258" s="6"/>
      <c r="AA258" s="6"/>
      <c r="AB258" s="6"/>
      <c r="AC258" s="6"/>
      <c r="AD258" s="6"/>
      <c r="AE258" s="6"/>
    </row>
    <row r="259" spans="22:31" ht="11.25" customHeight="1" x14ac:dyDescent="0.25">
      <c r="V259" s="6"/>
      <c r="W259" s="6"/>
      <c r="X259" s="6"/>
      <c r="Y259" s="6"/>
      <c r="Z259" s="6"/>
      <c r="AA259" s="6"/>
      <c r="AB259" s="6"/>
      <c r="AC259" s="6"/>
      <c r="AD259" s="6"/>
      <c r="AE259" s="6"/>
    </row>
    <row r="260" spans="22:31" ht="11.25" customHeight="1" x14ac:dyDescent="0.25">
      <c r="V260" s="6"/>
      <c r="W260" s="6"/>
      <c r="X260" s="6"/>
      <c r="Y260" s="6"/>
      <c r="Z260" s="6"/>
      <c r="AA260" s="6"/>
      <c r="AB260" s="6"/>
      <c r="AC260" s="6"/>
      <c r="AD260" s="6"/>
      <c r="AE260" s="6"/>
    </row>
    <row r="261" spans="22:31" ht="11.25" customHeight="1" x14ac:dyDescent="0.25">
      <c r="V261" s="6"/>
      <c r="W261" s="6"/>
      <c r="X261" s="6"/>
      <c r="Y261" s="6"/>
      <c r="Z261" s="6"/>
      <c r="AA261" s="6"/>
      <c r="AB261" s="6"/>
      <c r="AC261" s="6"/>
      <c r="AD261" s="6"/>
      <c r="AE261" s="6"/>
    </row>
    <row r="262" spans="22:31" ht="11.25" customHeight="1" x14ac:dyDescent="0.25">
      <c r="V262" s="6"/>
      <c r="W262" s="6"/>
      <c r="X262" s="6"/>
      <c r="Y262" s="6"/>
      <c r="Z262" s="6"/>
      <c r="AA262" s="6"/>
      <c r="AB262" s="6"/>
      <c r="AC262" s="6"/>
      <c r="AD262" s="6"/>
      <c r="AE262" s="6"/>
    </row>
    <row r="263" spans="22:31" ht="11.25" customHeight="1" x14ac:dyDescent="0.25">
      <c r="V263" s="6"/>
      <c r="W263" s="6"/>
      <c r="X263" s="6"/>
      <c r="Y263" s="6"/>
      <c r="Z263" s="6"/>
      <c r="AA263" s="6"/>
      <c r="AB263" s="6"/>
      <c r="AC263" s="6"/>
      <c r="AD263" s="6"/>
      <c r="AE263" s="6"/>
    </row>
    <row r="264" spans="22:31" ht="11.25" customHeight="1" x14ac:dyDescent="0.25">
      <c r="V264" s="6"/>
      <c r="W264" s="6"/>
      <c r="X264" s="6"/>
      <c r="Y264" s="6"/>
      <c r="Z264" s="6"/>
      <c r="AA264" s="6"/>
      <c r="AB264" s="6"/>
      <c r="AC264" s="6"/>
      <c r="AD264" s="6"/>
      <c r="AE264" s="6"/>
    </row>
    <row r="265" spans="22:31" ht="11.25" customHeight="1" x14ac:dyDescent="0.25">
      <c r="V265" s="6"/>
      <c r="W265" s="6"/>
      <c r="X265" s="6"/>
      <c r="Y265" s="6"/>
      <c r="Z265" s="6"/>
      <c r="AA265" s="6"/>
      <c r="AB265" s="6"/>
      <c r="AC265" s="6"/>
      <c r="AD265" s="6"/>
      <c r="AE265" s="6"/>
    </row>
    <row r="266" spans="22:31" ht="11.25" customHeight="1" x14ac:dyDescent="0.25">
      <c r="V266" s="6"/>
      <c r="W266" s="6"/>
      <c r="X266" s="6"/>
      <c r="Y266" s="6"/>
      <c r="Z266" s="6"/>
      <c r="AA266" s="6"/>
      <c r="AB266" s="6"/>
      <c r="AC266" s="6"/>
      <c r="AD266" s="6"/>
      <c r="AE266" s="6"/>
    </row>
    <row r="267" spans="22:31" ht="11.25" customHeight="1" x14ac:dyDescent="0.25">
      <c r="V267" s="6"/>
      <c r="W267" s="6"/>
      <c r="X267" s="6"/>
      <c r="Y267" s="6"/>
      <c r="Z267" s="6"/>
      <c r="AA267" s="6"/>
      <c r="AB267" s="6"/>
      <c r="AC267" s="6"/>
      <c r="AD267" s="6"/>
      <c r="AE267" s="6"/>
    </row>
    <row r="268" spans="22:31" ht="11.25" customHeight="1" x14ac:dyDescent="0.25">
      <c r="V268" s="6"/>
      <c r="W268" s="6"/>
      <c r="X268" s="6"/>
      <c r="Y268" s="6"/>
      <c r="Z268" s="6"/>
      <c r="AA268" s="6"/>
      <c r="AB268" s="6"/>
      <c r="AC268" s="6"/>
      <c r="AD268" s="6"/>
      <c r="AE268" s="6"/>
    </row>
    <row r="269" spans="22:31" ht="11.25" customHeight="1" x14ac:dyDescent="0.25">
      <c r="V269" s="6"/>
      <c r="W269" s="6"/>
      <c r="X269" s="6"/>
      <c r="Y269" s="6"/>
      <c r="Z269" s="6"/>
      <c r="AA269" s="6"/>
      <c r="AB269" s="6"/>
      <c r="AC269" s="6"/>
      <c r="AD269" s="6"/>
      <c r="AE269" s="6"/>
    </row>
    <row r="270" spans="22:31" ht="11.25" customHeight="1" x14ac:dyDescent="0.25">
      <c r="V270" s="6"/>
      <c r="W270" s="6"/>
      <c r="X270" s="6"/>
      <c r="Y270" s="6"/>
      <c r="Z270" s="6"/>
      <c r="AA270" s="6"/>
      <c r="AB270" s="6"/>
      <c r="AC270" s="6"/>
      <c r="AD270" s="6"/>
      <c r="AE270" s="6"/>
    </row>
    <row r="271" spans="22:31" ht="11.25" customHeight="1" x14ac:dyDescent="0.25">
      <c r="V271" s="6"/>
      <c r="W271" s="6"/>
      <c r="X271" s="6"/>
      <c r="Y271" s="6"/>
      <c r="Z271" s="6"/>
      <c r="AA271" s="6"/>
      <c r="AB271" s="6"/>
      <c r="AC271" s="6"/>
      <c r="AD271" s="6"/>
      <c r="AE271" s="6"/>
    </row>
    <row r="272" spans="22:31" ht="11.25" customHeight="1" x14ac:dyDescent="0.25">
      <c r="V272" s="6"/>
      <c r="W272" s="6"/>
      <c r="X272" s="6"/>
      <c r="Y272" s="6"/>
      <c r="Z272" s="6"/>
      <c r="AA272" s="6"/>
      <c r="AB272" s="6"/>
      <c r="AC272" s="6"/>
      <c r="AD272" s="6"/>
      <c r="AE272" s="6"/>
    </row>
    <row r="273" spans="22:31" ht="11.25" customHeight="1" x14ac:dyDescent="0.25">
      <c r="V273" s="6"/>
      <c r="W273" s="6"/>
      <c r="X273" s="6"/>
      <c r="Y273" s="6"/>
      <c r="Z273" s="6"/>
      <c r="AA273" s="6"/>
      <c r="AB273" s="6"/>
      <c r="AC273" s="6"/>
      <c r="AD273" s="6"/>
      <c r="AE273" s="6"/>
    </row>
    <row r="274" spans="22:31" ht="11.25" customHeight="1" x14ac:dyDescent="0.25">
      <c r="V274" s="6"/>
      <c r="W274" s="6"/>
      <c r="X274" s="6"/>
      <c r="Y274" s="6"/>
      <c r="Z274" s="6"/>
      <c r="AA274" s="6"/>
      <c r="AB274" s="6"/>
      <c r="AC274" s="6"/>
      <c r="AD274" s="6"/>
      <c r="AE274" s="6"/>
    </row>
    <row r="275" spans="22:31" ht="11.25" customHeight="1" x14ac:dyDescent="0.25">
      <c r="V275" s="6"/>
      <c r="W275" s="6"/>
      <c r="X275" s="6"/>
      <c r="Y275" s="6"/>
      <c r="Z275" s="6"/>
      <c r="AA275" s="6"/>
      <c r="AB275" s="6"/>
      <c r="AC275" s="6"/>
      <c r="AD275" s="6"/>
      <c r="AE275" s="6"/>
    </row>
    <row r="276" spans="22:31" ht="11.25" customHeight="1" x14ac:dyDescent="0.25">
      <c r="V276" s="6"/>
      <c r="W276" s="6"/>
      <c r="X276" s="6"/>
      <c r="Y276" s="6"/>
      <c r="Z276" s="6"/>
      <c r="AA276" s="6"/>
      <c r="AB276" s="6"/>
      <c r="AC276" s="6"/>
      <c r="AD276" s="6"/>
      <c r="AE276" s="6"/>
    </row>
    <row r="277" spans="22:31" ht="11.25" customHeight="1" x14ac:dyDescent="0.25">
      <c r="V277" s="6"/>
      <c r="W277" s="6"/>
      <c r="X277" s="6"/>
      <c r="Y277" s="6"/>
      <c r="Z277" s="6"/>
      <c r="AA277" s="6"/>
      <c r="AB277" s="6"/>
      <c r="AC277" s="6"/>
      <c r="AD277" s="6"/>
      <c r="AE277" s="6"/>
    </row>
    <row r="278" spans="22:31" ht="11.25" customHeight="1" x14ac:dyDescent="0.25">
      <c r="V278" s="6"/>
      <c r="W278" s="6"/>
      <c r="X278" s="6"/>
      <c r="Y278" s="6"/>
      <c r="Z278" s="6"/>
      <c r="AA278" s="6"/>
      <c r="AB278" s="6"/>
      <c r="AC278" s="6"/>
      <c r="AD278" s="6"/>
      <c r="AE278" s="6"/>
    </row>
    <row r="279" spans="22:31" ht="11.25" customHeight="1" x14ac:dyDescent="0.25">
      <c r="V279" s="6"/>
      <c r="W279" s="6"/>
      <c r="X279" s="6"/>
      <c r="Y279" s="6"/>
      <c r="Z279" s="6"/>
      <c r="AA279" s="6"/>
      <c r="AB279" s="6"/>
      <c r="AC279" s="6"/>
      <c r="AD279" s="6"/>
      <c r="AE279" s="6"/>
    </row>
    <row r="280" spans="22:31" ht="11.25" customHeight="1" x14ac:dyDescent="0.25">
      <c r="V280" s="6"/>
      <c r="W280" s="6"/>
      <c r="X280" s="6"/>
      <c r="Y280" s="6"/>
      <c r="Z280" s="6"/>
      <c r="AA280" s="6"/>
      <c r="AB280" s="6"/>
      <c r="AC280" s="6"/>
      <c r="AD280" s="6"/>
      <c r="AE280" s="6"/>
    </row>
    <row r="281" spans="22:31" ht="11.25" customHeight="1" x14ac:dyDescent="0.25">
      <c r="V281" s="6"/>
      <c r="W281" s="6"/>
      <c r="X281" s="6"/>
      <c r="Y281" s="6"/>
      <c r="Z281" s="6"/>
      <c r="AA281" s="6"/>
      <c r="AB281" s="6"/>
      <c r="AC281" s="6"/>
      <c r="AD281" s="6"/>
      <c r="AE281" s="6"/>
    </row>
    <row r="282" spans="22:31" ht="11.25" customHeight="1" x14ac:dyDescent="0.25">
      <c r="V282" s="6"/>
      <c r="W282" s="6"/>
      <c r="X282" s="6"/>
      <c r="Y282" s="6"/>
      <c r="Z282" s="6"/>
      <c r="AA282" s="6"/>
      <c r="AB282" s="6"/>
      <c r="AC282" s="6"/>
      <c r="AD282" s="6"/>
      <c r="AE282" s="6"/>
    </row>
    <row r="283" spans="22:31" ht="11.25" customHeight="1" x14ac:dyDescent="0.25">
      <c r="V283" s="6"/>
      <c r="W283" s="6"/>
      <c r="X283" s="6"/>
      <c r="Y283" s="6"/>
      <c r="Z283" s="6"/>
      <c r="AA283" s="6"/>
      <c r="AB283" s="6"/>
      <c r="AC283" s="6"/>
      <c r="AD283" s="6"/>
      <c r="AE283" s="6"/>
    </row>
    <row r="284" spans="22:31" ht="11.25" customHeight="1" x14ac:dyDescent="0.25">
      <c r="V284" s="6"/>
      <c r="W284" s="6"/>
      <c r="X284" s="6"/>
      <c r="Y284" s="6"/>
      <c r="Z284" s="6"/>
      <c r="AA284" s="6"/>
      <c r="AB284" s="6"/>
      <c r="AC284" s="6"/>
      <c r="AD284" s="6"/>
      <c r="AE284" s="6"/>
    </row>
    <row r="285" spans="22:31" ht="11.25" customHeight="1" x14ac:dyDescent="0.25">
      <c r="V285" s="6"/>
      <c r="W285" s="6"/>
      <c r="X285" s="6"/>
      <c r="Y285" s="6"/>
      <c r="Z285" s="6"/>
      <c r="AA285" s="6"/>
      <c r="AB285" s="6"/>
      <c r="AC285" s="6"/>
      <c r="AD285" s="6"/>
      <c r="AE285" s="6"/>
    </row>
    <row r="286" spans="22:31" ht="11.25" customHeight="1" x14ac:dyDescent="0.25">
      <c r="V286" s="6"/>
      <c r="W286" s="6"/>
      <c r="X286" s="6"/>
      <c r="Y286" s="6"/>
      <c r="Z286" s="6"/>
      <c r="AA286" s="6"/>
      <c r="AB286" s="6"/>
      <c r="AC286" s="6"/>
      <c r="AD286" s="6"/>
      <c r="AE286" s="6"/>
    </row>
    <row r="287" spans="22:31" ht="11.25" customHeight="1" x14ac:dyDescent="0.25">
      <c r="V287" s="6"/>
      <c r="W287" s="6"/>
      <c r="X287" s="6"/>
      <c r="Y287" s="6"/>
      <c r="Z287" s="6"/>
      <c r="AA287" s="6"/>
      <c r="AB287" s="6"/>
      <c r="AC287" s="6"/>
      <c r="AD287" s="6"/>
      <c r="AE287" s="6"/>
    </row>
    <row r="288" spans="22:31" ht="11.25" customHeight="1" x14ac:dyDescent="0.25">
      <c r="V288" s="6"/>
      <c r="W288" s="6"/>
      <c r="X288" s="6"/>
      <c r="Y288" s="6"/>
      <c r="Z288" s="6"/>
      <c r="AA288" s="6"/>
      <c r="AB288" s="6"/>
      <c r="AC288" s="6"/>
      <c r="AD288" s="6"/>
      <c r="AE288" s="6"/>
    </row>
    <row r="289" spans="22:31" ht="11.25" customHeight="1" x14ac:dyDescent="0.25">
      <c r="V289" s="6"/>
      <c r="W289" s="6"/>
      <c r="X289" s="6"/>
      <c r="Y289" s="6"/>
      <c r="Z289" s="6"/>
      <c r="AA289" s="6"/>
      <c r="AB289" s="6"/>
      <c r="AC289" s="6"/>
      <c r="AD289" s="6"/>
      <c r="AE289" s="6"/>
    </row>
    <row r="290" spans="22:31" ht="11.25" customHeight="1" x14ac:dyDescent="0.25">
      <c r="V290" s="6"/>
      <c r="W290" s="6"/>
      <c r="X290" s="6"/>
      <c r="Y290" s="6"/>
      <c r="Z290" s="6"/>
      <c r="AA290" s="6"/>
      <c r="AB290" s="6"/>
      <c r="AC290" s="6"/>
      <c r="AD290" s="6"/>
      <c r="AE290" s="6"/>
    </row>
    <row r="291" spans="22:31" ht="11.25" customHeight="1" x14ac:dyDescent="0.25">
      <c r="V291" s="6"/>
      <c r="W291" s="6"/>
      <c r="X291" s="6"/>
      <c r="Y291" s="6"/>
      <c r="Z291" s="6"/>
      <c r="AA291" s="6"/>
      <c r="AB291" s="6"/>
      <c r="AC291" s="6"/>
      <c r="AD291" s="6"/>
      <c r="AE291" s="6"/>
    </row>
    <row r="292" spans="22:31" ht="11.25" customHeight="1" x14ac:dyDescent="0.25">
      <c r="V292" s="6"/>
      <c r="W292" s="6"/>
      <c r="X292" s="6"/>
      <c r="Y292" s="6"/>
      <c r="Z292" s="6"/>
      <c r="AA292" s="6"/>
      <c r="AB292" s="6"/>
      <c r="AC292" s="6"/>
      <c r="AD292" s="6"/>
      <c r="AE292" s="6"/>
    </row>
    <row r="293" spans="22:31" ht="11.25" customHeight="1" x14ac:dyDescent="0.25">
      <c r="V293" s="6"/>
      <c r="W293" s="6"/>
      <c r="X293" s="6"/>
      <c r="Y293" s="6"/>
      <c r="Z293" s="6"/>
      <c r="AA293" s="6"/>
      <c r="AB293" s="6"/>
      <c r="AC293" s="6"/>
      <c r="AD293" s="6"/>
      <c r="AE293" s="6"/>
    </row>
    <row r="294" spans="22:31" ht="11.25" customHeight="1" x14ac:dyDescent="0.25">
      <c r="V294" s="6"/>
      <c r="W294" s="6"/>
      <c r="X294" s="6"/>
      <c r="Y294" s="6"/>
      <c r="Z294" s="6"/>
      <c r="AA294" s="6"/>
      <c r="AB294" s="6"/>
      <c r="AC294" s="6"/>
      <c r="AD294" s="6"/>
      <c r="AE294" s="6"/>
    </row>
    <row r="295" spans="22:31" ht="11.25" customHeight="1" x14ac:dyDescent="0.25">
      <c r="V295" s="6"/>
      <c r="W295" s="6"/>
      <c r="X295" s="6"/>
      <c r="Y295" s="6"/>
      <c r="Z295" s="6"/>
      <c r="AA295" s="6"/>
      <c r="AB295" s="6"/>
      <c r="AC295" s="6"/>
      <c r="AD295" s="6"/>
      <c r="AE295" s="6"/>
    </row>
    <row r="296" spans="22:31" ht="11.25" customHeight="1" x14ac:dyDescent="0.25">
      <c r="V296" s="6"/>
      <c r="W296" s="6"/>
      <c r="X296" s="6"/>
      <c r="Y296" s="6"/>
      <c r="Z296" s="6"/>
      <c r="AA296" s="6"/>
      <c r="AB296" s="6"/>
      <c r="AC296" s="6"/>
      <c r="AD296" s="6"/>
      <c r="AE296" s="6"/>
    </row>
    <row r="297" spans="22:31" ht="11.25" customHeight="1" x14ac:dyDescent="0.25">
      <c r="V297" s="6"/>
      <c r="W297" s="6"/>
      <c r="X297" s="6"/>
      <c r="Y297" s="6"/>
      <c r="Z297" s="6"/>
      <c r="AA297" s="6"/>
      <c r="AB297" s="6"/>
      <c r="AC297" s="6"/>
      <c r="AD297" s="6"/>
      <c r="AE297" s="6"/>
    </row>
    <row r="298" spans="22:31" ht="11.25" customHeight="1" x14ac:dyDescent="0.25">
      <c r="V298" s="6"/>
      <c r="W298" s="6"/>
      <c r="X298" s="6"/>
      <c r="Y298" s="6"/>
      <c r="Z298" s="6"/>
      <c r="AA298" s="6"/>
      <c r="AB298" s="6"/>
      <c r="AC298" s="6"/>
      <c r="AD298" s="6"/>
      <c r="AE298" s="6"/>
    </row>
    <row r="299" spans="22:31" ht="11.25" customHeight="1" x14ac:dyDescent="0.25">
      <c r="V299" s="6"/>
      <c r="W299" s="6"/>
      <c r="X299" s="6"/>
      <c r="Y299" s="6"/>
      <c r="Z299" s="6"/>
      <c r="AA299" s="6"/>
      <c r="AB299" s="6"/>
      <c r="AC299" s="6"/>
      <c r="AD299" s="6"/>
      <c r="AE299" s="6"/>
    </row>
    <row r="300" spans="22:31" ht="11.25" customHeight="1" x14ac:dyDescent="0.25">
      <c r="V300" s="6"/>
      <c r="W300" s="6"/>
      <c r="X300" s="6"/>
      <c r="Y300" s="6"/>
      <c r="Z300" s="6"/>
      <c r="AA300" s="6"/>
      <c r="AB300" s="6"/>
      <c r="AC300" s="6"/>
      <c r="AD300" s="6"/>
      <c r="AE300" s="6"/>
    </row>
    <row r="301" spans="22:31" ht="11.25" customHeight="1" x14ac:dyDescent="0.25">
      <c r="V301" s="6"/>
      <c r="W301" s="6"/>
      <c r="X301" s="6"/>
      <c r="Y301" s="6"/>
      <c r="Z301" s="6"/>
      <c r="AA301" s="6"/>
      <c r="AB301" s="6"/>
      <c r="AC301" s="6"/>
      <c r="AD301" s="6"/>
      <c r="AE301" s="6"/>
    </row>
    <row r="302" spans="22:31" ht="11.25" customHeight="1" x14ac:dyDescent="0.25">
      <c r="V302" s="6"/>
      <c r="W302" s="6"/>
      <c r="X302" s="6"/>
      <c r="Y302" s="6"/>
      <c r="Z302" s="6"/>
      <c r="AA302" s="6"/>
      <c r="AB302" s="6"/>
      <c r="AC302" s="6"/>
      <c r="AD302" s="6"/>
      <c r="AE302" s="6"/>
    </row>
    <row r="303" spans="22:31" ht="11.25" customHeight="1" x14ac:dyDescent="0.25">
      <c r="V303" s="6"/>
      <c r="W303" s="6"/>
      <c r="X303" s="6"/>
      <c r="Y303" s="6"/>
      <c r="Z303" s="6"/>
      <c r="AA303" s="6"/>
      <c r="AB303" s="6"/>
      <c r="AC303" s="6"/>
      <c r="AD303" s="6"/>
      <c r="AE303" s="6"/>
    </row>
    <row r="304" spans="22:31" ht="11.25" customHeight="1" x14ac:dyDescent="0.25">
      <c r="V304" s="6"/>
      <c r="W304" s="6"/>
      <c r="X304" s="6"/>
      <c r="Y304" s="6"/>
      <c r="Z304" s="6"/>
      <c r="AA304" s="6"/>
      <c r="AB304" s="6"/>
      <c r="AC304" s="6"/>
      <c r="AD304" s="6"/>
      <c r="AE304" s="6"/>
    </row>
    <row r="305" spans="22:31" ht="11.25" customHeight="1" x14ac:dyDescent="0.25">
      <c r="V305" s="6"/>
      <c r="W305" s="6"/>
      <c r="X305" s="6"/>
      <c r="Y305" s="6"/>
      <c r="Z305" s="6"/>
      <c r="AA305" s="6"/>
      <c r="AB305" s="6"/>
      <c r="AC305" s="6"/>
      <c r="AD305" s="6"/>
      <c r="AE305" s="6"/>
    </row>
    <row r="306" spans="22:31" ht="11.25" customHeight="1" x14ac:dyDescent="0.25">
      <c r="V306" s="6"/>
      <c r="W306" s="6"/>
      <c r="X306" s="6"/>
      <c r="Y306" s="6"/>
      <c r="Z306" s="6"/>
      <c r="AA306" s="6"/>
      <c r="AB306" s="6"/>
      <c r="AC306" s="6"/>
      <c r="AD306" s="6"/>
      <c r="AE306" s="6"/>
    </row>
    <row r="307" spans="22:31" ht="11.25" customHeight="1" x14ac:dyDescent="0.25">
      <c r="V307" s="6"/>
      <c r="W307" s="6"/>
      <c r="X307" s="6"/>
      <c r="Y307" s="6"/>
      <c r="Z307" s="6"/>
      <c r="AA307" s="6"/>
      <c r="AB307" s="6"/>
      <c r="AC307" s="6"/>
      <c r="AD307" s="6"/>
      <c r="AE307" s="6"/>
    </row>
    <row r="308" spans="22:31" ht="11.25" customHeight="1" x14ac:dyDescent="0.25">
      <c r="V308" s="6"/>
      <c r="W308" s="6"/>
      <c r="X308" s="6"/>
      <c r="Y308" s="6"/>
      <c r="Z308" s="6"/>
      <c r="AA308" s="6"/>
      <c r="AB308" s="6"/>
      <c r="AC308" s="6"/>
      <c r="AD308" s="6"/>
      <c r="AE308" s="6"/>
    </row>
    <row r="309" spans="22:31" ht="11.25" customHeight="1" x14ac:dyDescent="0.25">
      <c r="V309" s="6"/>
      <c r="W309" s="6"/>
      <c r="X309" s="6"/>
      <c r="Y309" s="6"/>
      <c r="Z309" s="6"/>
      <c r="AA309" s="6"/>
      <c r="AB309" s="6"/>
      <c r="AC309" s="6"/>
      <c r="AD309" s="6"/>
      <c r="AE309" s="6"/>
    </row>
    <row r="310" spans="22:31" ht="11.25" customHeight="1" x14ac:dyDescent="0.25">
      <c r="V310" s="6"/>
      <c r="W310" s="6"/>
      <c r="X310" s="6"/>
      <c r="Y310" s="6"/>
      <c r="Z310" s="6"/>
      <c r="AA310" s="6"/>
      <c r="AB310" s="6"/>
      <c r="AC310" s="6"/>
      <c r="AD310" s="6"/>
      <c r="AE310" s="6"/>
    </row>
    <row r="311" spans="22:31" ht="11.25" customHeight="1" x14ac:dyDescent="0.25">
      <c r="V311" s="6"/>
      <c r="W311" s="6"/>
      <c r="X311" s="6"/>
      <c r="Y311" s="6"/>
      <c r="Z311" s="6"/>
      <c r="AA311" s="6"/>
      <c r="AB311" s="6"/>
      <c r="AC311" s="6"/>
      <c r="AD311" s="6"/>
      <c r="AE311" s="6"/>
    </row>
    <row r="312" spans="22:31" ht="11.25" customHeight="1" x14ac:dyDescent="0.25">
      <c r="V312" s="6"/>
      <c r="W312" s="6"/>
      <c r="X312" s="6"/>
      <c r="Y312" s="6"/>
      <c r="Z312" s="6"/>
      <c r="AA312" s="6"/>
      <c r="AB312" s="6"/>
      <c r="AC312" s="6"/>
      <c r="AD312" s="6"/>
      <c r="AE312" s="6"/>
    </row>
    <row r="313" spans="22:31" ht="11.25" customHeight="1" x14ac:dyDescent="0.25">
      <c r="V313" s="6"/>
      <c r="W313" s="6"/>
      <c r="X313" s="6"/>
      <c r="Y313" s="6"/>
      <c r="Z313" s="6"/>
      <c r="AA313" s="6"/>
      <c r="AB313" s="6"/>
      <c r="AC313" s="6"/>
      <c r="AD313" s="6"/>
      <c r="AE313" s="6"/>
    </row>
    <row r="314" spans="22:31" ht="11.25" customHeight="1" x14ac:dyDescent="0.25">
      <c r="V314" s="6"/>
      <c r="W314" s="6"/>
      <c r="X314" s="6"/>
      <c r="Y314" s="6"/>
      <c r="Z314" s="6"/>
      <c r="AA314" s="6"/>
      <c r="AB314" s="6"/>
      <c r="AC314" s="6"/>
      <c r="AD314" s="6"/>
      <c r="AE314" s="6"/>
    </row>
    <row r="315" spans="22:31" ht="11.25" customHeight="1" x14ac:dyDescent="0.25">
      <c r="V315" s="6"/>
      <c r="W315" s="6"/>
      <c r="X315" s="6"/>
      <c r="Y315" s="6"/>
      <c r="Z315" s="6"/>
      <c r="AA315" s="6"/>
      <c r="AB315" s="6"/>
      <c r="AC315" s="6"/>
      <c r="AD315" s="6"/>
      <c r="AE315" s="6"/>
    </row>
    <row r="316" spans="22:31" ht="11.25" customHeight="1" x14ac:dyDescent="0.25">
      <c r="V316" s="6"/>
      <c r="W316" s="6"/>
      <c r="X316" s="6"/>
      <c r="Y316" s="6"/>
      <c r="Z316" s="6"/>
      <c r="AA316" s="6"/>
      <c r="AB316" s="6"/>
      <c r="AC316" s="6"/>
      <c r="AD316" s="6"/>
      <c r="AE316" s="6"/>
    </row>
    <row r="317" spans="22:31" ht="11.25" customHeight="1" x14ac:dyDescent="0.25">
      <c r="V317" s="6"/>
      <c r="W317" s="6"/>
      <c r="X317" s="6"/>
      <c r="Y317" s="6"/>
      <c r="Z317" s="6"/>
      <c r="AA317" s="6"/>
      <c r="AB317" s="6"/>
      <c r="AC317" s="6"/>
      <c r="AD317" s="6"/>
      <c r="AE317" s="6"/>
    </row>
    <row r="318" spans="22:31" ht="11.25" customHeight="1" x14ac:dyDescent="0.25">
      <c r="V318" s="6"/>
      <c r="W318" s="6"/>
      <c r="X318" s="6"/>
      <c r="Y318" s="6"/>
      <c r="Z318" s="6"/>
      <c r="AA318" s="6"/>
      <c r="AB318" s="6"/>
      <c r="AC318" s="6"/>
      <c r="AD318" s="6"/>
      <c r="AE318" s="6"/>
    </row>
    <row r="319" spans="22:31" ht="11.25" customHeight="1" x14ac:dyDescent="0.25">
      <c r="V319" s="6"/>
      <c r="W319" s="6"/>
      <c r="X319" s="6"/>
      <c r="Y319" s="6"/>
      <c r="Z319" s="6"/>
      <c r="AA319" s="6"/>
      <c r="AB319" s="6"/>
      <c r="AC319" s="6"/>
      <c r="AD319" s="6"/>
      <c r="AE319" s="6"/>
    </row>
    <row r="320" spans="22:31" ht="11.25" customHeight="1" x14ac:dyDescent="0.25">
      <c r="V320" s="6"/>
      <c r="W320" s="6"/>
      <c r="X320" s="6"/>
      <c r="Y320" s="6"/>
      <c r="Z320" s="6"/>
      <c r="AA320" s="6"/>
      <c r="AB320" s="6"/>
      <c r="AC320" s="6"/>
      <c r="AD320" s="6"/>
      <c r="AE320" s="6"/>
    </row>
    <row r="321" spans="22:31" ht="11.25" customHeight="1" x14ac:dyDescent="0.25">
      <c r="V321" s="6"/>
      <c r="W321" s="6"/>
      <c r="X321" s="6"/>
      <c r="Y321" s="6"/>
      <c r="Z321" s="6"/>
      <c r="AA321" s="6"/>
      <c r="AB321" s="6"/>
      <c r="AC321" s="6"/>
      <c r="AD321" s="6"/>
      <c r="AE321" s="6"/>
    </row>
    <row r="322" spans="22:31" ht="11.25" customHeight="1" x14ac:dyDescent="0.25">
      <c r="V322" s="6"/>
      <c r="W322" s="6"/>
      <c r="X322" s="6"/>
      <c r="Y322" s="6"/>
      <c r="Z322" s="6"/>
      <c r="AA322" s="6"/>
      <c r="AB322" s="6"/>
      <c r="AC322" s="6"/>
      <c r="AD322" s="6"/>
      <c r="AE322" s="6"/>
    </row>
    <row r="323" spans="22:31" ht="11.25" customHeight="1" x14ac:dyDescent="0.25">
      <c r="V323" s="6"/>
      <c r="W323" s="6"/>
      <c r="X323" s="6"/>
      <c r="Y323" s="6"/>
      <c r="Z323" s="6"/>
      <c r="AA323" s="6"/>
      <c r="AB323" s="6"/>
      <c r="AC323" s="6"/>
      <c r="AD323" s="6"/>
      <c r="AE323" s="6"/>
    </row>
    <row r="324" spans="22:31" ht="11.25" customHeight="1" x14ac:dyDescent="0.25">
      <c r="V324" s="6"/>
      <c r="W324" s="6"/>
      <c r="X324" s="6"/>
      <c r="Y324" s="6"/>
      <c r="Z324" s="6"/>
      <c r="AA324" s="6"/>
      <c r="AB324" s="6"/>
      <c r="AC324" s="6"/>
      <c r="AD324" s="6"/>
      <c r="AE324" s="6"/>
    </row>
    <row r="325" spans="22:31" ht="11.25" customHeight="1" x14ac:dyDescent="0.25">
      <c r="V325" s="6"/>
      <c r="W325" s="6"/>
      <c r="X325" s="6"/>
      <c r="Y325" s="6"/>
      <c r="Z325" s="6"/>
      <c r="AA325" s="6"/>
      <c r="AB325" s="6"/>
      <c r="AC325" s="6"/>
      <c r="AD325" s="6"/>
      <c r="AE325" s="6"/>
    </row>
    <row r="326" spans="22:31" ht="11.25" customHeight="1" x14ac:dyDescent="0.25">
      <c r="V326" s="6"/>
      <c r="W326" s="6"/>
      <c r="X326" s="6"/>
      <c r="Y326" s="6"/>
      <c r="Z326" s="6"/>
      <c r="AA326" s="6"/>
      <c r="AB326" s="6"/>
      <c r="AC326" s="6"/>
      <c r="AD326" s="6"/>
      <c r="AE326" s="6"/>
    </row>
    <row r="327" spans="22:31" ht="11.25" customHeight="1" x14ac:dyDescent="0.25">
      <c r="V327" s="6"/>
      <c r="W327" s="6"/>
      <c r="X327" s="6"/>
      <c r="Y327" s="6"/>
      <c r="Z327" s="6"/>
      <c r="AA327" s="6"/>
      <c r="AB327" s="6"/>
      <c r="AC327" s="6"/>
      <c r="AD327" s="6"/>
      <c r="AE327" s="6"/>
    </row>
    <row r="328" spans="22:31" ht="11.25" customHeight="1" x14ac:dyDescent="0.25">
      <c r="V328" s="6"/>
      <c r="W328" s="6"/>
      <c r="X328" s="6"/>
      <c r="Y328" s="6"/>
      <c r="Z328" s="6"/>
      <c r="AA328" s="6"/>
      <c r="AB328" s="6"/>
      <c r="AC328" s="6"/>
      <c r="AD328" s="6"/>
      <c r="AE328" s="6"/>
    </row>
    <row r="329" spans="22:31" ht="11.25" customHeight="1" x14ac:dyDescent="0.25">
      <c r="V329" s="6"/>
      <c r="W329" s="6"/>
      <c r="X329" s="6"/>
      <c r="Y329" s="6"/>
      <c r="Z329" s="6"/>
      <c r="AA329" s="6"/>
      <c r="AB329" s="6"/>
      <c r="AC329" s="6"/>
      <c r="AD329" s="6"/>
      <c r="AE329" s="6"/>
    </row>
    <row r="330" spans="22:31" ht="11.25" customHeight="1" x14ac:dyDescent="0.25">
      <c r="V330" s="6"/>
      <c r="W330" s="6"/>
      <c r="X330" s="6"/>
      <c r="Y330" s="6"/>
      <c r="Z330" s="6"/>
      <c r="AA330" s="6"/>
      <c r="AB330" s="6"/>
      <c r="AC330" s="6"/>
      <c r="AD330" s="6"/>
      <c r="AE330" s="6"/>
    </row>
    <row r="331" spans="22:31" ht="11.25" customHeight="1" x14ac:dyDescent="0.25">
      <c r="V331" s="6"/>
      <c r="W331" s="6"/>
      <c r="X331" s="6"/>
      <c r="Y331" s="6"/>
      <c r="Z331" s="6"/>
      <c r="AA331" s="6"/>
      <c r="AB331" s="6"/>
      <c r="AC331" s="6"/>
      <c r="AD331" s="6"/>
      <c r="AE331" s="6"/>
    </row>
    <row r="332" spans="22:31" ht="11.25" customHeight="1" x14ac:dyDescent="0.25">
      <c r="V332" s="6"/>
      <c r="W332" s="6"/>
      <c r="X332" s="6"/>
      <c r="Y332" s="6"/>
      <c r="Z332" s="6"/>
      <c r="AA332" s="6"/>
      <c r="AB332" s="6"/>
      <c r="AC332" s="6"/>
      <c r="AD332" s="6"/>
      <c r="AE332" s="6"/>
    </row>
    <row r="333" spans="22:31" ht="11.25" customHeight="1" x14ac:dyDescent="0.25">
      <c r="V333" s="6"/>
      <c r="W333" s="6"/>
      <c r="X333" s="6"/>
      <c r="Y333" s="6"/>
      <c r="Z333" s="6"/>
      <c r="AA333" s="6"/>
      <c r="AB333" s="6"/>
      <c r="AC333" s="6"/>
      <c r="AD333" s="6"/>
      <c r="AE333" s="6"/>
    </row>
    <row r="334" spans="22:31" ht="11.25" customHeight="1" x14ac:dyDescent="0.25">
      <c r="V334" s="6"/>
      <c r="W334" s="6"/>
      <c r="X334" s="6"/>
      <c r="Y334" s="6"/>
      <c r="Z334" s="6"/>
      <c r="AA334" s="6"/>
      <c r="AB334" s="6"/>
      <c r="AC334" s="6"/>
      <c r="AD334" s="6"/>
      <c r="AE334" s="6"/>
    </row>
    <row r="335" spans="22:31" ht="11.25" customHeight="1" x14ac:dyDescent="0.25">
      <c r="V335" s="6"/>
      <c r="W335" s="6"/>
      <c r="X335" s="6"/>
      <c r="Y335" s="6"/>
      <c r="Z335" s="6"/>
      <c r="AA335" s="6"/>
      <c r="AB335" s="6"/>
      <c r="AC335" s="6"/>
      <c r="AD335" s="6"/>
      <c r="AE335" s="6"/>
    </row>
    <row r="336" spans="22:31" ht="11.25" customHeight="1" x14ac:dyDescent="0.25">
      <c r="V336" s="6"/>
      <c r="W336" s="6"/>
      <c r="X336" s="6"/>
      <c r="Y336" s="6"/>
      <c r="Z336" s="6"/>
      <c r="AA336" s="6"/>
      <c r="AB336" s="6"/>
      <c r="AC336" s="6"/>
      <c r="AD336" s="6"/>
      <c r="AE336" s="6"/>
    </row>
    <row r="337" spans="22:31" ht="11.25" customHeight="1" x14ac:dyDescent="0.25">
      <c r="V337" s="6"/>
      <c r="W337" s="6"/>
      <c r="X337" s="6"/>
      <c r="Y337" s="6"/>
      <c r="Z337" s="6"/>
      <c r="AA337" s="6"/>
      <c r="AB337" s="6"/>
      <c r="AC337" s="6"/>
      <c r="AD337" s="6"/>
      <c r="AE337" s="6"/>
    </row>
    <row r="338" spans="22:31" ht="11.25" customHeight="1" x14ac:dyDescent="0.25">
      <c r="V338" s="6"/>
      <c r="W338" s="6"/>
      <c r="X338" s="6"/>
      <c r="Y338" s="6"/>
      <c r="Z338" s="6"/>
      <c r="AA338" s="6"/>
      <c r="AB338" s="6"/>
      <c r="AC338" s="6"/>
      <c r="AD338" s="6"/>
      <c r="AE338" s="6"/>
    </row>
    <row r="339" spans="22:31" ht="11.25" customHeight="1" x14ac:dyDescent="0.25">
      <c r="V339" s="6"/>
      <c r="W339" s="6"/>
      <c r="X339" s="6"/>
      <c r="Y339" s="6"/>
      <c r="Z339" s="6"/>
      <c r="AA339" s="6"/>
      <c r="AB339" s="6"/>
      <c r="AC339" s="6"/>
      <c r="AD339" s="6"/>
      <c r="AE339" s="6"/>
    </row>
    <row r="340" spans="22:31" ht="11.25" customHeight="1" x14ac:dyDescent="0.25">
      <c r="V340" s="6"/>
      <c r="W340" s="6"/>
      <c r="X340" s="6"/>
      <c r="Y340" s="6"/>
      <c r="Z340" s="6"/>
      <c r="AA340" s="6"/>
      <c r="AB340" s="6"/>
      <c r="AC340" s="6"/>
      <c r="AD340" s="6"/>
      <c r="AE340" s="6"/>
    </row>
    <row r="341" spans="22:31" ht="11.25" customHeight="1" x14ac:dyDescent="0.25">
      <c r="V341" s="6"/>
      <c r="W341" s="6"/>
      <c r="X341" s="6"/>
      <c r="Y341" s="6"/>
      <c r="Z341" s="6"/>
      <c r="AA341" s="6"/>
      <c r="AB341" s="6"/>
      <c r="AC341" s="6"/>
      <c r="AD341" s="6"/>
      <c r="AE341" s="6"/>
    </row>
    <row r="342" spans="22:31" ht="11.25" customHeight="1" x14ac:dyDescent="0.25">
      <c r="V342" s="6"/>
      <c r="W342" s="6"/>
      <c r="X342" s="6"/>
      <c r="Y342" s="6"/>
      <c r="Z342" s="6"/>
      <c r="AA342" s="6"/>
      <c r="AB342" s="6"/>
      <c r="AC342" s="6"/>
      <c r="AD342" s="6"/>
      <c r="AE342" s="6"/>
    </row>
    <row r="343" spans="22:31" ht="11.25" customHeight="1" x14ac:dyDescent="0.25">
      <c r="V343" s="6"/>
      <c r="W343" s="6"/>
      <c r="X343" s="6"/>
      <c r="Y343" s="6"/>
      <c r="Z343" s="6"/>
      <c r="AA343" s="6"/>
      <c r="AB343" s="6"/>
      <c r="AC343" s="6"/>
      <c r="AD343" s="6"/>
      <c r="AE343" s="6"/>
    </row>
    <row r="344" spans="22:31" ht="11.25" customHeight="1" x14ac:dyDescent="0.25">
      <c r="V344" s="6"/>
      <c r="W344" s="6"/>
      <c r="X344" s="6"/>
      <c r="Y344" s="6"/>
      <c r="Z344" s="6"/>
      <c r="AA344" s="6"/>
      <c r="AB344" s="6"/>
      <c r="AC344" s="6"/>
      <c r="AD344" s="6"/>
      <c r="AE344" s="6"/>
    </row>
    <row r="345" spans="22:31" ht="11.25" customHeight="1" x14ac:dyDescent="0.25">
      <c r="V345" s="6"/>
      <c r="W345" s="6"/>
      <c r="X345" s="6"/>
      <c r="Y345" s="6"/>
      <c r="Z345" s="6"/>
      <c r="AA345" s="6"/>
      <c r="AB345" s="6"/>
      <c r="AC345" s="6"/>
      <c r="AD345" s="6"/>
      <c r="AE345" s="6"/>
    </row>
    <row r="346" spans="22:31" ht="11.25" customHeight="1" x14ac:dyDescent="0.25">
      <c r="V346" s="6"/>
      <c r="W346" s="6"/>
      <c r="X346" s="6"/>
      <c r="Y346" s="6"/>
      <c r="Z346" s="6"/>
      <c r="AA346" s="6"/>
      <c r="AB346" s="6"/>
      <c r="AC346" s="6"/>
      <c r="AD346" s="6"/>
      <c r="AE346" s="6"/>
    </row>
    <row r="347" spans="22:31" ht="11.25" customHeight="1" x14ac:dyDescent="0.25">
      <c r="V347" s="6"/>
      <c r="W347" s="6"/>
      <c r="X347" s="6"/>
      <c r="Y347" s="6"/>
      <c r="Z347" s="6"/>
      <c r="AA347" s="6"/>
      <c r="AB347" s="6"/>
      <c r="AC347" s="6"/>
      <c r="AD347" s="6"/>
      <c r="AE347" s="6"/>
    </row>
    <row r="348" spans="22:31" ht="11.25" customHeight="1" x14ac:dyDescent="0.25">
      <c r="V348" s="6"/>
      <c r="W348" s="6"/>
      <c r="X348" s="6"/>
      <c r="Y348" s="6"/>
      <c r="Z348" s="6"/>
      <c r="AA348" s="6"/>
      <c r="AB348" s="6"/>
      <c r="AC348" s="6"/>
      <c r="AD348" s="6"/>
      <c r="AE348" s="6"/>
    </row>
    <row r="349" spans="22:31" ht="11.25" customHeight="1" x14ac:dyDescent="0.25">
      <c r="V349" s="6"/>
      <c r="W349" s="6"/>
      <c r="X349" s="6"/>
      <c r="Y349" s="6"/>
      <c r="Z349" s="6"/>
      <c r="AA349" s="6"/>
      <c r="AB349" s="6"/>
      <c r="AC349" s="6"/>
      <c r="AD349" s="6"/>
      <c r="AE349" s="6"/>
    </row>
    <row r="350" spans="22:31" ht="11.25" customHeight="1" x14ac:dyDescent="0.25">
      <c r="V350" s="6"/>
      <c r="W350" s="6"/>
      <c r="X350" s="6"/>
      <c r="Y350" s="6"/>
      <c r="Z350" s="6"/>
      <c r="AA350" s="6"/>
      <c r="AB350" s="6"/>
      <c r="AC350" s="6"/>
      <c r="AD350" s="6"/>
      <c r="AE350" s="6"/>
    </row>
    <row r="351" spans="22:31" ht="11.25" customHeight="1" x14ac:dyDescent="0.25">
      <c r="V351" s="6"/>
      <c r="W351" s="6"/>
      <c r="X351" s="6"/>
      <c r="Y351" s="6"/>
      <c r="Z351" s="6"/>
      <c r="AA351" s="6"/>
      <c r="AB351" s="6"/>
      <c r="AC351" s="6"/>
      <c r="AD351" s="6"/>
      <c r="AE351" s="6"/>
    </row>
    <row r="352" spans="22:31" ht="11.25" customHeight="1" x14ac:dyDescent="0.25">
      <c r="V352" s="6"/>
      <c r="W352" s="6"/>
      <c r="X352" s="6"/>
      <c r="Y352" s="6"/>
      <c r="Z352" s="6"/>
      <c r="AA352" s="6"/>
      <c r="AB352" s="6"/>
      <c r="AC352" s="6"/>
      <c r="AD352" s="6"/>
      <c r="AE352" s="6"/>
    </row>
    <row r="353" spans="22:31" ht="11.25" customHeight="1" x14ac:dyDescent="0.25">
      <c r="V353" s="6"/>
      <c r="W353" s="6"/>
      <c r="X353" s="6"/>
      <c r="Y353" s="6"/>
      <c r="Z353" s="6"/>
      <c r="AA353" s="6"/>
      <c r="AB353" s="6"/>
      <c r="AC353" s="6"/>
      <c r="AD353" s="6"/>
      <c r="AE353" s="6"/>
    </row>
    <row r="354" spans="22:31" ht="11.25" customHeight="1" x14ac:dyDescent="0.25">
      <c r="V354" s="6"/>
      <c r="W354" s="6"/>
      <c r="X354" s="6"/>
      <c r="Y354" s="6"/>
      <c r="Z354" s="6"/>
      <c r="AA354" s="6"/>
      <c r="AB354" s="6"/>
      <c r="AC354" s="6"/>
      <c r="AD354" s="6"/>
      <c r="AE354" s="6"/>
    </row>
    <row r="355" spans="22:31" ht="11.25" customHeight="1" x14ac:dyDescent="0.25">
      <c r="V355" s="6"/>
      <c r="W355" s="6"/>
      <c r="X355" s="6"/>
      <c r="Y355" s="6"/>
      <c r="Z355" s="6"/>
      <c r="AA355" s="6"/>
      <c r="AB355" s="6"/>
      <c r="AC355" s="6"/>
      <c r="AD355" s="6"/>
      <c r="AE355" s="6"/>
    </row>
    <row r="356" spans="22:31" ht="11.25" customHeight="1" x14ac:dyDescent="0.25">
      <c r="V356" s="6"/>
      <c r="W356" s="6"/>
      <c r="X356" s="6"/>
      <c r="Y356" s="6"/>
      <c r="Z356" s="6"/>
      <c r="AA356" s="6"/>
      <c r="AB356" s="6"/>
      <c r="AC356" s="6"/>
      <c r="AD356" s="6"/>
      <c r="AE356" s="6"/>
    </row>
    <row r="357" spans="22:31" ht="11.25" customHeight="1" x14ac:dyDescent="0.25">
      <c r="V357" s="6"/>
      <c r="W357" s="6"/>
      <c r="X357" s="6"/>
      <c r="Y357" s="6"/>
      <c r="Z357" s="6"/>
      <c r="AA357" s="6"/>
      <c r="AB357" s="6"/>
      <c r="AC357" s="6"/>
      <c r="AD357" s="6"/>
      <c r="AE357" s="6"/>
    </row>
    <row r="358" spans="22:31" ht="11.25" customHeight="1" x14ac:dyDescent="0.25">
      <c r="V358" s="6"/>
      <c r="W358" s="6"/>
      <c r="X358" s="6"/>
      <c r="Y358" s="6"/>
      <c r="Z358" s="6"/>
      <c r="AA358" s="6"/>
      <c r="AB358" s="6"/>
      <c r="AC358" s="6"/>
      <c r="AD358" s="6"/>
      <c r="AE358" s="6"/>
    </row>
    <row r="359" spans="22:31" ht="11.25" customHeight="1" x14ac:dyDescent="0.25">
      <c r="V359" s="6"/>
      <c r="W359" s="6"/>
      <c r="X359" s="6"/>
      <c r="Y359" s="6"/>
      <c r="Z359" s="6"/>
      <c r="AA359" s="6"/>
      <c r="AB359" s="6"/>
      <c r="AC359" s="6"/>
      <c r="AD359" s="6"/>
      <c r="AE359" s="6"/>
    </row>
    <row r="360" spans="22:31" ht="11.25" customHeight="1" x14ac:dyDescent="0.25">
      <c r="V360" s="6"/>
      <c r="W360" s="6"/>
      <c r="X360" s="6"/>
      <c r="Y360" s="6"/>
      <c r="Z360" s="6"/>
      <c r="AA360" s="6"/>
      <c r="AB360" s="6"/>
      <c r="AC360" s="6"/>
      <c r="AD360" s="6"/>
      <c r="AE360" s="6"/>
    </row>
    <row r="361" spans="22:31" ht="11.25" customHeight="1" x14ac:dyDescent="0.25">
      <c r="V361" s="6"/>
      <c r="W361" s="6"/>
      <c r="X361" s="6"/>
      <c r="Y361" s="6"/>
      <c r="Z361" s="6"/>
      <c r="AA361" s="6"/>
      <c r="AB361" s="6"/>
      <c r="AC361" s="6"/>
      <c r="AD361" s="6"/>
      <c r="AE361" s="6"/>
    </row>
    <row r="362" spans="22:31" ht="11.25" customHeight="1" x14ac:dyDescent="0.25">
      <c r="V362" s="6"/>
      <c r="W362" s="6"/>
      <c r="X362" s="6"/>
      <c r="Y362" s="6"/>
      <c r="Z362" s="6"/>
      <c r="AA362" s="6"/>
      <c r="AB362" s="6"/>
      <c r="AC362" s="6"/>
      <c r="AD362" s="6"/>
      <c r="AE362" s="6"/>
    </row>
    <row r="363" spans="22:31" ht="11.25" customHeight="1" x14ac:dyDescent="0.25">
      <c r="V363" s="6"/>
      <c r="W363" s="6"/>
      <c r="X363" s="6"/>
      <c r="Y363" s="6"/>
      <c r="Z363" s="6"/>
      <c r="AA363" s="6"/>
      <c r="AB363" s="6"/>
      <c r="AC363" s="6"/>
      <c r="AD363" s="6"/>
      <c r="AE363" s="6"/>
    </row>
    <row r="364" spans="22:31" ht="11.25" customHeight="1" x14ac:dyDescent="0.25">
      <c r="V364" s="6"/>
      <c r="W364" s="6"/>
      <c r="X364" s="6"/>
      <c r="Y364" s="6"/>
      <c r="Z364" s="6"/>
      <c r="AA364" s="6"/>
      <c r="AB364" s="6"/>
      <c r="AC364" s="6"/>
      <c r="AD364" s="6"/>
      <c r="AE364" s="6"/>
    </row>
    <row r="365" spans="22:31" ht="11.25" customHeight="1" x14ac:dyDescent="0.25">
      <c r="V365" s="6"/>
      <c r="W365" s="6"/>
      <c r="X365" s="6"/>
      <c r="Y365" s="6"/>
      <c r="Z365" s="6"/>
      <c r="AA365" s="6"/>
      <c r="AB365" s="6"/>
      <c r="AC365" s="6"/>
      <c r="AD365" s="6"/>
      <c r="AE365" s="6"/>
    </row>
    <row r="366" spans="22:31" ht="11.25" customHeight="1" x14ac:dyDescent="0.25">
      <c r="V366" s="6"/>
      <c r="W366" s="6"/>
      <c r="X366" s="6"/>
      <c r="Y366" s="6"/>
      <c r="Z366" s="6"/>
      <c r="AA366" s="6"/>
      <c r="AB366" s="6"/>
      <c r="AC366" s="6"/>
      <c r="AD366" s="6"/>
      <c r="AE366" s="6"/>
    </row>
    <row r="367" spans="22:31" ht="11.25" customHeight="1" x14ac:dyDescent="0.25">
      <c r="V367" s="6"/>
      <c r="W367" s="6"/>
      <c r="X367" s="6"/>
      <c r="Y367" s="6"/>
      <c r="Z367" s="6"/>
      <c r="AA367" s="6"/>
      <c r="AB367" s="6"/>
      <c r="AC367" s="6"/>
      <c r="AD367" s="6"/>
      <c r="AE367" s="6"/>
    </row>
    <row r="368" spans="22:31" ht="11.25" customHeight="1" x14ac:dyDescent="0.25">
      <c r="V368" s="6"/>
      <c r="W368" s="6"/>
      <c r="X368" s="6"/>
      <c r="Y368" s="6"/>
      <c r="Z368" s="6"/>
      <c r="AA368" s="6"/>
      <c r="AB368" s="6"/>
      <c r="AC368" s="6"/>
      <c r="AD368" s="6"/>
      <c r="AE368" s="6"/>
    </row>
    <row r="369" spans="22:31" ht="11.25" customHeight="1" x14ac:dyDescent="0.25">
      <c r="V369" s="6"/>
      <c r="W369" s="6"/>
      <c r="X369" s="6"/>
      <c r="Y369" s="6"/>
      <c r="Z369" s="6"/>
      <c r="AA369" s="6"/>
      <c r="AB369" s="6"/>
      <c r="AC369" s="6"/>
      <c r="AD369" s="6"/>
      <c r="AE369" s="6"/>
    </row>
    <row r="370" spans="22:31" ht="11.25" customHeight="1" x14ac:dyDescent="0.25">
      <c r="V370" s="6"/>
      <c r="W370" s="6"/>
      <c r="X370" s="6"/>
      <c r="Y370" s="6"/>
      <c r="Z370" s="6"/>
      <c r="AA370" s="6"/>
      <c r="AB370" s="6"/>
      <c r="AC370" s="6"/>
      <c r="AD370" s="6"/>
      <c r="AE370" s="6"/>
    </row>
    <row r="371" spans="22:31" ht="11.25" customHeight="1" x14ac:dyDescent="0.25">
      <c r="V371" s="6"/>
      <c r="W371" s="6"/>
      <c r="X371" s="6"/>
      <c r="Y371" s="6"/>
      <c r="Z371" s="6"/>
      <c r="AA371" s="6"/>
      <c r="AB371" s="6"/>
      <c r="AC371" s="6"/>
      <c r="AD371" s="6"/>
      <c r="AE371" s="6"/>
    </row>
    <row r="372" spans="22:31" ht="11.25" customHeight="1" x14ac:dyDescent="0.25">
      <c r="V372" s="6"/>
      <c r="W372" s="6"/>
      <c r="X372" s="6"/>
      <c r="Y372" s="6"/>
      <c r="Z372" s="6"/>
      <c r="AA372" s="6"/>
      <c r="AB372" s="6"/>
      <c r="AC372" s="6"/>
      <c r="AD372" s="6"/>
      <c r="AE372" s="6"/>
    </row>
    <row r="373" spans="22:31" ht="11.25" customHeight="1" x14ac:dyDescent="0.25">
      <c r="V373" s="6"/>
      <c r="W373" s="6"/>
      <c r="X373" s="6"/>
      <c r="Y373" s="6"/>
      <c r="Z373" s="6"/>
      <c r="AA373" s="6"/>
      <c r="AB373" s="6"/>
      <c r="AC373" s="6"/>
      <c r="AD373" s="6"/>
      <c r="AE373" s="6"/>
    </row>
    <row r="374" spans="22:31" ht="11.25" customHeight="1" x14ac:dyDescent="0.25">
      <c r="V374" s="6"/>
      <c r="W374" s="6"/>
      <c r="X374" s="6"/>
      <c r="Y374" s="6"/>
      <c r="Z374" s="6"/>
      <c r="AA374" s="6"/>
      <c r="AB374" s="6"/>
      <c r="AC374" s="6"/>
      <c r="AD374" s="6"/>
      <c r="AE374" s="6"/>
    </row>
    <row r="375" spans="22:31" ht="11.25" customHeight="1" x14ac:dyDescent="0.25">
      <c r="V375" s="6"/>
      <c r="W375" s="6"/>
      <c r="X375" s="6"/>
      <c r="Y375" s="6"/>
      <c r="Z375" s="6"/>
      <c r="AA375" s="6"/>
      <c r="AB375" s="6"/>
      <c r="AC375" s="6"/>
      <c r="AD375" s="6"/>
      <c r="AE375" s="6"/>
    </row>
    <row r="376" spans="22:31" ht="11.25" customHeight="1" x14ac:dyDescent="0.25">
      <c r="V376" s="6"/>
      <c r="W376" s="6"/>
      <c r="X376" s="6"/>
      <c r="Y376" s="6"/>
      <c r="Z376" s="6"/>
      <c r="AA376" s="6"/>
      <c r="AB376" s="6"/>
      <c r="AC376" s="6"/>
      <c r="AD376" s="6"/>
      <c r="AE376" s="6"/>
    </row>
    <row r="377" spans="22:31" ht="11.25" customHeight="1" x14ac:dyDescent="0.25">
      <c r="V377" s="6"/>
      <c r="W377" s="6"/>
      <c r="X377" s="6"/>
      <c r="Y377" s="6"/>
      <c r="Z377" s="6"/>
      <c r="AA377" s="6"/>
      <c r="AB377" s="6"/>
      <c r="AC377" s="6"/>
      <c r="AD377" s="6"/>
      <c r="AE377" s="6"/>
    </row>
    <row r="378" spans="22:31" ht="11.25" customHeight="1" x14ac:dyDescent="0.25">
      <c r="V378" s="6"/>
      <c r="W378" s="6"/>
      <c r="X378" s="6"/>
      <c r="Y378" s="6"/>
      <c r="Z378" s="6"/>
      <c r="AA378" s="6"/>
      <c r="AB378" s="6"/>
      <c r="AC378" s="6"/>
      <c r="AD378" s="6"/>
      <c r="AE378" s="6"/>
    </row>
    <row r="379" spans="22:31" ht="11.25" customHeight="1" x14ac:dyDescent="0.25">
      <c r="V379" s="6"/>
      <c r="W379" s="6"/>
      <c r="X379" s="6"/>
      <c r="Y379" s="6"/>
      <c r="Z379" s="6"/>
      <c r="AA379" s="6"/>
      <c r="AB379" s="6"/>
      <c r="AC379" s="6"/>
      <c r="AD379" s="6"/>
      <c r="AE379" s="6"/>
    </row>
    <row r="380" spans="22:31" ht="11.25" customHeight="1" x14ac:dyDescent="0.25">
      <c r="V380" s="6"/>
      <c r="W380" s="6"/>
      <c r="X380" s="6"/>
      <c r="Y380" s="6"/>
      <c r="Z380" s="6"/>
      <c r="AA380" s="6"/>
      <c r="AB380" s="6"/>
      <c r="AC380" s="6"/>
      <c r="AD380" s="6"/>
      <c r="AE380" s="6"/>
    </row>
    <row r="381" spans="22:31" ht="11.25" customHeight="1" x14ac:dyDescent="0.25">
      <c r="V381" s="6"/>
      <c r="W381" s="6"/>
      <c r="X381" s="6"/>
      <c r="Y381" s="6"/>
      <c r="Z381" s="6"/>
      <c r="AA381" s="6"/>
      <c r="AB381" s="6"/>
      <c r="AC381" s="6"/>
      <c r="AD381" s="6"/>
      <c r="AE381" s="6"/>
    </row>
    <row r="382" spans="22:31" ht="11.25" customHeight="1" x14ac:dyDescent="0.25">
      <c r="V382" s="6"/>
      <c r="W382" s="6"/>
      <c r="X382" s="6"/>
      <c r="Y382" s="6"/>
      <c r="Z382" s="6"/>
      <c r="AA382" s="6"/>
      <c r="AB382" s="6"/>
      <c r="AC382" s="6"/>
      <c r="AD382" s="6"/>
      <c r="AE382" s="6"/>
    </row>
    <row r="383" spans="22:31" ht="11.25" customHeight="1" x14ac:dyDescent="0.25">
      <c r="V383" s="6"/>
      <c r="W383" s="6"/>
      <c r="X383" s="6"/>
      <c r="Y383" s="6"/>
      <c r="Z383" s="6"/>
      <c r="AA383" s="6"/>
      <c r="AB383" s="6"/>
      <c r="AC383" s="6"/>
      <c r="AD383" s="6"/>
      <c r="AE383" s="6"/>
    </row>
    <row r="384" spans="22:31" ht="11.25" customHeight="1" x14ac:dyDescent="0.25">
      <c r="V384" s="6"/>
      <c r="W384" s="6"/>
      <c r="X384" s="6"/>
      <c r="Y384" s="6"/>
      <c r="Z384" s="6"/>
      <c r="AA384" s="6"/>
      <c r="AB384" s="6"/>
      <c r="AC384" s="6"/>
      <c r="AD384" s="6"/>
      <c r="AE384" s="6"/>
    </row>
    <row r="385" spans="22:31" ht="11.25" customHeight="1" x14ac:dyDescent="0.25">
      <c r="V385" s="6"/>
      <c r="W385" s="6"/>
      <c r="X385" s="6"/>
      <c r="Y385" s="6"/>
      <c r="Z385" s="6"/>
      <c r="AA385" s="6"/>
      <c r="AB385" s="6"/>
      <c r="AC385" s="6"/>
      <c r="AD385" s="6"/>
      <c r="AE385" s="6"/>
    </row>
    <row r="386" spans="22:31" ht="11.25" customHeight="1" x14ac:dyDescent="0.25">
      <c r="V386" s="6"/>
      <c r="W386" s="6"/>
      <c r="X386" s="6"/>
      <c r="Y386" s="6"/>
      <c r="Z386" s="6"/>
      <c r="AA386" s="6"/>
      <c r="AB386" s="6"/>
      <c r="AC386" s="6"/>
      <c r="AD386" s="6"/>
      <c r="AE386" s="6"/>
    </row>
    <row r="387" spans="22:31" ht="11.25" customHeight="1" x14ac:dyDescent="0.25">
      <c r="V387" s="6"/>
      <c r="W387" s="6"/>
      <c r="X387" s="6"/>
      <c r="Y387" s="6"/>
      <c r="Z387" s="6"/>
      <c r="AA387" s="6"/>
      <c r="AB387" s="6"/>
      <c r="AC387" s="6"/>
      <c r="AD387" s="6"/>
      <c r="AE387" s="6"/>
    </row>
    <row r="388" spans="22:31" ht="11.25" customHeight="1" x14ac:dyDescent="0.25">
      <c r="V388" s="6"/>
      <c r="W388" s="6"/>
      <c r="X388" s="6"/>
      <c r="Y388" s="6"/>
      <c r="Z388" s="6"/>
      <c r="AA388" s="6"/>
      <c r="AB388" s="6"/>
      <c r="AC388" s="6"/>
      <c r="AD388" s="6"/>
      <c r="AE388" s="6"/>
    </row>
    <row r="389" spans="22:31" ht="11.25" customHeight="1" x14ac:dyDescent="0.25">
      <c r="V389" s="6"/>
      <c r="W389" s="6"/>
      <c r="X389" s="6"/>
      <c r="Y389" s="6"/>
      <c r="Z389" s="6"/>
      <c r="AA389" s="6"/>
      <c r="AB389" s="6"/>
      <c r="AC389" s="6"/>
      <c r="AD389" s="6"/>
      <c r="AE389" s="6"/>
    </row>
    <row r="390" spans="22:31" ht="11.25" customHeight="1" x14ac:dyDescent="0.25">
      <c r="V390" s="6"/>
      <c r="W390" s="6"/>
      <c r="X390" s="6"/>
      <c r="Y390" s="6"/>
      <c r="Z390" s="6"/>
      <c r="AA390" s="6"/>
      <c r="AB390" s="6"/>
      <c r="AC390" s="6"/>
      <c r="AD390" s="6"/>
      <c r="AE390" s="6"/>
    </row>
    <row r="391" spans="22:31" ht="11.25" customHeight="1" x14ac:dyDescent="0.25">
      <c r="V391" s="6"/>
      <c r="W391" s="6"/>
      <c r="X391" s="6"/>
      <c r="Y391" s="6"/>
      <c r="Z391" s="6"/>
      <c r="AA391" s="6"/>
      <c r="AB391" s="6"/>
      <c r="AC391" s="6"/>
      <c r="AD391" s="6"/>
      <c r="AE391" s="6"/>
    </row>
    <row r="392" spans="22:31" ht="11.25" customHeight="1" x14ac:dyDescent="0.25">
      <c r="V392" s="6"/>
      <c r="W392" s="6"/>
      <c r="X392" s="6"/>
      <c r="Y392" s="6"/>
      <c r="Z392" s="6"/>
      <c r="AA392" s="6"/>
      <c r="AB392" s="6"/>
      <c r="AC392" s="6"/>
      <c r="AD392" s="6"/>
      <c r="AE392" s="6"/>
    </row>
    <row r="393" spans="22:31" ht="11.25" customHeight="1" x14ac:dyDescent="0.25">
      <c r="V393" s="6"/>
      <c r="W393" s="6"/>
      <c r="X393" s="6"/>
      <c r="Y393" s="6"/>
      <c r="Z393" s="6"/>
      <c r="AA393" s="6"/>
      <c r="AB393" s="6"/>
      <c r="AC393" s="6"/>
      <c r="AD393" s="6"/>
      <c r="AE393" s="6"/>
    </row>
    <row r="394" spans="22:31" ht="11.25" customHeight="1" x14ac:dyDescent="0.25">
      <c r="V394" s="6"/>
      <c r="W394" s="6"/>
      <c r="X394" s="6"/>
      <c r="Y394" s="6"/>
      <c r="Z394" s="6"/>
      <c r="AA394" s="6"/>
      <c r="AB394" s="6"/>
      <c r="AC394" s="6"/>
      <c r="AD394" s="6"/>
      <c r="AE394" s="6"/>
    </row>
    <row r="395" spans="22:31" ht="11.25" customHeight="1" x14ac:dyDescent="0.25">
      <c r="V395" s="6"/>
      <c r="W395" s="6"/>
      <c r="X395" s="6"/>
      <c r="Y395" s="6"/>
      <c r="Z395" s="6"/>
      <c r="AA395" s="6"/>
      <c r="AB395" s="6"/>
      <c r="AC395" s="6"/>
      <c r="AD395" s="6"/>
      <c r="AE395" s="6"/>
    </row>
    <row r="396" spans="22:31" ht="11.25" customHeight="1" x14ac:dyDescent="0.25">
      <c r="V396" s="6"/>
      <c r="W396" s="6"/>
      <c r="X396" s="6"/>
      <c r="Y396" s="6"/>
      <c r="Z396" s="6"/>
      <c r="AA396" s="6"/>
      <c r="AB396" s="6"/>
      <c r="AC396" s="6"/>
      <c r="AD396" s="6"/>
      <c r="AE396" s="6"/>
    </row>
    <row r="397" spans="22:31" ht="11.25" customHeight="1" x14ac:dyDescent="0.25">
      <c r="V397" s="6"/>
      <c r="W397" s="6"/>
      <c r="X397" s="6"/>
      <c r="Y397" s="6"/>
      <c r="Z397" s="6"/>
      <c r="AA397" s="6"/>
      <c r="AB397" s="6"/>
      <c r="AC397" s="6"/>
      <c r="AD397" s="6"/>
      <c r="AE397" s="6"/>
    </row>
    <row r="398" spans="22:31" ht="11.25" customHeight="1" x14ac:dyDescent="0.25">
      <c r="V398" s="6"/>
      <c r="W398" s="6"/>
      <c r="X398" s="6"/>
      <c r="Y398" s="6"/>
      <c r="Z398" s="6"/>
      <c r="AA398" s="6"/>
      <c r="AB398" s="6"/>
      <c r="AC398" s="6"/>
      <c r="AD398" s="6"/>
      <c r="AE398" s="6"/>
    </row>
    <row r="399" spans="22:31" ht="11.25" customHeight="1" x14ac:dyDescent="0.25">
      <c r="V399" s="6"/>
      <c r="W399" s="6"/>
      <c r="X399" s="6"/>
      <c r="Y399" s="6"/>
      <c r="Z399" s="6"/>
      <c r="AA399" s="6"/>
      <c r="AB399" s="6"/>
      <c r="AC399" s="6"/>
      <c r="AD399" s="6"/>
      <c r="AE399" s="6"/>
    </row>
    <row r="400" spans="22:31" ht="11.25" customHeight="1" x14ac:dyDescent="0.25">
      <c r="V400" s="6"/>
      <c r="W400" s="6"/>
      <c r="X400" s="6"/>
      <c r="Y400" s="6"/>
      <c r="Z400" s="6"/>
      <c r="AA400" s="6"/>
      <c r="AB400" s="6"/>
      <c r="AC400" s="6"/>
      <c r="AD400" s="6"/>
      <c r="AE400" s="6"/>
    </row>
    <row r="401" spans="22:31" ht="11.25" customHeight="1" x14ac:dyDescent="0.25">
      <c r="V401" s="6"/>
      <c r="W401" s="6"/>
      <c r="X401" s="6"/>
      <c r="Y401" s="6"/>
      <c r="Z401" s="6"/>
      <c r="AA401" s="6"/>
      <c r="AB401" s="6"/>
      <c r="AC401" s="6"/>
      <c r="AD401" s="6"/>
      <c r="AE401" s="6"/>
    </row>
    <row r="402" spans="22:31" ht="11.25" customHeight="1" x14ac:dyDescent="0.25">
      <c r="V402" s="6"/>
      <c r="W402" s="6"/>
      <c r="X402" s="6"/>
      <c r="Y402" s="6"/>
      <c r="Z402" s="6"/>
      <c r="AA402" s="6"/>
      <c r="AB402" s="6"/>
      <c r="AC402" s="6"/>
      <c r="AD402" s="6"/>
      <c r="AE402" s="6"/>
    </row>
    <row r="403" spans="22:31" ht="11.25" customHeight="1" x14ac:dyDescent="0.25">
      <c r="V403" s="6"/>
      <c r="W403" s="6"/>
      <c r="X403" s="6"/>
      <c r="Y403" s="6"/>
      <c r="Z403" s="6"/>
      <c r="AA403" s="6"/>
      <c r="AB403" s="6"/>
      <c r="AC403" s="6"/>
      <c r="AD403" s="6"/>
      <c r="AE403" s="6"/>
    </row>
    <row r="404" spans="22:31" ht="11.25" customHeight="1" x14ac:dyDescent="0.25">
      <c r="V404" s="6"/>
      <c r="W404" s="6"/>
      <c r="X404" s="6"/>
      <c r="Y404" s="6"/>
      <c r="Z404" s="6"/>
      <c r="AA404" s="6"/>
      <c r="AB404" s="6"/>
      <c r="AC404" s="6"/>
      <c r="AD404" s="6"/>
      <c r="AE404" s="6"/>
    </row>
    <row r="405" spans="22:31" ht="11.25" customHeight="1" x14ac:dyDescent="0.25">
      <c r="V405" s="6"/>
      <c r="W405" s="6"/>
      <c r="X405" s="6"/>
      <c r="Y405" s="6"/>
      <c r="Z405" s="6"/>
      <c r="AA405" s="6"/>
      <c r="AB405" s="6"/>
      <c r="AC405" s="6"/>
      <c r="AD405" s="6"/>
      <c r="AE405" s="6"/>
    </row>
    <row r="406" spans="22:31" ht="11.25" customHeight="1" x14ac:dyDescent="0.25">
      <c r="V406" s="6"/>
      <c r="W406" s="6"/>
      <c r="X406" s="6"/>
      <c r="Y406" s="6"/>
      <c r="Z406" s="6"/>
      <c r="AA406" s="6"/>
      <c r="AB406" s="6"/>
      <c r="AC406" s="6"/>
      <c r="AD406" s="6"/>
      <c r="AE406" s="6"/>
    </row>
    <row r="407" spans="22:31" ht="11.25" customHeight="1" x14ac:dyDescent="0.25">
      <c r="V407" s="6"/>
      <c r="W407" s="6"/>
      <c r="X407" s="6"/>
      <c r="Y407" s="6"/>
      <c r="Z407" s="6"/>
      <c r="AA407" s="6"/>
      <c r="AB407" s="6"/>
      <c r="AC407" s="6"/>
      <c r="AD407" s="6"/>
      <c r="AE407" s="6"/>
    </row>
    <row r="408" spans="22:31" ht="11.25" customHeight="1" x14ac:dyDescent="0.25">
      <c r="V408" s="6"/>
      <c r="W408" s="6"/>
      <c r="X408" s="6"/>
      <c r="Y408" s="6"/>
      <c r="Z408" s="6"/>
      <c r="AA408" s="6"/>
      <c r="AB408" s="6"/>
      <c r="AC408" s="6"/>
      <c r="AD408" s="6"/>
      <c r="AE408" s="6"/>
    </row>
    <row r="409" spans="22:31" ht="11.25" customHeight="1" x14ac:dyDescent="0.25">
      <c r="V409" s="6"/>
      <c r="W409" s="6"/>
      <c r="X409" s="6"/>
      <c r="Y409" s="6"/>
      <c r="Z409" s="6"/>
      <c r="AA409" s="6"/>
      <c r="AB409" s="6"/>
      <c r="AC409" s="6"/>
      <c r="AD409" s="6"/>
      <c r="AE409" s="6"/>
    </row>
    <row r="410" spans="22:31" ht="11.25" customHeight="1" x14ac:dyDescent="0.25">
      <c r="V410" s="6"/>
      <c r="W410" s="6"/>
      <c r="X410" s="6"/>
      <c r="Y410" s="6"/>
      <c r="Z410" s="6"/>
      <c r="AA410" s="6"/>
      <c r="AB410" s="6"/>
      <c r="AC410" s="6"/>
      <c r="AD410" s="6"/>
      <c r="AE410" s="6"/>
    </row>
    <row r="411" spans="22:31" ht="11.25" customHeight="1" x14ac:dyDescent="0.25">
      <c r="V411" s="6"/>
      <c r="W411" s="6"/>
      <c r="X411" s="6"/>
      <c r="Y411" s="6"/>
      <c r="Z411" s="6"/>
      <c r="AA411" s="6"/>
      <c r="AB411" s="6"/>
      <c r="AC411" s="6"/>
      <c r="AD411" s="6"/>
      <c r="AE411" s="6"/>
    </row>
    <row r="412" spans="22:31" ht="11.25" customHeight="1" x14ac:dyDescent="0.25">
      <c r="V412" s="6"/>
      <c r="W412" s="6"/>
      <c r="X412" s="6"/>
      <c r="Y412" s="6"/>
      <c r="Z412" s="6"/>
      <c r="AA412" s="6"/>
      <c r="AB412" s="6"/>
      <c r="AC412" s="6"/>
      <c r="AD412" s="6"/>
      <c r="AE412" s="6"/>
    </row>
    <row r="413" spans="22:31" ht="11.25" customHeight="1" x14ac:dyDescent="0.25">
      <c r="V413" s="6"/>
      <c r="W413" s="6"/>
      <c r="X413" s="6"/>
      <c r="Y413" s="6"/>
      <c r="Z413" s="6"/>
      <c r="AA413" s="6"/>
      <c r="AB413" s="6"/>
      <c r="AC413" s="6"/>
      <c r="AD413" s="6"/>
      <c r="AE413" s="6"/>
    </row>
    <row r="414" spans="22:31" ht="11.25" customHeight="1" x14ac:dyDescent="0.25">
      <c r="V414" s="6"/>
      <c r="W414" s="6"/>
      <c r="X414" s="6"/>
      <c r="Y414" s="6"/>
      <c r="Z414" s="6"/>
      <c r="AA414" s="6"/>
      <c r="AB414" s="6"/>
      <c r="AC414" s="6"/>
      <c r="AD414" s="6"/>
      <c r="AE414" s="6"/>
    </row>
    <row r="415" spans="22:31" ht="11.25" customHeight="1" x14ac:dyDescent="0.25">
      <c r="V415" s="6"/>
      <c r="W415" s="6"/>
      <c r="X415" s="6"/>
      <c r="Y415" s="6"/>
      <c r="Z415" s="6"/>
      <c r="AA415" s="6"/>
      <c r="AB415" s="6"/>
      <c r="AC415" s="6"/>
      <c r="AD415" s="6"/>
      <c r="AE415" s="6"/>
    </row>
    <row r="416" spans="22:31" ht="11.25" customHeight="1" x14ac:dyDescent="0.25">
      <c r="V416" s="6"/>
      <c r="W416" s="6"/>
      <c r="X416" s="6"/>
      <c r="Y416" s="6"/>
      <c r="Z416" s="6"/>
      <c r="AA416" s="6"/>
      <c r="AB416" s="6"/>
      <c r="AC416" s="6"/>
      <c r="AD416" s="6"/>
      <c r="AE416" s="6"/>
    </row>
    <row r="417" spans="22:31" ht="11.25" customHeight="1" x14ac:dyDescent="0.25">
      <c r="V417" s="6"/>
      <c r="W417" s="6"/>
      <c r="X417" s="6"/>
      <c r="Y417" s="6"/>
      <c r="Z417" s="6"/>
      <c r="AA417" s="6"/>
      <c r="AB417" s="6"/>
      <c r="AC417" s="6"/>
      <c r="AD417" s="6"/>
      <c r="AE417" s="6"/>
    </row>
    <row r="418" spans="22:31" ht="11.25" customHeight="1" x14ac:dyDescent="0.25">
      <c r="V418" s="6"/>
      <c r="W418" s="6"/>
      <c r="X418" s="6"/>
      <c r="Y418" s="6"/>
      <c r="Z418" s="6"/>
      <c r="AA418" s="6"/>
      <c r="AB418" s="6"/>
      <c r="AC418" s="6"/>
      <c r="AD418" s="6"/>
      <c r="AE418" s="6"/>
    </row>
    <row r="419" spans="22:31" ht="11.25" customHeight="1" x14ac:dyDescent="0.25">
      <c r="V419" s="6"/>
      <c r="W419" s="6"/>
      <c r="X419" s="6"/>
      <c r="Y419" s="6"/>
      <c r="Z419" s="6"/>
      <c r="AA419" s="6"/>
      <c r="AB419" s="6"/>
      <c r="AC419" s="6"/>
      <c r="AD419" s="6"/>
      <c r="AE419" s="6"/>
    </row>
    <row r="420" spans="22:31" ht="11.25" customHeight="1" x14ac:dyDescent="0.25">
      <c r="V420" s="6"/>
      <c r="W420" s="6"/>
      <c r="X420" s="6"/>
      <c r="Y420" s="6"/>
      <c r="Z420" s="6"/>
      <c r="AA420" s="6"/>
      <c r="AB420" s="6"/>
      <c r="AC420" s="6"/>
      <c r="AD420" s="6"/>
      <c r="AE420" s="6"/>
    </row>
    <row r="421" spans="22:31" ht="11.25" customHeight="1" x14ac:dyDescent="0.25">
      <c r="V421" s="6"/>
      <c r="W421" s="6"/>
      <c r="X421" s="6"/>
      <c r="Y421" s="6"/>
      <c r="Z421" s="6"/>
      <c r="AA421" s="6"/>
      <c r="AB421" s="6"/>
      <c r="AC421" s="6"/>
      <c r="AD421" s="6"/>
      <c r="AE421" s="6"/>
    </row>
    <row r="422" spans="22:31" ht="11.25" customHeight="1" x14ac:dyDescent="0.25">
      <c r="V422" s="6"/>
      <c r="W422" s="6"/>
      <c r="X422" s="6"/>
      <c r="Y422" s="6"/>
      <c r="Z422" s="6"/>
      <c r="AA422" s="6"/>
      <c r="AB422" s="6"/>
      <c r="AC422" s="6"/>
      <c r="AD422" s="6"/>
      <c r="AE422" s="6"/>
    </row>
    <row r="423" spans="22:31" ht="11.25" customHeight="1" x14ac:dyDescent="0.25">
      <c r="V423" s="6"/>
      <c r="W423" s="6"/>
      <c r="X423" s="6"/>
      <c r="Y423" s="6"/>
      <c r="Z423" s="6"/>
      <c r="AA423" s="6"/>
      <c r="AB423" s="6"/>
      <c r="AC423" s="6"/>
      <c r="AD423" s="6"/>
      <c r="AE423" s="6"/>
    </row>
    <row r="424" spans="22:31" ht="11.25" customHeight="1" x14ac:dyDescent="0.25">
      <c r="V424" s="6"/>
      <c r="W424" s="6"/>
      <c r="X424" s="6"/>
      <c r="Y424" s="6"/>
      <c r="Z424" s="6"/>
      <c r="AA424" s="6"/>
      <c r="AB424" s="6"/>
      <c r="AC424" s="6"/>
      <c r="AD424" s="6"/>
      <c r="AE424" s="6"/>
    </row>
    <row r="425" spans="22:31" ht="11.25" customHeight="1" x14ac:dyDescent="0.25">
      <c r="V425" s="6"/>
      <c r="W425" s="6"/>
      <c r="X425" s="6"/>
      <c r="Y425" s="6"/>
      <c r="Z425" s="6"/>
      <c r="AA425" s="6"/>
      <c r="AB425" s="6"/>
      <c r="AC425" s="6"/>
      <c r="AD425" s="6"/>
      <c r="AE425" s="6"/>
    </row>
    <row r="426" spans="22:31" ht="11.25" customHeight="1" x14ac:dyDescent="0.25">
      <c r="V426" s="6"/>
      <c r="W426" s="6"/>
      <c r="X426" s="6"/>
      <c r="Y426" s="6"/>
      <c r="Z426" s="6"/>
      <c r="AA426" s="6"/>
      <c r="AB426" s="6"/>
      <c r="AC426" s="6"/>
      <c r="AD426" s="6"/>
      <c r="AE426" s="6"/>
    </row>
    <row r="427" spans="22:31" ht="11.25" customHeight="1" x14ac:dyDescent="0.25">
      <c r="V427" s="6"/>
      <c r="W427" s="6"/>
      <c r="X427" s="6"/>
      <c r="Y427" s="6"/>
      <c r="Z427" s="6"/>
      <c r="AA427" s="6"/>
      <c r="AB427" s="6"/>
      <c r="AC427" s="6"/>
      <c r="AD427" s="6"/>
      <c r="AE427" s="6"/>
    </row>
    <row r="428" spans="22:31" ht="11.25" customHeight="1" x14ac:dyDescent="0.25">
      <c r="V428" s="6"/>
      <c r="W428" s="6"/>
      <c r="X428" s="6"/>
      <c r="Y428" s="6"/>
      <c r="Z428" s="6"/>
      <c r="AA428" s="6"/>
      <c r="AB428" s="6"/>
      <c r="AC428" s="6"/>
      <c r="AD428" s="6"/>
      <c r="AE428" s="6"/>
    </row>
    <row r="429" spans="22:31" ht="11.25" customHeight="1" x14ac:dyDescent="0.25">
      <c r="V429" s="6"/>
      <c r="W429" s="6"/>
      <c r="X429" s="6"/>
      <c r="Y429" s="6"/>
      <c r="Z429" s="6"/>
      <c r="AA429" s="6"/>
      <c r="AB429" s="6"/>
      <c r="AC429" s="6"/>
      <c r="AD429" s="6"/>
      <c r="AE429" s="6"/>
    </row>
    <row r="430" spans="22:31" ht="11.25" customHeight="1" x14ac:dyDescent="0.25">
      <c r="V430" s="6"/>
      <c r="W430" s="6"/>
      <c r="X430" s="6"/>
      <c r="Y430" s="6"/>
      <c r="Z430" s="6"/>
      <c r="AA430" s="6"/>
      <c r="AB430" s="6"/>
      <c r="AC430" s="6"/>
      <c r="AD430" s="6"/>
      <c r="AE430" s="6"/>
    </row>
    <row r="431" spans="22:31" ht="11.25" customHeight="1" x14ac:dyDescent="0.25">
      <c r="V431" s="6"/>
      <c r="W431" s="6"/>
      <c r="X431" s="6"/>
      <c r="Y431" s="6"/>
      <c r="Z431" s="6"/>
      <c r="AA431" s="6"/>
      <c r="AB431" s="6"/>
      <c r="AC431" s="6"/>
      <c r="AD431" s="6"/>
      <c r="AE431" s="6"/>
    </row>
    <row r="432" spans="22:31" ht="11.25" customHeight="1" x14ac:dyDescent="0.25">
      <c r="V432" s="6"/>
      <c r="W432" s="6"/>
      <c r="X432" s="6"/>
      <c r="Y432" s="6"/>
      <c r="Z432" s="6"/>
      <c r="AA432" s="6"/>
      <c r="AB432" s="6"/>
      <c r="AC432" s="6"/>
      <c r="AD432" s="6"/>
      <c r="AE432" s="6"/>
    </row>
    <row r="433" spans="22:31" ht="11.25" customHeight="1" x14ac:dyDescent="0.25">
      <c r="V433" s="6"/>
      <c r="W433" s="6"/>
      <c r="X433" s="6"/>
      <c r="Y433" s="6"/>
      <c r="Z433" s="6"/>
      <c r="AA433" s="6"/>
      <c r="AB433" s="6"/>
      <c r="AC433" s="6"/>
      <c r="AD433" s="6"/>
      <c r="AE433" s="6"/>
    </row>
    <row r="434" spans="22:31" ht="11.25" customHeight="1" x14ac:dyDescent="0.25">
      <c r="V434" s="6"/>
      <c r="W434" s="6"/>
      <c r="X434" s="6"/>
      <c r="Y434" s="6"/>
      <c r="Z434" s="6"/>
      <c r="AA434" s="6"/>
      <c r="AB434" s="6"/>
      <c r="AC434" s="6"/>
      <c r="AD434" s="6"/>
      <c r="AE434" s="6"/>
    </row>
    <row r="435" spans="22:31" ht="11.25" customHeight="1" x14ac:dyDescent="0.25">
      <c r="V435" s="6"/>
      <c r="W435" s="6"/>
      <c r="X435" s="6"/>
      <c r="Y435" s="6"/>
      <c r="Z435" s="6"/>
      <c r="AA435" s="6"/>
      <c r="AB435" s="6"/>
      <c r="AC435" s="6"/>
      <c r="AD435" s="6"/>
      <c r="AE435" s="6"/>
    </row>
    <row r="436" spans="22:31" ht="11.25" customHeight="1" x14ac:dyDescent="0.25">
      <c r="V436" s="6"/>
      <c r="W436" s="6"/>
      <c r="X436" s="6"/>
      <c r="Y436" s="6"/>
      <c r="Z436" s="6"/>
      <c r="AA436" s="6"/>
      <c r="AB436" s="6"/>
      <c r="AC436" s="6"/>
      <c r="AD436" s="6"/>
      <c r="AE436" s="6"/>
    </row>
    <row r="437" spans="22:31" ht="11.25" customHeight="1" x14ac:dyDescent="0.25">
      <c r="V437" s="6"/>
      <c r="W437" s="6"/>
      <c r="X437" s="6"/>
      <c r="Y437" s="6"/>
      <c r="Z437" s="6"/>
      <c r="AA437" s="6"/>
      <c r="AB437" s="6"/>
      <c r="AC437" s="6"/>
      <c r="AD437" s="6"/>
      <c r="AE437" s="6"/>
    </row>
    <row r="438" spans="22:31" ht="11.25" customHeight="1" x14ac:dyDescent="0.25">
      <c r="V438" s="6"/>
      <c r="W438" s="6"/>
      <c r="X438" s="6"/>
      <c r="Y438" s="6"/>
      <c r="Z438" s="6"/>
      <c r="AA438" s="6"/>
      <c r="AB438" s="6"/>
      <c r="AC438" s="6"/>
      <c r="AD438" s="6"/>
      <c r="AE438" s="6"/>
    </row>
    <row r="439" spans="22:31" ht="11.25" customHeight="1" x14ac:dyDescent="0.25">
      <c r="V439" s="6"/>
      <c r="W439" s="6"/>
      <c r="X439" s="6"/>
      <c r="Y439" s="6"/>
      <c r="Z439" s="6"/>
      <c r="AA439" s="6"/>
      <c r="AB439" s="6"/>
      <c r="AC439" s="6"/>
      <c r="AD439" s="6"/>
      <c r="AE439" s="6"/>
    </row>
    <row r="440" spans="22:31" ht="11.25" customHeight="1" x14ac:dyDescent="0.25">
      <c r="V440" s="6"/>
      <c r="W440" s="6"/>
      <c r="X440" s="6"/>
      <c r="Y440" s="6"/>
      <c r="Z440" s="6"/>
      <c r="AA440" s="6"/>
      <c r="AB440" s="6"/>
      <c r="AC440" s="6"/>
      <c r="AD440" s="6"/>
      <c r="AE440" s="6"/>
    </row>
    <row r="441" spans="22:31" ht="11.25" customHeight="1" x14ac:dyDescent="0.25">
      <c r="V441" s="6"/>
      <c r="W441" s="6"/>
      <c r="X441" s="6"/>
      <c r="Y441" s="6"/>
      <c r="Z441" s="6"/>
      <c r="AA441" s="6"/>
      <c r="AB441" s="6"/>
      <c r="AC441" s="6"/>
      <c r="AD441" s="6"/>
      <c r="AE441" s="6"/>
    </row>
    <row r="442" spans="22:31" ht="11.25" customHeight="1" x14ac:dyDescent="0.25">
      <c r="V442" s="6"/>
      <c r="W442" s="6"/>
      <c r="X442" s="6"/>
      <c r="Y442" s="6"/>
      <c r="Z442" s="6"/>
      <c r="AA442" s="6"/>
      <c r="AB442" s="6"/>
      <c r="AC442" s="6"/>
      <c r="AD442" s="6"/>
      <c r="AE442" s="6"/>
    </row>
    <row r="443" spans="22:31" ht="11.25" customHeight="1" x14ac:dyDescent="0.25">
      <c r="V443" s="6"/>
      <c r="W443" s="6"/>
      <c r="X443" s="6"/>
      <c r="Y443" s="6"/>
      <c r="Z443" s="6"/>
      <c r="AA443" s="6"/>
      <c r="AB443" s="6"/>
      <c r="AC443" s="6"/>
      <c r="AD443" s="6"/>
      <c r="AE443" s="6"/>
    </row>
    <row r="444" spans="22:31" ht="11.25" customHeight="1" x14ac:dyDescent="0.25">
      <c r="V444" s="6"/>
      <c r="W444" s="6"/>
      <c r="X444" s="6"/>
      <c r="Y444" s="6"/>
      <c r="Z444" s="6"/>
      <c r="AA444" s="6"/>
      <c r="AB444" s="6"/>
      <c r="AC444" s="6"/>
      <c r="AD444" s="6"/>
      <c r="AE444" s="6"/>
    </row>
    <row r="445" spans="22:31" ht="11.25" customHeight="1" x14ac:dyDescent="0.25">
      <c r="V445" s="6"/>
      <c r="W445" s="6"/>
      <c r="X445" s="6"/>
      <c r="Y445" s="6"/>
      <c r="Z445" s="6"/>
      <c r="AA445" s="6"/>
      <c r="AB445" s="6"/>
      <c r="AC445" s="6"/>
      <c r="AD445" s="6"/>
      <c r="AE445" s="6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EA9F4-EC0F-40BC-91C3-569CD3951098}">
  <dimension ref="A1:J476"/>
  <sheetViews>
    <sheetView showGridLines="0" topLeftCell="E1" workbookViewId="0">
      <selection activeCell="J8" sqref="J8"/>
    </sheetView>
  </sheetViews>
  <sheetFormatPr defaultRowHeight="11.25" customHeight="1" x14ac:dyDescent="0.2"/>
  <cols>
    <col min="1" max="1" width="14.7109375" style="14" bestFit="1" customWidth="1"/>
    <col min="2" max="2" width="24.5703125" style="18" bestFit="1" customWidth="1"/>
    <col min="3" max="3" width="25.5703125" style="18" bestFit="1" customWidth="1"/>
    <col min="4" max="4" width="26" style="18" bestFit="1" customWidth="1"/>
    <col min="5" max="5" width="26.85546875" style="18" bestFit="1" customWidth="1"/>
    <col min="6" max="6" width="23.7109375" style="18" bestFit="1" customWidth="1"/>
    <col min="7" max="7" width="24.5703125" style="18" bestFit="1" customWidth="1"/>
    <col min="8" max="8" width="18.28515625" style="19" bestFit="1" customWidth="1"/>
    <col min="9" max="9" width="16" style="19" bestFit="1" customWidth="1"/>
    <col min="10" max="10" width="13.85546875" style="19" bestFit="1" customWidth="1"/>
    <col min="11" max="16384" width="9.140625" style="14"/>
  </cols>
  <sheetData>
    <row r="1" spans="1:10" ht="11.25" customHeight="1" x14ac:dyDescent="0.2">
      <c r="A1" s="17" t="s">
        <v>584</v>
      </c>
      <c r="B1" s="95" t="s">
        <v>585</v>
      </c>
      <c r="C1" s="95" t="s">
        <v>586</v>
      </c>
      <c r="D1" s="95" t="s">
        <v>587</v>
      </c>
      <c r="E1" s="95" t="s">
        <v>588</v>
      </c>
      <c r="F1" s="95" t="s">
        <v>589</v>
      </c>
      <c r="G1" s="95" t="s">
        <v>590</v>
      </c>
      <c r="H1" s="19" t="s">
        <v>591</v>
      </c>
      <c r="I1" s="19" t="s">
        <v>592</v>
      </c>
      <c r="J1" s="19" t="s">
        <v>593</v>
      </c>
    </row>
    <row r="2" spans="1:10" ht="11.25" customHeight="1" x14ac:dyDescent="0.2">
      <c r="A2" s="20" t="s">
        <v>34</v>
      </c>
      <c r="B2" s="95">
        <v>1708003.3341006842</v>
      </c>
      <c r="C2" s="95">
        <v>2123530.5496839806</v>
      </c>
      <c r="D2" s="95">
        <v>5003856.6031545773</v>
      </c>
      <c r="E2" s="95">
        <v>6321230.6741652023</v>
      </c>
      <c r="F2" s="95">
        <v>6174625.7329272022</v>
      </c>
      <c r="G2" s="95">
        <v>5809372.7195525654</v>
      </c>
      <c r="H2" s="19">
        <v>0.25818495957807075</v>
      </c>
      <c r="I2" s="19">
        <v>-5.9153870885949478E-2</v>
      </c>
      <c r="J2" s="19">
        <v>0.10613043060947436</v>
      </c>
    </row>
    <row r="3" spans="1:10" ht="11.25" customHeight="1" x14ac:dyDescent="0.2">
      <c r="A3" s="20" t="s">
        <v>22</v>
      </c>
      <c r="B3" s="95">
        <v>0</v>
      </c>
      <c r="C3" s="95">
        <v>0</v>
      </c>
      <c r="D3" s="95">
        <v>7017337.6636399962</v>
      </c>
      <c r="E3" s="95">
        <v>7898850.7757311575</v>
      </c>
      <c r="F3" s="95">
        <v>5131385.4318300001</v>
      </c>
      <c r="G3" s="95">
        <v>4827989.952195988</v>
      </c>
      <c r="H3" s="19">
        <v>0.12561930953653255</v>
      </c>
      <c r="I3" s="19">
        <v>-5.912545133562741E-2</v>
      </c>
      <c r="J3" s="19">
        <v>4.7586699269877686E-2</v>
      </c>
    </row>
    <row r="4" spans="1:10" ht="11.25" customHeight="1" x14ac:dyDescent="0.2">
      <c r="A4" s="20" t="s">
        <v>39</v>
      </c>
      <c r="B4" s="95">
        <v>0</v>
      </c>
      <c r="C4" s="95">
        <v>0</v>
      </c>
      <c r="D4" s="95">
        <v>13331.026239999997</v>
      </c>
      <c r="E4" s="95">
        <v>16077.32722347737</v>
      </c>
      <c r="F4" s="95">
        <v>9677.8057599999993</v>
      </c>
      <c r="G4" s="95">
        <v>9726.3501559019678</v>
      </c>
      <c r="H4" s="19">
        <v>0.20600821977508721</v>
      </c>
      <c r="I4" s="19">
        <v>5.0160539595256459E-3</v>
      </c>
      <c r="J4" s="19">
        <v>0.12146837263966059</v>
      </c>
    </row>
    <row r="5" spans="1:10" ht="11.25" customHeight="1" x14ac:dyDescent="0.2">
      <c r="A5" s="20" t="s">
        <v>32</v>
      </c>
      <c r="B5" s="95">
        <v>0</v>
      </c>
      <c r="C5" s="95">
        <v>0</v>
      </c>
      <c r="D5" s="95">
        <v>4093541.5716279992</v>
      </c>
      <c r="E5" s="95">
        <v>4643391.0094260946</v>
      </c>
      <c r="F5" s="95">
        <v>2971777.061892</v>
      </c>
      <c r="G5" s="95">
        <v>2809195.9058189755</v>
      </c>
      <c r="H5" s="19">
        <v>0.13432120528811931</v>
      </c>
      <c r="I5" s="19">
        <v>-5.4708395914973562E-2</v>
      </c>
      <c r="J5" s="19">
        <v>5.4812571352090611E-2</v>
      </c>
    </row>
    <row r="6" spans="1:10" ht="11.25" customHeight="1" x14ac:dyDescent="0.2">
      <c r="A6" s="20" t="s">
        <v>42</v>
      </c>
      <c r="B6" s="95">
        <v>0</v>
      </c>
      <c r="C6" s="95">
        <v>0</v>
      </c>
      <c r="D6" s="95">
        <v>655188.33709999989</v>
      </c>
      <c r="E6" s="95">
        <v>739731.66094359488</v>
      </c>
      <c r="F6" s="95">
        <v>475648.92540000007</v>
      </c>
      <c r="G6" s="95">
        <v>447517.74071238772</v>
      </c>
      <c r="H6" s="19">
        <v>0.12903667397042096</v>
      </c>
      <c r="I6" s="19">
        <v>-5.9142748328413153E-2</v>
      </c>
      <c r="J6" s="19">
        <v>4.9885285024362958E-2</v>
      </c>
    </row>
    <row r="7" spans="1:10" ht="11.25" customHeight="1" x14ac:dyDescent="0.25">
      <c r="A7"/>
      <c r="B7"/>
      <c r="C7"/>
      <c r="D7"/>
      <c r="E7"/>
      <c r="F7"/>
      <c r="G7"/>
      <c r="H7"/>
      <c r="I7"/>
      <c r="J7"/>
    </row>
    <row r="8" spans="1:10" ht="11.25" customHeight="1" x14ac:dyDescent="0.25">
      <c r="A8"/>
      <c r="B8"/>
      <c r="C8"/>
      <c r="D8"/>
      <c r="E8"/>
      <c r="F8"/>
      <c r="G8"/>
      <c r="H8"/>
      <c r="I8"/>
      <c r="J8"/>
    </row>
    <row r="9" spans="1:10" ht="11.25" customHeight="1" x14ac:dyDescent="0.25">
      <c r="A9"/>
      <c r="B9"/>
      <c r="C9"/>
      <c r="D9"/>
      <c r="E9"/>
      <c r="F9"/>
      <c r="G9"/>
      <c r="H9"/>
      <c r="I9"/>
      <c r="J9"/>
    </row>
    <row r="10" spans="1:10" ht="11.25" customHeight="1" x14ac:dyDescent="0.25">
      <c r="A10"/>
      <c r="B10"/>
      <c r="C10"/>
      <c r="D10"/>
      <c r="E10"/>
      <c r="F10"/>
      <c r="G10"/>
      <c r="H10"/>
      <c r="I10"/>
      <c r="J10"/>
    </row>
    <row r="11" spans="1:10" ht="11.25" customHeight="1" x14ac:dyDescent="0.25">
      <c r="A11"/>
      <c r="B11"/>
      <c r="C11"/>
      <c r="D11"/>
      <c r="E11"/>
      <c r="F11"/>
      <c r="G11"/>
      <c r="H11"/>
      <c r="I11"/>
      <c r="J11"/>
    </row>
    <row r="12" spans="1:10" ht="11.25" customHeight="1" x14ac:dyDescent="0.25">
      <c r="A12"/>
      <c r="B12"/>
      <c r="C12"/>
      <c r="D12"/>
      <c r="E12"/>
      <c r="F12"/>
      <c r="G12"/>
      <c r="H12"/>
      <c r="I12"/>
      <c r="J12"/>
    </row>
    <row r="13" spans="1:10" ht="11.25" customHeight="1" x14ac:dyDescent="0.25">
      <c r="A13"/>
      <c r="B13"/>
      <c r="C13"/>
      <c r="D13"/>
      <c r="E13"/>
      <c r="F13"/>
      <c r="G13"/>
      <c r="H13"/>
      <c r="I13"/>
      <c r="J13"/>
    </row>
    <row r="14" spans="1:10" ht="11.25" customHeight="1" x14ac:dyDescent="0.25">
      <c r="A14"/>
      <c r="B14"/>
      <c r="C14"/>
      <c r="D14"/>
      <c r="E14"/>
      <c r="F14"/>
      <c r="G14"/>
      <c r="H14"/>
      <c r="I14"/>
      <c r="J14"/>
    </row>
    <row r="15" spans="1:10" ht="11.25" customHeight="1" x14ac:dyDescent="0.25">
      <c r="A15"/>
      <c r="B15"/>
      <c r="C15"/>
      <c r="D15"/>
      <c r="E15"/>
      <c r="F15"/>
      <c r="G15"/>
      <c r="H15"/>
      <c r="I15"/>
      <c r="J15"/>
    </row>
    <row r="16" spans="1:10" ht="11.25" customHeight="1" x14ac:dyDescent="0.25">
      <c r="A16"/>
      <c r="B16"/>
      <c r="C16"/>
      <c r="D16"/>
      <c r="E16"/>
      <c r="F16"/>
      <c r="G16"/>
      <c r="H16"/>
      <c r="I16"/>
      <c r="J16"/>
    </row>
    <row r="17" spans="1:10" ht="11.25" customHeight="1" x14ac:dyDescent="0.25">
      <c r="A17"/>
      <c r="B17"/>
      <c r="C17"/>
      <c r="D17"/>
      <c r="E17"/>
      <c r="F17"/>
      <c r="G17"/>
      <c r="H17"/>
      <c r="I17"/>
      <c r="J17"/>
    </row>
    <row r="18" spans="1:10" ht="11.25" customHeight="1" x14ac:dyDescent="0.25">
      <c r="A18"/>
      <c r="B18"/>
      <c r="C18"/>
      <c r="D18"/>
      <c r="E18"/>
      <c r="F18"/>
      <c r="G18"/>
      <c r="H18"/>
      <c r="I18"/>
      <c r="J18"/>
    </row>
    <row r="19" spans="1:10" ht="11.25" customHeight="1" x14ac:dyDescent="0.25">
      <c r="A19"/>
      <c r="B19"/>
      <c r="C19"/>
      <c r="D19"/>
      <c r="E19"/>
      <c r="F19"/>
      <c r="G19"/>
      <c r="H19"/>
      <c r="I19"/>
      <c r="J19"/>
    </row>
    <row r="20" spans="1:10" ht="11.25" customHeight="1" x14ac:dyDescent="0.25">
      <c r="A20"/>
      <c r="B20"/>
      <c r="C20"/>
      <c r="D20"/>
      <c r="E20"/>
      <c r="F20"/>
      <c r="G20"/>
      <c r="H20"/>
      <c r="I20"/>
      <c r="J20"/>
    </row>
    <row r="21" spans="1:10" ht="11.25" customHeight="1" x14ac:dyDescent="0.25">
      <c r="A21"/>
      <c r="B21"/>
      <c r="C21"/>
      <c r="D21"/>
      <c r="E21"/>
      <c r="F21"/>
      <c r="G21"/>
      <c r="H21"/>
      <c r="I21"/>
      <c r="J21"/>
    </row>
    <row r="22" spans="1:10" ht="11.25" customHeight="1" x14ac:dyDescent="0.25">
      <c r="A22"/>
      <c r="B22"/>
      <c r="C22"/>
      <c r="D22"/>
      <c r="E22"/>
      <c r="F22"/>
      <c r="G22"/>
      <c r="H22"/>
      <c r="I22"/>
      <c r="J22"/>
    </row>
    <row r="23" spans="1:10" ht="11.25" customHeight="1" x14ac:dyDescent="0.25">
      <c r="A23"/>
      <c r="B23"/>
      <c r="C23"/>
      <c r="D23"/>
      <c r="E23"/>
      <c r="F23"/>
      <c r="G23"/>
      <c r="H23"/>
      <c r="I23"/>
      <c r="J23"/>
    </row>
    <row r="24" spans="1:10" ht="11.25" customHeight="1" x14ac:dyDescent="0.25">
      <c r="A24"/>
      <c r="B24"/>
      <c r="C24"/>
      <c r="D24"/>
      <c r="E24"/>
      <c r="F24"/>
      <c r="G24"/>
      <c r="H24"/>
      <c r="I24"/>
      <c r="J24"/>
    </row>
    <row r="25" spans="1:10" ht="11.25" customHeight="1" x14ac:dyDescent="0.25">
      <c r="A25"/>
      <c r="B25"/>
      <c r="C25"/>
      <c r="D25"/>
      <c r="E25"/>
      <c r="F25"/>
      <c r="G25"/>
      <c r="H25"/>
      <c r="I25"/>
      <c r="J25"/>
    </row>
    <row r="26" spans="1:10" ht="11.25" customHeight="1" x14ac:dyDescent="0.25">
      <c r="A26"/>
      <c r="B26"/>
      <c r="C26"/>
      <c r="D26"/>
      <c r="E26"/>
      <c r="F26"/>
      <c r="G26"/>
      <c r="H26"/>
      <c r="I26"/>
      <c r="J26"/>
    </row>
    <row r="27" spans="1:10" ht="11.25" customHeight="1" x14ac:dyDescent="0.25">
      <c r="A27"/>
      <c r="B27"/>
      <c r="C27"/>
      <c r="D27"/>
      <c r="E27"/>
      <c r="F27"/>
      <c r="G27"/>
      <c r="H27"/>
      <c r="I27"/>
      <c r="J27"/>
    </row>
    <row r="28" spans="1:10" ht="11.25" customHeight="1" x14ac:dyDescent="0.25">
      <c r="A28"/>
      <c r="B28"/>
      <c r="C28"/>
      <c r="D28"/>
      <c r="E28"/>
      <c r="F28"/>
      <c r="G28"/>
      <c r="H28"/>
      <c r="I28"/>
      <c r="J28"/>
    </row>
    <row r="29" spans="1:10" ht="11.25" customHeight="1" x14ac:dyDescent="0.25">
      <c r="A29"/>
      <c r="B29"/>
      <c r="C29"/>
      <c r="D29"/>
      <c r="E29"/>
      <c r="F29"/>
      <c r="G29"/>
      <c r="H29"/>
      <c r="I29"/>
      <c r="J29"/>
    </row>
    <row r="30" spans="1:10" ht="11.25" customHeight="1" x14ac:dyDescent="0.25">
      <c r="A30"/>
      <c r="B30"/>
      <c r="C30"/>
      <c r="D30"/>
      <c r="E30"/>
      <c r="F30"/>
      <c r="G30"/>
      <c r="H30"/>
      <c r="I30"/>
      <c r="J30"/>
    </row>
    <row r="31" spans="1:10" ht="11.25" customHeight="1" x14ac:dyDescent="0.25">
      <c r="A31"/>
      <c r="B31"/>
      <c r="C31"/>
      <c r="D31"/>
      <c r="E31"/>
      <c r="F31"/>
      <c r="G31"/>
      <c r="H31"/>
      <c r="I31"/>
      <c r="J31"/>
    </row>
    <row r="32" spans="1:10" ht="11.25" customHeight="1" x14ac:dyDescent="0.25">
      <c r="A32"/>
      <c r="B32"/>
      <c r="C32"/>
      <c r="D32"/>
      <c r="E32"/>
      <c r="F32"/>
      <c r="G32"/>
      <c r="H32"/>
      <c r="I32"/>
      <c r="J32"/>
    </row>
    <row r="33" spans="1:10" ht="11.25" customHeight="1" x14ac:dyDescent="0.25">
      <c r="A33"/>
      <c r="B33"/>
      <c r="C33"/>
      <c r="D33"/>
      <c r="E33"/>
      <c r="F33"/>
      <c r="G33"/>
      <c r="H33"/>
      <c r="I33"/>
      <c r="J33"/>
    </row>
    <row r="34" spans="1:10" ht="11.25" customHeight="1" x14ac:dyDescent="0.25">
      <c r="A34"/>
      <c r="B34"/>
      <c r="C34"/>
      <c r="D34"/>
      <c r="E34"/>
      <c r="F34"/>
      <c r="G34"/>
      <c r="H34"/>
      <c r="I34"/>
      <c r="J34"/>
    </row>
    <row r="35" spans="1:10" ht="11.25" customHeight="1" x14ac:dyDescent="0.25">
      <c r="A35"/>
      <c r="B35"/>
      <c r="C35"/>
      <c r="D35"/>
      <c r="E35"/>
      <c r="F35"/>
      <c r="G35"/>
      <c r="H35"/>
      <c r="I35"/>
      <c r="J35"/>
    </row>
    <row r="36" spans="1:10" ht="11.25" customHeight="1" x14ac:dyDescent="0.25">
      <c r="A36"/>
      <c r="B36"/>
      <c r="C36"/>
      <c r="D36"/>
      <c r="E36"/>
      <c r="F36"/>
      <c r="G36"/>
      <c r="H36"/>
      <c r="I36"/>
      <c r="J36"/>
    </row>
    <row r="37" spans="1:10" ht="11.25" customHeight="1" x14ac:dyDescent="0.25">
      <c r="A37"/>
      <c r="B37"/>
      <c r="C37"/>
      <c r="D37"/>
      <c r="E37"/>
      <c r="F37"/>
      <c r="G37"/>
      <c r="H37"/>
      <c r="I37"/>
      <c r="J37"/>
    </row>
    <row r="38" spans="1:10" ht="11.25" customHeight="1" x14ac:dyDescent="0.25">
      <c r="A38"/>
      <c r="B38"/>
      <c r="C38"/>
      <c r="D38"/>
      <c r="E38"/>
      <c r="F38"/>
      <c r="G38"/>
      <c r="H38"/>
      <c r="I38"/>
      <c r="J38"/>
    </row>
    <row r="39" spans="1:10" ht="11.25" customHeight="1" x14ac:dyDescent="0.25">
      <c r="A39"/>
      <c r="B39"/>
      <c r="C39"/>
      <c r="D39"/>
      <c r="E39"/>
      <c r="F39"/>
      <c r="G39"/>
      <c r="H39"/>
      <c r="I39"/>
      <c r="J39"/>
    </row>
    <row r="40" spans="1:10" ht="11.25" customHeight="1" x14ac:dyDescent="0.25">
      <c r="A40"/>
      <c r="B40"/>
      <c r="C40"/>
      <c r="D40"/>
      <c r="E40"/>
      <c r="F40"/>
      <c r="G40"/>
      <c r="H40"/>
      <c r="I40"/>
      <c r="J40"/>
    </row>
    <row r="41" spans="1:10" ht="11.25" customHeight="1" x14ac:dyDescent="0.25">
      <c r="A41"/>
      <c r="B41"/>
      <c r="C41"/>
      <c r="D41"/>
      <c r="E41"/>
      <c r="F41"/>
      <c r="G41"/>
      <c r="H41"/>
      <c r="I41"/>
      <c r="J41"/>
    </row>
    <row r="42" spans="1:10" ht="11.25" customHeight="1" x14ac:dyDescent="0.25">
      <c r="A42"/>
      <c r="B42"/>
      <c r="C42"/>
      <c r="D42"/>
      <c r="E42"/>
      <c r="F42"/>
      <c r="G42"/>
      <c r="H42"/>
      <c r="I42"/>
      <c r="J42"/>
    </row>
    <row r="43" spans="1:10" ht="11.25" customHeight="1" x14ac:dyDescent="0.25">
      <c r="A43"/>
      <c r="B43"/>
      <c r="C43"/>
      <c r="D43"/>
      <c r="E43"/>
      <c r="F43"/>
      <c r="G43"/>
      <c r="H43"/>
      <c r="I43"/>
      <c r="J43"/>
    </row>
    <row r="44" spans="1:10" ht="11.25" customHeight="1" x14ac:dyDescent="0.25">
      <c r="A44"/>
      <c r="B44"/>
      <c r="C44"/>
      <c r="D44"/>
      <c r="E44"/>
      <c r="F44"/>
      <c r="G44"/>
      <c r="H44"/>
      <c r="I44"/>
      <c r="J44"/>
    </row>
    <row r="45" spans="1:10" ht="11.25" customHeight="1" x14ac:dyDescent="0.25">
      <c r="A45"/>
      <c r="B45"/>
      <c r="C45"/>
      <c r="D45"/>
      <c r="E45"/>
      <c r="F45"/>
      <c r="G45"/>
      <c r="H45"/>
      <c r="I45"/>
      <c r="J45"/>
    </row>
    <row r="46" spans="1:10" ht="11.25" customHeight="1" x14ac:dyDescent="0.25">
      <c r="A46"/>
      <c r="B46"/>
      <c r="C46"/>
      <c r="D46"/>
      <c r="E46"/>
      <c r="F46"/>
      <c r="G46"/>
      <c r="H46"/>
      <c r="I46"/>
      <c r="J46"/>
    </row>
    <row r="47" spans="1:10" ht="11.25" customHeight="1" x14ac:dyDescent="0.25">
      <c r="A47"/>
      <c r="B47"/>
      <c r="C47"/>
      <c r="D47"/>
      <c r="E47"/>
      <c r="F47"/>
      <c r="G47"/>
      <c r="H47"/>
      <c r="I47"/>
      <c r="J47"/>
    </row>
    <row r="48" spans="1:10" ht="11.25" customHeight="1" x14ac:dyDescent="0.25">
      <c r="A48"/>
      <c r="B48"/>
      <c r="C48"/>
      <c r="D48"/>
      <c r="E48"/>
      <c r="F48"/>
      <c r="G48"/>
      <c r="H48"/>
      <c r="I48"/>
      <c r="J48"/>
    </row>
    <row r="49" spans="1:10" ht="11.25" customHeight="1" x14ac:dyDescent="0.25">
      <c r="A49"/>
      <c r="B49"/>
      <c r="C49"/>
      <c r="D49"/>
      <c r="E49"/>
      <c r="F49"/>
      <c r="G49"/>
      <c r="H49"/>
      <c r="I49"/>
      <c r="J49"/>
    </row>
    <row r="50" spans="1:10" ht="11.25" customHeight="1" x14ac:dyDescent="0.25">
      <c r="A50"/>
      <c r="B50"/>
      <c r="C50"/>
      <c r="D50"/>
      <c r="E50"/>
      <c r="F50"/>
      <c r="G50"/>
      <c r="H50"/>
      <c r="I50"/>
      <c r="J50"/>
    </row>
    <row r="51" spans="1:10" ht="11.25" customHeight="1" x14ac:dyDescent="0.25">
      <c r="A51"/>
      <c r="B51"/>
      <c r="C51"/>
      <c r="D51"/>
      <c r="E51"/>
      <c r="F51"/>
      <c r="G51"/>
      <c r="H51"/>
      <c r="I51"/>
      <c r="J51"/>
    </row>
    <row r="52" spans="1:10" ht="11.25" customHeight="1" x14ac:dyDescent="0.25">
      <c r="A52"/>
      <c r="B52"/>
      <c r="C52"/>
      <c r="D52"/>
      <c r="E52"/>
      <c r="F52"/>
      <c r="G52"/>
      <c r="H52"/>
      <c r="I52"/>
      <c r="J52"/>
    </row>
    <row r="53" spans="1:10" ht="11.25" customHeight="1" x14ac:dyDescent="0.25">
      <c r="A53"/>
      <c r="B53"/>
      <c r="C53"/>
      <c r="D53"/>
      <c r="E53"/>
      <c r="F53"/>
      <c r="G53"/>
      <c r="H53"/>
      <c r="I53"/>
      <c r="J53"/>
    </row>
    <row r="54" spans="1:10" ht="11.25" customHeight="1" x14ac:dyDescent="0.25">
      <c r="A54"/>
      <c r="B54"/>
      <c r="C54"/>
      <c r="D54"/>
      <c r="E54"/>
      <c r="F54"/>
      <c r="G54"/>
      <c r="H54"/>
      <c r="I54"/>
      <c r="J54"/>
    </row>
    <row r="55" spans="1:10" ht="11.25" customHeight="1" x14ac:dyDescent="0.25">
      <c r="A55"/>
      <c r="B55"/>
      <c r="C55"/>
      <c r="D55"/>
      <c r="E55"/>
      <c r="F55"/>
      <c r="G55"/>
      <c r="H55"/>
      <c r="I55"/>
      <c r="J55"/>
    </row>
    <row r="56" spans="1:10" ht="11.25" customHeight="1" x14ac:dyDescent="0.25">
      <c r="A56"/>
      <c r="B56"/>
      <c r="C56"/>
      <c r="D56"/>
      <c r="E56"/>
      <c r="F56"/>
      <c r="G56"/>
      <c r="H56"/>
      <c r="I56"/>
      <c r="J56"/>
    </row>
    <row r="57" spans="1:10" ht="11.25" customHeight="1" x14ac:dyDescent="0.25">
      <c r="A57"/>
      <c r="B57"/>
      <c r="C57"/>
      <c r="D57"/>
      <c r="E57"/>
      <c r="F57"/>
      <c r="G57"/>
      <c r="H57"/>
      <c r="I57"/>
      <c r="J57"/>
    </row>
    <row r="58" spans="1:10" ht="11.25" customHeight="1" x14ac:dyDescent="0.25">
      <c r="A58"/>
      <c r="B58"/>
      <c r="C58"/>
      <c r="D58"/>
      <c r="E58"/>
      <c r="F58"/>
      <c r="G58"/>
      <c r="H58"/>
      <c r="I58"/>
      <c r="J58"/>
    </row>
    <row r="59" spans="1:10" ht="11.25" customHeight="1" x14ac:dyDescent="0.25">
      <c r="A59"/>
      <c r="B59"/>
      <c r="C59"/>
      <c r="D59"/>
      <c r="E59"/>
      <c r="F59"/>
      <c r="G59"/>
      <c r="H59"/>
      <c r="I59"/>
      <c r="J59"/>
    </row>
    <row r="60" spans="1:10" ht="11.25" customHeight="1" x14ac:dyDescent="0.25">
      <c r="A60"/>
      <c r="B60"/>
      <c r="C60"/>
      <c r="D60"/>
      <c r="E60"/>
      <c r="F60"/>
      <c r="G60"/>
      <c r="H60"/>
      <c r="I60"/>
      <c r="J60"/>
    </row>
    <row r="61" spans="1:10" ht="11.25" customHeight="1" x14ac:dyDescent="0.25">
      <c r="A61"/>
      <c r="B61"/>
      <c r="C61"/>
      <c r="D61"/>
      <c r="E61"/>
      <c r="F61"/>
      <c r="G61"/>
      <c r="H61"/>
      <c r="I61"/>
      <c r="J61"/>
    </row>
    <row r="62" spans="1:10" ht="11.25" customHeight="1" x14ac:dyDescent="0.25">
      <c r="A62"/>
      <c r="B62"/>
      <c r="C62"/>
      <c r="D62"/>
      <c r="E62"/>
      <c r="F62"/>
      <c r="G62"/>
      <c r="H62"/>
      <c r="I62"/>
      <c r="J62"/>
    </row>
    <row r="63" spans="1:10" ht="11.25" customHeight="1" x14ac:dyDescent="0.25">
      <c r="A63"/>
      <c r="B63"/>
      <c r="C63"/>
      <c r="D63"/>
      <c r="E63"/>
      <c r="F63"/>
      <c r="G63"/>
      <c r="H63"/>
      <c r="I63"/>
      <c r="J63"/>
    </row>
    <row r="64" spans="1:10" ht="11.25" customHeight="1" x14ac:dyDescent="0.25">
      <c r="A64"/>
      <c r="B64"/>
      <c r="C64"/>
      <c r="D64"/>
      <c r="E64"/>
      <c r="F64"/>
      <c r="G64"/>
      <c r="H64"/>
      <c r="I64"/>
      <c r="J64"/>
    </row>
    <row r="65" spans="1:10" ht="11.25" customHeight="1" x14ac:dyDescent="0.25">
      <c r="A65"/>
      <c r="B65"/>
      <c r="C65"/>
      <c r="D65"/>
      <c r="E65"/>
      <c r="F65"/>
      <c r="G65"/>
      <c r="H65"/>
      <c r="I65"/>
      <c r="J65"/>
    </row>
    <row r="66" spans="1:10" ht="11.25" customHeight="1" x14ac:dyDescent="0.25">
      <c r="A66"/>
      <c r="B66"/>
      <c r="C66"/>
      <c r="D66"/>
      <c r="E66"/>
      <c r="F66"/>
      <c r="G66"/>
      <c r="H66"/>
      <c r="I66"/>
      <c r="J66"/>
    </row>
    <row r="67" spans="1:10" ht="11.25" customHeight="1" x14ac:dyDescent="0.25">
      <c r="A67"/>
      <c r="B67"/>
      <c r="C67"/>
      <c r="D67"/>
      <c r="E67"/>
      <c r="F67"/>
      <c r="G67"/>
      <c r="H67"/>
      <c r="I67"/>
      <c r="J67"/>
    </row>
    <row r="68" spans="1:10" ht="11.25" customHeight="1" x14ac:dyDescent="0.25">
      <c r="A68"/>
      <c r="B68"/>
      <c r="C68"/>
      <c r="D68"/>
      <c r="E68"/>
      <c r="F68"/>
      <c r="G68"/>
      <c r="H68"/>
      <c r="I68"/>
      <c r="J68"/>
    </row>
    <row r="69" spans="1:10" ht="11.25" customHeight="1" x14ac:dyDescent="0.25">
      <c r="A69"/>
      <c r="B69"/>
      <c r="C69"/>
      <c r="D69"/>
      <c r="E69"/>
      <c r="F69"/>
      <c r="G69"/>
      <c r="H69"/>
      <c r="I69"/>
      <c r="J69"/>
    </row>
    <row r="70" spans="1:10" ht="11.25" customHeight="1" x14ac:dyDescent="0.25">
      <c r="A70"/>
      <c r="B70"/>
      <c r="C70"/>
      <c r="D70"/>
      <c r="E70"/>
      <c r="F70"/>
      <c r="G70"/>
      <c r="H70"/>
      <c r="I70"/>
      <c r="J70"/>
    </row>
    <row r="71" spans="1:10" ht="11.25" customHeight="1" x14ac:dyDescent="0.25">
      <c r="A71"/>
      <c r="B71"/>
      <c r="C71"/>
      <c r="D71"/>
      <c r="E71"/>
      <c r="F71"/>
      <c r="G71"/>
      <c r="H71"/>
      <c r="I71"/>
      <c r="J71"/>
    </row>
    <row r="72" spans="1:10" ht="11.25" customHeight="1" x14ac:dyDescent="0.25">
      <c r="A72"/>
      <c r="B72"/>
      <c r="C72"/>
      <c r="D72"/>
      <c r="E72"/>
      <c r="F72"/>
      <c r="G72"/>
      <c r="H72"/>
      <c r="I72"/>
      <c r="J72"/>
    </row>
    <row r="73" spans="1:10" ht="11.25" customHeight="1" x14ac:dyDescent="0.25">
      <c r="A73"/>
      <c r="B73"/>
      <c r="C73"/>
      <c r="D73"/>
      <c r="E73"/>
      <c r="F73"/>
      <c r="G73"/>
      <c r="H73"/>
      <c r="I73"/>
      <c r="J73"/>
    </row>
    <row r="74" spans="1:10" ht="11.25" customHeight="1" x14ac:dyDescent="0.25">
      <c r="A74"/>
      <c r="B74"/>
      <c r="C74"/>
      <c r="D74"/>
      <c r="E74"/>
      <c r="F74"/>
      <c r="G74"/>
      <c r="H74"/>
      <c r="I74"/>
      <c r="J74"/>
    </row>
    <row r="75" spans="1:10" ht="11.25" customHeight="1" x14ac:dyDescent="0.25">
      <c r="A75"/>
      <c r="B75"/>
      <c r="C75"/>
      <c r="D75"/>
      <c r="E75"/>
      <c r="F75"/>
      <c r="G75"/>
      <c r="H75"/>
      <c r="I75"/>
      <c r="J75"/>
    </row>
    <row r="76" spans="1:10" ht="11.25" customHeight="1" x14ac:dyDescent="0.25">
      <c r="A76"/>
      <c r="B76"/>
      <c r="C76"/>
      <c r="D76"/>
      <c r="E76"/>
      <c r="F76"/>
      <c r="G76"/>
      <c r="H76"/>
      <c r="I76"/>
      <c r="J76"/>
    </row>
    <row r="77" spans="1:10" ht="11.25" customHeight="1" x14ac:dyDescent="0.25">
      <c r="A77"/>
      <c r="B77"/>
      <c r="C77"/>
      <c r="D77"/>
      <c r="E77"/>
      <c r="F77"/>
      <c r="G77"/>
      <c r="H77"/>
      <c r="I77"/>
      <c r="J77"/>
    </row>
    <row r="78" spans="1:10" ht="11.25" customHeight="1" x14ac:dyDescent="0.25">
      <c r="A78"/>
      <c r="B78"/>
      <c r="C78"/>
      <c r="D78"/>
      <c r="E78"/>
      <c r="F78"/>
      <c r="G78"/>
      <c r="H78"/>
      <c r="I78"/>
      <c r="J78"/>
    </row>
    <row r="79" spans="1:10" ht="11.25" customHeight="1" x14ac:dyDescent="0.25">
      <c r="A79"/>
      <c r="B79"/>
      <c r="C79"/>
      <c r="D79"/>
      <c r="E79"/>
      <c r="F79"/>
      <c r="G79"/>
      <c r="H79"/>
      <c r="I79"/>
      <c r="J79"/>
    </row>
    <row r="80" spans="1:10" ht="11.25" customHeight="1" x14ac:dyDescent="0.25">
      <c r="A80"/>
      <c r="B80"/>
      <c r="C80"/>
      <c r="D80"/>
      <c r="E80"/>
      <c r="F80"/>
      <c r="G80"/>
      <c r="H80"/>
      <c r="I80"/>
      <c r="J80"/>
    </row>
    <row r="81" spans="1:10" ht="11.25" customHeight="1" x14ac:dyDescent="0.25">
      <c r="A81"/>
      <c r="B81"/>
      <c r="C81"/>
      <c r="D81"/>
      <c r="E81"/>
      <c r="F81"/>
      <c r="G81"/>
      <c r="H81"/>
      <c r="I81"/>
      <c r="J81"/>
    </row>
    <row r="82" spans="1:10" ht="11.25" customHeight="1" x14ac:dyDescent="0.25">
      <c r="A82"/>
      <c r="B82"/>
      <c r="C82"/>
      <c r="D82"/>
      <c r="E82"/>
      <c r="F82"/>
      <c r="G82"/>
      <c r="H82"/>
      <c r="I82"/>
      <c r="J82"/>
    </row>
    <row r="83" spans="1:10" ht="11.25" customHeight="1" x14ac:dyDescent="0.25">
      <c r="A83"/>
      <c r="B83"/>
      <c r="C83"/>
      <c r="D83"/>
      <c r="E83"/>
      <c r="F83"/>
      <c r="G83"/>
      <c r="H83"/>
      <c r="I83"/>
      <c r="J83"/>
    </row>
    <row r="84" spans="1:10" ht="11.25" customHeight="1" x14ac:dyDescent="0.25">
      <c r="A84"/>
      <c r="B84"/>
      <c r="C84"/>
      <c r="D84"/>
      <c r="E84"/>
      <c r="F84"/>
      <c r="G84"/>
      <c r="H84"/>
      <c r="I84"/>
      <c r="J84"/>
    </row>
    <row r="85" spans="1:10" ht="11.25" customHeight="1" x14ac:dyDescent="0.25">
      <c r="A85"/>
      <c r="B85"/>
      <c r="C85"/>
      <c r="D85"/>
      <c r="E85"/>
      <c r="F85"/>
      <c r="G85"/>
      <c r="H85"/>
      <c r="I85"/>
      <c r="J85"/>
    </row>
    <row r="86" spans="1:10" ht="11.25" customHeight="1" x14ac:dyDescent="0.25">
      <c r="A86"/>
      <c r="B86"/>
      <c r="C86"/>
      <c r="D86"/>
      <c r="E86"/>
      <c r="F86"/>
      <c r="G86"/>
      <c r="H86"/>
      <c r="I86"/>
      <c r="J86"/>
    </row>
    <row r="87" spans="1:10" ht="11.25" customHeight="1" x14ac:dyDescent="0.25">
      <c r="A87"/>
      <c r="B87"/>
      <c r="C87"/>
      <c r="D87"/>
      <c r="E87"/>
      <c r="F87"/>
      <c r="G87"/>
      <c r="H87"/>
      <c r="I87"/>
      <c r="J87"/>
    </row>
    <row r="88" spans="1:10" ht="11.25" customHeight="1" x14ac:dyDescent="0.25">
      <c r="A88"/>
      <c r="B88"/>
      <c r="C88"/>
      <c r="D88"/>
      <c r="E88"/>
      <c r="F88"/>
      <c r="G88"/>
      <c r="H88"/>
      <c r="I88"/>
      <c r="J88"/>
    </row>
    <row r="89" spans="1:10" ht="11.25" customHeight="1" x14ac:dyDescent="0.25">
      <c r="A89"/>
      <c r="B89"/>
      <c r="C89"/>
      <c r="D89"/>
      <c r="E89"/>
      <c r="F89"/>
      <c r="G89"/>
      <c r="H89"/>
      <c r="I89"/>
      <c r="J89"/>
    </row>
    <row r="90" spans="1:10" ht="11.25" customHeight="1" x14ac:dyDescent="0.25">
      <c r="A90"/>
      <c r="B90"/>
      <c r="C90"/>
      <c r="D90"/>
      <c r="E90"/>
      <c r="F90"/>
      <c r="G90"/>
      <c r="H90"/>
      <c r="I90"/>
      <c r="J90"/>
    </row>
    <row r="91" spans="1:10" ht="11.25" customHeight="1" x14ac:dyDescent="0.25">
      <c r="A91"/>
      <c r="B91"/>
      <c r="C91"/>
      <c r="D91"/>
      <c r="E91"/>
      <c r="F91"/>
      <c r="G91"/>
      <c r="H91"/>
      <c r="I91"/>
      <c r="J91"/>
    </row>
    <row r="92" spans="1:10" ht="11.25" customHeight="1" x14ac:dyDescent="0.25">
      <c r="A92"/>
      <c r="B92"/>
      <c r="C92"/>
      <c r="D92"/>
      <c r="E92"/>
      <c r="F92"/>
      <c r="G92"/>
      <c r="H92"/>
      <c r="I92"/>
      <c r="J92"/>
    </row>
    <row r="93" spans="1:10" ht="11.25" customHeight="1" x14ac:dyDescent="0.25">
      <c r="A93"/>
      <c r="B93"/>
      <c r="C93"/>
      <c r="D93"/>
      <c r="E93"/>
      <c r="F93"/>
      <c r="G93"/>
      <c r="H93"/>
      <c r="I93"/>
      <c r="J93"/>
    </row>
    <row r="94" spans="1:10" ht="11.25" customHeight="1" x14ac:dyDescent="0.25">
      <c r="A94"/>
      <c r="B94"/>
      <c r="C94"/>
      <c r="D94"/>
      <c r="E94"/>
      <c r="F94"/>
      <c r="G94"/>
      <c r="H94"/>
      <c r="I94"/>
      <c r="J94"/>
    </row>
    <row r="95" spans="1:10" ht="11.25" customHeight="1" x14ac:dyDescent="0.25">
      <c r="A95"/>
      <c r="B95"/>
      <c r="C95"/>
      <c r="D95"/>
      <c r="E95"/>
      <c r="F95"/>
      <c r="G95"/>
      <c r="H95"/>
      <c r="I95"/>
      <c r="J95"/>
    </row>
    <row r="96" spans="1:10" ht="11.25" customHeight="1" x14ac:dyDescent="0.25">
      <c r="A96"/>
      <c r="B96"/>
      <c r="C96"/>
      <c r="D96"/>
      <c r="E96"/>
      <c r="F96"/>
      <c r="G96"/>
      <c r="H96"/>
      <c r="I96"/>
      <c r="J96"/>
    </row>
    <row r="97" spans="1:10" ht="11.25" customHeight="1" x14ac:dyDescent="0.25">
      <c r="A97"/>
      <c r="B97"/>
      <c r="C97"/>
      <c r="D97"/>
      <c r="E97"/>
      <c r="F97"/>
      <c r="G97"/>
      <c r="H97"/>
      <c r="I97"/>
      <c r="J97"/>
    </row>
    <row r="98" spans="1:10" ht="11.25" customHeight="1" x14ac:dyDescent="0.25">
      <c r="A98"/>
      <c r="B98"/>
      <c r="C98"/>
      <c r="D98"/>
      <c r="E98"/>
      <c r="F98"/>
      <c r="G98"/>
      <c r="H98"/>
      <c r="I98"/>
      <c r="J98"/>
    </row>
    <row r="99" spans="1:10" ht="11.25" customHeight="1" x14ac:dyDescent="0.25">
      <c r="A99"/>
      <c r="B99"/>
      <c r="C99"/>
      <c r="D99"/>
      <c r="E99"/>
      <c r="F99"/>
      <c r="G99"/>
      <c r="H99"/>
      <c r="I99"/>
      <c r="J99"/>
    </row>
    <row r="100" spans="1:10" ht="11.25" customHeight="1" x14ac:dyDescent="0.25">
      <c r="A100"/>
      <c r="B100"/>
      <c r="C100"/>
      <c r="D100"/>
      <c r="E100"/>
      <c r="F100"/>
      <c r="G100"/>
      <c r="H100"/>
      <c r="I100"/>
      <c r="J100"/>
    </row>
    <row r="101" spans="1:10" ht="11.25" customHeight="1" x14ac:dyDescent="0.25">
      <c r="A101"/>
      <c r="B101"/>
      <c r="C101"/>
      <c r="D101"/>
      <c r="E101"/>
      <c r="F101"/>
      <c r="G101"/>
      <c r="H101"/>
      <c r="I101"/>
      <c r="J101"/>
    </row>
    <row r="102" spans="1:10" ht="11.25" customHeight="1" x14ac:dyDescent="0.25">
      <c r="A102"/>
      <c r="B102"/>
      <c r="C102"/>
      <c r="D102"/>
      <c r="E102"/>
      <c r="F102"/>
      <c r="G102"/>
      <c r="H102"/>
      <c r="I102"/>
      <c r="J102"/>
    </row>
    <row r="103" spans="1:10" ht="11.25" customHeight="1" x14ac:dyDescent="0.25">
      <c r="A103"/>
      <c r="B103"/>
      <c r="C103"/>
      <c r="D103"/>
      <c r="E103"/>
      <c r="F103"/>
      <c r="G103"/>
      <c r="H103"/>
      <c r="I103"/>
      <c r="J103"/>
    </row>
    <row r="104" spans="1:10" ht="11.25" customHeight="1" x14ac:dyDescent="0.25">
      <c r="A104"/>
      <c r="B104"/>
      <c r="C104"/>
      <c r="D104"/>
      <c r="E104"/>
      <c r="F104"/>
      <c r="G104"/>
      <c r="H104"/>
      <c r="I104"/>
      <c r="J104"/>
    </row>
    <row r="105" spans="1:10" ht="11.25" customHeight="1" x14ac:dyDescent="0.25">
      <c r="A105"/>
      <c r="B105"/>
      <c r="C105"/>
      <c r="D105"/>
      <c r="E105"/>
      <c r="F105"/>
      <c r="G105"/>
      <c r="H105"/>
      <c r="I105"/>
      <c r="J105"/>
    </row>
    <row r="106" spans="1:10" ht="11.25" customHeight="1" x14ac:dyDescent="0.25">
      <c r="A106"/>
      <c r="B106"/>
      <c r="C106"/>
      <c r="D106"/>
      <c r="E106"/>
      <c r="F106"/>
      <c r="G106"/>
      <c r="H106"/>
      <c r="I106"/>
      <c r="J106"/>
    </row>
    <row r="107" spans="1:10" ht="11.25" customHeight="1" x14ac:dyDescent="0.25">
      <c r="A107"/>
      <c r="B107"/>
      <c r="C107"/>
      <c r="D107"/>
      <c r="E107"/>
      <c r="F107"/>
      <c r="G107"/>
      <c r="H107"/>
      <c r="I107"/>
      <c r="J107"/>
    </row>
    <row r="108" spans="1:10" ht="11.25" customHeight="1" x14ac:dyDescent="0.25">
      <c r="A108"/>
      <c r="B108"/>
      <c r="C108"/>
      <c r="D108"/>
      <c r="E108"/>
      <c r="F108"/>
      <c r="G108"/>
      <c r="H108"/>
      <c r="I108"/>
      <c r="J108"/>
    </row>
    <row r="109" spans="1:10" ht="11.25" customHeight="1" x14ac:dyDescent="0.25">
      <c r="A109"/>
      <c r="B109"/>
      <c r="C109"/>
      <c r="D109"/>
      <c r="E109"/>
      <c r="F109"/>
      <c r="G109"/>
      <c r="H109"/>
      <c r="I109"/>
      <c r="J109"/>
    </row>
    <row r="110" spans="1:10" ht="11.25" customHeight="1" x14ac:dyDescent="0.25">
      <c r="A110"/>
      <c r="B110"/>
      <c r="C110"/>
      <c r="D110"/>
      <c r="E110"/>
      <c r="F110"/>
      <c r="G110"/>
      <c r="H110"/>
      <c r="I110"/>
      <c r="J110"/>
    </row>
    <row r="111" spans="1:10" ht="11.25" customHeight="1" x14ac:dyDescent="0.25">
      <c r="A111"/>
      <c r="B111"/>
      <c r="C111"/>
      <c r="D111"/>
      <c r="E111"/>
      <c r="F111"/>
      <c r="G111"/>
      <c r="H111"/>
      <c r="I111"/>
      <c r="J111"/>
    </row>
    <row r="112" spans="1:10" ht="11.25" customHeight="1" x14ac:dyDescent="0.25">
      <c r="A112"/>
      <c r="B112"/>
      <c r="C112"/>
      <c r="D112"/>
      <c r="E112"/>
      <c r="F112"/>
      <c r="G112"/>
      <c r="H112"/>
      <c r="I112"/>
      <c r="J112"/>
    </row>
    <row r="113" spans="1:10" ht="11.25" customHeight="1" x14ac:dyDescent="0.25">
      <c r="A113"/>
      <c r="B113"/>
      <c r="C113"/>
      <c r="D113"/>
      <c r="E113"/>
      <c r="F113"/>
      <c r="G113"/>
      <c r="H113"/>
      <c r="I113"/>
      <c r="J113"/>
    </row>
    <row r="114" spans="1:10" ht="11.25" customHeight="1" x14ac:dyDescent="0.25">
      <c r="A114"/>
      <c r="B114"/>
      <c r="C114"/>
      <c r="D114"/>
      <c r="E114"/>
      <c r="F114"/>
      <c r="G114"/>
      <c r="H114"/>
      <c r="I114"/>
      <c r="J114"/>
    </row>
    <row r="115" spans="1:10" ht="11.25" customHeight="1" x14ac:dyDescent="0.25">
      <c r="A115"/>
      <c r="B115"/>
      <c r="C115"/>
      <c r="D115"/>
      <c r="E115"/>
      <c r="F115"/>
      <c r="G115"/>
      <c r="H115"/>
      <c r="I115"/>
      <c r="J115"/>
    </row>
    <row r="116" spans="1:10" ht="11.25" customHeight="1" x14ac:dyDescent="0.25">
      <c r="A116"/>
      <c r="B116"/>
      <c r="C116"/>
      <c r="D116"/>
      <c r="E116"/>
      <c r="F116"/>
      <c r="G116"/>
      <c r="H116"/>
      <c r="I116"/>
      <c r="J116"/>
    </row>
    <row r="117" spans="1:10" ht="11.25" customHeight="1" x14ac:dyDescent="0.25">
      <c r="A117"/>
      <c r="B117"/>
      <c r="C117"/>
      <c r="D117"/>
      <c r="E117"/>
      <c r="F117"/>
      <c r="G117"/>
      <c r="H117"/>
      <c r="I117"/>
      <c r="J117"/>
    </row>
    <row r="118" spans="1:10" ht="11.25" customHeight="1" x14ac:dyDescent="0.25">
      <c r="A118"/>
      <c r="B118"/>
      <c r="C118"/>
      <c r="D118"/>
      <c r="E118"/>
      <c r="F118"/>
      <c r="G118"/>
      <c r="H118"/>
      <c r="I118"/>
      <c r="J118"/>
    </row>
    <row r="119" spans="1:10" ht="11.25" customHeight="1" x14ac:dyDescent="0.25">
      <c r="A119"/>
      <c r="B119"/>
      <c r="C119"/>
      <c r="D119"/>
      <c r="E119"/>
      <c r="F119"/>
      <c r="G119"/>
      <c r="H119"/>
      <c r="I119"/>
      <c r="J119"/>
    </row>
    <row r="120" spans="1:10" ht="11.25" customHeight="1" x14ac:dyDescent="0.25">
      <c r="A120"/>
      <c r="B120"/>
      <c r="C120"/>
      <c r="D120"/>
      <c r="E120"/>
      <c r="F120"/>
      <c r="G120"/>
      <c r="H120"/>
      <c r="I120"/>
      <c r="J120"/>
    </row>
    <row r="121" spans="1:10" ht="11.25" customHeight="1" x14ac:dyDescent="0.25">
      <c r="A121"/>
      <c r="B121"/>
      <c r="C121"/>
      <c r="D121"/>
      <c r="E121"/>
      <c r="F121"/>
      <c r="G121"/>
      <c r="H121"/>
      <c r="I121"/>
      <c r="J121"/>
    </row>
    <row r="122" spans="1:10" ht="11.25" customHeight="1" x14ac:dyDescent="0.25">
      <c r="A122"/>
      <c r="B122"/>
      <c r="C122"/>
      <c r="D122"/>
      <c r="E122"/>
      <c r="F122"/>
      <c r="G122"/>
      <c r="H122"/>
      <c r="I122"/>
      <c r="J122"/>
    </row>
    <row r="123" spans="1:10" ht="11.25" customHeight="1" x14ac:dyDescent="0.25">
      <c r="A123"/>
      <c r="B123"/>
      <c r="C123"/>
      <c r="D123"/>
      <c r="E123"/>
      <c r="F123"/>
      <c r="G123"/>
      <c r="H123"/>
      <c r="I123"/>
      <c r="J123"/>
    </row>
    <row r="124" spans="1:10" ht="11.25" customHeight="1" x14ac:dyDescent="0.25">
      <c r="A124"/>
      <c r="B124"/>
      <c r="C124"/>
      <c r="D124"/>
      <c r="E124"/>
      <c r="F124"/>
      <c r="G124"/>
      <c r="H124"/>
      <c r="I124"/>
      <c r="J124"/>
    </row>
    <row r="125" spans="1:10" ht="11.25" customHeight="1" x14ac:dyDescent="0.25">
      <c r="A125"/>
      <c r="B125"/>
      <c r="C125"/>
      <c r="D125"/>
      <c r="E125"/>
      <c r="F125"/>
      <c r="G125"/>
      <c r="H125"/>
      <c r="I125"/>
      <c r="J125"/>
    </row>
    <row r="126" spans="1:10" ht="11.25" customHeight="1" x14ac:dyDescent="0.25">
      <c r="A126"/>
      <c r="B126"/>
      <c r="C126"/>
      <c r="D126"/>
      <c r="E126"/>
      <c r="F126"/>
      <c r="G126"/>
      <c r="H126"/>
      <c r="I126"/>
      <c r="J126"/>
    </row>
    <row r="127" spans="1:10" ht="11.25" customHeight="1" x14ac:dyDescent="0.25">
      <c r="A127"/>
      <c r="B127"/>
      <c r="C127"/>
      <c r="D127"/>
      <c r="E127"/>
      <c r="F127"/>
      <c r="G127"/>
      <c r="H127"/>
      <c r="I127"/>
      <c r="J127"/>
    </row>
    <row r="128" spans="1:10" ht="11.25" customHeight="1" x14ac:dyDescent="0.25">
      <c r="A128"/>
      <c r="B128"/>
      <c r="C128"/>
      <c r="D128"/>
      <c r="E128"/>
      <c r="F128"/>
      <c r="G128"/>
      <c r="H128"/>
      <c r="I128"/>
      <c r="J128"/>
    </row>
    <row r="129" spans="1:10" ht="11.25" customHeight="1" x14ac:dyDescent="0.25">
      <c r="A129"/>
      <c r="B129"/>
      <c r="C129"/>
      <c r="D129"/>
      <c r="E129"/>
      <c r="F129"/>
      <c r="G129"/>
      <c r="H129"/>
      <c r="I129"/>
      <c r="J129"/>
    </row>
    <row r="130" spans="1:10" ht="11.25" customHeight="1" x14ac:dyDescent="0.25">
      <c r="A130"/>
      <c r="B130"/>
      <c r="C130"/>
      <c r="D130"/>
      <c r="E130"/>
      <c r="F130"/>
      <c r="G130"/>
      <c r="H130"/>
      <c r="I130"/>
      <c r="J130"/>
    </row>
    <row r="131" spans="1:10" ht="11.25" customHeight="1" x14ac:dyDescent="0.25">
      <c r="A131"/>
      <c r="B131"/>
      <c r="C131"/>
      <c r="D131"/>
      <c r="E131"/>
      <c r="F131"/>
      <c r="G131"/>
      <c r="H131"/>
      <c r="I131"/>
      <c r="J131"/>
    </row>
    <row r="132" spans="1:10" ht="11.25" customHeight="1" x14ac:dyDescent="0.25">
      <c r="A132"/>
      <c r="B132"/>
      <c r="C132"/>
      <c r="D132"/>
      <c r="E132"/>
      <c r="F132"/>
      <c r="G132"/>
      <c r="H132"/>
      <c r="I132"/>
      <c r="J132"/>
    </row>
    <row r="133" spans="1:10" ht="11.25" customHeight="1" x14ac:dyDescent="0.25">
      <c r="A133"/>
      <c r="B133"/>
      <c r="C133"/>
      <c r="D133"/>
      <c r="E133"/>
      <c r="F133"/>
      <c r="G133"/>
      <c r="H133"/>
      <c r="I133"/>
      <c r="J133"/>
    </row>
    <row r="134" spans="1:10" ht="11.25" customHeight="1" x14ac:dyDescent="0.25">
      <c r="A134"/>
      <c r="B134"/>
      <c r="C134"/>
      <c r="D134"/>
      <c r="E134"/>
      <c r="F134"/>
      <c r="G134"/>
      <c r="H134"/>
      <c r="I134"/>
      <c r="J134"/>
    </row>
    <row r="135" spans="1:10" ht="11.25" customHeight="1" x14ac:dyDescent="0.25">
      <c r="A135"/>
      <c r="B135"/>
      <c r="C135"/>
      <c r="D135"/>
      <c r="E135"/>
      <c r="F135"/>
      <c r="G135"/>
      <c r="H135"/>
      <c r="I135"/>
      <c r="J135"/>
    </row>
    <row r="136" spans="1:10" ht="11.25" customHeight="1" x14ac:dyDescent="0.25">
      <c r="A136"/>
      <c r="B136"/>
      <c r="C136"/>
      <c r="D136"/>
      <c r="E136"/>
      <c r="F136"/>
      <c r="G136"/>
      <c r="H136"/>
      <c r="I136"/>
      <c r="J136"/>
    </row>
    <row r="137" spans="1:10" ht="11.25" customHeight="1" x14ac:dyDescent="0.25">
      <c r="A137"/>
      <c r="B137"/>
      <c r="C137"/>
      <c r="D137"/>
      <c r="E137"/>
      <c r="F137"/>
      <c r="G137"/>
      <c r="H137"/>
      <c r="I137"/>
      <c r="J137"/>
    </row>
    <row r="138" spans="1:10" ht="11.25" customHeight="1" x14ac:dyDescent="0.25">
      <c r="A138"/>
      <c r="B138"/>
      <c r="C138"/>
      <c r="D138"/>
      <c r="E138"/>
      <c r="F138"/>
      <c r="G138"/>
      <c r="H138"/>
      <c r="I138"/>
      <c r="J138"/>
    </row>
    <row r="139" spans="1:10" ht="11.25" customHeight="1" x14ac:dyDescent="0.25">
      <c r="A139"/>
      <c r="B139"/>
      <c r="C139"/>
      <c r="D139"/>
      <c r="E139"/>
      <c r="F139"/>
      <c r="G139"/>
      <c r="H139"/>
      <c r="I139"/>
      <c r="J139"/>
    </row>
    <row r="140" spans="1:10" ht="11.25" customHeight="1" x14ac:dyDescent="0.25">
      <c r="A140"/>
      <c r="B140"/>
      <c r="C140"/>
      <c r="D140"/>
      <c r="E140"/>
      <c r="F140"/>
      <c r="G140"/>
      <c r="H140"/>
      <c r="I140"/>
      <c r="J140"/>
    </row>
    <row r="141" spans="1:10" ht="11.25" customHeight="1" x14ac:dyDescent="0.25">
      <c r="A141"/>
      <c r="B141"/>
      <c r="C141"/>
      <c r="D141"/>
      <c r="E141"/>
      <c r="F141"/>
      <c r="G141"/>
      <c r="H141"/>
      <c r="I141"/>
      <c r="J141"/>
    </row>
    <row r="142" spans="1:10" ht="11.25" customHeight="1" x14ac:dyDescent="0.25">
      <c r="A142"/>
      <c r="B142"/>
      <c r="C142"/>
      <c r="D142"/>
      <c r="E142"/>
      <c r="F142"/>
      <c r="G142"/>
      <c r="H142"/>
      <c r="I142"/>
      <c r="J142"/>
    </row>
    <row r="143" spans="1:10" ht="11.25" customHeight="1" x14ac:dyDescent="0.25">
      <c r="A143"/>
      <c r="B143"/>
      <c r="C143"/>
      <c r="D143"/>
      <c r="E143"/>
      <c r="F143"/>
      <c r="G143"/>
      <c r="H143"/>
      <c r="I143"/>
      <c r="J143"/>
    </row>
    <row r="144" spans="1:10" ht="11.25" customHeight="1" x14ac:dyDescent="0.25">
      <c r="A144"/>
      <c r="B144"/>
      <c r="C144"/>
      <c r="D144"/>
      <c r="E144"/>
      <c r="F144"/>
      <c r="G144"/>
      <c r="H144"/>
      <c r="I144"/>
      <c r="J144"/>
    </row>
    <row r="145" spans="1:10" ht="11.25" customHeight="1" x14ac:dyDescent="0.25">
      <c r="A145"/>
      <c r="B145"/>
      <c r="C145"/>
      <c r="D145"/>
      <c r="E145"/>
      <c r="F145"/>
      <c r="G145"/>
      <c r="H145"/>
      <c r="I145"/>
      <c r="J145"/>
    </row>
    <row r="146" spans="1:10" ht="11.25" customHeight="1" x14ac:dyDescent="0.25">
      <c r="A146"/>
      <c r="B146"/>
      <c r="C146"/>
      <c r="D146"/>
      <c r="E146"/>
      <c r="F146"/>
      <c r="G146"/>
      <c r="H146"/>
      <c r="I146"/>
      <c r="J146"/>
    </row>
    <row r="147" spans="1:10" ht="11.25" customHeight="1" x14ac:dyDescent="0.25">
      <c r="A147"/>
      <c r="B147"/>
      <c r="C147"/>
      <c r="D147"/>
      <c r="E147"/>
      <c r="F147"/>
      <c r="G147"/>
      <c r="H147"/>
      <c r="I147"/>
      <c r="J147"/>
    </row>
    <row r="148" spans="1:10" ht="11.25" customHeight="1" x14ac:dyDescent="0.25">
      <c r="A148"/>
      <c r="B148"/>
      <c r="C148"/>
      <c r="D148"/>
      <c r="E148"/>
      <c r="F148"/>
      <c r="G148"/>
      <c r="H148"/>
      <c r="I148"/>
      <c r="J148"/>
    </row>
    <row r="149" spans="1:10" ht="11.25" customHeight="1" x14ac:dyDescent="0.25">
      <c r="A149"/>
      <c r="B149"/>
      <c r="C149"/>
      <c r="D149"/>
      <c r="E149"/>
      <c r="F149"/>
      <c r="G149"/>
      <c r="H149"/>
      <c r="I149"/>
      <c r="J149"/>
    </row>
    <row r="150" spans="1:10" ht="11.25" customHeight="1" x14ac:dyDescent="0.25">
      <c r="A150"/>
      <c r="B150"/>
      <c r="C150"/>
      <c r="D150"/>
      <c r="E150"/>
      <c r="F150"/>
      <c r="G150"/>
      <c r="H150"/>
      <c r="I150"/>
      <c r="J150"/>
    </row>
    <row r="151" spans="1:10" ht="11.25" customHeight="1" x14ac:dyDescent="0.25">
      <c r="A151"/>
      <c r="B151"/>
      <c r="C151"/>
      <c r="D151"/>
      <c r="E151"/>
      <c r="F151"/>
      <c r="G151"/>
      <c r="H151"/>
      <c r="I151"/>
      <c r="J151"/>
    </row>
    <row r="152" spans="1:10" ht="11.25" customHeight="1" x14ac:dyDescent="0.25">
      <c r="A152"/>
      <c r="B152"/>
      <c r="C152"/>
      <c r="D152"/>
      <c r="E152"/>
      <c r="F152"/>
      <c r="G152"/>
      <c r="H152"/>
      <c r="I152"/>
      <c r="J152"/>
    </row>
    <row r="153" spans="1:10" ht="11.25" customHeight="1" x14ac:dyDescent="0.25">
      <c r="A153"/>
      <c r="B153"/>
      <c r="C153"/>
      <c r="D153"/>
      <c r="E153"/>
      <c r="F153"/>
      <c r="G153"/>
      <c r="H153"/>
      <c r="I153"/>
      <c r="J153"/>
    </row>
    <row r="154" spans="1:10" ht="11.25" customHeight="1" x14ac:dyDescent="0.25">
      <c r="A154"/>
      <c r="B154"/>
      <c r="C154"/>
      <c r="D154"/>
      <c r="E154"/>
      <c r="F154"/>
      <c r="G154"/>
      <c r="H154"/>
      <c r="I154"/>
      <c r="J154"/>
    </row>
    <row r="155" spans="1:10" ht="11.25" customHeight="1" x14ac:dyDescent="0.25">
      <c r="A155"/>
      <c r="B155"/>
      <c r="C155"/>
      <c r="D155"/>
      <c r="E155"/>
      <c r="F155"/>
      <c r="G155"/>
      <c r="H155"/>
      <c r="I155"/>
      <c r="J155"/>
    </row>
    <row r="156" spans="1:10" ht="11.25" customHeight="1" x14ac:dyDescent="0.25">
      <c r="A156"/>
      <c r="B156"/>
      <c r="C156"/>
      <c r="D156"/>
      <c r="E156"/>
      <c r="F156"/>
      <c r="G156"/>
      <c r="H156"/>
      <c r="I156"/>
      <c r="J156"/>
    </row>
    <row r="157" spans="1:10" ht="11.25" customHeight="1" x14ac:dyDescent="0.25">
      <c r="A157"/>
      <c r="B157"/>
      <c r="C157"/>
      <c r="D157"/>
      <c r="E157"/>
      <c r="F157"/>
      <c r="G157"/>
      <c r="H157"/>
      <c r="I157"/>
      <c r="J157"/>
    </row>
    <row r="158" spans="1:10" ht="11.25" customHeight="1" x14ac:dyDescent="0.25">
      <c r="A158"/>
      <c r="B158"/>
      <c r="C158"/>
      <c r="D158"/>
      <c r="E158"/>
      <c r="F158"/>
      <c r="G158"/>
      <c r="H158"/>
      <c r="I158"/>
      <c r="J158"/>
    </row>
    <row r="159" spans="1:10" ht="11.25" customHeight="1" x14ac:dyDescent="0.25">
      <c r="A159"/>
      <c r="B159"/>
      <c r="C159"/>
      <c r="D159"/>
      <c r="E159"/>
      <c r="F159"/>
      <c r="G159"/>
      <c r="H159"/>
      <c r="I159"/>
      <c r="J159"/>
    </row>
    <row r="160" spans="1:10" ht="11.25" customHeight="1" x14ac:dyDescent="0.25">
      <c r="A160"/>
      <c r="B160"/>
      <c r="C160"/>
      <c r="D160"/>
      <c r="E160"/>
      <c r="F160"/>
      <c r="G160"/>
      <c r="H160"/>
      <c r="I160"/>
      <c r="J160"/>
    </row>
    <row r="161" spans="1:10" ht="11.25" customHeight="1" x14ac:dyDescent="0.25">
      <c r="A161"/>
      <c r="B161"/>
      <c r="C161"/>
      <c r="D161"/>
      <c r="E161"/>
      <c r="F161"/>
      <c r="G161"/>
      <c r="H161"/>
      <c r="I161"/>
      <c r="J161"/>
    </row>
    <row r="162" spans="1:10" ht="11.25" customHeight="1" x14ac:dyDescent="0.25">
      <c r="A162"/>
      <c r="B162"/>
      <c r="C162"/>
      <c r="D162"/>
      <c r="E162"/>
      <c r="F162"/>
      <c r="G162"/>
      <c r="H162"/>
      <c r="I162"/>
      <c r="J162"/>
    </row>
    <row r="163" spans="1:10" ht="11.25" customHeight="1" x14ac:dyDescent="0.25">
      <c r="A163"/>
      <c r="B163"/>
      <c r="C163"/>
      <c r="D163"/>
      <c r="E163"/>
      <c r="F163"/>
      <c r="G163"/>
      <c r="H163"/>
      <c r="I163"/>
      <c r="J163"/>
    </row>
    <row r="164" spans="1:10" ht="11.25" customHeight="1" x14ac:dyDescent="0.25">
      <c r="A164"/>
      <c r="B164"/>
      <c r="C164"/>
      <c r="D164"/>
      <c r="E164"/>
      <c r="F164"/>
      <c r="G164"/>
      <c r="H164"/>
      <c r="I164"/>
      <c r="J164"/>
    </row>
    <row r="165" spans="1:10" ht="11.25" customHeight="1" x14ac:dyDescent="0.25">
      <c r="A165"/>
      <c r="B165"/>
      <c r="C165"/>
      <c r="D165"/>
      <c r="E165"/>
      <c r="F165"/>
      <c r="G165"/>
      <c r="H165"/>
      <c r="I165"/>
      <c r="J165"/>
    </row>
    <row r="166" spans="1:10" ht="11.25" customHeight="1" x14ac:dyDescent="0.25">
      <c r="A166"/>
      <c r="B166"/>
      <c r="C166"/>
      <c r="D166"/>
      <c r="E166"/>
      <c r="F166"/>
      <c r="G166"/>
      <c r="H166"/>
      <c r="I166"/>
      <c r="J166"/>
    </row>
    <row r="167" spans="1:10" ht="11.25" customHeight="1" x14ac:dyDescent="0.25">
      <c r="A167"/>
      <c r="B167"/>
      <c r="C167"/>
      <c r="D167"/>
      <c r="E167"/>
      <c r="F167"/>
      <c r="G167"/>
      <c r="H167"/>
      <c r="I167"/>
      <c r="J167"/>
    </row>
    <row r="168" spans="1:10" ht="11.25" customHeight="1" x14ac:dyDescent="0.25">
      <c r="A168"/>
      <c r="B168"/>
      <c r="C168"/>
      <c r="D168"/>
      <c r="E168"/>
      <c r="F168"/>
      <c r="G168"/>
      <c r="H168"/>
      <c r="I168"/>
      <c r="J168"/>
    </row>
    <row r="169" spans="1:10" ht="11.25" customHeight="1" x14ac:dyDescent="0.25">
      <c r="A169"/>
      <c r="B169"/>
      <c r="C169"/>
      <c r="D169"/>
      <c r="E169"/>
      <c r="F169"/>
      <c r="G169"/>
      <c r="H169"/>
      <c r="I169"/>
      <c r="J169"/>
    </row>
    <row r="170" spans="1:10" ht="11.25" customHeight="1" x14ac:dyDescent="0.25">
      <c r="A170"/>
      <c r="B170"/>
      <c r="C170"/>
      <c r="D170"/>
      <c r="E170"/>
      <c r="F170"/>
      <c r="G170"/>
      <c r="H170"/>
      <c r="I170"/>
      <c r="J170"/>
    </row>
    <row r="171" spans="1:10" ht="11.25" customHeight="1" x14ac:dyDescent="0.25">
      <c r="A171"/>
      <c r="B171"/>
      <c r="C171"/>
      <c r="D171"/>
      <c r="E171"/>
      <c r="F171"/>
      <c r="G171"/>
      <c r="H171"/>
      <c r="I171"/>
      <c r="J171"/>
    </row>
    <row r="172" spans="1:10" ht="11.25" customHeight="1" x14ac:dyDescent="0.25">
      <c r="A172"/>
      <c r="B172"/>
      <c r="C172"/>
      <c r="D172"/>
      <c r="E172"/>
      <c r="F172"/>
      <c r="G172"/>
      <c r="H172"/>
      <c r="I172"/>
      <c r="J172"/>
    </row>
    <row r="173" spans="1:10" ht="11.25" customHeight="1" x14ac:dyDescent="0.25">
      <c r="A173"/>
      <c r="B173"/>
      <c r="C173"/>
      <c r="D173"/>
      <c r="E173"/>
      <c r="F173"/>
      <c r="G173"/>
      <c r="H173"/>
      <c r="I173"/>
      <c r="J173"/>
    </row>
    <row r="174" spans="1:10" ht="11.25" customHeight="1" x14ac:dyDescent="0.25">
      <c r="A174"/>
      <c r="B174"/>
      <c r="C174"/>
      <c r="D174"/>
      <c r="E174"/>
      <c r="F174"/>
      <c r="G174"/>
      <c r="H174"/>
      <c r="I174"/>
      <c r="J174"/>
    </row>
    <row r="175" spans="1:10" ht="11.25" customHeight="1" x14ac:dyDescent="0.25">
      <c r="A175"/>
      <c r="B175"/>
      <c r="C175"/>
      <c r="D175"/>
      <c r="E175"/>
      <c r="F175"/>
      <c r="G175"/>
      <c r="H175"/>
      <c r="I175"/>
      <c r="J175"/>
    </row>
    <row r="176" spans="1:10" ht="11.25" customHeight="1" x14ac:dyDescent="0.25">
      <c r="A176"/>
      <c r="B176"/>
      <c r="C176"/>
      <c r="D176"/>
      <c r="E176"/>
      <c r="F176"/>
      <c r="G176"/>
      <c r="H176"/>
      <c r="I176"/>
      <c r="J176"/>
    </row>
    <row r="177" spans="1:10" ht="11.25" customHeight="1" x14ac:dyDescent="0.25">
      <c r="A177"/>
      <c r="B177"/>
      <c r="C177"/>
      <c r="D177"/>
      <c r="E177"/>
      <c r="F177"/>
      <c r="G177"/>
      <c r="H177"/>
      <c r="I177"/>
      <c r="J177"/>
    </row>
    <row r="178" spans="1:10" ht="11.25" customHeight="1" x14ac:dyDescent="0.25">
      <c r="A178"/>
      <c r="B178"/>
      <c r="C178"/>
      <c r="D178"/>
      <c r="E178"/>
      <c r="F178"/>
      <c r="G178"/>
      <c r="H178"/>
      <c r="I178"/>
      <c r="J178"/>
    </row>
    <row r="179" spans="1:10" ht="11.25" customHeight="1" x14ac:dyDescent="0.25">
      <c r="A179"/>
      <c r="B179"/>
      <c r="C179"/>
      <c r="D179"/>
      <c r="E179"/>
      <c r="F179"/>
      <c r="G179"/>
      <c r="H179"/>
      <c r="I179"/>
      <c r="J179"/>
    </row>
    <row r="180" spans="1:10" ht="11.25" customHeight="1" x14ac:dyDescent="0.25">
      <c r="A180"/>
      <c r="B180"/>
      <c r="C180"/>
      <c r="D180"/>
      <c r="E180"/>
      <c r="F180"/>
      <c r="G180"/>
      <c r="H180"/>
      <c r="I180"/>
      <c r="J180"/>
    </row>
    <row r="181" spans="1:10" ht="11.25" customHeight="1" x14ac:dyDescent="0.25">
      <c r="A181"/>
      <c r="B181"/>
      <c r="C181"/>
      <c r="D181"/>
      <c r="E181"/>
      <c r="F181"/>
      <c r="G181"/>
      <c r="H181"/>
      <c r="I181"/>
      <c r="J181"/>
    </row>
    <row r="182" spans="1:10" ht="11.25" customHeight="1" x14ac:dyDescent="0.25">
      <c r="A182"/>
      <c r="B182"/>
      <c r="C182"/>
      <c r="D182"/>
      <c r="E182"/>
      <c r="F182"/>
      <c r="G182"/>
      <c r="H182"/>
      <c r="I182"/>
      <c r="J182"/>
    </row>
    <row r="183" spans="1:10" ht="11.25" customHeight="1" x14ac:dyDescent="0.25">
      <c r="A183"/>
      <c r="B183"/>
      <c r="C183"/>
      <c r="D183"/>
      <c r="E183"/>
      <c r="F183"/>
      <c r="G183"/>
      <c r="H183"/>
      <c r="I183"/>
      <c r="J183"/>
    </row>
    <row r="184" spans="1:10" ht="11.25" customHeight="1" x14ac:dyDescent="0.25">
      <c r="A184"/>
      <c r="B184"/>
      <c r="C184"/>
      <c r="D184"/>
      <c r="E184"/>
      <c r="F184"/>
      <c r="G184"/>
      <c r="H184"/>
      <c r="I184"/>
      <c r="J184"/>
    </row>
    <row r="185" spans="1:10" ht="11.25" customHeight="1" x14ac:dyDescent="0.25">
      <c r="A185"/>
      <c r="B185"/>
      <c r="C185"/>
      <c r="D185"/>
      <c r="E185"/>
      <c r="F185"/>
      <c r="G185"/>
      <c r="H185"/>
      <c r="I185"/>
      <c r="J185"/>
    </row>
    <row r="186" spans="1:10" ht="11.25" customHeight="1" x14ac:dyDescent="0.25">
      <c r="A186"/>
      <c r="B186"/>
      <c r="C186"/>
      <c r="D186"/>
      <c r="E186"/>
      <c r="F186"/>
      <c r="G186"/>
      <c r="H186"/>
      <c r="I186"/>
      <c r="J186"/>
    </row>
    <row r="187" spans="1:10" ht="11.25" customHeight="1" x14ac:dyDescent="0.25">
      <c r="A187"/>
      <c r="B187"/>
      <c r="C187"/>
      <c r="D187"/>
      <c r="E187"/>
      <c r="F187"/>
      <c r="G187"/>
      <c r="H187"/>
      <c r="I187"/>
      <c r="J187"/>
    </row>
    <row r="188" spans="1:10" ht="11.25" customHeight="1" x14ac:dyDescent="0.25">
      <c r="A188"/>
      <c r="B188"/>
      <c r="C188"/>
      <c r="D188"/>
      <c r="E188"/>
      <c r="F188"/>
      <c r="G188"/>
      <c r="H188"/>
      <c r="I188"/>
      <c r="J188"/>
    </row>
    <row r="189" spans="1:10" ht="11.25" customHeight="1" x14ac:dyDescent="0.25">
      <c r="A189"/>
      <c r="B189"/>
      <c r="C189"/>
      <c r="D189"/>
      <c r="E189"/>
      <c r="F189"/>
      <c r="G189"/>
      <c r="H189"/>
      <c r="I189"/>
      <c r="J189"/>
    </row>
    <row r="190" spans="1:10" ht="11.25" customHeight="1" x14ac:dyDescent="0.25">
      <c r="A190"/>
      <c r="B190"/>
      <c r="C190"/>
      <c r="D190"/>
      <c r="E190"/>
      <c r="F190"/>
      <c r="G190"/>
      <c r="H190"/>
      <c r="I190"/>
      <c r="J190"/>
    </row>
    <row r="191" spans="1:10" ht="11.25" customHeight="1" x14ac:dyDescent="0.25">
      <c r="A191"/>
      <c r="B191"/>
      <c r="C191"/>
      <c r="D191"/>
      <c r="E191"/>
      <c r="F191"/>
      <c r="G191"/>
      <c r="H191"/>
      <c r="I191"/>
      <c r="J191"/>
    </row>
    <row r="192" spans="1:10" ht="11.25" customHeight="1" x14ac:dyDescent="0.25">
      <c r="A192"/>
      <c r="B192"/>
      <c r="C192"/>
      <c r="D192"/>
      <c r="E192"/>
      <c r="F192"/>
      <c r="G192"/>
      <c r="H192"/>
      <c r="I192"/>
      <c r="J192"/>
    </row>
    <row r="193" spans="1:10" ht="11.25" customHeight="1" x14ac:dyDescent="0.25">
      <c r="A193"/>
      <c r="B193"/>
      <c r="C193"/>
      <c r="D193"/>
      <c r="E193"/>
      <c r="F193"/>
      <c r="G193"/>
      <c r="H193"/>
      <c r="I193"/>
      <c r="J193"/>
    </row>
    <row r="194" spans="1:10" ht="11.25" customHeight="1" x14ac:dyDescent="0.25">
      <c r="A194"/>
      <c r="B194"/>
      <c r="C194"/>
      <c r="D194"/>
      <c r="E194"/>
      <c r="F194"/>
      <c r="G194"/>
      <c r="H194"/>
      <c r="I194"/>
      <c r="J194"/>
    </row>
    <row r="195" spans="1:10" ht="11.25" customHeight="1" x14ac:dyDescent="0.25">
      <c r="A195"/>
      <c r="B195"/>
      <c r="C195"/>
      <c r="D195"/>
      <c r="E195"/>
      <c r="F195"/>
      <c r="G195"/>
      <c r="H195"/>
      <c r="I195"/>
      <c r="J195"/>
    </row>
    <row r="196" spans="1:10" ht="11.25" customHeight="1" x14ac:dyDescent="0.25">
      <c r="A196"/>
      <c r="B196"/>
      <c r="C196"/>
      <c r="D196"/>
      <c r="E196"/>
      <c r="F196"/>
      <c r="G196"/>
      <c r="H196"/>
      <c r="I196"/>
      <c r="J196"/>
    </row>
    <row r="197" spans="1:10" ht="11.25" customHeight="1" x14ac:dyDescent="0.25">
      <c r="A197"/>
      <c r="B197"/>
      <c r="C197"/>
      <c r="D197"/>
      <c r="E197"/>
      <c r="F197"/>
      <c r="G197"/>
      <c r="H197"/>
      <c r="I197"/>
      <c r="J197"/>
    </row>
    <row r="198" spans="1:10" ht="11.25" customHeight="1" x14ac:dyDescent="0.25">
      <c r="A198"/>
      <c r="B198"/>
      <c r="C198"/>
      <c r="D198"/>
      <c r="E198"/>
      <c r="F198"/>
      <c r="G198"/>
      <c r="H198"/>
      <c r="I198"/>
      <c r="J198"/>
    </row>
    <row r="199" spans="1:10" ht="11.25" customHeight="1" x14ac:dyDescent="0.25">
      <c r="A199"/>
      <c r="B199"/>
      <c r="C199"/>
      <c r="D199"/>
      <c r="E199"/>
      <c r="F199"/>
      <c r="G199"/>
      <c r="H199"/>
      <c r="I199"/>
      <c r="J199"/>
    </row>
    <row r="200" spans="1:10" ht="11.25" customHeight="1" x14ac:dyDescent="0.25">
      <c r="A200"/>
      <c r="B200"/>
      <c r="C200"/>
      <c r="D200"/>
      <c r="E200"/>
      <c r="F200"/>
      <c r="G200"/>
      <c r="H200"/>
      <c r="I200"/>
      <c r="J200"/>
    </row>
    <row r="201" spans="1:10" ht="11.25" customHeight="1" x14ac:dyDescent="0.25">
      <c r="A201"/>
      <c r="B201"/>
      <c r="C201"/>
      <c r="D201"/>
      <c r="E201"/>
      <c r="F201"/>
      <c r="G201"/>
      <c r="H201"/>
      <c r="I201"/>
      <c r="J201"/>
    </row>
    <row r="202" spans="1:10" ht="11.25" customHeight="1" x14ac:dyDescent="0.25">
      <c r="A202"/>
      <c r="B202"/>
      <c r="C202"/>
      <c r="D202"/>
      <c r="E202"/>
      <c r="F202"/>
      <c r="G202"/>
      <c r="H202"/>
      <c r="I202"/>
      <c r="J202"/>
    </row>
    <row r="203" spans="1:10" ht="11.25" customHeight="1" x14ac:dyDescent="0.25">
      <c r="A203"/>
      <c r="B203"/>
      <c r="C203"/>
      <c r="D203"/>
      <c r="E203"/>
      <c r="F203"/>
      <c r="G203"/>
      <c r="H203"/>
      <c r="I203"/>
      <c r="J203"/>
    </row>
    <row r="204" spans="1:10" ht="11.25" customHeight="1" x14ac:dyDescent="0.25">
      <c r="A204"/>
      <c r="B204"/>
      <c r="C204"/>
      <c r="D204"/>
      <c r="E204"/>
      <c r="F204"/>
      <c r="G204"/>
      <c r="H204"/>
      <c r="I204"/>
      <c r="J204"/>
    </row>
    <row r="205" spans="1:10" ht="11.25" customHeight="1" x14ac:dyDescent="0.25">
      <c r="A205"/>
      <c r="B205"/>
      <c r="C205"/>
      <c r="D205"/>
      <c r="E205"/>
      <c r="F205"/>
      <c r="G205"/>
      <c r="H205"/>
      <c r="I205"/>
      <c r="J205"/>
    </row>
    <row r="206" spans="1:10" ht="11.25" customHeight="1" x14ac:dyDescent="0.25">
      <c r="A206"/>
      <c r="B206"/>
      <c r="C206"/>
      <c r="D206"/>
      <c r="E206"/>
      <c r="F206"/>
      <c r="G206"/>
      <c r="H206"/>
      <c r="I206"/>
      <c r="J206"/>
    </row>
    <row r="207" spans="1:10" ht="11.25" customHeight="1" x14ac:dyDescent="0.25">
      <c r="A207"/>
      <c r="B207"/>
      <c r="C207"/>
      <c r="D207"/>
      <c r="E207"/>
      <c r="F207"/>
      <c r="G207"/>
      <c r="H207"/>
      <c r="I207"/>
      <c r="J207"/>
    </row>
    <row r="208" spans="1:10" ht="11.25" customHeight="1" x14ac:dyDescent="0.25">
      <c r="A208"/>
      <c r="B208"/>
      <c r="C208"/>
      <c r="D208"/>
      <c r="E208"/>
      <c r="F208"/>
      <c r="G208"/>
      <c r="H208"/>
      <c r="I208"/>
      <c r="J208"/>
    </row>
    <row r="209" spans="1:10" ht="11.25" customHeight="1" x14ac:dyDescent="0.25">
      <c r="A209"/>
      <c r="B209"/>
      <c r="C209"/>
      <c r="D209"/>
      <c r="E209"/>
      <c r="F209"/>
      <c r="G209"/>
      <c r="H209"/>
      <c r="I209"/>
      <c r="J209"/>
    </row>
    <row r="210" spans="1:10" ht="11.25" customHeight="1" x14ac:dyDescent="0.25">
      <c r="A210"/>
      <c r="B210"/>
      <c r="C210"/>
      <c r="D210"/>
      <c r="E210"/>
      <c r="F210"/>
      <c r="G210"/>
      <c r="H210"/>
      <c r="I210"/>
      <c r="J210"/>
    </row>
    <row r="211" spans="1:10" ht="11.25" customHeight="1" x14ac:dyDescent="0.25">
      <c r="A211"/>
      <c r="B211"/>
      <c r="C211"/>
      <c r="D211"/>
      <c r="E211"/>
      <c r="F211"/>
      <c r="G211"/>
      <c r="H211"/>
      <c r="I211"/>
      <c r="J211"/>
    </row>
    <row r="212" spans="1:10" ht="11.25" customHeight="1" x14ac:dyDescent="0.25">
      <c r="A212"/>
      <c r="B212"/>
      <c r="C212"/>
      <c r="D212"/>
      <c r="E212"/>
      <c r="F212"/>
      <c r="G212"/>
      <c r="H212"/>
      <c r="I212"/>
      <c r="J212"/>
    </row>
    <row r="213" spans="1:10" ht="11.25" customHeight="1" x14ac:dyDescent="0.25">
      <c r="A213"/>
      <c r="B213"/>
      <c r="C213"/>
      <c r="D213"/>
      <c r="E213"/>
      <c r="F213"/>
      <c r="G213"/>
      <c r="H213"/>
      <c r="I213"/>
      <c r="J213"/>
    </row>
    <row r="214" spans="1:10" ht="11.25" customHeight="1" x14ac:dyDescent="0.25">
      <c r="A214"/>
      <c r="B214"/>
      <c r="C214"/>
      <c r="D214"/>
      <c r="E214"/>
      <c r="F214"/>
      <c r="G214"/>
      <c r="H214"/>
      <c r="I214"/>
      <c r="J214"/>
    </row>
    <row r="215" spans="1:10" ht="11.25" customHeight="1" x14ac:dyDescent="0.25">
      <c r="A215"/>
      <c r="B215"/>
      <c r="C215"/>
      <c r="D215"/>
      <c r="E215"/>
      <c r="F215"/>
      <c r="G215"/>
      <c r="H215"/>
      <c r="I215"/>
      <c r="J215"/>
    </row>
    <row r="216" spans="1:10" ht="11.25" customHeight="1" x14ac:dyDescent="0.25">
      <c r="A216"/>
      <c r="B216"/>
      <c r="C216"/>
      <c r="D216"/>
      <c r="E216"/>
      <c r="F216"/>
      <c r="G216"/>
      <c r="H216"/>
      <c r="I216"/>
      <c r="J216"/>
    </row>
    <row r="217" spans="1:10" ht="11.25" customHeight="1" x14ac:dyDescent="0.25">
      <c r="A217"/>
      <c r="B217"/>
      <c r="C217"/>
      <c r="D217"/>
      <c r="E217"/>
      <c r="F217"/>
      <c r="G217"/>
      <c r="H217"/>
      <c r="I217"/>
      <c r="J217"/>
    </row>
    <row r="218" spans="1:10" ht="11.25" customHeight="1" x14ac:dyDescent="0.25">
      <c r="A218"/>
      <c r="B218"/>
      <c r="C218"/>
      <c r="D218"/>
      <c r="E218"/>
      <c r="F218"/>
      <c r="G218"/>
      <c r="H218"/>
      <c r="I218"/>
      <c r="J218"/>
    </row>
    <row r="219" spans="1:10" ht="11.25" customHeight="1" x14ac:dyDescent="0.25">
      <c r="A219"/>
      <c r="B219"/>
      <c r="C219"/>
      <c r="D219"/>
      <c r="E219"/>
      <c r="F219"/>
      <c r="G219"/>
      <c r="H219"/>
      <c r="I219"/>
      <c r="J219"/>
    </row>
    <row r="220" spans="1:10" ht="11.25" customHeight="1" x14ac:dyDescent="0.25">
      <c r="A220"/>
      <c r="B220"/>
      <c r="C220"/>
      <c r="D220"/>
      <c r="E220"/>
      <c r="F220"/>
      <c r="G220"/>
      <c r="H220"/>
      <c r="I220"/>
      <c r="J220"/>
    </row>
    <row r="221" spans="1:10" ht="11.25" customHeight="1" x14ac:dyDescent="0.25">
      <c r="A221"/>
      <c r="B221"/>
      <c r="C221"/>
      <c r="D221"/>
      <c r="E221"/>
      <c r="F221"/>
      <c r="G221"/>
      <c r="H221"/>
      <c r="I221"/>
      <c r="J221"/>
    </row>
    <row r="222" spans="1:10" ht="11.25" customHeight="1" x14ac:dyDescent="0.25">
      <c r="A222"/>
      <c r="B222"/>
      <c r="C222"/>
      <c r="D222"/>
      <c r="E222"/>
      <c r="F222"/>
      <c r="G222"/>
      <c r="H222"/>
      <c r="I222"/>
      <c r="J222"/>
    </row>
    <row r="223" spans="1:10" ht="11.25" customHeight="1" x14ac:dyDescent="0.25">
      <c r="A223"/>
      <c r="B223"/>
      <c r="C223"/>
      <c r="D223"/>
      <c r="E223"/>
      <c r="F223"/>
      <c r="G223"/>
      <c r="H223"/>
      <c r="I223"/>
      <c r="J223"/>
    </row>
    <row r="224" spans="1:10" ht="11.25" customHeight="1" x14ac:dyDescent="0.25">
      <c r="A224"/>
      <c r="B224"/>
      <c r="C224"/>
      <c r="D224"/>
      <c r="E224"/>
      <c r="F224"/>
      <c r="G224"/>
      <c r="H224"/>
      <c r="I224"/>
      <c r="J224"/>
    </row>
    <row r="225" spans="1:10" ht="11.25" customHeight="1" x14ac:dyDescent="0.25">
      <c r="A225"/>
      <c r="B225"/>
      <c r="C225"/>
      <c r="D225"/>
      <c r="E225"/>
      <c r="F225"/>
      <c r="G225"/>
      <c r="H225"/>
      <c r="I225"/>
      <c r="J225"/>
    </row>
    <row r="226" spans="1:10" ht="11.25" customHeight="1" x14ac:dyDescent="0.25">
      <c r="A226"/>
      <c r="B226"/>
      <c r="C226"/>
      <c r="D226"/>
      <c r="E226"/>
      <c r="F226"/>
      <c r="G226"/>
      <c r="H226"/>
      <c r="I226"/>
      <c r="J226"/>
    </row>
    <row r="227" spans="1:10" ht="11.25" customHeight="1" x14ac:dyDescent="0.25">
      <c r="A227"/>
      <c r="B227"/>
      <c r="C227"/>
      <c r="D227"/>
      <c r="E227"/>
      <c r="F227"/>
      <c r="G227"/>
      <c r="H227"/>
      <c r="I227"/>
      <c r="J227"/>
    </row>
    <row r="228" spans="1:10" ht="11.25" customHeight="1" x14ac:dyDescent="0.25">
      <c r="A228"/>
      <c r="B228"/>
      <c r="C228"/>
      <c r="D228"/>
      <c r="E228"/>
      <c r="F228"/>
      <c r="G228"/>
      <c r="H228"/>
      <c r="I228"/>
      <c r="J228"/>
    </row>
    <row r="229" spans="1:10" ht="11.25" customHeight="1" x14ac:dyDescent="0.25">
      <c r="A229"/>
      <c r="B229"/>
      <c r="C229"/>
      <c r="D229"/>
      <c r="E229"/>
      <c r="F229"/>
      <c r="G229"/>
      <c r="H229"/>
      <c r="I229"/>
      <c r="J229"/>
    </row>
    <row r="230" spans="1:10" ht="11.25" customHeight="1" x14ac:dyDescent="0.25">
      <c r="A230"/>
      <c r="B230"/>
      <c r="C230"/>
      <c r="D230"/>
      <c r="E230"/>
      <c r="F230"/>
      <c r="G230"/>
      <c r="H230"/>
      <c r="I230"/>
      <c r="J230"/>
    </row>
    <row r="231" spans="1:10" ht="11.25" customHeight="1" x14ac:dyDescent="0.25">
      <c r="A231"/>
      <c r="B231"/>
      <c r="C231"/>
      <c r="D231"/>
      <c r="E231"/>
      <c r="F231"/>
      <c r="G231"/>
      <c r="H231"/>
      <c r="I231"/>
      <c r="J231"/>
    </row>
    <row r="232" spans="1:10" ht="11.25" customHeight="1" x14ac:dyDescent="0.25">
      <c r="A232"/>
      <c r="B232"/>
      <c r="C232"/>
      <c r="D232"/>
      <c r="E232"/>
      <c r="F232"/>
      <c r="G232"/>
      <c r="H232"/>
      <c r="I232"/>
      <c r="J232"/>
    </row>
    <row r="233" spans="1:10" ht="11.25" customHeight="1" x14ac:dyDescent="0.25">
      <c r="A233"/>
      <c r="B233"/>
      <c r="C233"/>
      <c r="D233"/>
      <c r="E233"/>
      <c r="F233"/>
      <c r="G233"/>
      <c r="H233"/>
      <c r="I233"/>
      <c r="J233"/>
    </row>
    <row r="234" spans="1:10" ht="11.25" customHeight="1" x14ac:dyDescent="0.25">
      <c r="A234"/>
      <c r="B234"/>
      <c r="C234"/>
      <c r="D234"/>
      <c r="E234"/>
      <c r="F234"/>
      <c r="G234"/>
      <c r="H234"/>
      <c r="I234"/>
      <c r="J234"/>
    </row>
    <row r="235" spans="1:10" ht="11.25" customHeight="1" x14ac:dyDescent="0.25">
      <c r="A235"/>
      <c r="B235"/>
      <c r="C235"/>
      <c r="D235"/>
      <c r="E235"/>
      <c r="F235"/>
      <c r="G235"/>
      <c r="H235"/>
      <c r="I235"/>
      <c r="J235"/>
    </row>
    <row r="236" spans="1:10" ht="11.25" customHeight="1" x14ac:dyDescent="0.25">
      <c r="A236"/>
      <c r="B236"/>
      <c r="C236"/>
      <c r="D236"/>
      <c r="E236"/>
      <c r="F236"/>
      <c r="G236"/>
      <c r="H236"/>
      <c r="I236"/>
      <c r="J236"/>
    </row>
    <row r="237" spans="1:10" ht="11.25" customHeight="1" x14ac:dyDescent="0.25">
      <c r="A237"/>
      <c r="B237"/>
      <c r="C237"/>
      <c r="D237"/>
      <c r="E237"/>
      <c r="F237"/>
      <c r="G237"/>
      <c r="H237"/>
      <c r="I237"/>
      <c r="J237"/>
    </row>
    <row r="238" spans="1:10" ht="11.25" customHeight="1" x14ac:dyDescent="0.25">
      <c r="A238"/>
      <c r="B238"/>
      <c r="C238"/>
      <c r="D238"/>
      <c r="E238"/>
      <c r="F238"/>
      <c r="G238"/>
      <c r="H238"/>
      <c r="I238"/>
      <c r="J238"/>
    </row>
    <row r="239" spans="1:10" ht="11.25" customHeight="1" x14ac:dyDescent="0.25">
      <c r="A239"/>
      <c r="B239"/>
      <c r="C239"/>
      <c r="D239"/>
      <c r="E239"/>
      <c r="F239"/>
      <c r="G239"/>
      <c r="H239"/>
      <c r="I239"/>
      <c r="J239"/>
    </row>
    <row r="240" spans="1:10" ht="11.25" customHeight="1" x14ac:dyDescent="0.25">
      <c r="A240"/>
      <c r="B240"/>
      <c r="C240"/>
      <c r="D240"/>
      <c r="E240"/>
      <c r="F240"/>
      <c r="G240"/>
      <c r="H240"/>
      <c r="I240"/>
      <c r="J240"/>
    </row>
    <row r="241" spans="1:10" ht="11.25" customHeight="1" x14ac:dyDescent="0.25">
      <c r="A241"/>
      <c r="B241"/>
      <c r="C241"/>
      <c r="D241"/>
      <c r="E241"/>
      <c r="F241"/>
      <c r="G241"/>
      <c r="H241"/>
      <c r="I241"/>
      <c r="J241"/>
    </row>
    <row r="242" spans="1:10" ht="11.25" customHeight="1" x14ac:dyDescent="0.25">
      <c r="A242"/>
      <c r="B242"/>
      <c r="C242"/>
      <c r="D242"/>
      <c r="E242"/>
      <c r="F242"/>
      <c r="G242"/>
      <c r="H242"/>
      <c r="I242"/>
      <c r="J242"/>
    </row>
    <row r="243" spans="1:10" ht="11.25" customHeight="1" x14ac:dyDescent="0.25">
      <c r="A243"/>
      <c r="B243"/>
      <c r="C243"/>
      <c r="D243"/>
      <c r="E243"/>
      <c r="F243"/>
      <c r="G243"/>
      <c r="H243"/>
      <c r="I243"/>
      <c r="J243"/>
    </row>
    <row r="244" spans="1:10" ht="11.25" customHeight="1" x14ac:dyDescent="0.25">
      <c r="A244"/>
      <c r="B244"/>
      <c r="C244"/>
      <c r="D244"/>
      <c r="E244"/>
      <c r="F244"/>
      <c r="G244"/>
      <c r="H244"/>
      <c r="I244"/>
      <c r="J244"/>
    </row>
    <row r="245" spans="1:10" ht="11.25" customHeight="1" x14ac:dyDescent="0.25">
      <c r="A245"/>
      <c r="B245"/>
      <c r="C245"/>
      <c r="D245"/>
      <c r="E245"/>
      <c r="F245"/>
      <c r="G245"/>
      <c r="H245"/>
      <c r="I245"/>
      <c r="J245"/>
    </row>
    <row r="246" spans="1:10" ht="11.25" customHeight="1" x14ac:dyDescent="0.25">
      <c r="A246"/>
      <c r="B246"/>
      <c r="C246"/>
      <c r="D246"/>
      <c r="E246"/>
      <c r="F246"/>
      <c r="G246"/>
      <c r="H246"/>
      <c r="I246"/>
      <c r="J246"/>
    </row>
    <row r="247" spans="1:10" ht="11.25" customHeight="1" x14ac:dyDescent="0.25">
      <c r="A247"/>
      <c r="B247"/>
      <c r="C247"/>
      <c r="D247"/>
      <c r="E247"/>
      <c r="F247"/>
      <c r="G247"/>
      <c r="H247"/>
      <c r="I247"/>
      <c r="J247"/>
    </row>
    <row r="248" spans="1:10" ht="11.25" customHeight="1" x14ac:dyDescent="0.25">
      <c r="A248"/>
      <c r="B248"/>
      <c r="C248"/>
      <c r="D248"/>
      <c r="E248"/>
      <c r="F248"/>
      <c r="G248"/>
      <c r="H248"/>
      <c r="I248"/>
      <c r="J248"/>
    </row>
    <row r="249" spans="1:10" ht="11.25" customHeight="1" x14ac:dyDescent="0.25">
      <c r="A249"/>
      <c r="B249"/>
      <c r="C249"/>
      <c r="D249"/>
      <c r="E249"/>
      <c r="F249"/>
      <c r="G249"/>
      <c r="H249"/>
      <c r="I249"/>
      <c r="J249"/>
    </row>
    <row r="250" spans="1:10" ht="11.25" customHeight="1" x14ac:dyDescent="0.25">
      <c r="A250"/>
      <c r="B250"/>
      <c r="C250"/>
      <c r="D250"/>
      <c r="E250"/>
      <c r="F250"/>
      <c r="G250"/>
      <c r="H250"/>
      <c r="I250"/>
      <c r="J250"/>
    </row>
    <row r="251" spans="1:10" ht="11.25" customHeight="1" x14ac:dyDescent="0.25">
      <c r="A251"/>
      <c r="B251"/>
      <c r="C251"/>
      <c r="D251"/>
      <c r="E251"/>
      <c r="F251"/>
      <c r="G251"/>
      <c r="H251"/>
      <c r="I251"/>
      <c r="J251"/>
    </row>
    <row r="252" spans="1:10" ht="11.25" customHeight="1" x14ac:dyDescent="0.25">
      <c r="A252"/>
      <c r="B252"/>
      <c r="C252"/>
      <c r="D252"/>
      <c r="E252"/>
      <c r="F252"/>
      <c r="G252"/>
      <c r="H252"/>
      <c r="I252"/>
      <c r="J252"/>
    </row>
    <row r="253" spans="1:10" ht="11.25" customHeight="1" x14ac:dyDescent="0.25">
      <c r="A253"/>
      <c r="B253"/>
      <c r="C253"/>
      <c r="D253"/>
      <c r="E253"/>
      <c r="F253"/>
      <c r="G253"/>
      <c r="H253"/>
      <c r="I253"/>
      <c r="J253"/>
    </row>
    <row r="254" spans="1:10" ht="11.25" customHeight="1" x14ac:dyDescent="0.25">
      <c r="A254"/>
      <c r="B254"/>
      <c r="C254"/>
      <c r="D254"/>
      <c r="E254"/>
      <c r="F254"/>
      <c r="G254"/>
      <c r="H254"/>
      <c r="I254"/>
      <c r="J254"/>
    </row>
    <row r="255" spans="1:10" ht="11.25" customHeight="1" x14ac:dyDescent="0.25">
      <c r="A255"/>
      <c r="B255"/>
      <c r="C255"/>
      <c r="D255"/>
      <c r="E255"/>
      <c r="F255"/>
      <c r="G255"/>
      <c r="H255"/>
      <c r="I255"/>
      <c r="J255"/>
    </row>
    <row r="256" spans="1:10" ht="11.25" customHeight="1" x14ac:dyDescent="0.25">
      <c r="A256"/>
      <c r="B256"/>
      <c r="C256"/>
      <c r="D256"/>
      <c r="E256"/>
      <c r="F256"/>
      <c r="G256"/>
      <c r="H256"/>
      <c r="I256"/>
      <c r="J256"/>
    </row>
    <row r="257" spans="1:10" ht="11.25" customHeight="1" x14ac:dyDescent="0.25">
      <c r="A257"/>
      <c r="B257"/>
      <c r="C257"/>
      <c r="D257"/>
      <c r="E257"/>
      <c r="F257"/>
      <c r="G257"/>
      <c r="H257"/>
      <c r="I257"/>
      <c r="J257"/>
    </row>
    <row r="258" spans="1:10" ht="11.25" customHeight="1" x14ac:dyDescent="0.25">
      <c r="A258"/>
      <c r="B258"/>
      <c r="C258"/>
      <c r="D258"/>
      <c r="E258"/>
      <c r="F258"/>
      <c r="G258"/>
      <c r="H258"/>
      <c r="I258"/>
      <c r="J258"/>
    </row>
    <row r="259" spans="1:10" ht="11.25" customHeight="1" x14ac:dyDescent="0.25">
      <c r="A259"/>
      <c r="B259"/>
      <c r="C259"/>
      <c r="D259"/>
      <c r="E259"/>
      <c r="F259"/>
      <c r="G259"/>
      <c r="H259"/>
      <c r="I259"/>
      <c r="J259"/>
    </row>
    <row r="260" spans="1:10" ht="11.25" customHeight="1" x14ac:dyDescent="0.25">
      <c r="A260"/>
      <c r="B260"/>
      <c r="C260"/>
      <c r="D260"/>
      <c r="E260"/>
      <c r="F260"/>
      <c r="G260"/>
      <c r="H260"/>
      <c r="I260"/>
      <c r="J260"/>
    </row>
    <row r="261" spans="1:10" ht="11.25" customHeight="1" x14ac:dyDescent="0.25">
      <c r="A261"/>
      <c r="B261"/>
      <c r="C261"/>
      <c r="D261"/>
      <c r="E261"/>
      <c r="F261"/>
      <c r="G261"/>
      <c r="H261"/>
      <c r="I261"/>
      <c r="J261"/>
    </row>
    <row r="262" spans="1:10" ht="11.25" customHeight="1" x14ac:dyDescent="0.25">
      <c r="A262"/>
      <c r="B262"/>
      <c r="C262"/>
      <c r="D262"/>
      <c r="E262"/>
      <c r="F262"/>
      <c r="G262"/>
      <c r="H262"/>
      <c r="I262"/>
      <c r="J262"/>
    </row>
    <row r="263" spans="1:10" ht="11.25" customHeight="1" x14ac:dyDescent="0.25">
      <c r="A263"/>
      <c r="B263"/>
      <c r="C263"/>
      <c r="D263"/>
      <c r="E263"/>
      <c r="F263"/>
      <c r="G263"/>
      <c r="H263"/>
      <c r="I263"/>
      <c r="J263"/>
    </row>
    <row r="264" spans="1:10" ht="11.25" customHeight="1" x14ac:dyDescent="0.25">
      <c r="A264"/>
      <c r="B264"/>
      <c r="C264"/>
      <c r="D264"/>
      <c r="E264"/>
      <c r="F264"/>
      <c r="G264"/>
      <c r="H264"/>
      <c r="I264"/>
      <c r="J264"/>
    </row>
    <row r="265" spans="1:10" ht="11.25" customHeight="1" x14ac:dyDescent="0.25">
      <c r="A265"/>
      <c r="B265"/>
      <c r="C265"/>
      <c r="D265"/>
      <c r="E265"/>
      <c r="F265"/>
      <c r="G265"/>
      <c r="H265"/>
      <c r="I265"/>
      <c r="J265"/>
    </row>
    <row r="266" spans="1:10" ht="11.25" customHeight="1" x14ac:dyDescent="0.25">
      <c r="A266"/>
      <c r="B266"/>
      <c r="C266"/>
      <c r="D266"/>
      <c r="E266"/>
      <c r="F266"/>
      <c r="G266"/>
      <c r="H266"/>
      <c r="I266"/>
      <c r="J266"/>
    </row>
    <row r="267" spans="1:10" ht="11.25" customHeight="1" x14ac:dyDescent="0.25">
      <c r="A267"/>
      <c r="B267"/>
      <c r="C267"/>
      <c r="D267"/>
      <c r="E267"/>
      <c r="F267"/>
      <c r="G267"/>
      <c r="H267"/>
      <c r="I267"/>
      <c r="J267"/>
    </row>
    <row r="268" spans="1:10" ht="11.25" customHeight="1" x14ac:dyDescent="0.25">
      <c r="A268"/>
      <c r="B268"/>
      <c r="C268"/>
      <c r="D268"/>
      <c r="E268"/>
      <c r="F268"/>
      <c r="G268"/>
      <c r="H268"/>
      <c r="I268"/>
      <c r="J268"/>
    </row>
    <row r="269" spans="1:10" ht="11.25" customHeight="1" x14ac:dyDescent="0.25">
      <c r="A269"/>
      <c r="B269"/>
      <c r="C269"/>
      <c r="D269"/>
      <c r="E269"/>
      <c r="F269"/>
      <c r="G269"/>
      <c r="H269"/>
      <c r="I269"/>
      <c r="J269"/>
    </row>
    <row r="270" spans="1:10" ht="11.25" customHeight="1" x14ac:dyDescent="0.25">
      <c r="A270"/>
      <c r="B270"/>
      <c r="C270"/>
      <c r="D270"/>
      <c r="E270"/>
      <c r="F270"/>
      <c r="G270"/>
      <c r="H270"/>
      <c r="I270"/>
      <c r="J270"/>
    </row>
    <row r="271" spans="1:10" ht="11.25" customHeight="1" x14ac:dyDescent="0.25">
      <c r="A271"/>
      <c r="B271"/>
      <c r="C271"/>
      <c r="D271"/>
      <c r="E271"/>
      <c r="F271"/>
      <c r="G271"/>
      <c r="H271"/>
      <c r="I271"/>
      <c r="J271"/>
    </row>
    <row r="272" spans="1:10" ht="11.25" customHeight="1" x14ac:dyDescent="0.25">
      <c r="A272"/>
      <c r="B272"/>
      <c r="C272"/>
      <c r="D272"/>
      <c r="E272"/>
      <c r="F272"/>
      <c r="G272"/>
      <c r="H272"/>
      <c r="I272"/>
      <c r="J272"/>
    </row>
    <row r="273" spans="1:10" ht="11.25" customHeight="1" x14ac:dyDescent="0.25">
      <c r="A273"/>
      <c r="B273"/>
      <c r="C273"/>
      <c r="D273"/>
      <c r="E273"/>
      <c r="F273"/>
      <c r="G273"/>
      <c r="H273"/>
      <c r="I273"/>
      <c r="J273"/>
    </row>
    <row r="274" spans="1:10" ht="11.25" customHeight="1" x14ac:dyDescent="0.25">
      <c r="A274"/>
      <c r="B274"/>
      <c r="C274"/>
      <c r="D274"/>
      <c r="E274"/>
      <c r="F274"/>
      <c r="G274"/>
      <c r="H274"/>
      <c r="I274"/>
      <c r="J274"/>
    </row>
    <row r="275" spans="1:10" ht="11.25" customHeight="1" x14ac:dyDescent="0.25">
      <c r="A275"/>
      <c r="B275"/>
      <c r="C275"/>
      <c r="D275"/>
      <c r="E275"/>
      <c r="F275"/>
      <c r="G275"/>
      <c r="H275"/>
      <c r="I275"/>
      <c r="J275"/>
    </row>
    <row r="276" spans="1:10" ht="11.25" customHeight="1" x14ac:dyDescent="0.25">
      <c r="A276"/>
      <c r="B276"/>
      <c r="C276"/>
      <c r="D276"/>
      <c r="E276"/>
      <c r="F276"/>
      <c r="G276"/>
      <c r="H276"/>
      <c r="I276"/>
      <c r="J276"/>
    </row>
    <row r="277" spans="1:10" ht="11.25" customHeight="1" x14ac:dyDescent="0.25">
      <c r="A277"/>
      <c r="B277"/>
      <c r="C277"/>
      <c r="D277"/>
      <c r="E277"/>
      <c r="F277"/>
      <c r="G277"/>
      <c r="H277"/>
      <c r="I277"/>
      <c r="J277"/>
    </row>
    <row r="278" spans="1:10" ht="11.25" customHeight="1" x14ac:dyDescent="0.25">
      <c r="A278"/>
      <c r="B278"/>
      <c r="C278"/>
      <c r="D278"/>
      <c r="E278"/>
      <c r="F278"/>
      <c r="G278"/>
      <c r="H278"/>
      <c r="I278"/>
      <c r="J278"/>
    </row>
    <row r="279" spans="1:10" ht="11.25" customHeight="1" x14ac:dyDescent="0.25">
      <c r="A279"/>
      <c r="B279"/>
      <c r="C279"/>
      <c r="D279"/>
      <c r="E279"/>
      <c r="F279"/>
      <c r="G279"/>
      <c r="H279"/>
      <c r="I279"/>
      <c r="J279"/>
    </row>
    <row r="280" spans="1:10" ht="11.25" customHeight="1" x14ac:dyDescent="0.25">
      <c r="A280"/>
      <c r="B280"/>
      <c r="C280"/>
      <c r="D280"/>
      <c r="E280"/>
      <c r="F280"/>
      <c r="G280"/>
      <c r="H280"/>
      <c r="I280"/>
      <c r="J280"/>
    </row>
    <row r="281" spans="1:10" ht="11.25" customHeight="1" x14ac:dyDescent="0.25">
      <c r="A281"/>
      <c r="B281"/>
      <c r="C281"/>
      <c r="D281"/>
      <c r="E281"/>
      <c r="F281"/>
      <c r="G281"/>
      <c r="H281"/>
      <c r="I281"/>
      <c r="J281"/>
    </row>
    <row r="282" spans="1:10" ht="11.25" customHeight="1" x14ac:dyDescent="0.25">
      <c r="A282"/>
      <c r="B282"/>
      <c r="C282"/>
      <c r="D282"/>
      <c r="E282"/>
      <c r="F282"/>
      <c r="G282"/>
      <c r="H282"/>
      <c r="I282"/>
      <c r="J282"/>
    </row>
    <row r="283" spans="1:10" ht="11.25" customHeight="1" x14ac:dyDescent="0.25">
      <c r="A283"/>
      <c r="B283"/>
      <c r="C283"/>
      <c r="D283"/>
      <c r="E283"/>
      <c r="F283"/>
      <c r="G283"/>
      <c r="H283"/>
      <c r="I283"/>
      <c r="J283"/>
    </row>
    <row r="284" spans="1:10" ht="11.25" customHeight="1" x14ac:dyDescent="0.25">
      <c r="A284"/>
      <c r="B284"/>
      <c r="C284"/>
      <c r="D284"/>
      <c r="E284"/>
      <c r="F284"/>
      <c r="G284"/>
      <c r="H284"/>
      <c r="I284"/>
      <c r="J284"/>
    </row>
    <row r="285" spans="1:10" ht="11.25" customHeight="1" x14ac:dyDescent="0.25">
      <c r="A285"/>
      <c r="B285"/>
      <c r="C285"/>
      <c r="D285"/>
      <c r="E285"/>
      <c r="F285"/>
      <c r="G285"/>
      <c r="H285"/>
      <c r="I285"/>
      <c r="J285"/>
    </row>
    <row r="286" spans="1:10" ht="11.25" customHeight="1" x14ac:dyDescent="0.25">
      <c r="A286"/>
      <c r="B286"/>
      <c r="C286"/>
      <c r="D286"/>
      <c r="E286"/>
      <c r="F286"/>
      <c r="G286"/>
      <c r="H286"/>
      <c r="I286"/>
      <c r="J286"/>
    </row>
    <row r="287" spans="1:10" ht="11.25" customHeight="1" x14ac:dyDescent="0.25">
      <c r="A287"/>
      <c r="B287"/>
      <c r="C287"/>
      <c r="D287"/>
      <c r="E287"/>
      <c r="F287"/>
      <c r="G287"/>
      <c r="H287"/>
      <c r="I287"/>
      <c r="J287"/>
    </row>
    <row r="288" spans="1:10" ht="11.25" customHeight="1" x14ac:dyDescent="0.25">
      <c r="A288"/>
      <c r="B288"/>
      <c r="C288"/>
      <c r="D288"/>
      <c r="E288"/>
      <c r="F288"/>
      <c r="G288"/>
      <c r="H288"/>
      <c r="I288"/>
      <c r="J288"/>
    </row>
    <row r="289" spans="1:10" ht="11.25" customHeight="1" x14ac:dyDescent="0.25">
      <c r="A289"/>
      <c r="B289"/>
      <c r="C289"/>
      <c r="D289"/>
      <c r="E289"/>
      <c r="F289"/>
      <c r="G289"/>
      <c r="H289"/>
      <c r="I289"/>
      <c r="J289"/>
    </row>
    <row r="290" spans="1:10" ht="11.25" customHeight="1" x14ac:dyDescent="0.25">
      <c r="A290"/>
      <c r="B290"/>
      <c r="C290"/>
      <c r="D290"/>
      <c r="E290"/>
      <c r="F290"/>
      <c r="G290"/>
      <c r="H290"/>
      <c r="I290"/>
      <c r="J290"/>
    </row>
    <row r="291" spans="1:10" ht="11.25" customHeight="1" x14ac:dyDescent="0.25">
      <c r="A291"/>
      <c r="B291"/>
      <c r="C291"/>
      <c r="D291"/>
      <c r="E291"/>
      <c r="F291"/>
      <c r="G291"/>
      <c r="H291"/>
      <c r="I291"/>
      <c r="J291"/>
    </row>
    <row r="292" spans="1:10" ht="11.25" customHeight="1" x14ac:dyDescent="0.25">
      <c r="A292"/>
      <c r="B292"/>
      <c r="C292"/>
      <c r="D292"/>
      <c r="E292"/>
      <c r="F292"/>
      <c r="G292"/>
      <c r="H292"/>
      <c r="I292"/>
      <c r="J292"/>
    </row>
    <row r="293" spans="1:10" ht="11.25" customHeight="1" x14ac:dyDescent="0.25">
      <c r="A293"/>
      <c r="B293"/>
      <c r="C293"/>
      <c r="D293"/>
      <c r="E293"/>
      <c r="F293"/>
      <c r="G293"/>
      <c r="H293"/>
      <c r="I293"/>
      <c r="J293"/>
    </row>
    <row r="294" spans="1:10" ht="11.25" customHeight="1" x14ac:dyDescent="0.25">
      <c r="A294"/>
      <c r="B294"/>
      <c r="C294"/>
      <c r="D294"/>
      <c r="E294"/>
      <c r="F294"/>
      <c r="G294"/>
      <c r="H294"/>
      <c r="I294"/>
      <c r="J294"/>
    </row>
    <row r="295" spans="1:10" ht="11.25" customHeight="1" x14ac:dyDescent="0.25">
      <c r="A295"/>
      <c r="B295"/>
      <c r="C295"/>
      <c r="D295"/>
      <c r="E295"/>
      <c r="F295"/>
      <c r="G295"/>
      <c r="H295"/>
      <c r="I295"/>
      <c r="J295"/>
    </row>
    <row r="296" spans="1:10" ht="11.25" customHeight="1" x14ac:dyDescent="0.25">
      <c r="A296"/>
      <c r="B296"/>
      <c r="C296"/>
      <c r="D296"/>
      <c r="E296"/>
      <c r="F296"/>
      <c r="G296"/>
      <c r="H296"/>
      <c r="I296"/>
      <c r="J296"/>
    </row>
    <row r="297" spans="1:10" ht="11.25" customHeight="1" x14ac:dyDescent="0.25">
      <c r="A297"/>
      <c r="B297"/>
      <c r="C297"/>
      <c r="D297"/>
      <c r="E297"/>
      <c r="F297"/>
      <c r="G297"/>
      <c r="H297"/>
      <c r="I297"/>
      <c r="J297"/>
    </row>
    <row r="298" spans="1:10" ht="11.25" customHeight="1" x14ac:dyDescent="0.25">
      <c r="A298"/>
      <c r="B298"/>
      <c r="C298"/>
      <c r="D298"/>
      <c r="E298"/>
      <c r="F298"/>
      <c r="G298"/>
      <c r="H298"/>
      <c r="I298"/>
      <c r="J298"/>
    </row>
    <row r="299" spans="1:10" ht="11.25" customHeight="1" x14ac:dyDescent="0.25">
      <c r="A299"/>
      <c r="B299"/>
      <c r="C299"/>
      <c r="D299"/>
      <c r="E299"/>
      <c r="F299"/>
      <c r="G299"/>
      <c r="H299"/>
      <c r="I299"/>
      <c r="J299"/>
    </row>
    <row r="300" spans="1:10" ht="11.25" customHeight="1" x14ac:dyDescent="0.25">
      <c r="A300"/>
      <c r="B300"/>
      <c r="C300"/>
      <c r="D300"/>
      <c r="E300"/>
      <c r="F300"/>
      <c r="G300"/>
      <c r="H300"/>
      <c r="I300"/>
      <c r="J300"/>
    </row>
    <row r="301" spans="1:10" ht="11.25" customHeight="1" x14ac:dyDescent="0.25">
      <c r="A301"/>
      <c r="B301"/>
      <c r="C301"/>
      <c r="D301"/>
      <c r="E301"/>
      <c r="F301"/>
      <c r="G301"/>
      <c r="H301"/>
      <c r="I301"/>
      <c r="J301"/>
    </row>
    <row r="302" spans="1:10" ht="11.25" customHeight="1" x14ac:dyDescent="0.25">
      <c r="A302"/>
      <c r="B302"/>
      <c r="C302"/>
      <c r="D302"/>
      <c r="E302"/>
      <c r="F302"/>
      <c r="G302"/>
      <c r="H302"/>
      <c r="I302"/>
      <c r="J302"/>
    </row>
    <row r="303" spans="1:10" ht="11.25" customHeight="1" x14ac:dyDescent="0.25">
      <c r="A303"/>
      <c r="B303"/>
      <c r="C303"/>
      <c r="D303"/>
      <c r="E303"/>
      <c r="F303"/>
      <c r="G303"/>
      <c r="H303"/>
      <c r="I303"/>
      <c r="J303"/>
    </row>
    <row r="304" spans="1:10" ht="11.25" customHeight="1" x14ac:dyDescent="0.25">
      <c r="A304"/>
      <c r="B304"/>
      <c r="C304"/>
      <c r="D304"/>
      <c r="E304"/>
      <c r="F304"/>
      <c r="G304"/>
      <c r="H304"/>
      <c r="I304"/>
      <c r="J304"/>
    </row>
    <row r="305" spans="1:10" ht="11.25" customHeight="1" x14ac:dyDescent="0.25">
      <c r="A305"/>
      <c r="B305"/>
      <c r="C305"/>
      <c r="D305"/>
      <c r="E305"/>
      <c r="F305"/>
      <c r="G305"/>
      <c r="H305"/>
      <c r="I305"/>
      <c r="J305"/>
    </row>
    <row r="306" spans="1:10" ht="11.25" customHeight="1" x14ac:dyDescent="0.25">
      <c r="A306"/>
      <c r="B306"/>
      <c r="C306"/>
      <c r="D306"/>
      <c r="E306"/>
      <c r="F306"/>
      <c r="G306"/>
      <c r="H306"/>
      <c r="I306"/>
      <c r="J306"/>
    </row>
    <row r="307" spans="1:10" ht="11.25" customHeight="1" x14ac:dyDescent="0.25">
      <c r="A307"/>
      <c r="B307"/>
      <c r="C307"/>
      <c r="D307"/>
      <c r="E307"/>
      <c r="F307"/>
      <c r="G307"/>
      <c r="H307"/>
      <c r="I307"/>
      <c r="J307"/>
    </row>
    <row r="308" spans="1:10" ht="11.25" customHeight="1" x14ac:dyDescent="0.25">
      <c r="A308"/>
      <c r="B308"/>
      <c r="C308"/>
      <c r="D308"/>
      <c r="E308"/>
      <c r="F308"/>
      <c r="G308"/>
      <c r="H308"/>
      <c r="I308"/>
      <c r="J308"/>
    </row>
    <row r="309" spans="1:10" ht="11.25" customHeight="1" x14ac:dyDescent="0.25">
      <c r="A309"/>
      <c r="B309"/>
      <c r="C309"/>
      <c r="D309"/>
      <c r="E309"/>
      <c r="F309"/>
      <c r="G309"/>
      <c r="H309"/>
      <c r="I309"/>
      <c r="J309"/>
    </row>
    <row r="310" spans="1:10" ht="11.25" customHeight="1" x14ac:dyDescent="0.25">
      <c r="A310"/>
      <c r="B310"/>
      <c r="C310"/>
      <c r="D310"/>
      <c r="E310"/>
      <c r="F310"/>
      <c r="G310"/>
      <c r="H310"/>
      <c r="I310"/>
      <c r="J310"/>
    </row>
    <row r="311" spans="1:10" ht="11.25" customHeight="1" x14ac:dyDescent="0.25">
      <c r="A311"/>
      <c r="B311"/>
      <c r="C311"/>
      <c r="D311"/>
      <c r="E311"/>
      <c r="F311"/>
      <c r="G311"/>
      <c r="H311"/>
      <c r="I311"/>
      <c r="J311"/>
    </row>
    <row r="312" spans="1:10" ht="11.25" customHeight="1" x14ac:dyDescent="0.25">
      <c r="A312"/>
      <c r="B312"/>
      <c r="C312"/>
      <c r="D312"/>
      <c r="E312"/>
      <c r="F312"/>
      <c r="G312"/>
      <c r="H312"/>
      <c r="I312"/>
      <c r="J312"/>
    </row>
    <row r="313" spans="1:10" ht="11.25" customHeight="1" x14ac:dyDescent="0.25">
      <c r="A313"/>
      <c r="B313"/>
      <c r="C313"/>
      <c r="D313"/>
      <c r="E313"/>
      <c r="F313"/>
      <c r="G313"/>
      <c r="H313"/>
      <c r="I313"/>
      <c r="J313"/>
    </row>
    <row r="314" spans="1:10" ht="11.25" customHeight="1" x14ac:dyDescent="0.25">
      <c r="A314"/>
      <c r="B314"/>
      <c r="C314"/>
      <c r="D314"/>
      <c r="E314"/>
      <c r="F314"/>
      <c r="G314"/>
      <c r="H314"/>
      <c r="I314"/>
      <c r="J314"/>
    </row>
    <row r="315" spans="1:10" ht="11.25" customHeight="1" x14ac:dyDescent="0.25">
      <c r="A315"/>
      <c r="B315"/>
      <c r="C315"/>
      <c r="D315"/>
      <c r="E315"/>
      <c r="F315"/>
      <c r="G315"/>
      <c r="H315"/>
      <c r="I315"/>
      <c r="J315"/>
    </row>
    <row r="316" spans="1:10" ht="11.25" customHeight="1" x14ac:dyDescent="0.25">
      <c r="A316"/>
      <c r="B316"/>
      <c r="C316"/>
      <c r="D316"/>
      <c r="E316"/>
      <c r="F316"/>
      <c r="G316"/>
      <c r="H316"/>
      <c r="I316"/>
      <c r="J316"/>
    </row>
    <row r="317" spans="1:10" ht="11.25" customHeight="1" x14ac:dyDescent="0.25">
      <c r="A317"/>
      <c r="B317"/>
      <c r="C317"/>
      <c r="D317"/>
      <c r="E317"/>
      <c r="F317"/>
      <c r="G317"/>
      <c r="H317"/>
      <c r="I317"/>
      <c r="J317"/>
    </row>
    <row r="318" spans="1:10" ht="11.25" customHeight="1" x14ac:dyDescent="0.25">
      <c r="A318"/>
      <c r="B318"/>
      <c r="C318"/>
      <c r="D318"/>
      <c r="E318"/>
      <c r="F318"/>
      <c r="G318"/>
      <c r="H318"/>
      <c r="I318"/>
      <c r="J318"/>
    </row>
    <row r="319" spans="1:10" ht="11.25" customHeight="1" x14ac:dyDescent="0.25">
      <c r="A319"/>
      <c r="B319"/>
      <c r="C319"/>
      <c r="D319"/>
      <c r="E319"/>
      <c r="F319"/>
      <c r="G319"/>
      <c r="H319"/>
      <c r="I319"/>
      <c r="J319"/>
    </row>
    <row r="320" spans="1:10" ht="11.25" customHeight="1" x14ac:dyDescent="0.25">
      <c r="A320"/>
      <c r="B320"/>
      <c r="C320"/>
      <c r="D320"/>
      <c r="E320"/>
      <c r="F320"/>
      <c r="G320"/>
      <c r="H320"/>
      <c r="I320"/>
      <c r="J320"/>
    </row>
    <row r="321" spans="1:10" ht="11.25" customHeight="1" x14ac:dyDescent="0.25">
      <c r="A321"/>
      <c r="B321"/>
      <c r="C321"/>
      <c r="D321"/>
      <c r="E321"/>
      <c r="F321"/>
      <c r="G321"/>
      <c r="H321"/>
      <c r="I321"/>
      <c r="J321"/>
    </row>
    <row r="322" spans="1:10" ht="11.25" customHeight="1" x14ac:dyDescent="0.25">
      <c r="A322"/>
      <c r="B322"/>
      <c r="C322"/>
      <c r="D322"/>
      <c r="E322"/>
      <c r="F322"/>
      <c r="G322"/>
      <c r="H322"/>
      <c r="I322"/>
      <c r="J322"/>
    </row>
    <row r="323" spans="1:10" ht="11.25" customHeight="1" x14ac:dyDescent="0.25">
      <c r="A323"/>
      <c r="B323"/>
      <c r="C323"/>
      <c r="D323"/>
      <c r="E323"/>
      <c r="F323"/>
      <c r="G323"/>
      <c r="H323"/>
      <c r="I323"/>
      <c r="J323"/>
    </row>
    <row r="324" spans="1:10" ht="11.25" customHeight="1" x14ac:dyDescent="0.25">
      <c r="A324"/>
      <c r="B324"/>
      <c r="C324"/>
      <c r="D324"/>
      <c r="E324"/>
      <c r="F324"/>
      <c r="G324"/>
      <c r="H324"/>
      <c r="I324"/>
      <c r="J324"/>
    </row>
    <row r="325" spans="1:10" ht="11.25" customHeight="1" x14ac:dyDescent="0.25">
      <c r="A325"/>
      <c r="B325"/>
      <c r="C325"/>
      <c r="D325"/>
      <c r="E325"/>
      <c r="F325"/>
      <c r="G325"/>
      <c r="H325"/>
      <c r="I325"/>
      <c r="J325"/>
    </row>
    <row r="326" spans="1:10" ht="11.25" customHeight="1" x14ac:dyDescent="0.25">
      <c r="A326"/>
      <c r="B326"/>
      <c r="C326"/>
      <c r="D326"/>
      <c r="E326"/>
      <c r="F326"/>
      <c r="G326"/>
      <c r="H326"/>
      <c r="I326"/>
      <c r="J326"/>
    </row>
    <row r="327" spans="1:10" ht="11.25" customHeight="1" x14ac:dyDescent="0.25">
      <c r="A327"/>
      <c r="B327"/>
      <c r="C327"/>
      <c r="D327"/>
      <c r="E327"/>
      <c r="F327"/>
      <c r="G327"/>
      <c r="H327"/>
      <c r="I327"/>
      <c r="J327"/>
    </row>
    <row r="328" spans="1:10" ht="11.25" customHeight="1" x14ac:dyDescent="0.25">
      <c r="A328"/>
      <c r="B328"/>
      <c r="C328"/>
      <c r="D328"/>
      <c r="E328"/>
      <c r="F328"/>
      <c r="G328"/>
      <c r="H328"/>
      <c r="I328"/>
      <c r="J328"/>
    </row>
    <row r="329" spans="1:10" ht="11.25" customHeight="1" x14ac:dyDescent="0.25">
      <c r="A329"/>
      <c r="B329"/>
      <c r="C329"/>
      <c r="D329"/>
      <c r="E329"/>
      <c r="F329"/>
      <c r="G329"/>
      <c r="H329"/>
      <c r="I329"/>
      <c r="J329"/>
    </row>
    <row r="330" spans="1:10" ht="11.25" customHeight="1" x14ac:dyDescent="0.25">
      <c r="A330"/>
      <c r="B330"/>
      <c r="C330"/>
      <c r="D330"/>
      <c r="E330"/>
      <c r="F330"/>
      <c r="G330"/>
      <c r="H330"/>
      <c r="I330"/>
      <c r="J330"/>
    </row>
    <row r="331" spans="1:10" ht="11.25" customHeight="1" x14ac:dyDescent="0.25">
      <c r="A331"/>
      <c r="B331"/>
      <c r="C331"/>
      <c r="D331"/>
      <c r="E331"/>
      <c r="F331"/>
      <c r="G331"/>
      <c r="H331"/>
      <c r="I331"/>
      <c r="J331"/>
    </row>
    <row r="332" spans="1:10" ht="11.25" customHeight="1" x14ac:dyDescent="0.25">
      <c r="A332"/>
      <c r="B332"/>
      <c r="C332"/>
      <c r="D332"/>
      <c r="E332"/>
      <c r="F332"/>
      <c r="G332"/>
      <c r="H332"/>
      <c r="I332"/>
      <c r="J332"/>
    </row>
    <row r="333" spans="1:10" ht="11.25" customHeight="1" x14ac:dyDescent="0.25">
      <c r="A333"/>
      <c r="B333"/>
      <c r="C333"/>
      <c r="D333"/>
      <c r="E333"/>
      <c r="F333"/>
      <c r="G333"/>
      <c r="H333"/>
      <c r="I333"/>
      <c r="J333"/>
    </row>
    <row r="334" spans="1:10" ht="11.25" customHeight="1" x14ac:dyDescent="0.25">
      <c r="A334"/>
      <c r="B334"/>
      <c r="C334"/>
      <c r="D334"/>
      <c r="E334"/>
      <c r="F334"/>
      <c r="G334"/>
      <c r="H334"/>
      <c r="I334"/>
      <c r="J334"/>
    </row>
    <row r="335" spans="1:10" ht="11.25" customHeight="1" x14ac:dyDescent="0.25">
      <c r="A335"/>
      <c r="B335"/>
      <c r="C335"/>
      <c r="D335"/>
      <c r="E335"/>
      <c r="F335"/>
      <c r="G335"/>
      <c r="H335"/>
      <c r="I335"/>
      <c r="J335"/>
    </row>
    <row r="336" spans="1:10" ht="11.25" customHeight="1" x14ac:dyDescent="0.25">
      <c r="A336"/>
      <c r="B336"/>
      <c r="C336"/>
      <c r="D336"/>
      <c r="E336"/>
      <c r="F336"/>
      <c r="G336"/>
      <c r="H336"/>
      <c r="I336"/>
      <c r="J336"/>
    </row>
    <row r="337" spans="1:10" ht="11.25" customHeight="1" x14ac:dyDescent="0.25">
      <c r="A337"/>
      <c r="B337"/>
      <c r="C337"/>
      <c r="D337"/>
      <c r="E337"/>
      <c r="F337"/>
      <c r="G337"/>
      <c r="H337"/>
      <c r="I337"/>
      <c r="J337"/>
    </row>
    <row r="338" spans="1:10" ht="11.25" customHeight="1" x14ac:dyDescent="0.25">
      <c r="A338"/>
      <c r="B338"/>
      <c r="C338"/>
      <c r="D338"/>
      <c r="E338"/>
      <c r="F338"/>
      <c r="G338"/>
      <c r="H338"/>
      <c r="I338"/>
      <c r="J338"/>
    </row>
    <row r="339" spans="1:10" ht="11.25" customHeight="1" x14ac:dyDescent="0.25">
      <c r="A339"/>
      <c r="B339"/>
      <c r="C339"/>
      <c r="D339"/>
      <c r="E339"/>
      <c r="F339"/>
      <c r="G339"/>
      <c r="H339"/>
      <c r="I339"/>
      <c r="J339"/>
    </row>
    <row r="340" spans="1:10" ht="11.25" customHeight="1" x14ac:dyDescent="0.25">
      <c r="A340"/>
      <c r="B340"/>
      <c r="C340"/>
      <c r="D340"/>
      <c r="E340"/>
      <c r="F340"/>
      <c r="G340"/>
      <c r="H340"/>
      <c r="I340"/>
      <c r="J340"/>
    </row>
    <row r="341" spans="1:10" ht="11.25" customHeight="1" x14ac:dyDescent="0.25">
      <c r="A341"/>
      <c r="B341"/>
      <c r="C341"/>
      <c r="D341"/>
      <c r="E341"/>
      <c r="F341"/>
      <c r="G341"/>
      <c r="H341"/>
      <c r="I341"/>
      <c r="J341"/>
    </row>
    <row r="342" spans="1:10" ht="11.25" customHeight="1" x14ac:dyDescent="0.25">
      <c r="A342"/>
      <c r="B342"/>
      <c r="C342"/>
      <c r="D342"/>
      <c r="E342"/>
      <c r="F342"/>
      <c r="G342"/>
      <c r="H342"/>
      <c r="I342"/>
      <c r="J342"/>
    </row>
    <row r="343" spans="1:10" ht="11.25" customHeight="1" x14ac:dyDescent="0.25">
      <c r="A343"/>
      <c r="B343"/>
      <c r="C343"/>
      <c r="D343"/>
      <c r="E343"/>
      <c r="F343"/>
      <c r="G343"/>
      <c r="H343"/>
      <c r="I343"/>
      <c r="J343"/>
    </row>
    <row r="344" spans="1:10" ht="11.25" customHeight="1" x14ac:dyDescent="0.25">
      <c r="A344"/>
      <c r="B344"/>
      <c r="C344"/>
      <c r="D344"/>
      <c r="E344"/>
      <c r="F344"/>
      <c r="G344"/>
      <c r="H344"/>
      <c r="I344"/>
      <c r="J344"/>
    </row>
    <row r="345" spans="1:10" ht="11.25" customHeight="1" x14ac:dyDescent="0.25">
      <c r="A345"/>
      <c r="B345"/>
      <c r="C345"/>
      <c r="D345"/>
      <c r="E345"/>
      <c r="F345"/>
      <c r="G345"/>
      <c r="H345"/>
      <c r="I345"/>
      <c r="J345"/>
    </row>
    <row r="346" spans="1:10" ht="11.25" customHeight="1" x14ac:dyDescent="0.25">
      <c r="A346"/>
      <c r="B346"/>
      <c r="C346"/>
      <c r="D346"/>
      <c r="E346"/>
      <c r="F346"/>
      <c r="G346"/>
      <c r="H346"/>
      <c r="I346"/>
      <c r="J346"/>
    </row>
    <row r="347" spans="1:10" ht="11.25" customHeight="1" x14ac:dyDescent="0.25">
      <c r="A347"/>
      <c r="B347"/>
      <c r="C347"/>
      <c r="D347"/>
      <c r="E347"/>
      <c r="F347"/>
      <c r="G347"/>
      <c r="H347"/>
      <c r="I347"/>
      <c r="J347"/>
    </row>
    <row r="348" spans="1:10" ht="11.25" customHeight="1" x14ac:dyDescent="0.25">
      <c r="A348"/>
      <c r="B348"/>
      <c r="C348"/>
      <c r="D348"/>
      <c r="E348"/>
      <c r="F348"/>
      <c r="G348"/>
      <c r="H348"/>
      <c r="I348"/>
      <c r="J348"/>
    </row>
    <row r="349" spans="1:10" ht="11.25" customHeight="1" x14ac:dyDescent="0.25">
      <c r="A349"/>
      <c r="B349"/>
      <c r="C349"/>
      <c r="D349"/>
      <c r="E349"/>
      <c r="F349"/>
      <c r="G349"/>
      <c r="H349"/>
      <c r="I349"/>
      <c r="J349"/>
    </row>
    <row r="350" spans="1:10" ht="11.25" customHeight="1" x14ac:dyDescent="0.25">
      <c r="A350"/>
      <c r="B350"/>
      <c r="C350"/>
      <c r="D350"/>
      <c r="E350"/>
      <c r="F350"/>
      <c r="G350"/>
      <c r="H350"/>
      <c r="I350"/>
      <c r="J350"/>
    </row>
    <row r="351" spans="1:10" ht="11.25" customHeight="1" x14ac:dyDescent="0.25">
      <c r="A351"/>
      <c r="B351"/>
      <c r="C351"/>
      <c r="D351"/>
      <c r="E351"/>
      <c r="F351"/>
      <c r="G351"/>
      <c r="H351"/>
      <c r="I351"/>
      <c r="J351"/>
    </row>
    <row r="352" spans="1:10" ht="11.25" customHeight="1" x14ac:dyDescent="0.25">
      <c r="A352"/>
      <c r="B352"/>
      <c r="C352"/>
      <c r="D352"/>
      <c r="E352"/>
      <c r="F352"/>
      <c r="G352"/>
      <c r="H352"/>
      <c r="I352"/>
      <c r="J352"/>
    </row>
    <row r="353" spans="1:10" ht="11.25" customHeight="1" x14ac:dyDescent="0.25">
      <c r="A353"/>
      <c r="B353"/>
      <c r="C353"/>
      <c r="D353"/>
      <c r="E353"/>
      <c r="F353"/>
      <c r="G353"/>
      <c r="H353"/>
      <c r="I353"/>
      <c r="J353"/>
    </row>
    <row r="354" spans="1:10" ht="11.25" customHeight="1" x14ac:dyDescent="0.25">
      <c r="A354"/>
      <c r="B354"/>
      <c r="C354"/>
      <c r="D354"/>
      <c r="E354"/>
      <c r="F354"/>
      <c r="G354"/>
      <c r="H354"/>
      <c r="I354"/>
      <c r="J354"/>
    </row>
    <row r="355" spans="1:10" ht="11.25" customHeight="1" x14ac:dyDescent="0.25">
      <c r="A355"/>
      <c r="B355"/>
      <c r="C355"/>
      <c r="D355"/>
      <c r="E355"/>
      <c r="F355"/>
      <c r="G355"/>
      <c r="H355"/>
      <c r="I355"/>
      <c r="J355"/>
    </row>
    <row r="356" spans="1:10" ht="11.25" customHeight="1" x14ac:dyDescent="0.25">
      <c r="A356"/>
      <c r="B356"/>
      <c r="C356"/>
      <c r="D356"/>
      <c r="E356"/>
      <c r="F356"/>
      <c r="G356"/>
      <c r="H356"/>
      <c r="I356"/>
      <c r="J356"/>
    </row>
    <row r="357" spans="1:10" ht="11.25" customHeight="1" x14ac:dyDescent="0.25">
      <c r="A357"/>
      <c r="B357"/>
      <c r="C357"/>
      <c r="D357"/>
      <c r="E357"/>
      <c r="F357"/>
      <c r="G357"/>
      <c r="H357"/>
      <c r="I357"/>
      <c r="J357"/>
    </row>
    <row r="358" spans="1:10" ht="11.25" customHeight="1" x14ac:dyDescent="0.25">
      <c r="A358"/>
      <c r="B358"/>
      <c r="C358"/>
      <c r="D358"/>
      <c r="E358"/>
      <c r="F358"/>
      <c r="G358"/>
      <c r="H358"/>
      <c r="I358"/>
      <c r="J358"/>
    </row>
    <row r="359" spans="1:10" ht="11.25" customHeight="1" x14ac:dyDescent="0.25">
      <c r="A359"/>
      <c r="B359"/>
      <c r="C359"/>
      <c r="D359"/>
      <c r="E359"/>
      <c r="F359"/>
      <c r="G359"/>
      <c r="H359"/>
      <c r="I359"/>
      <c r="J359"/>
    </row>
    <row r="360" spans="1:10" ht="11.25" customHeight="1" x14ac:dyDescent="0.25">
      <c r="A360"/>
      <c r="B360"/>
      <c r="C360"/>
      <c r="D360"/>
      <c r="E360"/>
      <c r="F360"/>
      <c r="G360"/>
      <c r="H360"/>
      <c r="I360"/>
      <c r="J360"/>
    </row>
    <row r="361" spans="1:10" ht="11.25" customHeight="1" x14ac:dyDescent="0.25">
      <c r="A361"/>
      <c r="B361"/>
      <c r="C361"/>
      <c r="D361"/>
      <c r="E361"/>
      <c r="F361"/>
      <c r="G361"/>
      <c r="H361"/>
      <c r="I361"/>
      <c r="J361"/>
    </row>
    <row r="362" spans="1:10" ht="11.25" customHeight="1" x14ac:dyDescent="0.25">
      <c r="A362"/>
      <c r="B362"/>
      <c r="C362"/>
      <c r="D362"/>
      <c r="E362"/>
      <c r="F362"/>
      <c r="G362"/>
      <c r="H362"/>
      <c r="I362"/>
      <c r="J362"/>
    </row>
    <row r="363" spans="1:10" ht="11.25" customHeight="1" x14ac:dyDescent="0.25">
      <c r="A363"/>
      <c r="B363"/>
      <c r="C363"/>
      <c r="D363"/>
      <c r="E363"/>
      <c r="F363"/>
      <c r="G363"/>
      <c r="H363"/>
      <c r="I363"/>
      <c r="J363"/>
    </row>
    <row r="364" spans="1:10" ht="11.25" customHeight="1" x14ac:dyDescent="0.25">
      <c r="A364"/>
      <c r="B364"/>
      <c r="C364"/>
      <c r="D364"/>
      <c r="E364"/>
      <c r="F364"/>
      <c r="G364"/>
      <c r="H364"/>
      <c r="I364"/>
      <c r="J364"/>
    </row>
    <row r="365" spans="1:10" ht="11.25" customHeight="1" x14ac:dyDescent="0.25">
      <c r="A365"/>
      <c r="B365"/>
      <c r="C365"/>
      <c r="D365"/>
      <c r="E365"/>
      <c r="F365"/>
      <c r="G365"/>
      <c r="H365"/>
      <c r="I365"/>
      <c r="J365"/>
    </row>
    <row r="366" spans="1:10" ht="11.25" customHeight="1" x14ac:dyDescent="0.25">
      <c r="A366"/>
      <c r="B366"/>
      <c r="C366"/>
      <c r="D366"/>
      <c r="E366"/>
      <c r="F366"/>
      <c r="G366"/>
      <c r="H366"/>
      <c r="I366"/>
      <c r="J366"/>
    </row>
    <row r="367" spans="1:10" ht="11.25" customHeight="1" x14ac:dyDescent="0.25">
      <c r="A367"/>
      <c r="B367"/>
      <c r="C367"/>
      <c r="D367"/>
      <c r="E367"/>
      <c r="F367"/>
      <c r="G367"/>
      <c r="H367"/>
      <c r="I367"/>
      <c r="J367"/>
    </row>
    <row r="368" spans="1:10" ht="11.25" customHeight="1" x14ac:dyDescent="0.25">
      <c r="A368"/>
      <c r="B368"/>
      <c r="C368"/>
      <c r="D368"/>
      <c r="E368"/>
      <c r="F368"/>
      <c r="G368"/>
      <c r="H368"/>
      <c r="I368"/>
      <c r="J368"/>
    </row>
    <row r="369" spans="1:10" ht="11.25" customHeight="1" x14ac:dyDescent="0.25">
      <c r="A369"/>
      <c r="B369"/>
      <c r="C369"/>
      <c r="D369"/>
      <c r="E369"/>
      <c r="F369"/>
      <c r="G369"/>
      <c r="H369"/>
      <c r="I369"/>
      <c r="J369"/>
    </row>
    <row r="370" spans="1:10" ht="11.25" customHeight="1" x14ac:dyDescent="0.25">
      <c r="A370"/>
      <c r="B370"/>
      <c r="C370"/>
      <c r="D370"/>
      <c r="E370"/>
      <c r="F370"/>
      <c r="G370"/>
      <c r="H370"/>
      <c r="I370"/>
      <c r="J370"/>
    </row>
    <row r="371" spans="1:10" ht="11.25" customHeight="1" x14ac:dyDescent="0.25">
      <c r="A371"/>
      <c r="B371"/>
      <c r="C371"/>
      <c r="D371"/>
      <c r="E371"/>
      <c r="F371"/>
      <c r="G371"/>
      <c r="H371"/>
      <c r="I371"/>
      <c r="J371"/>
    </row>
    <row r="372" spans="1:10" ht="11.25" customHeight="1" x14ac:dyDescent="0.25">
      <c r="A372"/>
      <c r="B372"/>
      <c r="C372"/>
      <c r="D372"/>
      <c r="E372"/>
      <c r="F372"/>
      <c r="G372"/>
      <c r="H372"/>
      <c r="I372"/>
      <c r="J372"/>
    </row>
    <row r="373" spans="1:10" ht="11.25" customHeight="1" x14ac:dyDescent="0.25">
      <c r="A373"/>
      <c r="B373"/>
      <c r="C373"/>
      <c r="D373"/>
      <c r="E373"/>
      <c r="F373"/>
      <c r="G373"/>
      <c r="H373"/>
      <c r="I373"/>
      <c r="J373"/>
    </row>
    <row r="374" spans="1:10" ht="11.25" customHeight="1" x14ac:dyDescent="0.25">
      <c r="A374"/>
      <c r="B374"/>
      <c r="C374"/>
      <c r="D374"/>
      <c r="E374"/>
      <c r="F374"/>
      <c r="G374"/>
      <c r="H374"/>
      <c r="I374"/>
      <c r="J374"/>
    </row>
    <row r="375" spans="1:10" ht="11.25" customHeight="1" x14ac:dyDescent="0.25">
      <c r="A375"/>
      <c r="B375"/>
      <c r="C375"/>
      <c r="D375"/>
      <c r="E375"/>
      <c r="F375"/>
      <c r="G375"/>
      <c r="H375"/>
      <c r="I375"/>
      <c r="J375"/>
    </row>
    <row r="376" spans="1:10" ht="11.25" customHeight="1" x14ac:dyDescent="0.25">
      <c r="A376"/>
      <c r="B376"/>
      <c r="C376"/>
      <c r="D376"/>
      <c r="E376"/>
      <c r="F376"/>
      <c r="G376"/>
      <c r="H376"/>
      <c r="I376"/>
      <c r="J376"/>
    </row>
    <row r="377" spans="1:10" ht="11.25" customHeight="1" x14ac:dyDescent="0.25">
      <c r="A377"/>
      <c r="B377"/>
      <c r="C377"/>
      <c r="D377"/>
      <c r="E377"/>
      <c r="F377"/>
      <c r="G377"/>
      <c r="H377"/>
      <c r="I377"/>
      <c r="J377"/>
    </row>
    <row r="378" spans="1:10" ht="11.25" customHeight="1" x14ac:dyDescent="0.25">
      <c r="A378"/>
      <c r="B378"/>
      <c r="C378"/>
      <c r="D378"/>
      <c r="E378"/>
      <c r="F378"/>
      <c r="G378"/>
      <c r="H378"/>
      <c r="I378"/>
      <c r="J378"/>
    </row>
    <row r="379" spans="1:10" ht="11.25" customHeight="1" x14ac:dyDescent="0.25">
      <c r="A379"/>
      <c r="B379"/>
      <c r="C379"/>
      <c r="D379"/>
      <c r="E379"/>
      <c r="F379"/>
      <c r="G379"/>
      <c r="H379"/>
      <c r="I379"/>
      <c r="J379"/>
    </row>
    <row r="380" spans="1:10" ht="11.25" customHeight="1" x14ac:dyDescent="0.25">
      <c r="A380"/>
      <c r="B380"/>
      <c r="C380"/>
      <c r="D380"/>
      <c r="E380"/>
      <c r="F380"/>
      <c r="G380"/>
      <c r="H380"/>
      <c r="I380"/>
      <c r="J380"/>
    </row>
    <row r="381" spans="1:10" ht="11.25" customHeight="1" x14ac:dyDescent="0.25">
      <c r="A381"/>
      <c r="B381"/>
      <c r="C381"/>
      <c r="D381"/>
      <c r="E381"/>
      <c r="F381"/>
      <c r="G381"/>
      <c r="H381"/>
      <c r="I381"/>
      <c r="J381"/>
    </row>
    <row r="382" spans="1:10" ht="11.25" customHeight="1" x14ac:dyDescent="0.25">
      <c r="A382"/>
      <c r="B382"/>
      <c r="C382"/>
      <c r="D382"/>
      <c r="E382"/>
      <c r="F382"/>
      <c r="G382"/>
      <c r="H382"/>
      <c r="I382"/>
      <c r="J382"/>
    </row>
    <row r="383" spans="1:10" ht="11.25" customHeight="1" x14ac:dyDescent="0.25">
      <c r="A383"/>
      <c r="B383"/>
      <c r="C383"/>
      <c r="D383"/>
      <c r="E383"/>
      <c r="F383"/>
      <c r="G383"/>
      <c r="H383"/>
      <c r="I383"/>
      <c r="J383"/>
    </row>
    <row r="384" spans="1:10" ht="11.25" customHeight="1" x14ac:dyDescent="0.25">
      <c r="A384"/>
      <c r="B384"/>
      <c r="C384"/>
      <c r="D384"/>
      <c r="E384"/>
      <c r="F384"/>
      <c r="G384"/>
      <c r="H384"/>
      <c r="I384"/>
      <c r="J384"/>
    </row>
    <row r="385" spans="1:10" ht="11.25" customHeight="1" x14ac:dyDescent="0.25">
      <c r="A385"/>
      <c r="B385"/>
      <c r="C385"/>
      <c r="D385"/>
      <c r="E385"/>
      <c r="F385"/>
      <c r="G385"/>
      <c r="H385"/>
      <c r="I385"/>
      <c r="J385"/>
    </row>
    <row r="386" spans="1:10" ht="11.25" customHeight="1" x14ac:dyDescent="0.25">
      <c r="A386"/>
      <c r="B386"/>
      <c r="C386"/>
      <c r="D386"/>
      <c r="E386"/>
      <c r="F386"/>
      <c r="G386"/>
      <c r="H386"/>
      <c r="I386"/>
      <c r="J386"/>
    </row>
    <row r="387" spans="1:10" ht="11.25" customHeight="1" x14ac:dyDescent="0.25">
      <c r="A387"/>
      <c r="B387"/>
      <c r="C387"/>
      <c r="D387"/>
      <c r="E387"/>
      <c r="F387"/>
      <c r="G387"/>
      <c r="H387"/>
      <c r="I387"/>
      <c r="J387"/>
    </row>
    <row r="388" spans="1:10" ht="11.25" customHeight="1" x14ac:dyDescent="0.25">
      <c r="A388"/>
      <c r="B388"/>
      <c r="C388"/>
      <c r="D388"/>
      <c r="E388"/>
      <c r="F388"/>
      <c r="G388"/>
      <c r="H388"/>
      <c r="I388"/>
      <c r="J388"/>
    </row>
    <row r="389" spans="1:10" ht="11.25" customHeight="1" x14ac:dyDescent="0.25">
      <c r="A389"/>
      <c r="B389"/>
      <c r="C389"/>
      <c r="D389"/>
      <c r="E389"/>
      <c r="F389"/>
      <c r="G389"/>
      <c r="H389"/>
      <c r="I389"/>
      <c r="J389"/>
    </row>
    <row r="390" spans="1:10" ht="11.25" customHeight="1" x14ac:dyDescent="0.25">
      <c r="A390"/>
      <c r="B390"/>
      <c r="C390"/>
      <c r="D390"/>
      <c r="E390"/>
      <c r="F390"/>
      <c r="G390"/>
      <c r="H390"/>
      <c r="I390"/>
      <c r="J390"/>
    </row>
    <row r="391" spans="1:10" ht="11.25" customHeight="1" x14ac:dyDescent="0.25">
      <c r="A391"/>
      <c r="B391"/>
      <c r="C391"/>
      <c r="D391"/>
      <c r="E391"/>
      <c r="F391"/>
      <c r="G391"/>
      <c r="H391"/>
      <c r="I391"/>
      <c r="J391"/>
    </row>
    <row r="392" spans="1:10" ht="11.25" customHeight="1" x14ac:dyDescent="0.25">
      <c r="A392"/>
      <c r="B392"/>
      <c r="C392"/>
      <c r="D392"/>
      <c r="E392"/>
      <c r="F392"/>
      <c r="G392"/>
      <c r="H392"/>
      <c r="I392"/>
      <c r="J392"/>
    </row>
    <row r="393" spans="1:10" ht="11.25" customHeight="1" x14ac:dyDescent="0.25">
      <c r="A393"/>
      <c r="B393"/>
      <c r="C393"/>
      <c r="D393"/>
      <c r="E393"/>
      <c r="F393"/>
      <c r="G393"/>
      <c r="H393"/>
      <c r="I393"/>
      <c r="J393"/>
    </row>
    <row r="394" spans="1:10" ht="11.25" customHeight="1" x14ac:dyDescent="0.25">
      <c r="A394"/>
      <c r="B394"/>
      <c r="C394"/>
      <c r="D394"/>
      <c r="E394"/>
      <c r="F394"/>
      <c r="G394"/>
      <c r="H394"/>
      <c r="I394"/>
      <c r="J394"/>
    </row>
    <row r="395" spans="1:10" ht="11.25" customHeight="1" x14ac:dyDescent="0.25">
      <c r="A395"/>
      <c r="B395"/>
      <c r="C395"/>
      <c r="D395"/>
      <c r="E395"/>
      <c r="F395"/>
      <c r="G395"/>
      <c r="H395"/>
      <c r="I395"/>
      <c r="J395"/>
    </row>
    <row r="396" spans="1:10" ht="11.25" customHeight="1" x14ac:dyDescent="0.25">
      <c r="A396"/>
      <c r="B396"/>
      <c r="C396"/>
      <c r="D396"/>
      <c r="E396"/>
      <c r="F396"/>
      <c r="G396"/>
      <c r="H396"/>
      <c r="I396"/>
      <c r="J396"/>
    </row>
    <row r="397" spans="1:10" ht="11.25" customHeight="1" x14ac:dyDescent="0.25">
      <c r="A397"/>
      <c r="B397"/>
      <c r="C397"/>
      <c r="D397"/>
      <c r="E397"/>
      <c r="F397"/>
      <c r="G397"/>
      <c r="H397"/>
      <c r="I397"/>
      <c r="J397"/>
    </row>
    <row r="398" spans="1:10" ht="11.25" customHeight="1" x14ac:dyDescent="0.25">
      <c r="A398"/>
      <c r="B398"/>
      <c r="C398"/>
      <c r="D398"/>
      <c r="E398"/>
      <c r="F398"/>
      <c r="G398"/>
      <c r="H398"/>
      <c r="I398"/>
      <c r="J398"/>
    </row>
    <row r="399" spans="1:10" ht="11.25" customHeight="1" x14ac:dyDescent="0.25">
      <c r="A399"/>
      <c r="B399"/>
      <c r="C399"/>
      <c r="D399"/>
      <c r="E399"/>
      <c r="F399"/>
      <c r="G399"/>
      <c r="H399"/>
      <c r="I399"/>
      <c r="J399"/>
    </row>
    <row r="400" spans="1:10" ht="11.25" customHeight="1" x14ac:dyDescent="0.25">
      <c r="A400"/>
      <c r="B400"/>
      <c r="C400"/>
      <c r="D400"/>
      <c r="E400"/>
      <c r="F400"/>
      <c r="G400"/>
      <c r="H400"/>
      <c r="I400"/>
      <c r="J400"/>
    </row>
    <row r="401" spans="1:10" ht="11.25" customHeight="1" x14ac:dyDescent="0.25">
      <c r="A401"/>
      <c r="B401"/>
      <c r="C401"/>
      <c r="D401"/>
      <c r="E401"/>
      <c r="F401"/>
      <c r="G401"/>
      <c r="H401"/>
      <c r="I401"/>
      <c r="J401"/>
    </row>
    <row r="402" spans="1:10" ht="11.25" customHeight="1" x14ac:dyDescent="0.25">
      <c r="A402"/>
      <c r="B402"/>
      <c r="C402"/>
      <c r="D402"/>
      <c r="E402"/>
      <c r="F402"/>
      <c r="G402"/>
      <c r="H402"/>
      <c r="I402"/>
      <c r="J402"/>
    </row>
    <row r="403" spans="1:10" ht="11.25" customHeight="1" x14ac:dyDescent="0.25">
      <c r="A403"/>
      <c r="B403"/>
      <c r="C403"/>
      <c r="D403"/>
      <c r="E403"/>
      <c r="F403"/>
      <c r="G403"/>
      <c r="H403"/>
      <c r="I403"/>
      <c r="J403"/>
    </row>
    <row r="404" spans="1:10" ht="11.25" customHeight="1" x14ac:dyDescent="0.25">
      <c r="A404"/>
      <c r="B404"/>
      <c r="C404"/>
      <c r="D404"/>
      <c r="E404"/>
      <c r="F404"/>
      <c r="G404"/>
      <c r="H404"/>
      <c r="I404"/>
      <c r="J404"/>
    </row>
    <row r="405" spans="1:10" ht="11.25" customHeight="1" x14ac:dyDescent="0.25">
      <c r="A405"/>
      <c r="B405"/>
      <c r="C405"/>
      <c r="D405"/>
      <c r="E405"/>
      <c r="F405"/>
      <c r="G405"/>
      <c r="H405"/>
      <c r="I405"/>
      <c r="J405"/>
    </row>
    <row r="406" spans="1:10" ht="11.25" customHeight="1" x14ac:dyDescent="0.25">
      <c r="A406"/>
      <c r="B406"/>
      <c r="C406"/>
      <c r="D406"/>
      <c r="E406"/>
      <c r="F406"/>
      <c r="G406"/>
      <c r="H406"/>
      <c r="I406"/>
      <c r="J406"/>
    </row>
    <row r="407" spans="1:10" ht="11.25" customHeight="1" x14ac:dyDescent="0.25">
      <c r="A407"/>
      <c r="B407"/>
      <c r="C407"/>
      <c r="D407"/>
      <c r="E407"/>
      <c r="F407"/>
      <c r="G407"/>
      <c r="H407"/>
      <c r="I407"/>
      <c r="J407"/>
    </row>
    <row r="408" spans="1:10" ht="11.25" customHeight="1" x14ac:dyDescent="0.25">
      <c r="A408"/>
      <c r="B408"/>
      <c r="C408"/>
      <c r="D408"/>
      <c r="E408"/>
      <c r="F408"/>
      <c r="G408"/>
      <c r="H408"/>
      <c r="I408"/>
      <c r="J408"/>
    </row>
    <row r="409" spans="1:10" ht="11.25" customHeight="1" x14ac:dyDescent="0.25">
      <c r="A409"/>
      <c r="B409"/>
      <c r="C409"/>
      <c r="D409"/>
      <c r="E409"/>
      <c r="F409"/>
      <c r="G409"/>
      <c r="H409"/>
      <c r="I409"/>
      <c r="J409"/>
    </row>
    <row r="410" spans="1:10" ht="11.25" customHeight="1" x14ac:dyDescent="0.25">
      <c r="A410"/>
      <c r="B410"/>
      <c r="C410"/>
      <c r="D410"/>
      <c r="E410"/>
      <c r="F410"/>
      <c r="G410"/>
      <c r="H410"/>
      <c r="I410"/>
      <c r="J410"/>
    </row>
    <row r="411" spans="1:10" ht="11.25" customHeight="1" x14ac:dyDescent="0.25">
      <c r="A411"/>
      <c r="B411"/>
      <c r="C411"/>
      <c r="D411"/>
      <c r="E411"/>
      <c r="F411"/>
      <c r="G411"/>
      <c r="H411"/>
      <c r="I411"/>
      <c r="J411"/>
    </row>
    <row r="412" spans="1:10" ht="11.25" customHeight="1" x14ac:dyDescent="0.25">
      <c r="A412"/>
      <c r="B412"/>
      <c r="C412"/>
      <c r="D412"/>
      <c r="E412"/>
      <c r="F412"/>
      <c r="G412"/>
      <c r="H412"/>
      <c r="I412"/>
      <c r="J412"/>
    </row>
    <row r="413" spans="1:10" ht="11.25" customHeight="1" x14ac:dyDescent="0.25">
      <c r="A413"/>
      <c r="B413"/>
      <c r="C413"/>
      <c r="D413"/>
      <c r="E413"/>
      <c r="F413"/>
      <c r="G413"/>
      <c r="H413"/>
      <c r="I413"/>
      <c r="J413"/>
    </row>
    <row r="414" spans="1:10" ht="11.25" customHeight="1" x14ac:dyDescent="0.25">
      <c r="A414"/>
      <c r="B414"/>
      <c r="C414"/>
      <c r="D414"/>
      <c r="E414"/>
      <c r="F414"/>
      <c r="G414"/>
      <c r="H414"/>
      <c r="I414"/>
      <c r="J414"/>
    </row>
    <row r="415" spans="1:10" ht="11.25" customHeight="1" x14ac:dyDescent="0.25">
      <c r="A415"/>
      <c r="B415"/>
      <c r="C415"/>
      <c r="D415"/>
      <c r="E415"/>
      <c r="F415"/>
      <c r="G415"/>
      <c r="H415"/>
      <c r="I415"/>
      <c r="J415"/>
    </row>
    <row r="416" spans="1:10" ht="11.25" customHeight="1" x14ac:dyDescent="0.25">
      <c r="A416"/>
      <c r="B416"/>
      <c r="C416"/>
      <c r="D416"/>
      <c r="E416"/>
      <c r="F416"/>
      <c r="G416"/>
      <c r="H416"/>
      <c r="I416"/>
      <c r="J416"/>
    </row>
    <row r="417" spans="1:10" ht="11.25" customHeight="1" x14ac:dyDescent="0.25">
      <c r="A417"/>
      <c r="B417"/>
      <c r="C417"/>
      <c r="D417"/>
      <c r="E417"/>
      <c r="F417"/>
      <c r="G417"/>
      <c r="H417"/>
      <c r="I417"/>
      <c r="J417"/>
    </row>
    <row r="418" spans="1:10" ht="11.25" customHeight="1" x14ac:dyDescent="0.25">
      <c r="A418"/>
      <c r="B418"/>
      <c r="C418"/>
      <c r="D418"/>
      <c r="E418"/>
      <c r="F418"/>
      <c r="G418"/>
      <c r="H418"/>
      <c r="I418"/>
      <c r="J418"/>
    </row>
    <row r="419" spans="1:10" ht="11.25" customHeight="1" x14ac:dyDescent="0.25">
      <c r="A419"/>
      <c r="B419"/>
      <c r="C419"/>
      <c r="D419"/>
      <c r="E419"/>
      <c r="F419"/>
      <c r="G419"/>
      <c r="H419"/>
      <c r="I419"/>
      <c r="J419"/>
    </row>
    <row r="420" spans="1:10" ht="11.25" customHeight="1" x14ac:dyDescent="0.25">
      <c r="A420"/>
      <c r="B420"/>
      <c r="C420"/>
      <c r="D420"/>
      <c r="E420"/>
      <c r="F420"/>
      <c r="G420"/>
      <c r="H420"/>
      <c r="I420"/>
      <c r="J420"/>
    </row>
    <row r="421" spans="1:10" ht="11.25" customHeight="1" x14ac:dyDescent="0.25">
      <c r="A421"/>
      <c r="B421"/>
      <c r="C421"/>
      <c r="D421"/>
      <c r="E421"/>
      <c r="F421"/>
      <c r="G421"/>
      <c r="H421"/>
      <c r="I421"/>
      <c r="J421"/>
    </row>
    <row r="422" spans="1:10" ht="11.25" customHeight="1" x14ac:dyDescent="0.25">
      <c r="A422"/>
      <c r="B422"/>
      <c r="C422"/>
      <c r="D422"/>
      <c r="E422"/>
      <c r="F422"/>
      <c r="G422"/>
      <c r="H422"/>
      <c r="I422"/>
      <c r="J422"/>
    </row>
    <row r="423" spans="1:10" ht="11.25" customHeight="1" x14ac:dyDescent="0.25">
      <c r="A423"/>
      <c r="B423"/>
      <c r="C423"/>
      <c r="D423"/>
      <c r="E423"/>
      <c r="F423"/>
      <c r="G423"/>
      <c r="H423"/>
      <c r="I423"/>
      <c r="J423"/>
    </row>
    <row r="424" spans="1:10" ht="11.25" customHeight="1" x14ac:dyDescent="0.25">
      <c r="A424"/>
      <c r="B424"/>
      <c r="C424"/>
      <c r="D424"/>
      <c r="E424"/>
      <c r="F424"/>
      <c r="G424"/>
      <c r="H424"/>
      <c r="I424"/>
      <c r="J424"/>
    </row>
    <row r="425" spans="1:10" ht="11.25" customHeight="1" x14ac:dyDescent="0.25">
      <c r="A425"/>
      <c r="B425"/>
      <c r="C425"/>
      <c r="D425"/>
      <c r="E425"/>
      <c r="F425"/>
      <c r="G425"/>
      <c r="H425"/>
      <c r="I425"/>
      <c r="J425"/>
    </row>
    <row r="426" spans="1:10" ht="11.25" customHeight="1" x14ac:dyDescent="0.25">
      <c r="A426"/>
      <c r="B426"/>
      <c r="C426"/>
      <c r="D426"/>
      <c r="E426"/>
      <c r="F426"/>
      <c r="G426"/>
      <c r="H426"/>
      <c r="I426"/>
      <c r="J426"/>
    </row>
    <row r="427" spans="1:10" ht="11.25" customHeight="1" x14ac:dyDescent="0.25">
      <c r="A427"/>
      <c r="B427"/>
      <c r="C427"/>
      <c r="D427"/>
      <c r="E427"/>
      <c r="F427"/>
      <c r="G427"/>
      <c r="H427"/>
      <c r="I427"/>
      <c r="J427"/>
    </row>
    <row r="428" spans="1:10" ht="11.25" customHeight="1" x14ac:dyDescent="0.25">
      <c r="A428"/>
      <c r="B428"/>
      <c r="C428"/>
      <c r="D428"/>
      <c r="E428"/>
      <c r="F428"/>
      <c r="G428"/>
      <c r="H428"/>
      <c r="I428"/>
      <c r="J428"/>
    </row>
    <row r="429" spans="1:10" ht="11.25" customHeight="1" x14ac:dyDescent="0.25">
      <c r="A429"/>
      <c r="B429"/>
      <c r="C429"/>
      <c r="D429"/>
      <c r="E429"/>
      <c r="F429"/>
      <c r="G429"/>
      <c r="H429"/>
      <c r="I429"/>
      <c r="J429"/>
    </row>
    <row r="430" spans="1:10" ht="11.25" customHeight="1" x14ac:dyDescent="0.25">
      <c r="A430"/>
      <c r="B430"/>
      <c r="C430"/>
      <c r="D430"/>
      <c r="E430"/>
      <c r="F430"/>
      <c r="G430"/>
      <c r="H430"/>
      <c r="I430"/>
      <c r="J430"/>
    </row>
    <row r="431" spans="1:10" ht="11.25" customHeight="1" x14ac:dyDescent="0.25">
      <c r="A431"/>
      <c r="B431"/>
      <c r="C431"/>
      <c r="D431"/>
      <c r="E431"/>
      <c r="F431"/>
      <c r="G431"/>
      <c r="H431"/>
      <c r="I431"/>
      <c r="J431"/>
    </row>
    <row r="432" spans="1:10" ht="11.25" customHeight="1" x14ac:dyDescent="0.25">
      <c r="A432"/>
      <c r="B432"/>
      <c r="C432"/>
      <c r="D432"/>
      <c r="E432"/>
      <c r="F432"/>
      <c r="G432"/>
      <c r="H432"/>
      <c r="I432"/>
      <c r="J432"/>
    </row>
    <row r="433" spans="1:10" ht="11.25" customHeight="1" x14ac:dyDescent="0.25">
      <c r="A433"/>
      <c r="B433"/>
      <c r="C433"/>
      <c r="D433"/>
      <c r="E433"/>
      <c r="F433"/>
      <c r="G433"/>
      <c r="H433"/>
      <c r="I433"/>
      <c r="J433"/>
    </row>
    <row r="434" spans="1:10" ht="11.25" customHeight="1" x14ac:dyDescent="0.25">
      <c r="A434"/>
      <c r="B434"/>
      <c r="C434"/>
      <c r="D434"/>
      <c r="E434"/>
      <c r="F434"/>
      <c r="G434"/>
      <c r="H434"/>
      <c r="I434"/>
      <c r="J434"/>
    </row>
    <row r="435" spans="1:10" ht="11.25" customHeight="1" x14ac:dyDescent="0.25">
      <c r="A435"/>
      <c r="B435"/>
      <c r="C435"/>
      <c r="D435"/>
      <c r="E435"/>
      <c r="F435"/>
      <c r="G435"/>
      <c r="H435"/>
      <c r="I435"/>
      <c r="J435"/>
    </row>
    <row r="436" spans="1:10" ht="11.25" customHeight="1" x14ac:dyDescent="0.25">
      <c r="A436"/>
      <c r="B436"/>
      <c r="C436"/>
      <c r="D436"/>
      <c r="E436"/>
      <c r="F436"/>
      <c r="G436"/>
      <c r="H436"/>
      <c r="I436"/>
      <c r="J436"/>
    </row>
    <row r="437" spans="1:10" ht="11.25" customHeight="1" x14ac:dyDescent="0.25">
      <c r="A437"/>
      <c r="B437"/>
      <c r="C437"/>
      <c r="D437"/>
      <c r="E437"/>
      <c r="F437"/>
      <c r="G437"/>
      <c r="H437"/>
      <c r="I437"/>
      <c r="J437"/>
    </row>
    <row r="438" spans="1:10" ht="11.25" customHeight="1" x14ac:dyDescent="0.25">
      <c r="A438"/>
      <c r="B438"/>
      <c r="C438"/>
      <c r="D438"/>
      <c r="E438"/>
      <c r="F438"/>
      <c r="G438"/>
      <c r="H438"/>
      <c r="I438"/>
      <c r="J438"/>
    </row>
    <row r="439" spans="1:10" ht="11.25" customHeight="1" x14ac:dyDescent="0.25">
      <c r="A439"/>
      <c r="B439"/>
      <c r="C439"/>
      <c r="D439"/>
      <c r="E439"/>
      <c r="F439"/>
      <c r="G439"/>
      <c r="H439"/>
      <c r="I439"/>
      <c r="J439"/>
    </row>
    <row r="440" spans="1:10" ht="11.25" customHeight="1" x14ac:dyDescent="0.25">
      <c r="A440"/>
      <c r="B440"/>
      <c r="C440"/>
      <c r="D440"/>
      <c r="E440"/>
      <c r="F440"/>
      <c r="G440"/>
      <c r="H440"/>
      <c r="I440"/>
      <c r="J440"/>
    </row>
    <row r="441" spans="1:10" ht="11.25" customHeight="1" x14ac:dyDescent="0.25">
      <c r="A441"/>
      <c r="B441"/>
      <c r="C441"/>
      <c r="D441"/>
      <c r="E441"/>
      <c r="F441"/>
      <c r="G441"/>
      <c r="H441"/>
      <c r="I441"/>
      <c r="J441"/>
    </row>
    <row r="442" spans="1:10" ht="11.25" customHeight="1" x14ac:dyDescent="0.25">
      <c r="A442"/>
      <c r="B442"/>
      <c r="C442"/>
      <c r="D442"/>
      <c r="E442"/>
      <c r="F442"/>
      <c r="G442"/>
      <c r="H442"/>
      <c r="I442"/>
      <c r="J442"/>
    </row>
    <row r="443" spans="1:10" ht="11.25" customHeight="1" x14ac:dyDescent="0.25">
      <c r="A443"/>
      <c r="B443"/>
      <c r="C443"/>
      <c r="D443"/>
      <c r="E443"/>
      <c r="F443"/>
      <c r="G443"/>
      <c r="H443"/>
      <c r="I443"/>
      <c r="J443"/>
    </row>
    <row r="444" spans="1:10" ht="11.25" customHeight="1" x14ac:dyDescent="0.25">
      <c r="A444"/>
      <c r="B444"/>
      <c r="C444"/>
      <c r="D444"/>
      <c r="E444"/>
      <c r="F444"/>
      <c r="G444"/>
      <c r="H444"/>
      <c r="I444"/>
      <c r="J444"/>
    </row>
    <row r="445" spans="1:10" ht="11.25" customHeight="1" x14ac:dyDescent="0.25">
      <c r="A445"/>
      <c r="B445"/>
      <c r="C445"/>
      <c r="D445"/>
      <c r="E445"/>
      <c r="F445"/>
      <c r="G445"/>
      <c r="H445"/>
      <c r="I445"/>
      <c r="J445"/>
    </row>
    <row r="446" spans="1:10" ht="11.25" customHeight="1" x14ac:dyDescent="0.25">
      <c r="A446"/>
      <c r="B446"/>
      <c r="C446"/>
      <c r="D446"/>
      <c r="E446"/>
      <c r="F446"/>
      <c r="G446"/>
      <c r="H446"/>
      <c r="I446"/>
      <c r="J446"/>
    </row>
    <row r="447" spans="1:10" ht="11.25" customHeight="1" x14ac:dyDescent="0.25">
      <c r="A447"/>
      <c r="B447"/>
      <c r="C447"/>
      <c r="D447"/>
      <c r="E447"/>
      <c r="F447"/>
      <c r="G447"/>
      <c r="H447"/>
      <c r="I447"/>
      <c r="J447"/>
    </row>
    <row r="448" spans="1:10" ht="11.25" customHeight="1" x14ac:dyDescent="0.25">
      <c r="A448"/>
      <c r="B448"/>
      <c r="C448"/>
      <c r="D448"/>
      <c r="E448"/>
      <c r="F448"/>
      <c r="G448"/>
      <c r="H448"/>
      <c r="I448"/>
      <c r="J448"/>
    </row>
    <row r="449" spans="1:10" ht="11.25" customHeight="1" x14ac:dyDescent="0.25">
      <c r="A449"/>
      <c r="B449"/>
      <c r="C449"/>
      <c r="D449"/>
      <c r="E449"/>
      <c r="F449"/>
      <c r="G449"/>
      <c r="H449"/>
      <c r="I449"/>
      <c r="J449"/>
    </row>
    <row r="450" spans="1:10" ht="11.25" customHeight="1" x14ac:dyDescent="0.25">
      <c r="A450"/>
      <c r="B450"/>
      <c r="C450"/>
      <c r="D450"/>
      <c r="E450"/>
      <c r="F450"/>
      <c r="G450"/>
      <c r="H450"/>
      <c r="I450"/>
      <c r="J450"/>
    </row>
    <row r="451" spans="1:10" ht="11.25" customHeight="1" x14ac:dyDescent="0.25">
      <c r="A451"/>
      <c r="B451"/>
      <c r="C451"/>
      <c r="D451"/>
      <c r="E451"/>
      <c r="F451"/>
      <c r="G451"/>
      <c r="H451"/>
      <c r="I451"/>
      <c r="J451"/>
    </row>
    <row r="452" spans="1:10" ht="11.25" customHeight="1" x14ac:dyDescent="0.25">
      <c r="A452"/>
      <c r="B452"/>
      <c r="C452"/>
      <c r="D452"/>
      <c r="E452"/>
      <c r="F452"/>
      <c r="G452"/>
      <c r="H452"/>
      <c r="I452"/>
      <c r="J452"/>
    </row>
    <row r="453" spans="1:10" ht="11.25" customHeight="1" x14ac:dyDescent="0.25">
      <c r="A453"/>
      <c r="B453"/>
      <c r="C453"/>
      <c r="D453"/>
      <c r="E453"/>
      <c r="F453"/>
      <c r="G453"/>
      <c r="H453"/>
      <c r="I453"/>
      <c r="J453"/>
    </row>
    <row r="454" spans="1:10" ht="11.25" customHeight="1" x14ac:dyDescent="0.25">
      <c r="A454"/>
      <c r="B454"/>
      <c r="C454"/>
      <c r="D454"/>
      <c r="E454"/>
      <c r="F454"/>
      <c r="G454"/>
      <c r="H454"/>
      <c r="I454"/>
      <c r="J454"/>
    </row>
    <row r="455" spans="1:10" ht="11.25" customHeight="1" x14ac:dyDescent="0.25">
      <c r="A455"/>
      <c r="B455"/>
      <c r="C455"/>
      <c r="D455"/>
      <c r="E455"/>
      <c r="F455"/>
      <c r="G455"/>
      <c r="H455"/>
      <c r="I455"/>
      <c r="J455"/>
    </row>
    <row r="456" spans="1:10" ht="11.25" customHeight="1" x14ac:dyDescent="0.25">
      <c r="A456"/>
      <c r="B456"/>
      <c r="C456"/>
      <c r="D456"/>
      <c r="E456"/>
      <c r="F456"/>
      <c r="G456"/>
      <c r="H456"/>
      <c r="I456"/>
      <c r="J456"/>
    </row>
    <row r="457" spans="1:10" ht="11.25" customHeight="1" x14ac:dyDescent="0.25">
      <c r="A457"/>
      <c r="B457"/>
      <c r="C457"/>
      <c r="D457"/>
      <c r="E457"/>
      <c r="F457"/>
      <c r="G457"/>
      <c r="H457"/>
      <c r="I457"/>
      <c r="J457"/>
    </row>
    <row r="458" spans="1:10" ht="11.25" customHeight="1" x14ac:dyDescent="0.25">
      <c r="A458"/>
      <c r="B458"/>
      <c r="C458"/>
      <c r="D458"/>
      <c r="E458"/>
      <c r="F458"/>
      <c r="G458"/>
      <c r="H458"/>
      <c r="I458"/>
      <c r="J458"/>
    </row>
    <row r="459" spans="1:10" ht="11.25" customHeight="1" x14ac:dyDescent="0.25">
      <c r="A459"/>
      <c r="B459"/>
      <c r="C459"/>
      <c r="D459"/>
      <c r="E459"/>
      <c r="F459"/>
      <c r="G459"/>
      <c r="H459"/>
      <c r="I459"/>
      <c r="J459"/>
    </row>
    <row r="460" spans="1:10" ht="11.25" customHeight="1" x14ac:dyDescent="0.25">
      <c r="A460"/>
      <c r="B460"/>
      <c r="C460"/>
      <c r="D460"/>
      <c r="E460"/>
      <c r="F460"/>
      <c r="G460"/>
      <c r="H460"/>
      <c r="I460"/>
      <c r="J460"/>
    </row>
    <row r="461" spans="1:10" ht="11.25" customHeight="1" x14ac:dyDescent="0.25">
      <c r="A461"/>
      <c r="B461"/>
      <c r="C461"/>
      <c r="D461"/>
      <c r="E461"/>
      <c r="F461"/>
      <c r="G461"/>
      <c r="H461"/>
      <c r="I461"/>
      <c r="J461"/>
    </row>
    <row r="462" spans="1:10" ht="11.25" customHeight="1" x14ac:dyDescent="0.25">
      <c r="A462"/>
      <c r="B462"/>
      <c r="C462"/>
      <c r="D462"/>
      <c r="E462"/>
      <c r="F462"/>
      <c r="G462"/>
      <c r="H462"/>
      <c r="I462"/>
      <c r="J462"/>
    </row>
    <row r="463" spans="1:10" ht="11.25" customHeight="1" x14ac:dyDescent="0.25">
      <c r="A463"/>
      <c r="B463"/>
      <c r="C463"/>
      <c r="D463"/>
      <c r="E463"/>
      <c r="F463"/>
      <c r="G463"/>
      <c r="H463"/>
      <c r="I463"/>
      <c r="J463"/>
    </row>
    <row r="464" spans="1:10" ht="11.25" customHeight="1" x14ac:dyDescent="0.25">
      <c r="A464"/>
      <c r="B464"/>
      <c r="C464"/>
      <c r="D464"/>
      <c r="E464"/>
      <c r="F464"/>
      <c r="G464"/>
      <c r="H464"/>
      <c r="I464"/>
      <c r="J464"/>
    </row>
    <row r="465" spans="1:10" ht="11.25" customHeight="1" x14ac:dyDescent="0.25">
      <c r="A465"/>
      <c r="B465"/>
      <c r="C465"/>
      <c r="D465"/>
      <c r="E465"/>
      <c r="F465"/>
      <c r="G465"/>
      <c r="H465"/>
      <c r="I465"/>
      <c r="J465"/>
    </row>
    <row r="466" spans="1:10" ht="11.25" customHeight="1" x14ac:dyDescent="0.25">
      <c r="A466"/>
      <c r="B466"/>
      <c r="C466"/>
      <c r="D466"/>
      <c r="E466"/>
      <c r="F466"/>
      <c r="G466"/>
      <c r="H466"/>
      <c r="I466"/>
      <c r="J466"/>
    </row>
    <row r="467" spans="1:10" ht="11.25" customHeight="1" x14ac:dyDescent="0.25">
      <c r="A467"/>
      <c r="B467"/>
      <c r="C467"/>
      <c r="D467"/>
      <c r="E467"/>
      <c r="F467"/>
      <c r="G467"/>
      <c r="H467"/>
      <c r="I467"/>
      <c r="J467"/>
    </row>
    <row r="468" spans="1:10" ht="11.25" customHeight="1" x14ac:dyDescent="0.25">
      <c r="A468"/>
      <c r="B468"/>
      <c r="C468"/>
      <c r="D468"/>
      <c r="E468"/>
      <c r="F468"/>
      <c r="G468"/>
      <c r="H468"/>
      <c r="I468"/>
      <c r="J468"/>
    </row>
    <row r="469" spans="1:10" ht="11.25" customHeight="1" x14ac:dyDescent="0.25">
      <c r="A469"/>
      <c r="B469"/>
      <c r="C469"/>
      <c r="D469"/>
      <c r="E469"/>
      <c r="F469"/>
      <c r="G469"/>
      <c r="H469"/>
      <c r="I469"/>
      <c r="J469"/>
    </row>
    <row r="470" spans="1:10" ht="11.25" customHeight="1" x14ac:dyDescent="0.25">
      <c r="A470"/>
      <c r="B470"/>
      <c r="C470"/>
      <c r="D470"/>
      <c r="E470"/>
      <c r="F470"/>
      <c r="G470"/>
      <c r="H470"/>
      <c r="I470"/>
      <c r="J470"/>
    </row>
    <row r="471" spans="1:10" ht="11.25" customHeight="1" x14ac:dyDescent="0.25">
      <c r="A471"/>
      <c r="B471"/>
      <c r="C471"/>
      <c r="D471"/>
      <c r="E471"/>
      <c r="F471"/>
      <c r="G471"/>
      <c r="H471"/>
      <c r="I471"/>
      <c r="J471"/>
    </row>
    <row r="472" spans="1:10" ht="11.25" customHeight="1" x14ac:dyDescent="0.25">
      <c r="A472"/>
      <c r="B472"/>
      <c r="C472"/>
      <c r="D472"/>
      <c r="E472"/>
      <c r="F472"/>
      <c r="G472"/>
      <c r="H472"/>
      <c r="I472"/>
      <c r="J472"/>
    </row>
    <row r="473" spans="1:10" ht="11.25" customHeight="1" x14ac:dyDescent="0.25">
      <c r="A473"/>
      <c r="B473"/>
      <c r="C473"/>
      <c r="D473"/>
      <c r="E473"/>
      <c r="F473"/>
      <c r="G473"/>
      <c r="H473"/>
      <c r="I473"/>
      <c r="J473"/>
    </row>
    <row r="474" spans="1:10" ht="11.25" customHeight="1" x14ac:dyDescent="0.25">
      <c r="A474"/>
      <c r="B474"/>
      <c r="C474"/>
      <c r="D474"/>
      <c r="E474"/>
      <c r="F474"/>
      <c r="G474"/>
      <c r="H474"/>
      <c r="I474"/>
      <c r="J474"/>
    </row>
    <row r="475" spans="1:10" ht="11.25" customHeight="1" x14ac:dyDescent="0.25">
      <c r="A475"/>
      <c r="B475"/>
      <c r="C475"/>
      <c r="D475"/>
      <c r="E475"/>
      <c r="F475"/>
      <c r="G475"/>
      <c r="H475"/>
      <c r="I475"/>
      <c r="J475"/>
    </row>
    <row r="476" spans="1:10" ht="11.25" customHeight="1" x14ac:dyDescent="0.25">
      <c r="A476"/>
      <c r="B476"/>
      <c r="C476"/>
      <c r="D476"/>
      <c r="E476"/>
      <c r="F476"/>
      <c r="G476"/>
      <c r="H476"/>
      <c r="I476"/>
      <c r="J476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7B6E9-F0E2-4A94-9DEB-6B8866FAB1CF}">
  <dimension ref="A1:G235"/>
  <sheetViews>
    <sheetView showGridLines="0" workbookViewId="0"/>
  </sheetViews>
  <sheetFormatPr defaultRowHeight="11.25" customHeight="1" x14ac:dyDescent="0.2"/>
  <cols>
    <col min="1" max="1" width="34.7109375" style="14" bestFit="1" customWidth="1"/>
    <col min="2" max="2" width="20.42578125" style="18" bestFit="1" customWidth="1"/>
    <col min="3" max="3" width="21.85546875" style="18" bestFit="1" customWidth="1"/>
    <col min="4" max="4" width="20.28515625" style="18" bestFit="1" customWidth="1"/>
    <col min="5" max="5" width="21.7109375" style="18" bestFit="1" customWidth="1"/>
    <col min="6" max="6" width="14.85546875" style="18" bestFit="1" customWidth="1"/>
    <col min="7" max="7" width="14.7109375" style="18" bestFit="1" customWidth="1"/>
    <col min="8" max="16384" width="9.140625" style="14"/>
  </cols>
  <sheetData>
    <row r="1" spans="1:7" ht="11.25" customHeight="1" x14ac:dyDescent="0.2">
      <c r="A1" s="17" t="s">
        <v>584</v>
      </c>
      <c r="B1" s="18" t="s">
        <v>610</v>
      </c>
      <c r="C1" s="18" t="s">
        <v>611</v>
      </c>
      <c r="D1" s="18" t="s">
        <v>612</v>
      </c>
      <c r="E1" s="18" t="s">
        <v>613</v>
      </c>
      <c r="F1" s="18" t="s">
        <v>614</v>
      </c>
      <c r="G1" s="18" t="s">
        <v>615</v>
      </c>
    </row>
    <row r="2" spans="1:7" ht="11.25" customHeight="1" x14ac:dyDescent="0.2">
      <c r="A2" s="20" t="s">
        <v>602</v>
      </c>
      <c r="B2" s="18">
        <v>0</v>
      </c>
      <c r="C2" s="18">
        <v>66330.666000000012</v>
      </c>
      <c r="D2" s="18">
        <v>0</v>
      </c>
      <c r="E2" s="18">
        <v>74162.361737009225</v>
      </c>
      <c r="F2" s="18">
        <v>66330.666000000012</v>
      </c>
      <c r="G2" s="18">
        <v>74162.361737009225</v>
      </c>
    </row>
    <row r="3" spans="1:7" ht="11.25" customHeight="1" x14ac:dyDescent="0.2">
      <c r="A3" s="21" t="s">
        <v>32</v>
      </c>
      <c r="B3" s="18">
        <v>0</v>
      </c>
      <c r="C3" s="18">
        <v>66330.666000000012</v>
      </c>
      <c r="D3" s="18">
        <v>0</v>
      </c>
      <c r="E3" s="18">
        <v>74162.361737009225</v>
      </c>
      <c r="F3" s="18">
        <v>66330.666000000012</v>
      </c>
      <c r="G3" s="18">
        <v>74162.361737009225</v>
      </c>
    </row>
    <row r="4" spans="1:7" ht="11.25" customHeight="1" x14ac:dyDescent="0.2">
      <c r="A4" s="22" t="s">
        <v>23</v>
      </c>
      <c r="B4" s="18">
        <v>0</v>
      </c>
      <c r="C4" s="18">
        <v>66330.666000000012</v>
      </c>
      <c r="D4" s="18">
        <v>0</v>
      </c>
      <c r="E4" s="18">
        <v>74162.361737009225</v>
      </c>
      <c r="F4" s="18">
        <v>66330.666000000012</v>
      </c>
      <c r="G4" s="18">
        <v>74162.361737009225</v>
      </c>
    </row>
    <row r="5" spans="1:7" ht="11.25" customHeight="1" x14ac:dyDescent="0.2">
      <c r="A5" s="23" t="s">
        <v>45</v>
      </c>
      <c r="B5" s="18">
        <v>0</v>
      </c>
      <c r="C5" s="18">
        <v>66330.666000000012</v>
      </c>
      <c r="D5" s="18">
        <v>0</v>
      </c>
      <c r="E5" s="18">
        <v>74162.361737009225</v>
      </c>
      <c r="F5" s="18">
        <v>66330.666000000012</v>
      </c>
      <c r="G5" s="18">
        <v>74162.361737009225</v>
      </c>
    </row>
    <row r="6" spans="1:7" ht="11.25" customHeight="1" x14ac:dyDescent="0.2">
      <c r="A6" s="24" t="s">
        <v>46</v>
      </c>
      <c r="B6" s="18">
        <v>0</v>
      </c>
      <c r="C6" s="18">
        <v>66330.666000000012</v>
      </c>
      <c r="D6" s="18">
        <v>0</v>
      </c>
      <c r="E6" s="18">
        <v>74162.361737009225</v>
      </c>
      <c r="F6" s="18">
        <v>66330.666000000012</v>
      </c>
      <c r="G6" s="18">
        <v>74162.361737009225</v>
      </c>
    </row>
    <row r="7" spans="1:7" ht="11.25" customHeight="1" x14ac:dyDescent="0.2">
      <c r="A7" s="25" t="s">
        <v>25</v>
      </c>
      <c r="B7" s="18">
        <v>0</v>
      </c>
      <c r="C7" s="18">
        <v>66330.666000000012</v>
      </c>
      <c r="D7" s="18">
        <v>0</v>
      </c>
      <c r="E7" s="18">
        <v>74162.361737009225</v>
      </c>
      <c r="F7" s="18">
        <v>66330.666000000012</v>
      </c>
      <c r="G7" s="18">
        <v>74162.361737009225</v>
      </c>
    </row>
    <row r="8" spans="1:7" ht="11.25" customHeight="1" x14ac:dyDescent="0.2">
      <c r="A8" s="26" t="s">
        <v>25</v>
      </c>
      <c r="B8" s="18">
        <v>0</v>
      </c>
      <c r="C8" s="18">
        <v>66330.666000000012</v>
      </c>
      <c r="D8" s="18">
        <v>0</v>
      </c>
      <c r="E8" s="18">
        <v>74162.361737009225</v>
      </c>
      <c r="F8" s="18">
        <v>66330.666000000012</v>
      </c>
      <c r="G8" s="18">
        <v>74162.361737009225</v>
      </c>
    </row>
    <row r="9" spans="1:7" ht="11.25" customHeight="1" x14ac:dyDescent="0.2">
      <c r="A9" s="27" t="s">
        <v>25</v>
      </c>
      <c r="B9" s="18">
        <v>0</v>
      </c>
      <c r="C9" s="18">
        <v>66330.666000000012</v>
      </c>
      <c r="D9" s="18">
        <v>0</v>
      </c>
      <c r="E9" s="18">
        <v>74162.361737009225</v>
      </c>
      <c r="F9" s="18">
        <v>66330.666000000012</v>
      </c>
      <c r="G9" s="18">
        <v>74162.361737009225</v>
      </c>
    </row>
    <row r="10" spans="1:7" ht="11.25" customHeight="1" x14ac:dyDescent="0.2">
      <c r="A10" s="28">
        <v>44378</v>
      </c>
      <c r="B10" s="18">
        <v>0</v>
      </c>
      <c r="C10" s="18">
        <v>5013.9540000000015</v>
      </c>
      <c r="D10" s="18">
        <v>0</v>
      </c>
      <c r="E10" s="18">
        <v>5605.9541190303189</v>
      </c>
      <c r="F10" s="18">
        <v>5013.9540000000015</v>
      </c>
      <c r="G10" s="18">
        <v>5605.9541190303189</v>
      </c>
    </row>
    <row r="11" spans="1:7" ht="11.25" customHeight="1" x14ac:dyDescent="0.2">
      <c r="A11" s="28">
        <v>44409</v>
      </c>
      <c r="B11" s="18">
        <v>0</v>
      </c>
      <c r="C11" s="18">
        <v>5313.5864999999949</v>
      </c>
      <c r="D11" s="18">
        <v>0</v>
      </c>
      <c r="E11" s="18">
        <v>5940.9643819027588</v>
      </c>
      <c r="F11" s="18">
        <v>5313.5864999999949</v>
      </c>
      <c r="G11" s="18">
        <v>5940.9643819027588</v>
      </c>
    </row>
    <row r="12" spans="1:7" ht="11.25" customHeight="1" x14ac:dyDescent="0.2">
      <c r="A12" s="28">
        <v>44440</v>
      </c>
      <c r="B12" s="18">
        <v>0</v>
      </c>
      <c r="C12" s="18">
        <v>5351.2605000000067</v>
      </c>
      <c r="D12" s="18">
        <v>0</v>
      </c>
      <c r="E12" s="18">
        <v>5983.0865703951968</v>
      </c>
      <c r="F12" s="18">
        <v>5351.2605000000067</v>
      </c>
      <c r="G12" s="18">
        <v>5983.0865703951968</v>
      </c>
    </row>
    <row r="13" spans="1:7" ht="11.25" customHeight="1" x14ac:dyDescent="0.2">
      <c r="A13" s="28">
        <v>44470</v>
      </c>
      <c r="B13" s="18">
        <v>0</v>
      </c>
      <c r="C13" s="18">
        <v>5226.3704999999954</v>
      </c>
      <c r="D13" s="18">
        <v>0</v>
      </c>
      <c r="E13" s="18">
        <v>5843.4507440741418</v>
      </c>
      <c r="F13" s="18">
        <v>5226.3704999999954</v>
      </c>
      <c r="G13" s="18">
        <v>5843.4507440741418</v>
      </c>
    </row>
    <row r="14" spans="1:7" ht="11.25" customHeight="1" x14ac:dyDescent="0.2">
      <c r="A14" s="28">
        <v>44501</v>
      </c>
      <c r="B14" s="18">
        <v>0</v>
      </c>
      <c r="C14" s="18">
        <v>5573.6474999999955</v>
      </c>
      <c r="D14" s="18">
        <v>0</v>
      </c>
      <c r="E14" s="18">
        <v>6231.7309174850852</v>
      </c>
      <c r="F14" s="18">
        <v>5573.6474999999955</v>
      </c>
      <c r="G14" s="18">
        <v>6231.7309174850852</v>
      </c>
    </row>
    <row r="15" spans="1:7" ht="11.25" customHeight="1" x14ac:dyDescent="0.2">
      <c r="A15" s="28">
        <v>44531</v>
      </c>
      <c r="B15" s="18">
        <v>0</v>
      </c>
      <c r="C15" s="18">
        <v>5399.6985000000041</v>
      </c>
      <c r="D15" s="18">
        <v>0</v>
      </c>
      <c r="E15" s="18">
        <v>6037.2436698854526</v>
      </c>
      <c r="F15" s="18">
        <v>5399.6985000000041</v>
      </c>
      <c r="G15" s="18">
        <v>6037.2436698854526</v>
      </c>
    </row>
    <row r="16" spans="1:7" ht="11.25" customHeight="1" x14ac:dyDescent="0.2">
      <c r="A16" s="28">
        <v>44562</v>
      </c>
      <c r="B16" s="18">
        <v>0</v>
      </c>
      <c r="C16" s="18">
        <v>6237.0824999999895</v>
      </c>
      <c r="D16" s="18">
        <v>0</v>
      </c>
      <c r="E16" s="18">
        <v>6973.4980280247601</v>
      </c>
      <c r="F16" s="18">
        <v>6237.0824999999895</v>
      </c>
      <c r="G16" s="18">
        <v>6973.4980280247601</v>
      </c>
    </row>
    <row r="17" spans="1:7" ht="11.25" customHeight="1" x14ac:dyDescent="0.2">
      <c r="A17" s="28">
        <v>44593</v>
      </c>
      <c r="B17" s="18">
        <v>0</v>
      </c>
      <c r="C17" s="18">
        <v>5839.8150000000069</v>
      </c>
      <c r="D17" s="18">
        <v>0</v>
      </c>
      <c r="E17" s="18">
        <v>6529.3249506527336</v>
      </c>
      <c r="F17" s="18">
        <v>5839.8150000000069</v>
      </c>
      <c r="G17" s="18">
        <v>6529.3249506527336</v>
      </c>
    </row>
    <row r="18" spans="1:7" ht="11.25" customHeight="1" x14ac:dyDescent="0.2">
      <c r="A18" s="28">
        <v>44621</v>
      </c>
      <c r="B18" s="18">
        <v>0</v>
      </c>
      <c r="C18" s="18">
        <v>5394.799500000001</v>
      </c>
      <c r="D18" s="18">
        <v>0</v>
      </c>
      <c r="E18" s="18">
        <v>6031.7662424441278</v>
      </c>
      <c r="F18" s="18">
        <v>5394.799500000001</v>
      </c>
      <c r="G18" s="18">
        <v>6031.7662424441278</v>
      </c>
    </row>
    <row r="19" spans="1:7" ht="11.25" customHeight="1" x14ac:dyDescent="0.2">
      <c r="A19" s="28">
        <v>44652</v>
      </c>
      <c r="B19" s="18">
        <v>0</v>
      </c>
      <c r="C19" s="18">
        <v>5643.6824999999999</v>
      </c>
      <c r="D19" s="18">
        <v>0</v>
      </c>
      <c r="E19" s="18">
        <v>6310.0349858363925</v>
      </c>
      <c r="F19" s="18">
        <v>5643.6824999999999</v>
      </c>
      <c r="G19" s="18">
        <v>6310.0349858363925</v>
      </c>
    </row>
    <row r="20" spans="1:7" ht="11.25" customHeight="1" x14ac:dyDescent="0.2">
      <c r="A20" s="28">
        <v>44682</v>
      </c>
      <c r="B20" s="18">
        <v>0</v>
      </c>
      <c r="C20" s="18">
        <v>5638.7145000000091</v>
      </c>
      <c r="D20" s="18">
        <v>0</v>
      </c>
      <c r="E20" s="18">
        <v>6304.4804115297084</v>
      </c>
      <c r="F20" s="18">
        <v>5638.7145000000091</v>
      </c>
      <c r="G20" s="18">
        <v>6304.4804115297084</v>
      </c>
    </row>
    <row r="21" spans="1:7" ht="11.25" customHeight="1" x14ac:dyDescent="0.2">
      <c r="A21" s="28">
        <v>44713</v>
      </c>
      <c r="B21" s="18">
        <v>0</v>
      </c>
      <c r="C21" s="18">
        <v>5698.0545000000011</v>
      </c>
      <c r="D21" s="18">
        <v>0</v>
      </c>
      <c r="E21" s="18">
        <v>6370.8267157485379</v>
      </c>
      <c r="F21" s="18">
        <v>5698.0545000000011</v>
      </c>
      <c r="G21" s="18">
        <v>6370.8267157485379</v>
      </c>
    </row>
    <row r="22" spans="1:7" ht="11.25" customHeight="1" x14ac:dyDescent="0.2">
      <c r="A22" s="20" t="s">
        <v>601</v>
      </c>
      <c r="B22" s="18">
        <v>0</v>
      </c>
      <c r="C22" s="18">
        <v>140884.29077999998</v>
      </c>
      <c r="D22" s="18">
        <v>0</v>
      </c>
      <c r="E22" s="18">
        <v>144205.66552372687</v>
      </c>
      <c r="F22" s="18">
        <v>140884.29077999995</v>
      </c>
      <c r="G22" s="18">
        <v>144205.66552372684</v>
      </c>
    </row>
    <row r="23" spans="1:7" ht="11.25" customHeight="1" x14ac:dyDescent="0.2">
      <c r="A23" s="21" t="s">
        <v>22</v>
      </c>
      <c r="B23" s="18">
        <v>0</v>
      </c>
      <c r="C23" s="18">
        <v>140884.29077999998</v>
      </c>
      <c r="D23" s="18">
        <v>0</v>
      </c>
      <c r="E23" s="18">
        <v>144205.66552372687</v>
      </c>
      <c r="F23" s="18">
        <v>140884.29077999995</v>
      </c>
      <c r="G23" s="18">
        <v>144205.66552372684</v>
      </c>
    </row>
    <row r="24" spans="1:7" ht="11.25" customHeight="1" x14ac:dyDescent="0.2">
      <c r="A24" s="22" t="s">
        <v>23</v>
      </c>
      <c r="B24" s="18">
        <v>0</v>
      </c>
      <c r="C24" s="18">
        <v>140884.29077999998</v>
      </c>
      <c r="D24" s="18">
        <v>0</v>
      </c>
      <c r="E24" s="18">
        <v>144205.66552372687</v>
      </c>
      <c r="F24" s="18">
        <v>140884.29077999995</v>
      </c>
      <c r="G24" s="18">
        <v>144205.66552372684</v>
      </c>
    </row>
    <row r="25" spans="1:7" ht="11.25" customHeight="1" x14ac:dyDescent="0.2">
      <c r="A25" s="23" t="s">
        <v>24</v>
      </c>
      <c r="B25" s="18">
        <v>0</v>
      </c>
      <c r="C25" s="18">
        <v>140884.29077999998</v>
      </c>
      <c r="D25" s="18">
        <v>0</v>
      </c>
      <c r="E25" s="18">
        <v>144205.66552372687</v>
      </c>
      <c r="F25" s="18">
        <v>140884.29077999995</v>
      </c>
      <c r="G25" s="18">
        <v>144205.66552372684</v>
      </c>
    </row>
    <row r="26" spans="1:7" ht="11.25" customHeight="1" x14ac:dyDescent="0.2">
      <c r="A26" s="24" t="s">
        <v>28</v>
      </c>
      <c r="B26" s="18">
        <v>0</v>
      </c>
      <c r="C26" s="18">
        <v>53700.475079999997</v>
      </c>
      <c r="D26" s="18">
        <v>0</v>
      </c>
      <c r="E26" s="18">
        <v>54964.431463958841</v>
      </c>
      <c r="F26" s="18">
        <v>53700.475079999989</v>
      </c>
      <c r="G26" s="18">
        <v>54964.431463958834</v>
      </c>
    </row>
    <row r="27" spans="1:7" ht="11.25" customHeight="1" x14ac:dyDescent="0.2">
      <c r="A27" s="25" t="s">
        <v>25</v>
      </c>
      <c r="B27" s="18">
        <v>0</v>
      </c>
      <c r="C27" s="18">
        <v>53700.475079999997</v>
      </c>
      <c r="D27" s="18">
        <v>0</v>
      </c>
      <c r="E27" s="18">
        <v>54964.431463958841</v>
      </c>
      <c r="F27" s="18">
        <v>53700.475079999989</v>
      </c>
      <c r="G27" s="18">
        <v>54964.431463958834</v>
      </c>
    </row>
    <row r="28" spans="1:7" ht="11.25" customHeight="1" x14ac:dyDescent="0.2">
      <c r="A28" s="26" t="s">
        <v>25</v>
      </c>
      <c r="B28" s="18">
        <v>0</v>
      </c>
      <c r="C28" s="18">
        <v>53700.475079999997</v>
      </c>
      <c r="D28" s="18">
        <v>0</v>
      </c>
      <c r="E28" s="18">
        <v>54964.431463958841</v>
      </c>
      <c r="F28" s="18">
        <v>53700.475079999989</v>
      </c>
      <c r="G28" s="18">
        <v>54964.431463958834</v>
      </c>
    </row>
    <row r="29" spans="1:7" ht="11.25" customHeight="1" x14ac:dyDescent="0.2">
      <c r="A29" s="27" t="s">
        <v>25</v>
      </c>
      <c r="B29" s="18">
        <v>0</v>
      </c>
      <c r="C29" s="18">
        <v>53700.475079999997</v>
      </c>
      <c r="D29" s="18">
        <v>0</v>
      </c>
      <c r="E29" s="18">
        <v>54964.431463958841</v>
      </c>
      <c r="F29" s="18">
        <v>53700.475079999989</v>
      </c>
      <c r="G29" s="18">
        <v>54964.431463958834</v>
      </c>
    </row>
    <row r="30" spans="1:7" ht="11.25" customHeight="1" x14ac:dyDescent="0.2">
      <c r="A30" s="28">
        <v>44378</v>
      </c>
      <c r="B30" s="18">
        <v>0</v>
      </c>
      <c r="C30" s="18">
        <v>2742.1103999999996</v>
      </c>
      <c r="D30" s="18">
        <v>0</v>
      </c>
      <c r="E30" s="18">
        <v>2806.6518701385489</v>
      </c>
      <c r="F30" s="18">
        <v>2742.1103999999996</v>
      </c>
      <c r="G30" s="18">
        <v>2806.6518701385489</v>
      </c>
    </row>
    <row r="31" spans="1:7" ht="11.25" customHeight="1" x14ac:dyDescent="0.2">
      <c r="A31" s="28">
        <v>44409</v>
      </c>
      <c r="B31" s="18">
        <v>0</v>
      </c>
      <c r="C31" s="18">
        <v>2829.9359999999997</v>
      </c>
      <c r="D31" s="18">
        <v>0</v>
      </c>
      <c r="E31" s="18">
        <v>2896.544634662559</v>
      </c>
      <c r="F31" s="18">
        <v>2829.9359999999997</v>
      </c>
      <c r="G31" s="18">
        <v>2896.544634662559</v>
      </c>
    </row>
    <row r="32" spans="1:7" ht="11.25" customHeight="1" x14ac:dyDescent="0.2">
      <c r="A32" s="28">
        <v>44440</v>
      </c>
      <c r="B32" s="18">
        <v>0</v>
      </c>
      <c r="C32" s="18">
        <v>2849.4527999999996</v>
      </c>
      <c r="D32" s="18">
        <v>0</v>
      </c>
      <c r="E32" s="18">
        <v>2916.5208045567838</v>
      </c>
      <c r="F32" s="18">
        <v>2849.4527999999996</v>
      </c>
      <c r="G32" s="18">
        <v>2916.5208045567838</v>
      </c>
    </row>
    <row r="33" spans="1:7" ht="11.25" customHeight="1" x14ac:dyDescent="0.2">
      <c r="A33" s="28">
        <v>44470</v>
      </c>
      <c r="B33" s="18">
        <v>0</v>
      </c>
      <c r="C33" s="18">
        <v>2868.9695999999999</v>
      </c>
      <c r="D33" s="18">
        <v>0</v>
      </c>
      <c r="E33" s="18">
        <v>2936.4969744510086</v>
      </c>
      <c r="F33" s="18">
        <v>2868.9695999999999</v>
      </c>
      <c r="G33" s="18">
        <v>2936.4969744510086</v>
      </c>
    </row>
    <row r="34" spans="1:7" ht="11.25" customHeight="1" x14ac:dyDescent="0.2">
      <c r="A34" s="28">
        <v>44501</v>
      </c>
      <c r="B34" s="18">
        <v>0</v>
      </c>
      <c r="C34" s="18">
        <v>2878.7279999999996</v>
      </c>
      <c r="D34" s="18">
        <v>0</v>
      </c>
      <c r="E34" s="18">
        <v>2946.4850593981205</v>
      </c>
      <c r="F34" s="18">
        <v>2878.7279999999996</v>
      </c>
      <c r="G34" s="18">
        <v>2946.4850593981205</v>
      </c>
    </row>
    <row r="35" spans="1:7" ht="11.25" customHeight="1" x14ac:dyDescent="0.2">
      <c r="A35" s="28">
        <v>44531</v>
      </c>
      <c r="B35" s="18">
        <v>0</v>
      </c>
      <c r="C35" s="18">
        <v>4039.9775999999997</v>
      </c>
      <c r="D35" s="18">
        <v>0</v>
      </c>
      <c r="E35" s="18">
        <v>4135.0671681044814</v>
      </c>
      <c r="F35" s="18">
        <v>4039.9775999999997</v>
      </c>
      <c r="G35" s="18">
        <v>4135.0671681044814</v>
      </c>
    </row>
    <row r="36" spans="1:7" ht="11.25" customHeight="1" x14ac:dyDescent="0.2">
      <c r="A36" s="28">
        <v>44562</v>
      </c>
      <c r="B36" s="18">
        <v>0</v>
      </c>
      <c r="C36" s="18">
        <v>4820.6495999999997</v>
      </c>
      <c r="D36" s="18">
        <v>0</v>
      </c>
      <c r="E36" s="18">
        <v>4934.113963873463</v>
      </c>
      <c r="F36" s="18">
        <v>4820.6495999999997</v>
      </c>
      <c r="G36" s="18">
        <v>4934.113963873463</v>
      </c>
    </row>
    <row r="37" spans="1:7" ht="11.25" customHeight="1" x14ac:dyDescent="0.2">
      <c r="A37" s="28">
        <v>44593</v>
      </c>
      <c r="B37" s="18">
        <v>0</v>
      </c>
      <c r="C37" s="18">
        <v>5298.8111999999992</v>
      </c>
      <c r="D37" s="18">
        <v>0</v>
      </c>
      <c r="E37" s="18">
        <v>5423.5301262819639</v>
      </c>
      <c r="F37" s="18">
        <v>5298.8111999999992</v>
      </c>
      <c r="G37" s="18">
        <v>5423.5301262819639</v>
      </c>
    </row>
    <row r="38" spans="1:7" ht="11.25" customHeight="1" x14ac:dyDescent="0.2">
      <c r="A38" s="28">
        <v>44621</v>
      </c>
      <c r="B38" s="18">
        <v>0</v>
      </c>
      <c r="C38" s="18">
        <v>5630.5967999999993</v>
      </c>
      <c r="D38" s="18">
        <v>0</v>
      </c>
      <c r="E38" s="18">
        <v>5763.1250144837813</v>
      </c>
      <c r="F38" s="18">
        <v>5630.5967999999993</v>
      </c>
      <c r="G38" s="18">
        <v>5763.1250144837813</v>
      </c>
    </row>
    <row r="39" spans="1:7" ht="11.25" customHeight="1" x14ac:dyDescent="0.2">
      <c r="A39" s="28">
        <v>44652</v>
      </c>
      <c r="B39" s="18">
        <v>0</v>
      </c>
      <c r="C39" s="18">
        <v>6177.0671999999986</v>
      </c>
      <c r="D39" s="18">
        <v>0</v>
      </c>
      <c r="E39" s="18">
        <v>6322.4577715220685</v>
      </c>
      <c r="F39" s="18">
        <v>6177.0671999999986</v>
      </c>
      <c r="G39" s="18">
        <v>6322.4577715220685</v>
      </c>
    </row>
    <row r="40" spans="1:7" ht="11.25" customHeight="1" x14ac:dyDescent="0.2">
      <c r="A40" s="28">
        <v>44682</v>
      </c>
      <c r="B40" s="18">
        <v>0</v>
      </c>
      <c r="C40" s="18">
        <v>6439.5681299999987</v>
      </c>
      <c r="D40" s="18">
        <v>0</v>
      </c>
      <c r="E40" s="18">
        <v>6591.1372565993888</v>
      </c>
      <c r="F40" s="18">
        <v>6439.5681299999987</v>
      </c>
      <c r="G40" s="18">
        <v>6591.1372565993888</v>
      </c>
    </row>
    <row r="41" spans="1:7" ht="11.25" customHeight="1" x14ac:dyDescent="0.2">
      <c r="A41" s="28">
        <v>44713</v>
      </c>
      <c r="B41" s="18">
        <v>0</v>
      </c>
      <c r="C41" s="18">
        <v>7124.6077500000001</v>
      </c>
      <c r="D41" s="18">
        <v>0</v>
      </c>
      <c r="E41" s="18">
        <v>7292.300819886671</v>
      </c>
      <c r="F41" s="18">
        <v>7124.6077500000001</v>
      </c>
      <c r="G41" s="18">
        <v>7292.300819886671</v>
      </c>
    </row>
    <row r="42" spans="1:7" ht="11.25" customHeight="1" x14ac:dyDescent="0.2">
      <c r="A42" s="24" t="s">
        <v>29</v>
      </c>
      <c r="B42" s="18">
        <v>0</v>
      </c>
      <c r="C42" s="18">
        <v>70214.832619999986</v>
      </c>
      <c r="D42" s="18">
        <v>0</v>
      </c>
      <c r="E42" s="18">
        <v>71868.317649400109</v>
      </c>
      <c r="F42" s="18">
        <v>70214.832619999972</v>
      </c>
      <c r="G42" s="18">
        <v>71868.317649400109</v>
      </c>
    </row>
    <row r="43" spans="1:7" ht="11.25" customHeight="1" x14ac:dyDescent="0.2">
      <c r="A43" s="25" t="s">
        <v>25</v>
      </c>
      <c r="B43" s="18">
        <v>0</v>
      </c>
      <c r="C43" s="18">
        <v>70214.832619999986</v>
      </c>
      <c r="D43" s="18">
        <v>0</v>
      </c>
      <c r="E43" s="18">
        <v>71868.317649400109</v>
      </c>
      <c r="F43" s="18">
        <v>70214.832619999972</v>
      </c>
      <c r="G43" s="18">
        <v>71868.317649400109</v>
      </c>
    </row>
    <row r="44" spans="1:7" ht="11.25" customHeight="1" x14ac:dyDescent="0.2">
      <c r="A44" s="26" t="s">
        <v>25</v>
      </c>
      <c r="B44" s="18">
        <v>0</v>
      </c>
      <c r="C44" s="18">
        <v>70214.832619999986</v>
      </c>
      <c r="D44" s="18">
        <v>0</v>
      </c>
      <c r="E44" s="18">
        <v>71868.317649400109</v>
      </c>
      <c r="F44" s="18">
        <v>70214.832619999972</v>
      </c>
      <c r="G44" s="18">
        <v>71868.317649400109</v>
      </c>
    </row>
    <row r="45" spans="1:7" ht="11.25" customHeight="1" x14ac:dyDescent="0.2">
      <c r="A45" s="27" t="s">
        <v>25</v>
      </c>
      <c r="B45" s="18">
        <v>0</v>
      </c>
      <c r="C45" s="18">
        <v>70214.832619999986</v>
      </c>
      <c r="D45" s="18">
        <v>0</v>
      </c>
      <c r="E45" s="18">
        <v>71868.317649400109</v>
      </c>
      <c r="F45" s="18">
        <v>70214.832619999972</v>
      </c>
      <c r="G45" s="18">
        <v>71868.317649400109</v>
      </c>
    </row>
    <row r="46" spans="1:7" ht="11.25" customHeight="1" x14ac:dyDescent="0.2">
      <c r="A46" s="28">
        <v>44378</v>
      </c>
      <c r="B46" s="18">
        <v>0</v>
      </c>
      <c r="C46" s="18">
        <v>3621.2754699999996</v>
      </c>
      <c r="D46" s="18">
        <v>0</v>
      </c>
      <c r="E46" s="18">
        <v>3706.5527133991422</v>
      </c>
      <c r="F46" s="18">
        <v>3621.2754699999996</v>
      </c>
      <c r="G46" s="18">
        <v>3706.5527133991422</v>
      </c>
    </row>
    <row r="47" spans="1:7" ht="11.25" customHeight="1" x14ac:dyDescent="0.2">
      <c r="A47" s="28">
        <v>44409</v>
      </c>
      <c r="B47" s="18">
        <v>0</v>
      </c>
      <c r="C47" s="18">
        <v>3743.5793399999998</v>
      </c>
      <c r="D47" s="18">
        <v>0</v>
      </c>
      <c r="E47" s="18">
        <v>3831.7367114029494</v>
      </c>
      <c r="F47" s="18">
        <v>3743.5793399999998</v>
      </c>
      <c r="G47" s="18">
        <v>3831.7367114029494</v>
      </c>
    </row>
    <row r="48" spans="1:7" ht="11.25" customHeight="1" x14ac:dyDescent="0.2">
      <c r="A48" s="28">
        <v>44440</v>
      </c>
      <c r="B48" s="18">
        <v>0</v>
      </c>
      <c r="C48" s="18">
        <v>3792.0204799999992</v>
      </c>
      <c r="D48" s="18">
        <v>0</v>
      </c>
      <c r="E48" s="18">
        <v>3881.3185894993831</v>
      </c>
      <c r="F48" s="18">
        <v>3792.0204799999992</v>
      </c>
      <c r="G48" s="18">
        <v>3881.3185894993831</v>
      </c>
    </row>
    <row r="49" spans="1:7" ht="11.25" customHeight="1" x14ac:dyDescent="0.2">
      <c r="A49" s="28">
        <v>44470</v>
      </c>
      <c r="B49" s="18">
        <v>0</v>
      </c>
      <c r="C49" s="18">
        <v>3764.3970199999994</v>
      </c>
      <c r="D49" s="18">
        <v>0</v>
      </c>
      <c r="E49" s="18">
        <v>3853.0446259567889</v>
      </c>
      <c r="F49" s="18">
        <v>3764.3970199999994</v>
      </c>
      <c r="G49" s="18">
        <v>3853.0446259567889</v>
      </c>
    </row>
    <row r="50" spans="1:7" ht="11.25" customHeight="1" x14ac:dyDescent="0.2">
      <c r="A50" s="28">
        <v>44501</v>
      </c>
      <c r="B50" s="18">
        <v>0</v>
      </c>
      <c r="C50" s="18">
        <v>3832.0544799999989</v>
      </c>
      <c r="D50" s="18">
        <v>0</v>
      </c>
      <c r="E50" s="18">
        <v>3922.2953482567668</v>
      </c>
      <c r="F50" s="18">
        <v>3832.0544799999989</v>
      </c>
      <c r="G50" s="18">
        <v>3922.2953482567668</v>
      </c>
    </row>
    <row r="51" spans="1:7" ht="11.25" customHeight="1" x14ac:dyDescent="0.2">
      <c r="A51" s="28">
        <v>44531</v>
      </c>
      <c r="B51" s="18">
        <v>0</v>
      </c>
      <c r="C51" s="18">
        <v>5323.7213199999987</v>
      </c>
      <c r="D51" s="18">
        <v>0</v>
      </c>
      <c r="E51" s="18">
        <v>5449.0893795568836</v>
      </c>
      <c r="F51" s="18">
        <v>5323.7213199999987</v>
      </c>
      <c r="G51" s="18">
        <v>5449.0893795568836</v>
      </c>
    </row>
    <row r="52" spans="1:7" ht="11.25" customHeight="1" x14ac:dyDescent="0.2">
      <c r="A52" s="28">
        <v>44562</v>
      </c>
      <c r="B52" s="18">
        <v>0</v>
      </c>
      <c r="C52" s="18">
        <v>6391.6282699999992</v>
      </c>
      <c r="D52" s="18">
        <v>0</v>
      </c>
      <c r="E52" s="18">
        <v>6542.1444194100932</v>
      </c>
      <c r="F52" s="18">
        <v>6391.6282699999992</v>
      </c>
      <c r="G52" s="18">
        <v>6542.1444194100932</v>
      </c>
    </row>
    <row r="53" spans="1:7" ht="11.25" customHeight="1" x14ac:dyDescent="0.2">
      <c r="A53" s="28">
        <v>44593</v>
      </c>
      <c r="B53" s="18">
        <v>0</v>
      </c>
      <c r="C53" s="18">
        <v>7096.026499999999</v>
      </c>
      <c r="D53" s="18">
        <v>0</v>
      </c>
      <c r="E53" s="18">
        <v>7263.1304897462596</v>
      </c>
      <c r="F53" s="18">
        <v>7096.026499999999</v>
      </c>
      <c r="G53" s="18">
        <v>7263.1304897462596</v>
      </c>
    </row>
    <row r="54" spans="1:7" ht="11.25" customHeight="1" x14ac:dyDescent="0.2">
      <c r="A54" s="28">
        <v>44621</v>
      </c>
      <c r="B54" s="18">
        <v>0</v>
      </c>
      <c r="C54" s="18">
        <v>7393.078779999998</v>
      </c>
      <c r="D54" s="18">
        <v>0</v>
      </c>
      <c r="E54" s="18">
        <v>7567.1780397260463</v>
      </c>
      <c r="F54" s="18">
        <v>7393.078779999998</v>
      </c>
      <c r="G54" s="18">
        <v>7567.1780397260463</v>
      </c>
    </row>
    <row r="55" spans="1:7" ht="11.25" customHeight="1" x14ac:dyDescent="0.2">
      <c r="A55" s="28">
        <v>44652</v>
      </c>
      <c r="B55" s="18">
        <v>0</v>
      </c>
      <c r="C55" s="18">
        <v>7959.760049999998</v>
      </c>
      <c r="D55" s="18">
        <v>0</v>
      </c>
      <c r="E55" s="18">
        <v>8147.2040599368129</v>
      </c>
      <c r="F55" s="18">
        <v>7959.760049999998</v>
      </c>
      <c r="G55" s="18">
        <v>8147.2040599368129</v>
      </c>
    </row>
    <row r="56" spans="1:7" ht="11.25" customHeight="1" x14ac:dyDescent="0.2">
      <c r="A56" s="28">
        <v>44682</v>
      </c>
      <c r="B56" s="18">
        <v>0</v>
      </c>
      <c r="C56" s="18">
        <v>8184.9515799999981</v>
      </c>
      <c r="D56" s="18">
        <v>0</v>
      </c>
      <c r="E56" s="18">
        <v>8377.6983279470951</v>
      </c>
      <c r="F56" s="18">
        <v>8184.9515799999981</v>
      </c>
      <c r="G56" s="18">
        <v>8377.6983279470951</v>
      </c>
    </row>
    <row r="57" spans="1:7" ht="11.25" customHeight="1" x14ac:dyDescent="0.2">
      <c r="A57" s="28">
        <v>44713</v>
      </c>
      <c r="B57" s="18">
        <v>0</v>
      </c>
      <c r="C57" s="18">
        <v>9112.3393299999971</v>
      </c>
      <c r="D57" s="18">
        <v>0</v>
      </c>
      <c r="E57" s="18">
        <v>9326.9249445618898</v>
      </c>
      <c r="F57" s="18">
        <v>9112.3393299999971</v>
      </c>
      <c r="G57" s="18">
        <v>9326.9249445618898</v>
      </c>
    </row>
    <row r="58" spans="1:7" ht="11.25" customHeight="1" x14ac:dyDescent="0.2">
      <c r="A58" s="24" t="s">
        <v>30</v>
      </c>
      <c r="B58" s="18">
        <v>0</v>
      </c>
      <c r="C58" s="18">
        <v>16968.983079999984</v>
      </c>
      <c r="D58" s="18">
        <v>0</v>
      </c>
      <c r="E58" s="18">
        <v>17372.916410367943</v>
      </c>
      <c r="F58" s="18">
        <v>16968.983079999984</v>
      </c>
      <c r="G58" s="18">
        <v>17372.91641036794</v>
      </c>
    </row>
    <row r="59" spans="1:7" ht="11.25" customHeight="1" x14ac:dyDescent="0.2">
      <c r="A59" s="25" t="s">
        <v>25</v>
      </c>
      <c r="B59" s="18">
        <v>0</v>
      </c>
      <c r="C59" s="18">
        <v>16968.983079999984</v>
      </c>
      <c r="D59" s="18">
        <v>0</v>
      </c>
      <c r="E59" s="18">
        <v>17372.916410367943</v>
      </c>
      <c r="F59" s="18">
        <v>16968.983079999984</v>
      </c>
      <c r="G59" s="18">
        <v>17372.91641036794</v>
      </c>
    </row>
    <row r="60" spans="1:7" ht="11.25" customHeight="1" x14ac:dyDescent="0.2">
      <c r="A60" s="26" t="s">
        <v>25</v>
      </c>
      <c r="B60" s="18">
        <v>0</v>
      </c>
      <c r="C60" s="18">
        <v>16968.983079999984</v>
      </c>
      <c r="D60" s="18">
        <v>0</v>
      </c>
      <c r="E60" s="18">
        <v>17372.916410367943</v>
      </c>
      <c r="F60" s="18">
        <v>16968.983079999984</v>
      </c>
      <c r="G60" s="18">
        <v>17372.91641036794</v>
      </c>
    </row>
    <row r="61" spans="1:7" ht="11.25" customHeight="1" x14ac:dyDescent="0.2">
      <c r="A61" s="27" t="s">
        <v>25</v>
      </c>
      <c r="B61" s="18">
        <v>0</v>
      </c>
      <c r="C61" s="18">
        <v>16968.983079999984</v>
      </c>
      <c r="D61" s="18">
        <v>0</v>
      </c>
      <c r="E61" s="18">
        <v>17372.916410367943</v>
      </c>
      <c r="F61" s="18">
        <v>16968.983079999984</v>
      </c>
      <c r="G61" s="18">
        <v>17372.91641036794</v>
      </c>
    </row>
    <row r="62" spans="1:7" ht="11.25" customHeight="1" x14ac:dyDescent="0.2">
      <c r="A62" s="28">
        <v>44378</v>
      </c>
      <c r="B62" s="18">
        <v>0</v>
      </c>
      <c r="C62" s="18">
        <v>915.8992099999989</v>
      </c>
      <c r="D62" s="18">
        <v>0</v>
      </c>
      <c r="E62" s="18">
        <v>937.70190321427776</v>
      </c>
      <c r="F62" s="18">
        <v>915.8992099999989</v>
      </c>
      <c r="G62" s="18">
        <v>937.70190321427776</v>
      </c>
    </row>
    <row r="63" spans="1:7" ht="11.25" customHeight="1" x14ac:dyDescent="0.2">
      <c r="A63" s="28">
        <v>44409</v>
      </c>
      <c r="B63" s="18">
        <v>0</v>
      </c>
      <c r="C63" s="18">
        <v>950.6700599999989</v>
      </c>
      <c r="D63" s="18">
        <v>0</v>
      </c>
      <c r="E63" s="18">
        <v>973.30046238475484</v>
      </c>
      <c r="F63" s="18">
        <v>950.6700599999989</v>
      </c>
      <c r="G63" s="18">
        <v>973.30046238475484</v>
      </c>
    </row>
    <row r="64" spans="1:7" ht="11.25" customHeight="1" x14ac:dyDescent="0.2">
      <c r="A64" s="28">
        <v>44440</v>
      </c>
      <c r="B64" s="18">
        <v>0</v>
      </c>
      <c r="C64" s="18">
        <v>941.41450999999893</v>
      </c>
      <c r="D64" s="18">
        <v>0</v>
      </c>
      <c r="E64" s="18">
        <v>963.82458692210992</v>
      </c>
      <c r="F64" s="18">
        <v>941.41450999999893</v>
      </c>
      <c r="G64" s="18">
        <v>963.82458692210992</v>
      </c>
    </row>
    <row r="65" spans="1:7" ht="11.25" customHeight="1" x14ac:dyDescent="0.2">
      <c r="A65" s="28">
        <v>44470</v>
      </c>
      <c r="B65" s="18">
        <v>0</v>
      </c>
      <c r="C65" s="18">
        <v>882.97946999999908</v>
      </c>
      <c r="D65" s="18">
        <v>0</v>
      </c>
      <c r="E65" s="18">
        <v>903.99851913632995</v>
      </c>
      <c r="F65" s="18">
        <v>882.97946999999908</v>
      </c>
      <c r="G65" s="18">
        <v>903.99851913632995</v>
      </c>
    </row>
    <row r="66" spans="1:7" ht="11.25" customHeight="1" x14ac:dyDescent="0.2">
      <c r="A66" s="28">
        <v>44501</v>
      </c>
      <c r="B66" s="18">
        <v>0</v>
      </c>
      <c r="C66" s="18">
        <v>962.52716999999893</v>
      </c>
      <c r="D66" s="18">
        <v>0</v>
      </c>
      <c r="E66" s="18">
        <v>985.43982716662993</v>
      </c>
      <c r="F66" s="18">
        <v>962.52716999999893</v>
      </c>
      <c r="G66" s="18">
        <v>985.43982716662993</v>
      </c>
    </row>
    <row r="67" spans="1:7" ht="11.25" customHeight="1" x14ac:dyDescent="0.2">
      <c r="A67" s="28">
        <v>44531</v>
      </c>
      <c r="B67" s="18">
        <v>0</v>
      </c>
      <c r="C67" s="18">
        <v>1325.8450299999986</v>
      </c>
      <c r="D67" s="18">
        <v>0</v>
      </c>
      <c r="E67" s="18">
        <v>1357.40635478678</v>
      </c>
      <c r="F67" s="18">
        <v>1325.8450299999986</v>
      </c>
      <c r="G67" s="18">
        <v>1357.40635478678</v>
      </c>
    </row>
    <row r="68" spans="1:7" ht="11.25" customHeight="1" x14ac:dyDescent="0.2">
      <c r="A68" s="28">
        <v>44562</v>
      </c>
      <c r="B68" s="18">
        <v>0</v>
      </c>
      <c r="C68" s="18">
        <v>1624.0738599999984</v>
      </c>
      <c r="D68" s="18">
        <v>0</v>
      </c>
      <c r="E68" s="18">
        <v>1662.7344284777348</v>
      </c>
      <c r="F68" s="18">
        <v>1624.0738599999984</v>
      </c>
      <c r="G68" s="18">
        <v>1662.7344284777348</v>
      </c>
    </row>
    <row r="69" spans="1:7" ht="11.25" customHeight="1" x14ac:dyDescent="0.2">
      <c r="A69" s="28">
        <v>44593</v>
      </c>
      <c r="B69" s="18">
        <v>0</v>
      </c>
      <c r="C69" s="18">
        <v>1792.6249299999981</v>
      </c>
      <c r="D69" s="18">
        <v>0</v>
      </c>
      <c r="E69" s="18">
        <v>1835.2978037947667</v>
      </c>
      <c r="F69" s="18">
        <v>1792.6249299999981</v>
      </c>
      <c r="G69" s="18">
        <v>1835.2978037947667</v>
      </c>
    </row>
    <row r="70" spans="1:7" ht="11.25" customHeight="1" x14ac:dyDescent="0.2">
      <c r="A70" s="28">
        <v>44621</v>
      </c>
      <c r="B70" s="18">
        <v>0</v>
      </c>
      <c r="C70" s="18">
        <v>1734.9403399999978</v>
      </c>
      <c r="D70" s="18">
        <v>0</v>
      </c>
      <c r="E70" s="18">
        <v>1776.2400502356872</v>
      </c>
      <c r="F70" s="18">
        <v>1734.9403399999978</v>
      </c>
      <c r="G70" s="18">
        <v>1776.2400502356872</v>
      </c>
    </row>
    <row r="71" spans="1:7" ht="11.25" customHeight="1" x14ac:dyDescent="0.2">
      <c r="A71" s="28">
        <v>44652</v>
      </c>
      <c r="B71" s="18">
        <v>0</v>
      </c>
      <c r="C71" s="18">
        <v>1722.582929999998</v>
      </c>
      <c r="D71" s="18">
        <v>0</v>
      </c>
      <c r="E71" s="18">
        <v>1763.5884759693449</v>
      </c>
      <c r="F71" s="18">
        <v>1722.582929999998</v>
      </c>
      <c r="G71" s="18">
        <v>1763.5884759693449</v>
      </c>
    </row>
    <row r="72" spans="1:7" ht="11.25" customHeight="1" x14ac:dyDescent="0.2">
      <c r="A72" s="28">
        <v>44682</v>
      </c>
      <c r="B72" s="18">
        <v>0</v>
      </c>
      <c r="C72" s="18">
        <v>1887.5349599999981</v>
      </c>
      <c r="D72" s="18">
        <v>0</v>
      </c>
      <c r="E72" s="18">
        <v>1932.4639429982128</v>
      </c>
      <c r="F72" s="18">
        <v>1887.5349599999981</v>
      </c>
      <c r="G72" s="18">
        <v>1932.4639429982128</v>
      </c>
    </row>
    <row r="73" spans="1:7" ht="11.25" customHeight="1" x14ac:dyDescent="0.2">
      <c r="A73" s="28">
        <v>44713</v>
      </c>
      <c r="B73" s="18">
        <v>0</v>
      </c>
      <c r="C73" s="18">
        <v>2227.8906099999977</v>
      </c>
      <c r="D73" s="18">
        <v>0</v>
      </c>
      <c r="E73" s="18">
        <v>2280.9200552813136</v>
      </c>
      <c r="F73" s="18">
        <v>2227.8906099999977</v>
      </c>
      <c r="G73" s="18">
        <v>2280.9200552813136</v>
      </c>
    </row>
    <row r="74" spans="1:7" ht="11.25" customHeight="1" x14ac:dyDescent="0.2">
      <c r="A74" s="24" t="s">
        <v>31</v>
      </c>
      <c r="B74" s="18">
        <v>0</v>
      </c>
      <c r="C74" s="18">
        <v>-3.230610445825732E-12</v>
      </c>
      <c r="D74" s="18">
        <v>0</v>
      </c>
      <c r="E74" s="18">
        <v>-6.4612208916514639E-12</v>
      </c>
      <c r="F74" s="18">
        <v>-3.2306104458257324E-12</v>
      </c>
      <c r="G74" s="18">
        <v>-6.4612208916514647E-12</v>
      </c>
    </row>
    <row r="75" spans="1:7" ht="11.25" customHeight="1" x14ac:dyDescent="0.2">
      <c r="A75" s="25" t="s">
        <v>25</v>
      </c>
      <c r="B75" s="18">
        <v>0</v>
      </c>
      <c r="C75" s="18">
        <v>-3.230610445825732E-12</v>
      </c>
      <c r="D75" s="18">
        <v>0</v>
      </c>
      <c r="E75" s="18">
        <v>-6.4612208916514639E-12</v>
      </c>
      <c r="F75" s="18">
        <v>-3.2306104458257324E-12</v>
      </c>
      <c r="G75" s="18">
        <v>-6.4612208916514647E-12</v>
      </c>
    </row>
    <row r="76" spans="1:7" ht="11.25" customHeight="1" x14ac:dyDescent="0.2">
      <c r="A76" s="26" t="s">
        <v>25</v>
      </c>
      <c r="B76" s="18">
        <v>0</v>
      </c>
      <c r="C76" s="18">
        <v>-3.230610445825732E-12</v>
      </c>
      <c r="D76" s="18">
        <v>0</v>
      </c>
      <c r="E76" s="18">
        <v>-6.4612208916514639E-12</v>
      </c>
      <c r="F76" s="18">
        <v>-3.2306104458257324E-12</v>
      </c>
      <c r="G76" s="18">
        <v>-6.4612208916514647E-12</v>
      </c>
    </row>
    <row r="77" spans="1:7" ht="11.25" customHeight="1" x14ac:dyDescent="0.2">
      <c r="A77" s="27" t="s">
        <v>25</v>
      </c>
      <c r="B77" s="18">
        <v>0</v>
      </c>
      <c r="C77" s="18">
        <v>-3.230610445825732E-12</v>
      </c>
      <c r="D77" s="18">
        <v>0</v>
      </c>
      <c r="E77" s="18">
        <v>-6.4612208916514639E-12</v>
      </c>
      <c r="F77" s="18">
        <v>-3.2306104458257324E-12</v>
      </c>
      <c r="G77" s="18">
        <v>-6.4612208916514647E-12</v>
      </c>
    </row>
    <row r="78" spans="1:7" ht="11.25" customHeight="1" x14ac:dyDescent="0.2">
      <c r="A78" s="28">
        <v>44378</v>
      </c>
      <c r="B78" s="18">
        <v>0</v>
      </c>
      <c r="C78" s="18">
        <v>-1.929549853230128E-13</v>
      </c>
      <c r="D78" s="18">
        <v>0</v>
      </c>
      <c r="E78" s="18">
        <v>-3.859099706460256E-13</v>
      </c>
      <c r="F78" s="18">
        <v>-1.929549853230128E-13</v>
      </c>
      <c r="G78" s="18">
        <v>-3.859099706460256E-13</v>
      </c>
    </row>
    <row r="79" spans="1:7" ht="11.25" customHeight="1" x14ac:dyDescent="0.2">
      <c r="A79" s="28">
        <v>44409</v>
      </c>
      <c r="B79" s="18">
        <v>0</v>
      </c>
      <c r="C79" s="18">
        <v>-1.6845547179400454E-13</v>
      </c>
      <c r="D79" s="18">
        <v>0</v>
      </c>
      <c r="E79" s="18">
        <v>-3.3691094358800908E-13</v>
      </c>
      <c r="F79" s="18">
        <v>-1.6845547179400454E-13</v>
      </c>
      <c r="G79" s="18">
        <v>-3.3691094358800908E-13</v>
      </c>
    </row>
    <row r="80" spans="1:7" ht="11.25" customHeight="1" x14ac:dyDescent="0.2">
      <c r="A80" s="28">
        <v>44440</v>
      </c>
      <c r="B80" s="18">
        <v>0</v>
      </c>
      <c r="C80" s="18">
        <v>-1.3767476048087702E-13</v>
      </c>
      <c r="D80" s="18">
        <v>0</v>
      </c>
      <c r="E80" s="18">
        <v>-2.7534952096175404E-13</v>
      </c>
      <c r="F80" s="18">
        <v>-1.3767476048087702E-13</v>
      </c>
      <c r="G80" s="18">
        <v>-2.7534952096175404E-13</v>
      </c>
    </row>
    <row r="81" spans="1:7" ht="11.25" customHeight="1" x14ac:dyDescent="0.2">
      <c r="A81" s="28">
        <v>44470</v>
      </c>
      <c r="B81" s="18">
        <v>0</v>
      </c>
      <c r="C81" s="18">
        <v>-1.1635847840807402E-13</v>
      </c>
      <c r="D81" s="18">
        <v>0</v>
      </c>
      <c r="E81" s="18">
        <v>-2.3271695681614803E-13</v>
      </c>
      <c r="F81" s="18">
        <v>-1.1635847840807402E-13</v>
      </c>
      <c r="G81" s="18">
        <v>-2.3271695681614803E-13</v>
      </c>
    </row>
    <row r="82" spans="1:7" ht="11.25" customHeight="1" x14ac:dyDescent="0.2">
      <c r="A82" s="28">
        <v>44501</v>
      </c>
      <c r="B82" s="18">
        <v>0</v>
      </c>
      <c r="C82" s="18">
        <v>-1.4804868442297446E-13</v>
      </c>
      <c r="D82" s="18">
        <v>0</v>
      </c>
      <c r="E82" s="18">
        <v>-2.9609736884594893E-13</v>
      </c>
      <c r="F82" s="18">
        <v>-1.4804868442297446E-13</v>
      </c>
      <c r="G82" s="18">
        <v>-2.9609736884594893E-13</v>
      </c>
    </row>
    <row r="83" spans="1:7" ht="11.25" customHeight="1" x14ac:dyDescent="0.2">
      <c r="A83" s="28">
        <v>44531</v>
      </c>
      <c r="B83" s="18">
        <v>0</v>
      </c>
      <c r="C83" s="18">
        <v>-2.4573409973527307E-13</v>
      </c>
      <c r="D83" s="18">
        <v>0</v>
      </c>
      <c r="E83" s="18">
        <v>-4.9146819947054614E-13</v>
      </c>
      <c r="F83" s="18">
        <v>-2.4573409973527307E-13</v>
      </c>
      <c r="G83" s="18">
        <v>-4.9146819947054614E-13</v>
      </c>
    </row>
    <row r="84" spans="1:7" ht="11.25" customHeight="1" x14ac:dyDescent="0.2">
      <c r="A84" s="28">
        <v>44562</v>
      </c>
      <c r="B84" s="18">
        <v>0</v>
      </c>
      <c r="C84" s="18">
        <v>-3.4705749385466334E-13</v>
      </c>
      <c r="D84" s="18">
        <v>0</v>
      </c>
      <c r="E84" s="18">
        <v>-6.9411498770932669E-13</v>
      </c>
      <c r="F84" s="18">
        <v>-3.4705749385466334E-13</v>
      </c>
      <c r="G84" s="18">
        <v>-6.9411498770932669E-13</v>
      </c>
    </row>
    <row r="85" spans="1:7" ht="11.25" customHeight="1" x14ac:dyDescent="0.2">
      <c r="A85" s="28">
        <v>44593</v>
      </c>
      <c r="B85" s="18">
        <v>0</v>
      </c>
      <c r="C85" s="18">
        <v>-3.7283598430803978E-13</v>
      </c>
      <c r="D85" s="18">
        <v>0</v>
      </c>
      <c r="E85" s="18">
        <v>-7.4567196861607956E-13</v>
      </c>
      <c r="F85" s="18">
        <v>-3.7283598430803978E-13</v>
      </c>
      <c r="G85" s="18">
        <v>-7.4567196861607956E-13</v>
      </c>
    </row>
    <row r="86" spans="1:7" ht="11.25" customHeight="1" x14ac:dyDescent="0.2">
      <c r="A86" s="28">
        <v>44621</v>
      </c>
      <c r="B86" s="18">
        <v>0</v>
      </c>
      <c r="C86" s="18">
        <v>-3.2045477382780519E-13</v>
      </c>
      <c r="D86" s="18">
        <v>0</v>
      </c>
      <c r="E86" s="18">
        <v>-6.4090954765561039E-13</v>
      </c>
      <c r="F86" s="18">
        <v>-3.2045477382780519E-13</v>
      </c>
      <c r="G86" s="18">
        <v>-6.4090954765561039E-13</v>
      </c>
    </row>
    <row r="87" spans="1:7" ht="11.25" customHeight="1" x14ac:dyDescent="0.2">
      <c r="A87" s="28">
        <v>44652</v>
      </c>
      <c r="B87" s="18">
        <v>0</v>
      </c>
      <c r="C87" s="18">
        <v>-2.5144686333078424E-13</v>
      </c>
      <c r="D87" s="18">
        <v>0</v>
      </c>
      <c r="E87" s="18">
        <v>-5.0289372666156848E-13</v>
      </c>
      <c r="F87" s="18">
        <v>-2.5144686333078424E-13</v>
      </c>
      <c r="G87" s="18">
        <v>-5.0289372666156848E-13</v>
      </c>
    </row>
    <row r="88" spans="1:7" ht="11.25" customHeight="1" x14ac:dyDescent="0.2">
      <c r="A88" s="28">
        <v>44682</v>
      </c>
      <c r="B88" s="18">
        <v>0</v>
      </c>
      <c r="C88" s="18">
        <v>-3.4688696359808091E-13</v>
      </c>
      <c r="D88" s="18">
        <v>0</v>
      </c>
      <c r="E88" s="18">
        <v>-6.9377392719616183E-13</v>
      </c>
      <c r="F88" s="18">
        <v>-3.4688696359808091E-13</v>
      </c>
      <c r="G88" s="18">
        <v>-6.9377392719616183E-13</v>
      </c>
    </row>
    <row r="89" spans="1:7" ht="11.25" customHeight="1" x14ac:dyDescent="0.2">
      <c r="A89" s="28">
        <v>44713</v>
      </c>
      <c r="B89" s="18">
        <v>0</v>
      </c>
      <c r="C89" s="18">
        <v>-5.8270188674214293E-13</v>
      </c>
      <c r="D89" s="18">
        <v>0</v>
      </c>
      <c r="E89" s="18">
        <v>-1.1654037734842859E-12</v>
      </c>
      <c r="F89" s="18">
        <v>-5.8270188674214293E-13</v>
      </c>
      <c r="G89" s="18">
        <v>-1.1654037734842859E-12</v>
      </c>
    </row>
    <row r="90" spans="1:7" ht="11.25" customHeight="1" x14ac:dyDescent="0.2">
      <c r="A90" s="20" t="s">
        <v>599</v>
      </c>
      <c r="B90" s="18">
        <v>593716.32029931585</v>
      </c>
      <c r="C90" s="18">
        <v>168678.43658742102</v>
      </c>
      <c r="D90" s="18">
        <v>739271.39655057201</v>
      </c>
      <c r="E90" s="18">
        <v>192441.74444371942</v>
      </c>
      <c r="F90" s="18">
        <v>762394.75688673684</v>
      </c>
      <c r="G90" s="18">
        <v>931713.1409942914</v>
      </c>
    </row>
    <row r="91" spans="1:7" ht="11.25" customHeight="1" x14ac:dyDescent="0.2">
      <c r="A91" s="21" t="s">
        <v>34</v>
      </c>
      <c r="B91" s="18">
        <v>593716.32029931585</v>
      </c>
      <c r="C91" s="18">
        <v>168678.43658742102</v>
      </c>
      <c r="D91" s="18">
        <v>739271.39655057201</v>
      </c>
      <c r="E91" s="18">
        <v>192441.74444371942</v>
      </c>
      <c r="F91" s="18">
        <v>762394.75688673684</v>
      </c>
      <c r="G91" s="18">
        <v>931713.1409942914</v>
      </c>
    </row>
    <row r="92" spans="1:7" ht="11.25" customHeight="1" x14ac:dyDescent="0.2">
      <c r="A92" s="22" t="s">
        <v>51</v>
      </c>
      <c r="B92" s="18">
        <v>513500.54621377063</v>
      </c>
      <c r="C92" s="18">
        <v>0</v>
      </c>
      <c r="D92" s="18">
        <v>621911.43125567876</v>
      </c>
      <c r="E92" s="18">
        <v>0</v>
      </c>
      <c r="F92" s="18">
        <v>513500.54621377063</v>
      </c>
      <c r="G92" s="18">
        <v>621911.43125567876</v>
      </c>
    </row>
    <row r="93" spans="1:7" ht="11.25" customHeight="1" x14ac:dyDescent="0.2">
      <c r="A93" s="23" t="s">
        <v>33</v>
      </c>
      <c r="B93" s="18">
        <v>513500.54621377063</v>
      </c>
      <c r="C93" s="18">
        <v>0</v>
      </c>
      <c r="D93" s="18">
        <v>621911.43125567876</v>
      </c>
      <c r="E93" s="18">
        <v>0</v>
      </c>
      <c r="F93" s="18">
        <v>513500.54621377063</v>
      </c>
      <c r="G93" s="18">
        <v>621911.43125567876</v>
      </c>
    </row>
    <row r="94" spans="1:7" ht="11.25" customHeight="1" x14ac:dyDescent="0.2">
      <c r="A94" s="24" t="s">
        <v>25</v>
      </c>
      <c r="B94" s="18">
        <v>513500.54621377063</v>
      </c>
      <c r="C94" s="18">
        <v>0</v>
      </c>
      <c r="D94" s="18">
        <v>621911.43125567876</v>
      </c>
      <c r="E94" s="18">
        <v>0</v>
      </c>
      <c r="F94" s="18">
        <v>513500.54621377063</v>
      </c>
      <c r="G94" s="18">
        <v>621911.43125567876</v>
      </c>
    </row>
    <row r="95" spans="1:7" ht="11.25" customHeight="1" x14ac:dyDescent="0.2">
      <c r="A95" s="25" t="s">
        <v>52</v>
      </c>
      <c r="B95" s="18">
        <v>513500.54621377063</v>
      </c>
      <c r="C95" s="18">
        <v>0</v>
      </c>
      <c r="D95" s="18">
        <v>621911.43125567876</v>
      </c>
      <c r="E95" s="18">
        <v>0</v>
      </c>
      <c r="F95" s="18">
        <v>513500.54621377063</v>
      </c>
      <c r="G95" s="18">
        <v>621911.43125567876</v>
      </c>
    </row>
    <row r="96" spans="1:7" ht="11.25" customHeight="1" x14ac:dyDescent="0.2">
      <c r="A96" s="26" t="s">
        <v>25</v>
      </c>
      <c r="B96" s="18">
        <v>513500.54621377063</v>
      </c>
      <c r="C96" s="18">
        <v>0</v>
      </c>
      <c r="D96" s="18">
        <v>621911.43125567876</v>
      </c>
      <c r="E96" s="18">
        <v>0</v>
      </c>
      <c r="F96" s="18">
        <v>513500.54621377063</v>
      </c>
      <c r="G96" s="18">
        <v>621911.43125567876</v>
      </c>
    </row>
    <row r="97" spans="1:7" ht="11.25" customHeight="1" x14ac:dyDescent="0.2">
      <c r="A97" s="27" t="s">
        <v>37</v>
      </c>
      <c r="B97" s="18">
        <v>157815.16076757418</v>
      </c>
      <c r="C97" s="18">
        <v>0</v>
      </c>
      <c r="D97" s="18">
        <v>230892.01596357816</v>
      </c>
      <c r="E97" s="18">
        <v>0</v>
      </c>
      <c r="F97" s="18">
        <v>157815.16076757418</v>
      </c>
      <c r="G97" s="18">
        <v>230892.01596357816</v>
      </c>
    </row>
    <row r="98" spans="1:7" ht="11.25" customHeight="1" x14ac:dyDescent="0.2">
      <c r="A98" s="28">
        <v>44378</v>
      </c>
      <c r="B98" s="18">
        <v>13365.78277752</v>
      </c>
      <c r="C98" s="18">
        <v>0</v>
      </c>
      <c r="D98" s="18">
        <v>19554.854650358458</v>
      </c>
      <c r="E98" s="18">
        <v>0</v>
      </c>
      <c r="F98" s="18">
        <v>13365.78277752</v>
      </c>
      <c r="G98" s="18">
        <v>19554.854650358458</v>
      </c>
    </row>
    <row r="99" spans="1:7" ht="11.25" customHeight="1" x14ac:dyDescent="0.2">
      <c r="A99" s="28">
        <v>44409</v>
      </c>
      <c r="B99" s="18">
        <v>13193.141867607599</v>
      </c>
      <c r="C99" s="18">
        <v>0</v>
      </c>
      <c r="D99" s="18">
        <v>19302.271770908952</v>
      </c>
      <c r="E99" s="18">
        <v>0</v>
      </c>
      <c r="F99" s="18">
        <v>13193.141867607599</v>
      </c>
      <c r="G99" s="18">
        <v>19302.271770908952</v>
      </c>
    </row>
    <row r="100" spans="1:7" ht="11.25" customHeight="1" x14ac:dyDescent="0.2">
      <c r="A100" s="28">
        <v>44440</v>
      </c>
      <c r="B100" s="18">
        <v>13336.202922119999</v>
      </c>
      <c r="C100" s="18">
        <v>0</v>
      </c>
      <c r="D100" s="18">
        <v>19511.577740763722</v>
      </c>
      <c r="E100" s="18">
        <v>0</v>
      </c>
      <c r="F100" s="18">
        <v>13336.202922119999</v>
      </c>
      <c r="G100" s="18">
        <v>19511.577740763722</v>
      </c>
    </row>
    <row r="101" spans="1:7" ht="11.25" customHeight="1" x14ac:dyDescent="0.2">
      <c r="A101" s="28">
        <v>44470</v>
      </c>
      <c r="B101" s="18">
        <v>13536.5830335666</v>
      </c>
      <c r="C101" s="18">
        <v>0</v>
      </c>
      <c r="D101" s="18">
        <v>19804.744554813045</v>
      </c>
      <c r="E101" s="18">
        <v>0</v>
      </c>
      <c r="F101" s="18">
        <v>13536.5830335666</v>
      </c>
      <c r="G101" s="18">
        <v>19804.744554813045</v>
      </c>
    </row>
    <row r="102" spans="1:7" ht="11.25" customHeight="1" x14ac:dyDescent="0.2">
      <c r="A102" s="28">
        <v>44501</v>
      </c>
      <c r="B102" s="18">
        <v>13513.23</v>
      </c>
      <c r="C102" s="18">
        <v>0</v>
      </c>
      <c r="D102" s="18">
        <v>19770.57781840552</v>
      </c>
      <c r="E102" s="18">
        <v>0</v>
      </c>
      <c r="F102" s="18">
        <v>13513.23</v>
      </c>
      <c r="G102" s="18">
        <v>19770.57781840552</v>
      </c>
    </row>
    <row r="103" spans="1:7" ht="11.25" customHeight="1" x14ac:dyDescent="0.2">
      <c r="A103" s="28">
        <v>44531</v>
      </c>
      <c r="B103" s="18">
        <v>12956.177548439999</v>
      </c>
      <c r="C103" s="18">
        <v>0</v>
      </c>
      <c r="D103" s="18">
        <v>18955.580305412655</v>
      </c>
      <c r="E103" s="18">
        <v>0</v>
      </c>
      <c r="F103" s="18">
        <v>12956.177548439999</v>
      </c>
      <c r="G103" s="18">
        <v>18955.580305412655</v>
      </c>
    </row>
    <row r="104" spans="1:7" ht="11.25" customHeight="1" x14ac:dyDescent="0.2">
      <c r="A104" s="28">
        <v>44562</v>
      </c>
      <c r="B104" s="18">
        <v>13428.544940639998</v>
      </c>
      <c r="C104" s="18">
        <v>0</v>
      </c>
      <c r="D104" s="18">
        <v>19646.679049855498</v>
      </c>
      <c r="E104" s="18">
        <v>0</v>
      </c>
      <c r="F104" s="18">
        <v>13428.544940639998</v>
      </c>
      <c r="G104" s="18">
        <v>19646.679049855498</v>
      </c>
    </row>
    <row r="105" spans="1:7" ht="11.25" customHeight="1" x14ac:dyDescent="0.2">
      <c r="A105" s="28">
        <v>44593</v>
      </c>
      <c r="B105" s="18">
        <v>13433.96663676</v>
      </c>
      <c r="C105" s="18">
        <v>0</v>
      </c>
      <c r="D105" s="18">
        <v>19654.61128108728</v>
      </c>
      <c r="E105" s="18">
        <v>0</v>
      </c>
      <c r="F105" s="18">
        <v>13433.96663676</v>
      </c>
      <c r="G105" s="18">
        <v>19654.61128108728</v>
      </c>
    </row>
    <row r="106" spans="1:7" ht="11.25" customHeight="1" x14ac:dyDescent="0.2">
      <c r="A106" s="28">
        <v>44621</v>
      </c>
      <c r="B106" s="18">
        <v>13427.494808039999</v>
      </c>
      <c r="C106" s="18">
        <v>0</v>
      </c>
      <c r="D106" s="18">
        <v>19645.142649728517</v>
      </c>
      <c r="E106" s="18">
        <v>0</v>
      </c>
      <c r="F106" s="18">
        <v>13427.494808039999</v>
      </c>
      <c r="G106" s="18">
        <v>19645.142649728517</v>
      </c>
    </row>
    <row r="107" spans="1:7" ht="11.25" customHeight="1" x14ac:dyDescent="0.2">
      <c r="A107" s="28">
        <v>44652</v>
      </c>
      <c r="B107" s="18">
        <v>13421.236232879999</v>
      </c>
      <c r="C107" s="18">
        <v>0</v>
      </c>
      <c r="D107" s="18">
        <v>19635.98601972717</v>
      </c>
      <c r="E107" s="18">
        <v>0</v>
      </c>
      <c r="F107" s="18">
        <v>13421.236232879999</v>
      </c>
      <c r="G107" s="18">
        <v>19635.98601972717</v>
      </c>
    </row>
    <row r="108" spans="1:7" ht="11.25" customHeight="1" x14ac:dyDescent="0.2">
      <c r="A108" s="28">
        <v>44682</v>
      </c>
      <c r="B108" s="18">
        <v>12101.4</v>
      </c>
      <c r="C108" s="18">
        <v>0</v>
      </c>
      <c r="D108" s="18">
        <v>17704.995061258673</v>
      </c>
      <c r="E108" s="18">
        <v>0</v>
      </c>
      <c r="F108" s="18">
        <v>12101.4</v>
      </c>
      <c r="G108" s="18">
        <v>17704.995061258673</v>
      </c>
    </row>
    <row r="109" spans="1:7" ht="11.25" customHeight="1" x14ac:dyDescent="0.2">
      <c r="A109" s="28">
        <v>44713</v>
      </c>
      <c r="B109" s="18">
        <v>12101.4</v>
      </c>
      <c r="C109" s="18">
        <v>0</v>
      </c>
      <c r="D109" s="18">
        <v>17704.995061258673</v>
      </c>
      <c r="E109" s="18">
        <v>0</v>
      </c>
      <c r="F109" s="18">
        <v>12101.4</v>
      </c>
      <c r="G109" s="18">
        <v>17704.995061258673</v>
      </c>
    </row>
    <row r="110" spans="1:7" ht="11.25" customHeight="1" x14ac:dyDescent="0.2">
      <c r="A110" s="27" t="s">
        <v>25</v>
      </c>
      <c r="B110" s="18">
        <v>0</v>
      </c>
      <c r="C110" s="18">
        <v>0</v>
      </c>
      <c r="D110" s="18">
        <v>0</v>
      </c>
      <c r="E110" s="18">
        <v>0</v>
      </c>
      <c r="F110" s="18">
        <v>0</v>
      </c>
      <c r="G110" s="18">
        <v>0</v>
      </c>
    </row>
    <row r="111" spans="1:7" ht="11.25" customHeight="1" x14ac:dyDescent="0.2">
      <c r="A111" s="28">
        <v>44378</v>
      </c>
      <c r="B111" s="18">
        <v>0</v>
      </c>
      <c r="C111" s="18">
        <v>0</v>
      </c>
      <c r="D111" s="18">
        <v>0</v>
      </c>
      <c r="E111" s="18">
        <v>0</v>
      </c>
      <c r="F111" s="18">
        <v>0</v>
      </c>
      <c r="G111" s="18">
        <v>0</v>
      </c>
    </row>
    <row r="112" spans="1:7" ht="11.25" customHeight="1" x14ac:dyDescent="0.2">
      <c r="A112" s="28">
        <v>44409</v>
      </c>
      <c r="B112" s="18">
        <v>0</v>
      </c>
      <c r="C112" s="18">
        <v>0</v>
      </c>
      <c r="D112" s="18">
        <v>0</v>
      </c>
      <c r="E112" s="18">
        <v>0</v>
      </c>
      <c r="F112" s="18">
        <v>0</v>
      </c>
      <c r="G112" s="18">
        <v>0</v>
      </c>
    </row>
    <row r="113" spans="1:7" ht="11.25" customHeight="1" x14ac:dyDescent="0.2">
      <c r="A113" s="28">
        <v>44440</v>
      </c>
      <c r="B113" s="18">
        <v>0</v>
      </c>
      <c r="C113" s="18">
        <v>0</v>
      </c>
      <c r="D113" s="18">
        <v>0</v>
      </c>
      <c r="E113" s="18">
        <v>0</v>
      </c>
      <c r="F113" s="18">
        <v>0</v>
      </c>
      <c r="G113" s="18">
        <v>0</v>
      </c>
    </row>
    <row r="114" spans="1:7" ht="11.25" customHeight="1" x14ac:dyDescent="0.2">
      <c r="A114" s="28">
        <v>44470</v>
      </c>
      <c r="B114" s="18">
        <v>0</v>
      </c>
      <c r="C114" s="18">
        <v>0</v>
      </c>
      <c r="D114" s="18">
        <v>0</v>
      </c>
      <c r="E114" s="18">
        <v>0</v>
      </c>
      <c r="F114" s="18">
        <v>0</v>
      </c>
      <c r="G114" s="18">
        <v>0</v>
      </c>
    </row>
    <row r="115" spans="1:7" ht="11.25" customHeight="1" x14ac:dyDescent="0.2">
      <c r="A115" s="28">
        <v>44501</v>
      </c>
      <c r="B115" s="18">
        <v>0</v>
      </c>
      <c r="C115" s="18">
        <v>0</v>
      </c>
      <c r="D115" s="18">
        <v>0</v>
      </c>
      <c r="E115" s="18">
        <v>0</v>
      </c>
      <c r="F115" s="18">
        <v>0</v>
      </c>
      <c r="G115" s="18">
        <v>0</v>
      </c>
    </row>
    <row r="116" spans="1:7" ht="11.25" customHeight="1" x14ac:dyDescent="0.2">
      <c r="A116" s="28">
        <v>44531</v>
      </c>
      <c r="B116" s="18">
        <v>0</v>
      </c>
      <c r="C116" s="18">
        <v>0</v>
      </c>
      <c r="D116" s="18">
        <v>0</v>
      </c>
      <c r="E116" s="18">
        <v>0</v>
      </c>
      <c r="F116" s="18">
        <v>0</v>
      </c>
      <c r="G116" s="18">
        <v>0</v>
      </c>
    </row>
    <row r="117" spans="1:7" ht="11.25" customHeight="1" x14ac:dyDescent="0.2">
      <c r="A117" s="28">
        <v>44562</v>
      </c>
      <c r="B117" s="18">
        <v>0</v>
      </c>
      <c r="C117" s="18">
        <v>0</v>
      </c>
      <c r="D117" s="18">
        <v>0</v>
      </c>
      <c r="E117" s="18">
        <v>0</v>
      </c>
      <c r="F117" s="18">
        <v>0</v>
      </c>
      <c r="G117" s="18">
        <v>0</v>
      </c>
    </row>
    <row r="118" spans="1:7" ht="11.25" customHeight="1" x14ac:dyDescent="0.2">
      <c r="A118" s="28">
        <v>44593</v>
      </c>
      <c r="B118" s="18">
        <v>0</v>
      </c>
      <c r="C118" s="18">
        <v>0</v>
      </c>
      <c r="D118" s="18">
        <v>0</v>
      </c>
      <c r="E118" s="18">
        <v>0</v>
      </c>
      <c r="F118" s="18">
        <v>0</v>
      </c>
      <c r="G118" s="18">
        <v>0</v>
      </c>
    </row>
    <row r="119" spans="1:7" ht="11.25" customHeight="1" x14ac:dyDescent="0.2">
      <c r="A119" s="28">
        <v>44621</v>
      </c>
      <c r="B119" s="18">
        <v>0</v>
      </c>
      <c r="C119" s="18">
        <v>0</v>
      </c>
      <c r="D119" s="18">
        <v>0</v>
      </c>
      <c r="E119" s="18">
        <v>0</v>
      </c>
      <c r="F119" s="18">
        <v>0</v>
      </c>
      <c r="G119" s="18">
        <v>0</v>
      </c>
    </row>
    <row r="120" spans="1:7" ht="11.25" customHeight="1" x14ac:dyDescent="0.2">
      <c r="A120" s="28">
        <v>44652</v>
      </c>
      <c r="B120" s="18">
        <v>0</v>
      </c>
      <c r="C120" s="18">
        <v>0</v>
      </c>
      <c r="D120" s="18">
        <v>0</v>
      </c>
      <c r="E120" s="18">
        <v>0</v>
      </c>
      <c r="F120" s="18">
        <v>0</v>
      </c>
      <c r="G120" s="18">
        <v>0</v>
      </c>
    </row>
    <row r="121" spans="1:7" ht="11.25" customHeight="1" x14ac:dyDescent="0.2">
      <c r="A121" s="28">
        <v>44682</v>
      </c>
      <c r="B121" s="18">
        <v>0</v>
      </c>
      <c r="C121" s="18">
        <v>0</v>
      </c>
      <c r="D121" s="18">
        <v>0</v>
      </c>
      <c r="E121" s="18">
        <v>0</v>
      </c>
      <c r="F121" s="18">
        <v>0</v>
      </c>
      <c r="G121" s="18">
        <v>0</v>
      </c>
    </row>
    <row r="122" spans="1:7" ht="11.25" customHeight="1" x14ac:dyDescent="0.2">
      <c r="A122" s="28">
        <v>44713</v>
      </c>
      <c r="B122" s="18">
        <v>0</v>
      </c>
      <c r="C122" s="18">
        <v>0</v>
      </c>
      <c r="D122" s="18">
        <v>0</v>
      </c>
      <c r="E122" s="18">
        <v>0</v>
      </c>
      <c r="F122" s="18">
        <v>0</v>
      </c>
      <c r="G122" s="18">
        <v>0</v>
      </c>
    </row>
    <row r="123" spans="1:7" ht="11.25" customHeight="1" x14ac:dyDescent="0.2">
      <c r="A123" s="27" t="s">
        <v>36</v>
      </c>
      <c r="B123" s="18">
        <v>355685.38544619654</v>
      </c>
      <c r="C123" s="18">
        <v>0</v>
      </c>
      <c r="D123" s="18">
        <v>391019.41529210057</v>
      </c>
      <c r="E123" s="18">
        <v>0</v>
      </c>
      <c r="F123" s="18">
        <v>355685.38544619654</v>
      </c>
      <c r="G123" s="18">
        <v>391019.41529210057</v>
      </c>
    </row>
    <row r="124" spans="1:7" ht="11.25" customHeight="1" x14ac:dyDescent="0.2">
      <c r="A124" s="28">
        <v>44378</v>
      </c>
      <c r="B124" s="18">
        <v>30028.776731079997</v>
      </c>
      <c r="C124" s="18">
        <v>0</v>
      </c>
      <c r="D124" s="18">
        <v>33011.855982202251</v>
      </c>
      <c r="E124" s="18">
        <v>0</v>
      </c>
      <c r="F124" s="18">
        <v>30028.776731079997</v>
      </c>
      <c r="G124" s="18">
        <v>33011.855982202251</v>
      </c>
    </row>
    <row r="125" spans="1:7" ht="11.25" customHeight="1" x14ac:dyDescent="0.2">
      <c r="A125" s="28">
        <v>44409</v>
      </c>
      <c r="B125" s="18">
        <v>30600.747358270597</v>
      </c>
      <c r="C125" s="18">
        <v>0</v>
      </c>
      <c r="D125" s="18">
        <v>33640.646563315837</v>
      </c>
      <c r="E125" s="18">
        <v>0</v>
      </c>
      <c r="F125" s="18">
        <v>30600.747358270597</v>
      </c>
      <c r="G125" s="18">
        <v>33640.646563315837</v>
      </c>
    </row>
    <row r="126" spans="1:7" ht="11.25" customHeight="1" x14ac:dyDescent="0.2">
      <c r="A126" s="28">
        <v>44440</v>
      </c>
      <c r="B126" s="18">
        <v>29962.31995198</v>
      </c>
      <c r="C126" s="18">
        <v>0</v>
      </c>
      <c r="D126" s="18">
        <v>32938.797341141471</v>
      </c>
      <c r="E126" s="18">
        <v>0</v>
      </c>
      <c r="F126" s="18">
        <v>29962.31995198</v>
      </c>
      <c r="G126" s="18">
        <v>32938.797341141471</v>
      </c>
    </row>
    <row r="127" spans="1:7" ht="11.25" customHeight="1" x14ac:dyDescent="0.2">
      <c r="A127" s="28">
        <v>44470</v>
      </c>
      <c r="B127" s="18">
        <v>30727.284152325999</v>
      </c>
      <c r="C127" s="18">
        <v>0</v>
      </c>
      <c r="D127" s="18">
        <v>33779.75360917439</v>
      </c>
      <c r="E127" s="18">
        <v>0</v>
      </c>
      <c r="F127" s="18">
        <v>30727.284152325999</v>
      </c>
      <c r="G127" s="18">
        <v>33779.75360917439</v>
      </c>
    </row>
    <row r="128" spans="1:7" ht="11.25" customHeight="1" x14ac:dyDescent="0.2">
      <c r="A128" s="28">
        <v>44501</v>
      </c>
      <c r="B128" s="18">
        <v>30209</v>
      </c>
      <c r="C128" s="18">
        <v>0</v>
      </c>
      <c r="D128" s="18">
        <v>33209.982754115372</v>
      </c>
      <c r="E128" s="18">
        <v>0</v>
      </c>
      <c r="F128" s="18">
        <v>30209</v>
      </c>
      <c r="G128" s="18">
        <v>33209.982754115372</v>
      </c>
    </row>
    <row r="129" spans="1:7" ht="11.25" customHeight="1" x14ac:dyDescent="0.2">
      <c r="A129" s="28">
        <v>44531</v>
      </c>
      <c r="B129" s="18">
        <v>29108.520568259999</v>
      </c>
      <c r="C129" s="18">
        <v>0</v>
      </c>
      <c r="D129" s="18">
        <v>32000.180941763294</v>
      </c>
      <c r="E129" s="18">
        <v>0</v>
      </c>
      <c r="F129" s="18">
        <v>29108.520568259999</v>
      </c>
      <c r="G129" s="18">
        <v>32000.180941763294</v>
      </c>
    </row>
    <row r="130" spans="1:7" ht="11.25" customHeight="1" x14ac:dyDescent="0.2">
      <c r="A130" s="28">
        <v>44562</v>
      </c>
      <c r="B130" s="18">
        <v>30169.783884559998</v>
      </c>
      <c r="C130" s="18">
        <v>0</v>
      </c>
      <c r="D130" s="18">
        <v>33166.870882903291</v>
      </c>
      <c r="E130" s="18">
        <v>0</v>
      </c>
      <c r="F130" s="18">
        <v>30169.783884559998</v>
      </c>
      <c r="G130" s="18">
        <v>33166.870882903291</v>
      </c>
    </row>
    <row r="131" spans="1:7" ht="11.25" customHeight="1" x14ac:dyDescent="0.2">
      <c r="A131" s="28">
        <v>44593</v>
      </c>
      <c r="B131" s="18">
        <v>30181.964757539998</v>
      </c>
      <c r="C131" s="18">
        <v>0</v>
      </c>
      <c r="D131" s="18">
        <v>33180.261812149402</v>
      </c>
      <c r="E131" s="18">
        <v>0</v>
      </c>
      <c r="F131" s="18">
        <v>30181.964757539998</v>
      </c>
      <c r="G131" s="18">
        <v>33180.261812149402</v>
      </c>
    </row>
    <row r="132" spans="1:7" ht="11.25" customHeight="1" x14ac:dyDescent="0.2">
      <c r="A132" s="28">
        <v>44621</v>
      </c>
      <c r="B132" s="18">
        <v>30167.424561660002</v>
      </c>
      <c r="C132" s="18">
        <v>0</v>
      </c>
      <c r="D132" s="18">
        <v>33164.277183250197</v>
      </c>
      <c r="E132" s="18">
        <v>0</v>
      </c>
      <c r="F132" s="18">
        <v>30167.424561660002</v>
      </c>
      <c r="G132" s="18">
        <v>33164.277183250197</v>
      </c>
    </row>
    <row r="133" spans="1:7" ht="11.25" customHeight="1" x14ac:dyDescent="0.2">
      <c r="A133" s="28">
        <v>44652</v>
      </c>
      <c r="B133" s="18">
        <v>30153.363480519998</v>
      </c>
      <c r="C133" s="18">
        <v>0</v>
      </c>
      <c r="D133" s="18">
        <v>33148.819264677462</v>
      </c>
      <c r="E133" s="18">
        <v>0</v>
      </c>
      <c r="F133" s="18">
        <v>30153.363480519998</v>
      </c>
      <c r="G133" s="18">
        <v>33148.819264677462</v>
      </c>
    </row>
    <row r="134" spans="1:7" ht="11.25" customHeight="1" x14ac:dyDescent="0.2">
      <c r="A134" s="28">
        <v>44682</v>
      </c>
      <c r="B134" s="18">
        <v>27188.1</v>
      </c>
      <c r="C134" s="18">
        <v>0</v>
      </c>
      <c r="D134" s="18">
        <v>29888.984478703838</v>
      </c>
      <c r="E134" s="18">
        <v>0</v>
      </c>
      <c r="F134" s="18">
        <v>27188.1</v>
      </c>
      <c r="G134" s="18">
        <v>29888.984478703838</v>
      </c>
    </row>
    <row r="135" spans="1:7" ht="11.25" customHeight="1" x14ac:dyDescent="0.2">
      <c r="A135" s="28">
        <v>44713</v>
      </c>
      <c r="B135" s="18">
        <v>27188.1</v>
      </c>
      <c r="C135" s="18">
        <v>0</v>
      </c>
      <c r="D135" s="18">
        <v>29888.984478703838</v>
      </c>
      <c r="E135" s="18">
        <v>0</v>
      </c>
      <c r="F135" s="18">
        <v>27188.1</v>
      </c>
      <c r="G135" s="18">
        <v>29888.984478703838</v>
      </c>
    </row>
    <row r="136" spans="1:7" ht="11.25" customHeight="1" x14ac:dyDescent="0.2">
      <c r="A136" s="22" t="s">
        <v>35</v>
      </c>
      <c r="B136" s="18">
        <v>80215.774085545214</v>
      </c>
      <c r="C136" s="18">
        <v>168678.43658742102</v>
      </c>
      <c r="D136" s="18">
        <v>117359.9652948931</v>
      </c>
      <c r="E136" s="18">
        <v>192441.74444371942</v>
      </c>
      <c r="F136" s="18">
        <v>248894.21067296623</v>
      </c>
      <c r="G136" s="18">
        <v>309801.70973861252</v>
      </c>
    </row>
    <row r="137" spans="1:7" ht="11.25" customHeight="1" x14ac:dyDescent="0.2">
      <c r="A137" s="23" t="s">
        <v>33</v>
      </c>
      <c r="B137" s="18">
        <v>80215.774085545214</v>
      </c>
      <c r="C137" s="18">
        <v>168678.43658742102</v>
      </c>
      <c r="D137" s="18">
        <v>117359.9652948931</v>
      </c>
      <c r="E137" s="18">
        <v>192441.74444371942</v>
      </c>
      <c r="F137" s="18">
        <v>248894.21067296623</v>
      </c>
      <c r="G137" s="18">
        <v>309801.70973861252</v>
      </c>
    </row>
    <row r="138" spans="1:7" ht="11.25" customHeight="1" x14ac:dyDescent="0.2">
      <c r="A138" s="24" t="s">
        <v>25</v>
      </c>
      <c r="B138" s="18">
        <v>80215.774085545214</v>
      </c>
      <c r="C138" s="18">
        <v>168678.43658742102</v>
      </c>
      <c r="D138" s="18">
        <v>117359.9652948931</v>
      </c>
      <c r="E138" s="18">
        <v>192441.74444371942</v>
      </c>
      <c r="F138" s="18">
        <v>248894.21067296623</v>
      </c>
      <c r="G138" s="18">
        <v>309801.70973861252</v>
      </c>
    </row>
    <row r="139" spans="1:7" ht="11.25" customHeight="1" x14ac:dyDescent="0.2">
      <c r="A139" s="25" t="s">
        <v>52</v>
      </c>
      <c r="B139" s="18">
        <v>80215.774085545214</v>
      </c>
      <c r="C139" s="18">
        <v>168678.43658742102</v>
      </c>
      <c r="D139" s="18">
        <v>117359.9652948931</v>
      </c>
      <c r="E139" s="18">
        <v>192441.74444371942</v>
      </c>
      <c r="F139" s="18">
        <v>248894.21067296623</v>
      </c>
      <c r="G139" s="18">
        <v>309801.70973861252</v>
      </c>
    </row>
    <row r="140" spans="1:7" ht="11.25" customHeight="1" x14ac:dyDescent="0.2">
      <c r="A140" s="26" t="s">
        <v>25</v>
      </c>
      <c r="B140" s="18">
        <v>80215.774085545214</v>
      </c>
      <c r="C140" s="18">
        <v>168678.43658742102</v>
      </c>
      <c r="D140" s="18">
        <v>117359.9652948931</v>
      </c>
      <c r="E140" s="18">
        <v>192441.74444371942</v>
      </c>
      <c r="F140" s="18">
        <v>248894.21067296623</v>
      </c>
      <c r="G140" s="18">
        <v>309801.70973861252</v>
      </c>
    </row>
    <row r="141" spans="1:7" ht="11.25" customHeight="1" x14ac:dyDescent="0.2">
      <c r="A141" s="27" t="s">
        <v>37</v>
      </c>
      <c r="B141" s="18">
        <v>0</v>
      </c>
      <c r="C141" s="18">
        <v>0</v>
      </c>
      <c r="D141" s="18">
        <v>0</v>
      </c>
      <c r="E141" s="18">
        <v>0</v>
      </c>
      <c r="F141" s="18">
        <v>0</v>
      </c>
      <c r="G141" s="18">
        <v>0</v>
      </c>
    </row>
    <row r="142" spans="1:7" ht="11.25" customHeight="1" x14ac:dyDescent="0.2">
      <c r="A142" s="28">
        <v>44378</v>
      </c>
      <c r="B142" s="18">
        <v>0</v>
      </c>
      <c r="C142" s="18">
        <v>0</v>
      </c>
      <c r="D142" s="18">
        <v>0</v>
      </c>
      <c r="E142" s="18">
        <v>0</v>
      </c>
      <c r="F142" s="18">
        <v>0</v>
      </c>
      <c r="G142" s="18">
        <v>0</v>
      </c>
    </row>
    <row r="143" spans="1:7" ht="11.25" customHeight="1" x14ac:dyDescent="0.2">
      <c r="A143" s="28">
        <v>44409</v>
      </c>
      <c r="B143" s="18">
        <v>0</v>
      </c>
      <c r="C143" s="18">
        <v>0</v>
      </c>
      <c r="D143" s="18">
        <v>0</v>
      </c>
      <c r="E143" s="18">
        <v>0</v>
      </c>
      <c r="F143" s="18">
        <v>0</v>
      </c>
      <c r="G143" s="18">
        <v>0</v>
      </c>
    </row>
    <row r="144" spans="1:7" ht="11.25" customHeight="1" x14ac:dyDescent="0.2">
      <c r="A144" s="28">
        <v>44440</v>
      </c>
      <c r="B144" s="18">
        <v>0</v>
      </c>
      <c r="C144" s="18">
        <v>0</v>
      </c>
      <c r="D144" s="18">
        <v>0</v>
      </c>
      <c r="E144" s="18">
        <v>0</v>
      </c>
      <c r="F144" s="18">
        <v>0</v>
      </c>
      <c r="G144" s="18">
        <v>0</v>
      </c>
    </row>
    <row r="145" spans="1:7" ht="11.25" customHeight="1" x14ac:dyDescent="0.2">
      <c r="A145" s="28">
        <v>44470</v>
      </c>
      <c r="B145" s="18">
        <v>0</v>
      </c>
      <c r="C145" s="18">
        <v>0</v>
      </c>
      <c r="D145" s="18">
        <v>0</v>
      </c>
      <c r="E145" s="18">
        <v>0</v>
      </c>
      <c r="F145" s="18">
        <v>0</v>
      </c>
      <c r="G145" s="18">
        <v>0</v>
      </c>
    </row>
    <row r="146" spans="1:7" ht="11.25" customHeight="1" x14ac:dyDescent="0.2">
      <c r="A146" s="28">
        <v>44501</v>
      </c>
      <c r="B146" s="18">
        <v>0</v>
      </c>
      <c r="C146" s="18">
        <v>0</v>
      </c>
      <c r="D146" s="18">
        <v>0</v>
      </c>
      <c r="E146" s="18">
        <v>0</v>
      </c>
      <c r="F146" s="18">
        <v>0</v>
      </c>
      <c r="G146" s="18">
        <v>0</v>
      </c>
    </row>
    <row r="147" spans="1:7" ht="11.25" customHeight="1" x14ac:dyDescent="0.2">
      <c r="A147" s="28">
        <v>44531</v>
      </c>
      <c r="B147" s="18">
        <v>0</v>
      </c>
      <c r="C147" s="18">
        <v>0</v>
      </c>
      <c r="D147" s="18">
        <v>0</v>
      </c>
      <c r="E147" s="18">
        <v>0</v>
      </c>
      <c r="F147" s="18">
        <v>0</v>
      </c>
      <c r="G147" s="18">
        <v>0</v>
      </c>
    </row>
    <row r="148" spans="1:7" ht="11.25" customHeight="1" x14ac:dyDescent="0.2">
      <c r="A148" s="28">
        <v>44562</v>
      </c>
      <c r="B148" s="18">
        <v>0</v>
      </c>
      <c r="C148" s="18">
        <v>0</v>
      </c>
      <c r="D148" s="18">
        <v>0</v>
      </c>
      <c r="E148" s="18">
        <v>0</v>
      </c>
      <c r="F148" s="18">
        <v>0</v>
      </c>
      <c r="G148" s="18">
        <v>0</v>
      </c>
    </row>
    <row r="149" spans="1:7" ht="11.25" customHeight="1" x14ac:dyDescent="0.2">
      <c r="A149" s="28">
        <v>44593</v>
      </c>
      <c r="B149" s="18">
        <v>0</v>
      </c>
      <c r="C149" s="18">
        <v>0</v>
      </c>
      <c r="D149" s="18">
        <v>0</v>
      </c>
      <c r="E149" s="18">
        <v>0</v>
      </c>
      <c r="F149" s="18">
        <v>0</v>
      </c>
      <c r="G149" s="18">
        <v>0</v>
      </c>
    </row>
    <row r="150" spans="1:7" ht="11.25" customHeight="1" x14ac:dyDescent="0.2">
      <c r="A150" s="28">
        <v>44621</v>
      </c>
      <c r="B150" s="18">
        <v>0</v>
      </c>
      <c r="C150" s="18">
        <v>0</v>
      </c>
      <c r="D150" s="18">
        <v>0</v>
      </c>
      <c r="E150" s="18">
        <v>0</v>
      </c>
      <c r="F150" s="18">
        <v>0</v>
      </c>
      <c r="G150" s="18">
        <v>0</v>
      </c>
    </row>
    <row r="151" spans="1:7" ht="11.25" customHeight="1" x14ac:dyDescent="0.2">
      <c r="A151" s="28">
        <v>44652</v>
      </c>
      <c r="B151" s="18">
        <v>0</v>
      </c>
      <c r="C151" s="18">
        <v>0</v>
      </c>
      <c r="D151" s="18">
        <v>0</v>
      </c>
      <c r="E151" s="18">
        <v>0</v>
      </c>
      <c r="F151" s="18">
        <v>0</v>
      </c>
      <c r="G151" s="18">
        <v>0</v>
      </c>
    </row>
    <row r="152" spans="1:7" ht="11.25" customHeight="1" x14ac:dyDescent="0.2">
      <c r="A152" s="28">
        <v>44682</v>
      </c>
      <c r="B152" s="18">
        <v>0</v>
      </c>
      <c r="C152" s="18">
        <v>0</v>
      </c>
      <c r="D152" s="18">
        <v>0</v>
      </c>
      <c r="E152" s="18">
        <v>0</v>
      </c>
      <c r="F152" s="18">
        <v>0</v>
      </c>
      <c r="G152" s="18">
        <v>0</v>
      </c>
    </row>
    <row r="153" spans="1:7" ht="11.25" customHeight="1" x14ac:dyDescent="0.2">
      <c r="A153" s="28">
        <v>44713</v>
      </c>
      <c r="B153" s="18">
        <v>0</v>
      </c>
      <c r="C153" s="18">
        <v>0</v>
      </c>
      <c r="D153" s="18">
        <v>0</v>
      </c>
      <c r="E153" s="18">
        <v>0</v>
      </c>
      <c r="F153" s="18">
        <v>0</v>
      </c>
      <c r="G153" s="18">
        <v>0</v>
      </c>
    </row>
    <row r="154" spans="1:7" ht="11.25" customHeight="1" x14ac:dyDescent="0.2">
      <c r="A154" s="27" t="s">
        <v>25</v>
      </c>
      <c r="B154" s="18">
        <v>80215.774085545214</v>
      </c>
      <c r="C154" s="18">
        <v>0</v>
      </c>
      <c r="D154" s="18">
        <v>117359.9652948931</v>
      </c>
      <c r="E154" s="18">
        <v>0</v>
      </c>
      <c r="F154" s="18">
        <v>80215.774085545214</v>
      </c>
      <c r="G154" s="18">
        <v>117359.9652948931</v>
      </c>
    </row>
    <row r="155" spans="1:7" ht="11.25" customHeight="1" x14ac:dyDescent="0.2">
      <c r="A155" s="28">
        <v>44378</v>
      </c>
      <c r="B155" s="18">
        <v>5582.1558658499998</v>
      </c>
      <c r="C155" s="18">
        <v>0</v>
      </c>
      <c r="D155" s="18">
        <v>8166.992417079874</v>
      </c>
      <c r="E155" s="18">
        <v>0</v>
      </c>
      <c r="F155" s="18">
        <v>5582.1558658499998</v>
      </c>
      <c r="G155" s="18">
        <v>8166.992417079874</v>
      </c>
    </row>
    <row r="156" spans="1:7" ht="11.25" customHeight="1" x14ac:dyDescent="0.2">
      <c r="A156" s="28">
        <v>44409</v>
      </c>
      <c r="B156" s="18">
        <v>5586.3142654499998</v>
      </c>
      <c r="C156" s="18">
        <v>0</v>
      </c>
      <c r="D156" s="18">
        <v>8173.0763779753679</v>
      </c>
      <c r="E156" s="18">
        <v>0</v>
      </c>
      <c r="F156" s="18">
        <v>5586.3142654499998</v>
      </c>
      <c r="G156" s="18">
        <v>8173.0763779753679</v>
      </c>
    </row>
    <row r="157" spans="1:7" ht="11.25" customHeight="1" x14ac:dyDescent="0.2">
      <c r="A157" s="28">
        <v>44440</v>
      </c>
      <c r="B157" s="18">
        <v>5194.9182146399999</v>
      </c>
      <c r="C157" s="18">
        <v>0</v>
      </c>
      <c r="D157" s="18">
        <v>7600.4430341814932</v>
      </c>
      <c r="E157" s="18">
        <v>0</v>
      </c>
      <c r="F157" s="18">
        <v>5194.9182146399999</v>
      </c>
      <c r="G157" s="18">
        <v>7600.4430341814932</v>
      </c>
    </row>
    <row r="158" spans="1:7" ht="11.25" customHeight="1" x14ac:dyDescent="0.2">
      <c r="A158" s="28">
        <v>44470</v>
      </c>
      <c r="B158" s="18">
        <v>5259.3526962215992</v>
      </c>
      <c r="C158" s="18">
        <v>0</v>
      </c>
      <c r="D158" s="18">
        <v>7694.7141249790038</v>
      </c>
      <c r="E158" s="18">
        <v>0</v>
      </c>
      <c r="F158" s="18">
        <v>5259.3526962215992</v>
      </c>
      <c r="G158" s="18">
        <v>7694.7141249790038</v>
      </c>
    </row>
    <row r="159" spans="1:7" ht="11.25" customHeight="1" x14ac:dyDescent="0.2">
      <c r="A159" s="28">
        <v>44501</v>
      </c>
      <c r="B159" s="18">
        <v>4792.3428707891999</v>
      </c>
      <c r="C159" s="18">
        <v>0</v>
      </c>
      <c r="D159" s="18">
        <v>7011.4537870974436</v>
      </c>
      <c r="E159" s="18">
        <v>0</v>
      </c>
      <c r="F159" s="18">
        <v>4792.3428707891999</v>
      </c>
      <c r="G159" s="18">
        <v>7011.4537870974436</v>
      </c>
    </row>
    <row r="160" spans="1:7" ht="11.25" customHeight="1" x14ac:dyDescent="0.2">
      <c r="A160" s="28">
        <v>44531</v>
      </c>
      <c r="B160" s="18">
        <v>5216.0711929199997</v>
      </c>
      <c r="C160" s="18">
        <v>0</v>
      </c>
      <c r="D160" s="18">
        <v>7631.3909721042392</v>
      </c>
      <c r="E160" s="18">
        <v>0</v>
      </c>
      <c r="F160" s="18">
        <v>5216.0711929199997</v>
      </c>
      <c r="G160" s="18">
        <v>7631.3909721042392</v>
      </c>
    </row>
    <row r="161" spans="1:7" ht="11.25" customHeight="1" x14ac:dyDescent="0.2">
      <c r="A161" s="28">
        <v>44562</v>
      </c>
      <c r="B161" s="18">
        <v>7689.0541285439995</v>
      </c>
      <c r="C161" s="18">
        <v>0</v>
      </c>
      <c r="D161" s="18">
        <v>11249.497196326221</v>
      </c>
      <c r="E161" s="18">
        <v>0</v>
      </c>
      <c r="F161" s="18">
        <v>7689.0541285439995</v>
      </c>
      <c r="G161" s="18">
        <v>11249.497196326221</v>
      </c>
    </row>
    <row r="162" spans="1:7" ht="11.25" customHeight="1" x14ac:dyDescent="0.2">
      <c r="A162" s="28">
        <v>44593</v>
      </c>
      <c r="B162" s="18">
        <v>7854.5393730684</v>
      </c>
      <c r="C162" s="18">
        <v>0</v>
      </c>
      <c r="D162" s="18">
        <v>11491.610954818272</v>
      </c>
      <c r="E162" s="18">
        <v>0</v>
      </c>
      <c r="F162" s="18">
        <v>7854.5393730684</v>
      </c>
      <c r="G162" s="18">
        <v>11491.610954818272</v>
      </c>
    </row>
    <row r="163" spans="1:7" ht="11.25" customHeight="1" x14ac:dyDescent="0.2">
      <c r="A163" s="28">
        <v>44621</v>
      </c>
      <c r="B163" s="18">
        <v>8225.210864142</v>
      </c>
      <c r="C163" s="18">
        <v>0</v>
      </c>
      <c r="D163" s="18">
        <v>12033.923159919124</v>
      </c>
      <c r="E163" s="18">
        <v>0</v>
      </c>
      <c r="F163" s="18">
        <v>8225.210864142</v>
      </c>
      <c r="G163" s="18">
        <v>12033.923159919124</v>
      </c>
    </row>
    <row r="164" spans="1:7" ht="11.25" customHeight="1" x14ac:dyDescent="0.2">
      <c r="A164" s="28">
        <v>44652</v>
      </c>
      <c r="B164" s="18">
        <v>8680.6146139200009</v>
      </c>
      <c r="C164" s="18">
        <v>0</v>
      </c>
      <c r="D164" s="18">
        <v>12700.203188733823</v>
      </c>
      <c r="E164" s="18">
        <v>0</v>
      </c>
      <c r="F164" s="18">
        <v>8680.6146139200009</v>
      </c>
      <c r="G164" s="18">
        <v>12700.203188733823</v>
      </c>
    </row>
    <row r="165" spans="1:7" ht="11.25" customHeight="1" x14ac:dyDescent="0.2">
      <c r="A165" s="28">
        <v>44682</v>
      </c>
      <c r="B165" s="18">
        <v>8067.5999999999995</v>
      </c>
      <c r="C165" s="18">
        <v>0</v>
      </c>
      <c r="D165" s="18">
        <v>11803.330040839115</v>
      </c>
      <c r="E165" s="18">
        <v>0</v>
      </c>
      <c r="F165" s="18">
        <v>8067.5999999999995</v>
      </c>
      <c r="G165" s="18">
        <v>11803.330040839115</v>
      </c>
    </row>
    <row r="166" spans="1:7" ht="11.25" customHeight="1" x14ac:dyDescent="0.2">
      <c r="A166" s="28">
        <v>44713</v>
      </c>
      <c r="B166" s="18">
        <v>8067.5999999999995</v>
      </c>
      <c r="C166" s="18">
        <v>0</v>
      </c>
      <c r="D166" s="18">
        <v>11803.330040839115</v>
      </c>
      <c r="E166" s="18">
        <v>0</v>
      </c>
      <c r="F166" s="18">
        <v>8067.5999999999995</v>
      </c>
      <c r="G166" s="18">
        <v>11803.330040839115</v>
      </c>
    </row>
    <row r="167" spans="1:7" ht="11.25" customHeight="1" x14ac:dyDescent="0.2">
      <c r="A167" s="27" t="s">
        <v>36</v>
      </c>
      <c r="B167" s="18">
        <v>0</v>
      </c>
      <c r="C167" s="18">
        <v>168678.43658742102</v>
      </c>
      <c r="D167" s="18">
        <v>0</v>
      </c>
      <c r="E167" s="18">
        <v>192441.74444371942</v>
      </c>
      <c r="F167" s="18">
        <v>168678.43658742102</v>
      </c>
      <c r="G167" s="18">
        <v>192441.74444371942</v>
      </c>
    </row>
    <row r="168" spans="1:7" ht="11.25" customHeight="1" x14ac:dyDescent="0.2">
      <c r="A168" s="28">
        <v>44378</v>
      </c>
      <c r="B168" s="18">
        <v>0</v>
      </c>
      <c r="C168" s="18">
        <v>11935.932723884287</v>
      </c>
      <c r="D168" s="18">
        <v>0</v>
      </c>
      <c r="E168" s="18">
        <v>13617.459121733771</v>
      </c>
      <c r="F168" s="18">
        <v>11935.932723884287</v>
      </c>
      <c r="G168" s="18">
        <v>13617.459121733771</v>
      </c>
    </row>
    <row r="169" spans="1:7" ht="11.25" customHeight="1" x14ac:dyDescent="0.2">
      <c r="A169" s="28">
        <v>44409</v>
      </c>
      <c r="B169" s="18">
        <v>0</v>
      </c>
      <c r="C169" s="18">
        <v>11567.333510953875</v>
      </c>
      <c r="D169" s="18">
        <v>0</v>
      </c>
      <c r="E169" s="18">
        <v>13196.931892693754</v>
      </c>
      <c r="F169" s="18">
        <v>11567.333510953875</v>
      </c>
      <c r="G169" s="18">
        <v>13196.931892693754</v>
      </c>
    </row>
    <row r="170" spans="1:7" ht="11.25" customHeight="1" x14ac:dyDescent="0.2">
      <c r="A170" s="28">
        <v>44440</v>
      </c>
      <c r="B170" s="18">
        <v>0</v>
      </c>
      <c r="C170" s="18">
        <v>11787.747508495409</v>
      </c>
      <c r="D170" s="18">
        <v>0</v>
      </c>
      <c r="E170" s="18">
        <v>13448.397670091586</v>
      </c>
      <c r="F170" s="18">
        <v>11787.747508495409</v>
      </c>
      <c r="G170" s="18">
        <v>13448.397670091586</v>
      </c>
    </row>
    <row r="171" spans="1:7" ht="11.25" customHeight="1" x14ac:dyDescent="0.2">
      <c r="A171" s="28">
        <v>44470</v>
      </c>
      <c r="B171" s="18">
        <v>0</v>
      </c>
      <c r="C171" s="18">
        <v>11945.707859228707</v>
      </c>
      <c r="D171" s="18">
        <v>0</v>
      </c>
      <c r="E171" s="18">
        <v>13628.611371754057</v>
      </c>
      <c r="F171" s="18">
        <v>11945.707859228707</v>
      </c>
      <c r="G171" s="18">
        <v>13628.611371754057</v>
      </c>
    </row>
    <row r="172" spans="1:7" ht="11.25" customHeight="1" x14ac:dyDescent="0.2">
      <c r="A172" s="28">
        <v>44501</v>
      </c>
      <c r="B172" s="18">
        <v>0</v>
      </c>
      <c r="C172" s="18">
        <v>13164.863436261076</v>
      </c>
      <c r="D172" s="18">
        <v>0</v>
      </c>
      <c r="E172" s="18">
        <v>15019.520789335736</v>
      </c>
      <c r="F172" s="18">
        <v>13164.863436261076</v>
      </c>
      <c r="G172" s="18">
        <v>15019.520789335736</v>
      </c>
    </row>
    <row r="173" spans="1:7" ht="11.25" customHeight="1" x14ac:dyDescent="0.2">
      <c r="A173" s="28">
        <v>44531</v>
      </c>
      <c r="B173" s="18">
        <v>0</v>
      </c>
      <c r="C173" s="18">
        <v>7800.7736939319102</v>
      </c>
      <c r="D173" s="18">
        <v>0</v>
      </c>
      <c r="E173" s="18">
        <v>8899.7415914091034</v>
      </c>
      <c r="F173" s="18">
        <v>7800.7736939319102</v>
      </c>
      <c r="G173" s="18">
        <v>8899.7415914091034</v>
      </c>
    </row>
    <row r="174" spans="1:7" ht="11.25" customHeight="1" x14ac:dyDescent="0.2">
      <c r="A174" s="28">
        <v>44562</v>
      </c>
      <c r="B174" s="18">
        <v>0</v>
      </c>
      <c r="C174" s="18">
        <v>17715.483678938745</v>
      </c>
      <c r="D174" s="18">
        <v>0</v>
      </c>
      <c r="E174" s="18">
        <v>20211.229436385758</v>
      </c>
      <c r="F174" s="18">
        <v>17715.483678938745</v>
      </c>
      <c r="G174" s="18">
        <v>20211.229436385758</v>
      </c>
    </row>
    <row r="175" spans="1:7" ht="11.25" customHeight="1" x14ac:dyDescent="0.2">
      <c r="A175" s="28">
        <v>44593</v>
      </c>
      <c r="B175" s="18">
        <v>0</v>
      </c>
      <c r="C175" s="18">
        <v>15753.022159921315</v>
      </c>
      <c r="D175" s="18">
        <v>0</v>
      </c>
      <c r="E175" s="18">
        <v>17972.297621721613</v>
      </c>
      <c r="F175" s="18">
        <v>15753.022159921315</v>
      </c>
      <c r="G175" s="18">
        <v>17972.297621721613</v>
      </c>
    </row>
    <row r="176" spans="1:7" ht="11.25" customHeight="1" x14ac:dyDescent="0.2">
      <c r="A176" s="28">
        <v>44621</v>
      </c>
      <c r="B176" s="18">
        <v>0</v>
      </c>
      <c r="C176" s="18">
        <v>18644.745265000322</v>
      </c>
      <c r="D176" s="18">
        <v>0</v>
      </c>
      <c r="E176" s="18">
        <v>21271.404787095427</v>
      </c>
      <c r="F176" s="18">
        <v>18644.745265000322</v>
      </c>
      <c r="G176" s="18">
        <v>21271.404787095427</v>
      </c>
    </row>
    <row r="177" spans="1:7" ht="11.25" customHeight="1" x14ac:dyDescent="0.2">
      <c r="A177" s="28">
        <v>44652</v>
      </c>
      <c r="B177" s="18">
        <v>0</v>
      </c>
      <c r="C177" s="18">
        <v>15442.9780033323</v>
      </c>
      <c r="D177" s="18">
        <v>0</v>
      </c>
      <c r="E177" s="18">
        <v>17618.574647074238</v>
      </c>
      <c r="F177" s="18">
        <v>15442.9780033323</v>
      </c>
      <c r="G177" s="18">
        <v>17618.574647074238</v>
      </c>
    </row>
    <row r="178" spans="1:7" ht="11.25" customHeight="1" x14ac:dyDescent="0.2">
      <c r="A178" s="28">
        <v>44682</v>
      </c>
      <c r="B178" s="18">
        <v>0</v>
      </c>
      <c r="C178" s="18">
        <v>16459.342456238606</v>
      </c>
      <c r="D178" s="18">
        <v>0</v>
      </c>
      <c r="E178" s="18">
        <v>18778.12385955764</v>
      </c>
      <c r="F178" s="18">
        <v>16459.342456238606</v>
      </c>
      <c r="G178" s="18">
        <v>18778.12385955764</v>
      </c>
    </row>
    <row r="179" spans="1:7" ht="11.25" customHeight="1" x14ac:dyDescent="0.2">
      <c r="A179" s="28">
        <v>44713</v>
      </c>
      <c r="B179" s="18">
        <v>0</v>
      </c>
      <c r="C179" s="18">
        <v>16460.506291234451</v>
      </c>
      <c r="D179" s="18">
        <v>0</v>
      </c>
      <c r="E179" s="18">
        <v>18779.451654866727</v>
      </c>
      <c r="F179" s="18">
        <v>16460.506291234451</v>
      </c>
      <c r="G179" s="18">
        <v>18779.451654866727</v>
      </c>
    </row>
    <row r="180" spans="1:7" ht="11.25" customHeight="1" x14ac:dyDescent="0.2">
      <c r="A180" s="20" t="s">
        <v>600</v>
      </c>
      <c r="B180" s="18">
        <v>959.74560000000031</v>
      </c>
      <c r="C180" s="18">
        <v>3506.1169407999992</v>
      </c>
      <c r="D180" s="18">
        <v>1404.1591144879724</v>
      </c>
      <c r="E180" s="18">
        <v>2158.1940294459191</v>
      </c>
      <c r="F180" s="18">
        <v>4465.8625407999998</v>
      </c>
      <c r="G180" s="18">
        <v>3562.3531439338913</v>
      </c>
    </row>
    <row r="181" spans="1:7" ht="11.25" customHeight="1" x14ac:dyDescent="0.2">
      <c r="A181" s="21" t="s">
        <v>34</v>
      </c>
      <c r="B181" s="18">
        <v>959.74560000000031</v>
      </c>
      <c r="C181" s="18">
        <v>368.54894080000037</v>
      </c>
      <c r="D181" s="18">
        <v>1404.1591144879724</v>
      </c>
      <c r="E181" s="18">
        <v>404.18289837673217</v>
      </c>
      <c r="F181" s="18">
        <v>1328.2945408000007</v>
      </c>
      <c r="G181" s="18">
        <v>1808.3420128647044</v>
      </c>
    </row>
    <row r="182" spans="1:7" ht="11.25" customHeight="1" x14ac:dyDescent="0.2">
      <c r="A182" s="22" t="s">
        <v>35</v>
      </c>
      <c r="B182" s="18">
        <v>959.74560000000031</v>
      </c>
      <c r="C182" s="18">
        <v>368.54894080000037</v>
      </c>
      <c r="D182" s="18">
        <v>1404.1591144879724</v>
      </c>
      <c r="E182" s="18">
        <v>404.18289837673217</v>
      </c>
      <c r="F182" s="18">
        <v>1328.2945408000007</v>
      </c>
      <c r="G182" s="18">
        <v>1808.3420128647044</v>
      </c>
    </row>
    <row r="183" spans="1:7" ht="11.25" customHeight="1" x14ac:dyDescent="0.2">
      <c r="A183" s="23" t="s">
        <v>40</v>
      </c>
      <c r="B183" s="18">
        <v>959.74560000000031</v>
      </c>
      <c r="C183" s="18">
        <v>368.54894080000037</v>
      </c>
      <c r="D183" s="18">
        <v>1404.1591144879724</v>
      </c>
      <c r="E183" s="18">
        <v>404.18289837673217</v>
      </c>
      <c r="F183" s="18">
        <v>1328.2945408000007</v>
      </c>
      <c r="G183" s="18">
        <v>1808.3420128647044</v>
      </c>
    </row>
    <row r="184" spans="1:7" ht="11.25" customHeight="1" x14ac:dyDescent="0.2">
      <c r="A184" s="24" t="s">
        <v>25</v>
      </c>
      <c r="B184" s="18">
        <v>959.74560000000031</v>
      </c>
      <c r="C184" s="18">
        <v>368.54894080000037</v>
      </c>
      <c r="D184" s="18">
        <v>1404.1591144879724</v>
      </c>
      <c r="E184" s="18">
        <v>404.18289837673217</v>
      </c>
      <c r="F184" s="18">
        <v>1328.2945408000007</v>
      </c>
      <c r="G184" s="18">
        <v>1808.3420128647044</v>
      </c>
    </row>
    <row r="185" spans="1:7" ht="11.25" customHeight="1" x14ac:dyDescent="0.2">
      <c r="A185" s="25" t="s">
        <v>25</v>
      </c>
      <c r="B185" s="18">
        <v>959.74560000000031</v>
      </c>
      <c r="C185" s="18">
        <v>368.54894080000037</v>
      </c>
      <c r="D185" s="18">
        <v>1404.1591144879724</v>
      </c>
      <c r="E185" s="18">
        <v>404.18289837673217</v>
      </c>
      <c r="F185" s="18">
        <v>1328.2945408000007</v>
      </c>
      <c r="G185" s="18">
        <v>1808.3420128647044</v>
      </c>
    </row>
    <row r="186" spans="1:7" ht="11.25" customHeight="1" x14ac:dyDescent="0.2">
      <c r="A186" s="26" t="s">
        <v>25</v>
      </c>
      <c r="B186" s="18">
        <v>959.74560000000031</v>
      </c>
      <c r="C186" s="18">
        <v>368.54894080000037</v>
      </c>
      <c r="D186" s="18">
        <v>1404.1591144879724</v>
      </c>
      <c r="E186" s="18">
        <v>404.18289837673217</v>
      </c>
      <c r="F186" s="18">
        <v>1328.2945408000007</v>
      </c>
      <c r="G186" s="18">
        <v>1808.3420128647044</v>
      </c>
    </row>
    <row r="187" spans="1:7" ht="11.25" customHeight="1" x14ac:dyDescent="0.2">
      <c r="A187" s="27" t="s">
        <v>37</v>
      </c>
      <c r="B187" s="18">
        <v>0</v>
      </c>
      <c r="C187" s="18">
        <v>239.9421744000004</v>
      </c>
      <c r="D187" s="18">
        <v>0</v>
      </c>
      <c r="E187" s="18">
        <v>265.12578429923019</v>
      </c>
      <c r="F187" s="18">
        <v>239.9421744000004</v>
      </c>
      <c r="G187" s="18">
        <v>265.12578429923019</v>
      </c>
    </row>
    <row r="188" spans="1:7" ht="11.25" customHeight="1" x14ac:dyDescent="0.2">
      <c r="A188" s="28">
        <v>44652</v>
      </c>
      <c r="B188" s="18">
        <v>0</v>
      </c>
      <c r="C188" s="18">
        <v>126.17233920000012</v>
      </c>
      <c r="D188" s="18">
        <v>0</v>
      </c>
      <c r="E188" s="18">
        <v>139.41500893253757</v>
      </c>
      <c r="F188" s="18">
        <v>126.17233920000012</v>
      </c>
      <c r="G188" s="18">
        <v>139.41500893253757</v>
      </c>
    </row>
    <row r="189" spans="1:7" ht="11.25" customHeight="1" x14ac:dyDescent="0.2">
      <c r="A189" s="28">
        <v>44682</v>
      </c>
      <c r="B189" s="18">
        <v>0</v>
      </c>
      <c r="C189" s="18">
        <v>82.806768000000204</v>
      </c>
      <c r="D189" s="18">
        <v>0</v>
      </c>
      <c r="E189" s="18">
        <v>91.49791763862757</v>
      </c>
      <c r="F189" s="18">
        <v>82.806768000000204</v>
      </c>
      <c r="G189" s="18">
        <v>91.49791763862757</v>
      </c>
    </row>
    <row r="190" spans="1:7" ht="11.25" customHeight="1" x14ac:dyDescent="0.2">
      <c r="A190" s="28">
        <v>44713</v>
      </c>
      <c r="B190" s="18">
        <v>0</v>
      </c>
      <c r="C190" s="18">
        <v>30.963067200000072</v>
      </c>
      <c r="D190" s="18">
        <v>0</v>
      </c>
      <c r="E190" s="18">
        <v>34.21285772806506</v>
      </c>
      <c r="F190" s="18">
        <v>30.963067200000072</v>
      </c>
      <c r="G190" s="18">
        <v>34.21285772806506</v>
      </c>
    </row>
    <row r="191" spans="1:7" ht="11.25" customHeight="1" x14ac:dyDescent="0.2">
      <c r="A191" s="27" t="s">
        <v>25</v>
      </c>
      <c r="B191" s="18">
        <v>959.74560000000031</v>
      </c>
      <c r="C191" s="18">
        <v>0</v>
      </c>
      <c r="D191" s="18">
        <v>1404.1591144879724</v>
      </c>
      <c r="E191" s="18">
        <v>0</v>
      </c>
      <c r="F191" s="18">
        <v>959.74560000000031</v>
      </c>
      <c r="G191" s="18">
        <v>1404.1591144879724</v>
      </c>
    </row>
    <row r="192" spans="1:7" ht="11.25" customHeight="1" x14ac:dyDescent="0.2">
      <c r="A192" s="28">
        <v>44378</v>
      </c>
      <c r="B192" s="18">
        <v>59.76</v>
      </c>
      <c r="C192" s="18">
        <v>0</v>
      </c>
      <c r="D192" s="18">
        <v>87.432074376586044</v>
      </c>
      <c r="E192" s="18">
        <v>0</v>
      </c>
      <c r="F192" s="18">
        <v>59.76</v>
      </c>
      <c r="G192" s="18">
        <v>87.432074376586044</v>
      </c>
    </row>
    <row r="193" spans="1:7" ht="11.25" customHeight="1" x14ac:dyDescent="0.2">
      <c r="A193" s="28">
        <v>44409</v>
      </c>
      <c r="B193" s="18">
        <v>59.76</v>
      </c>
      <c r="C193" s="18">
        <v>0</v>
      </c>
      <c r="D193" s="18">
        <v>87.432074376586044</v>
      </c>
      <c r="E193" s="18">
        <v>0</v>
      </c>
      <c r="F193" s="18">
        <v>59.76</v>
      </c>
      <c r="G193" s="18">
        <v>87.432074376586044</v>
      </c>
    </row>
    <row r="194" spans="1:7" ht="11.25" customHeight="1" x14ac:dyDescent="0.2">
      <c r="A194" s="28">
        <v>44440</v>
      </c>
      <c r="B194" s="18">
        <v>59.76</v>
      </c>
      <c r="C194" s="18">
        <v>0</v>
      </c>
      <c r="D194" s="18">
        <v>87.432074376586044</v>
      </c>
      <c r="E194" s="18">
        <v>0</v>
      </c>
      <c r="F194" s="18">
        <v>59.76</v>
      </c>
      <c r="G194" s="18">
        <v>87.432074376586044</v>
      </c>
    </row>
    <row r="195" spans="1:7" ht="11.25" customHeight="1" x14ac:dyDescent="0.2">
      <c r="A195" s="28">
        <v>44470</v>
      </c>
      <c r="B195" s="18">
        <v>59.76</v>
      </c>
      <c r="C195" s="18">
        <v>0</v>
      </c>
      <c r="D195" s="18">
        <v>87.432074376586044</v>
      </c>
      <c r="E195" s="18">
        <v>0</v>
      </c>
      <c r="F195" s="18">
        <v>59.76</v>
      </c>
      <c r="G195" s="18">
        <v>87.432074376586044</v>
      </c>
    </row>
    <row r="196" spans="1:7" ht="11.25" customHeight="1" x14ac:dyDescent="0.2">
      <c r="A196" s="28">
        <v>44501</v>
      </c>
      <c r="B196" s="18">
        <v>59.76</v>
      </c>
      <c r="C196" s="18">
        <v>0</v>
      </c>
      <c r="D196" s="18">
        <v>87.432074376586044</v>
      </c>
      <c r="E196" s="18">
        <v>0</v>
      </c>
      <c r="F196" s="18">
        <v>59.76</v>
      </c>
      <c r="G196" s="18">
        <v>87.432074376586044</v>
      </c>
    </row>
    <row r="197" spans="1:7" ht="11.25" customHeight="1" x14ac:dyDescent="0.2">
      <c r="A197" s="28">
        <v>44531</v>
      </c>
      <c r="B197" s="18">
        <v>75.297600000000088</v>
      </c>
      <c r="C197" s="18">
        <v>0</v>
      </c>
      <c r="D197" s="18">
        <v>110.16441371449855</v>
      </c>
      <c r="E197" s="18">
        <v>0</v>
      </c>
      <c r="F197" s="18">
        <v>75.297600000000088</v>
      </c>
      <c r="G197" s="18">
        <v>110.16441371449855</v>
      </c>
    </row>
    <row r="198" spans="1:7" ht="11.25" customHeight="1" x14ac:dyDescent="0.2">
      <c r="A198" s="28">
        <v>44562</v>
      </c>
      <c r="B198" s="18">
        <v>59.76</v>
      </c>
      <c r="C198" s="18">
        <v>0</v>
      </c>
      <c r="D198" s="18">
        <v>87.432074376586044</v>
      </c>
      <c r="E198" s="18">
        <v>0</v>
      </c>
      <c r="F198" s="18">
        <v>59.76</v>
      </c>
      <c r="G198" s="18">
        <v>87.432074376586044</v>
      </c>
    </row>
    <row r="199" spans="1:7" ht="11.25" customHeight="1" x14ac:dyDescent="0.2">
      <c r="A199" s="28">
        <v>44593</v>
      </c>
      <c r="B199" s="18">
        <v>83.06640000000003</v>
      </c>
      <c r="C199" s="18">
        <v>0</v>
      </c>
      <c r="D199" s="18">
        <v>121.53058338345465</v>
      </c>
      <c r="E199" s="18">
        <v>0</v>
      </c>
      <c r="F199" s="18">
        <v>83.06640000000003</v>
      </c>
      <c r="G199" s="18">
        <v>121.53058338345465</v>
      </c>
    </row>
    <row r="200" spans="1:7" ht="11.25" customHeight="1" x14ac:dyDescent="0.2">
      <c r="A200" s="28">
        <v>44621</v>
      </c>
      <c r="B200" s="18">
        <v>112.94640000000003</v>
      </c>
      <c r="C200" s="18">
        <v>0</v>
      </c>
      <c r="D200" s="18">
        <v>165.24662057174768</v>
      </c>
      <c r="E200" s="18">
        <v>0</v>
      </c>
      <c r="F200" s="18">
        <v>112.94640000000003</v>
      </c>
      <c r="G200" s="18">
        <v>165.24662057174768</v>
      </c>
    </row>
    <row r="201" spans="1:7" ht="11.25" customHeight="1" x14ac:dyDescent="0.2">
      <c r="A201" s="28">
        <v>44652</v>
      </c>
      <c r="B201" s="18">
        <v>126.09359999999997</v>
      </c>
      <c r="C201" s="18">
        <v>0</v>
      </c>
      <c r="D201" s="18">
        <v>184.48167693459649</v>
      </c>
      <c r="E201" s="18">
        <v>0</v>
      </c>
      <c r="F201" s="18">
        <v>126.09359999999997</v>
      </c>
      <c r="G201" s="18">
        <v>184.48167693459649</v>
      </c>
    </row>
    <row r="202" spans="1:7" ht="11.25" customHeight="1" x14ac:dyDescent="0.2">
      <c r="A202" s="28">
        <v>44682</v>
      </c>
      <c r="B202" s="18">
        <v>111.15359999999997</v>
      </c>
      <c r="C202" s="18">
        <v>0</v>
      </c>
      <c r="D202" s="18">
        <v>162.62365834044999</v>
      </c>
      <c r="E202" s="18">
        <v>0</v>
      </c>
      <c r="F202" s="18">
        <v>111.15359999999997</v>
      </c>
      <c r="G202" s="18">
        <v>162.62365834044999</v>
      </c>
    </row>
    <row r="203" spans="1:7" ht="11.25" customHeight="1" x14ac:dyDescent="0.2">
      <c r="A203" s="28">
        <v>44713</v>
      </c>
      <c r="B203" s="18">
        <v>92.628000000000256</v>
      </c>
      <c r="C203" s="18">
        <v>0</v>
      </c>
      <c r="D203" s="18">
        <v>135.51971528370873</v>
      </c>
      <c r="E203" s="18">
        <v>0</v>
      </c>
      <c r="F203" s="18">
        <v>92.628000000000256</v>
      </c>
      <c r="G203" s="18">
        <v>135.51971528370873</v>
      </c>
    </row>
    <row r="204" spans="1:7" ht="11.25" customHeight="1" x14ac:dyDescent="0.2">
      <c r="A204" s="27" t="s">
        <v>36</v>
      </c>
      <c r="B204" s="18">
        <v>0</v>
      </c>
      <c r="C204" s="18">
        <v>128.60676639999997</v>
      </c>
      <c r="D204" s="18">
        <v>0</v>
      </c>
      <c r="E204" s="18">
        <v>139.05711407750195</v>
      </c>
      <c r="F204" s="18">
        <v>128.60676639999997</v>
      </c>
      <c r="G204" s="18">
        <v>139.05711407750195</v>
      </c>
    </row>
    <row r="205" spans="1:7" ht="11.25" customHeight="1" x14ac:dyDescent="0.2">
      <c r="A205" s="28">
        <v>44652</v>
      </c>
      <c r="B205" s="18">
        <v>0</v>
      </c>
      <c r="C205" s="18">
        <v>80.550108800000004</v>
      </c>
      <c r="D205" s="18">
        <v>0</v>
      </c>
      <c r="E205" s="18">
        <v>87.095461474543356</v>
      </c>
      <c r="F205" s="18">
        <v>80.550108800000004</v>
      </c>
      <c r="G205" s="18">
        <v>87.095461474543356</v>
      </c>
    </row>
    <row r="206" spans="1:7" ht="11.25" customHeight="1" x14ac:dyDescent="0.2">
      <c r="A206" s="28">
        <v>44682</v>
      </c>
      <c r="B206" s="18">
        <v>0</v>
      </c>
      <c r="C206" s="18">
        <v>25.815994399999987</v>
      </c>
      <c r="D206" s="18">
        <v>0</v>
      </c>
      <c r="E206" s="18">
        <v>27.91375429765063</v>
      </c>
      <c r="F206" s="18">
        <v>25.815994399999987</v>
      </c>
      <c r="G206" s="18">
        <v>27.91375429765063</v>
      </c>
    </row>
    <row r="207" spans="1:7" ht="11.25" customHeight="1" x14ac:dyDescent="0.2">
      <c r="A207" s="28">
        <v>44713</v>
      </c>
      <c r="B207" s="18">
        <v>0</v>
      </c>
      <c r="C207" s="18">
        <v>22.240663199999986</v>
      </c>
      <c r="D207" s="18">
        <v>0</v>
      </c>
      <c r="E207" s="18">
        <v>24.047898305307974</v>
      </c>
      <c r="F207" s="18">
        <v>22.240663199999986</v>
      </c>
      <c r="G207" s="18">
        <v>24.047898305307974</v>
      </c>
    </row>
    <row r="208" spans="1:7" ht="11.25" customHeight="1" x14ac:dyDescent="0.2">
      <c r="A208" s="21" t="s">
        <v>39</v>
      </c>
      <c r="B208" s="18">
        <v>0</v>
      </c>
      <c r="C208" s="18">
        <v>3137.5679999999988</v>
      </c>
      <c r="D208" s="18">
        <v>0</v>
      </c>
      <c r="E208" s="18">
        <v>1754.0111310691868</v>
      </c>
      <c r="F208" s="18">
        <v>3137.5679999999988</v>
      </c>
      <c r="G208" s="18">
        <v>1754.0111310691868</v>
      </c>
    </row>
    <row r="209" spans="1:7" ht="11.25" customHeight="1" x14ac:dyDescent="0.2">
      <c r="A209" s="22" t="s">
        <v>23</v>
      </c>
      <c r="B209" s="18">
        <v>0</v>
      </c>
      <c r="C209" s="18">
        <v>3137.5679999999988</v>
      </c>
      <c r="D209" s="18">
        <v>0</v>
      </c>
      <c r="E209" s="18">
        <v>1754.0111310691868</v>
      </c>
      <c r="F209" s="18">
        <v>3137.5679999999988</v>
      </c>
      <c r="G209" s="18">
        <v>1754.0111310691868</v>
      </c>
    </row>
    <row r="210" spans="1:7" ht="11.25" customHeight="1" x14ac:dyDescent="0.2">
      <c r="A210" s="23" t="s">
        <v>40</v>
      </c>
      <c r="B210" s="18">
        <v>0</v>
      </c>
      <c r="C210" s="18">
        <v>3137.5679999999988</v>
      </c>
      <c r="D210" s="18">
        <v>0</v>
      </c>
      <c r="E210" s="18">
        <v>1754.0111310691868</v>
      </c>
      <c r="F210" s="18">
        <v>3137.5679999999988</v>
      </c>
      <c r="G210" s="18">
        <v>1754.0111310691868</v>
      </c>
    </row>
    <row r="211" spans="1:7" ht="11.25" customHeight="1" x14ac:dyDescent="0.2">
      <c r="A211" s="24" t="s">
        <v>25</v>
      </c>
      <c r="B211" s="18">
        <v>0</v>
      </c>
      <c r="C211" s="18">
        <v>3137.5679999999988</v>
      </c>
      <c r="D211" s="18">
        <v>0</v>
      </c>
      <c r="E211" s="18">
        <v>1754.0111310691868</v>
      </c>
      <c r="F211" s="18">
        <v>3137.5679999999988</v>
      </c>
      <c r="G211" s="18">
        <v>1754.0111310691868</v>
      </c>
    </row>
    <row r="212" spans="1:7" ht="11.25" customHeight="1" x14ac:dyDescent="0.2">
      <c r="A212" s="25" t="s">
        <v>25</v>
      </c>
      <c r="B212" s="18">
        <v>0</v>
      </c>
      <c r="C212" s="18">
        <v>3137.5679999999988</v>
      </c>
      <c r="D212" s="18">
        <v>0</v>
      </c>
      <c r="E212" s="18">
        <v>1754.0111310691868</v>
      </c>
      <c r="F212" s="18">
        <v>3137.5679999999988</v>
      </c>
      <c r="G212" s="18">
        <v>1754.0111310691868</v>
      </c>
    </row>
    <row r="213" spans="1:7" ht="11.25" customHeight="1" x14ac:dyDescent="0.2">
      <c r="A213" s="26" t="s">
        <v>25</v>
      </c>
      <c r="B213" s="18">
        <v>0</v>
      </c>
      <c r="C213" s="18">
        <v>3137.5679999999988</v>
      </c>
      <c r="D213" s="18">
        <v>0</v>
      </c>
      <c r="E213" s="18">
        <v>1754.0111310691868</v>
      </c>
      <c r="F213" s="18">
        <v>3137.5679999999988</v>
      </c>
      <c r="G213" s="18">
        <v>1754.0111310691868</v>
      </c>
    </row>
    <row r="214" spans="1:7" ht="11.25" customHeight="1" x14ac:dyDescent="0.2">
      <c r="A214" s="27" t="s">
        <v>25</v>
      </c>
      <c r="B214" s="18">
        <v>0</v>
      </c>
      <c r="C214" s="18">
        <v>3137.5679999999988</v>
      </c>
      <c r="D214" s="18">
        <v>0</v>
      </c>
      <c r="E214" s="18">
        <v>1754.0111310691868</v>
      </c>
      <c r="F214" s="18">
        <v>3137.5679999999988</v>
      </c>
      <c r="G214" s="18">
        <v>1754.0111310691868</v>
      </c>
    </row>
    <row r="215" spans="1:7" ht="11.25" customHeight="1" x14ac:dyDescent="0.2">
      <c r="A215" s="28">
        <v>44378</v>
      </c>
      <c r="B215" s="18">
        <v>0</v>
      </c>
      <c r="C215" s="18">
        <v>273.44699999999989</v>
      </c>
      <c r="D215" s="18">
        <v>0</v>
      </c>
      <c r="E215" s="18">
        <v>152.86651373212501</v>
      </c>
      <c r="F215" s="18">
        <v>273.44699999999989</v>
      </c>
      <c r="G215" s="18">
        <v>152.86651373212501</v>
      </c>
    </row>
    <row r="216" spans="1:7" ht="11.25" customHeight="1" x14ac:dyDescent="0.2">
      <c r="A216" s="28">
        <v>44409</v>
      </c>
      <c r="B216" s="18">
        <v>0</v>
      </c>
      <c r="C216" s="18">
        <v>286.21199999999988</v>
      </c>
      <c r="D216" s="18">
        <v>0</v>
      </c>
      <c r="E216" s="18">
        <v>160.00259877891861</v>
      </c>
      <c r="F216" s="18">
        <v>286.21199999999988</v>
      </c>
      <c r="G216" s="18">
        <v>160.00259877891861</v>
      </c>
    </row>
    <row r="217" spans="1:7" ht="11.25" customHeight="1" x14ac:dyDescent="0.2">
      <c r="A217" s="28">
        <v>44440</v>
      </c>
      <c r="B217" s="18">
        <v>0</v>
      </c>
      <c r="C217" s="18">
        <v>286.55699999999985</v>
      </c>
      <c r="D217" s="18">
        <v>0</v>
      </c>
      <c r="E217" s="18">
        <v>160.19546594234546</v>
      </c>
      <c r="F217" s="18">
        <v>286.55699999999985</v>
      </c>
      <c r="G217" s="18">
        <v>160.19546594234546</v>
      </c>
    </row>
    <row r="218" spans="1:7" ht="11.25" customHeight="1" x14ac:dyDescent="0.2">
      <c r="A218" s="28">
        <v>44470</v>
      </c>
      <c r="B218" s="18">
        <v>0</v>
      </c>
      <c r="C218" s="18">
        <v>281.45099999999985</v>
      </c>
      <c r="D218" s="18">
        <v>0</v>
      </c>
      <c r="E218" s="18">
        <v>157.34103192362801</v>
      </c>
      <c r="F218" s="18">
        <v>281.45099999999985</v>
      </c>
      <c r="G218" s="18">
        <v>157.34103192362801</v>
      </c>
    </row>
    <row r="219" spans="1:7" ht="11.25" customHeight="1" x14ac:dyDescent="0.2">
      <c r="A219" s="28">
        <v>44501</v>
      </c>
      <c r="B219" s="18">
        <v>0</v>
      </c>
      <c r="C219" s="18">
        <v>300.14999999999986</v>
      </c>
      <c r="D219" s="18">
        <v>0</v>
      </c>
      <c r="E219" s="18">
        <v>167.79443218136353</v>
      </c>
      <c r="F219" s="18">
        <v>300.14999999999986</v>
      </c>
      <c r="G219" s="18">
        <v>167.79443218136353</v>
      </c>
    </row>
    <row r="220" spans="1:7" ht="11.25" customHeight="1" x14ac:dyDescent="0.2">
      <c r="A220" s="28">
        <v>44531</v>
      </c>
      <c r="B220" s="18">
        <v>0</v>
      </c>
      <c r="C220" s="18">
        <v>300.97799999999989</v>
      </c>
      <c r="D220" s="18">
        <v>0</v>
      </c>
      <c r="E220" s="18">
        <v>168.257313373588</v>
      </c>
      <c r="F220" s="18">
        <v>300.97799999999989</v>
      </c>
      <c r="G220" s="18">
        <v>168.257313373588</v>
      </c>
    </row>
    <row r="221" spans="1:7" ht="11.25" customHeight="1" x14ac:dyDescent="0.2">
      <c r="A221" s="28">
        <v>44562</v>
      </c>
      <c r="B221" s="18">
        <v>0</v>
      </c>
      <c r="C221" s="18">
        <v>224.59499999999991</v>
      </c>
      <c r="D221" s="18">
        <v>0</v>
      </c>
      <c r="E221" s="18">
        <v>125.55652339088238</v>
      </c>
      <c r="F221" s="18">
        <v>224.59499999999991</v>
      </c>
      <c r="G221" s="18">
        <v>125.55652339088238</v>
      </c>
    </row>
    <row r="222" spans="1:7" ht="11.25" customHeight="1" x14ac:dyDescent="0.2">
      <c r="A222" s="28">
        <v>44593</v>
      </c>
      <c r="B222" s="18">
        <v>0</v>
      </c>
      <c r="C222" s="18">
        <v>262.5449999999999</v>
      </c>
      <c r="D222" s="18">
        <v>0</v>
      </c>
      <c r="E222" s="18">
        <v>146.77191136783642</v>
      </c>
      <c r="F222" s="18">
        <v>262.5449999999999</v>
      </c>
      <c r="G222" s="18">
        <v>146.77191136783642</v>
      </c>
    </row>
    <row r="223" spans="1:7" ht="11.25" customHeight="1" x14ac:dyDescent="0.2">
      <c r="A223" s="28">
        <v>44621</v>
      </c>
      <c r="B223" s="18">
        <v>0</v>
      </c>
      <c r="C223" s="18">
        <v>228.94199999999992</v>
      </c>
      <c r="D223" s="18">
        <v>0</v>
      </c>
      <c r="E223" s="18">
        <v>127.98664965006076</v>
      </c>
      <c r="F223" s="18">
        <v>228.94199999999992</v>
      </c>
      <c r="G223" s="18">
        <v>127.98664965006076</v>
      </c>
    </row>
    <row r="224" spans="1:7" ht="11.25" customHeight="1" x14ac:dyDescent="0.2">
      <c r="A224" s="28">
        <v>44652</v>
      </c>
      <c r="B224" s="18">
        <v>0</v>
      </c>
      <c r="C224" s="18">
        <v>220.5929999999999</v>
      </c>
      <c r="D224" s="18">
        <v>0</v>
      </c>
      <c r="E224" s="18">
        <v>123.31926429513086</v>
      </c>
      <c r="F224" s="18">
        <v>220.5929999999999</v>
      </c>
      <c r="G224" s="18">
        <v>123.31926429513086</v>
      </c>
    </row>
    <row r="225" spans="1:7" ht="11.25" customHeight="1" x14ac:dyDescent="0.2">
      <c r="A225" s="28">
        <v>44682</v>
      </c>
      <c r="B225" s="18">
        <v>0</v>
      </c>
      <c r="C225" s="18">
        <v>222.6629999999999</v>
      </c>
      <c r="D225" s="18">
        <v>0</v>
      </c>
      <c r="E225" s="18">
        <v>124.47646727569199</v>
      </c>
      <c r="F225" s="18">
        <v>222.6629999999999</v>
      </c>
      <c r="G225" s="18">
        <v>124.47646727569199</v>
      </c>
    </row>
    <row r="226" spans="1:7" ht="11.25" customHeight="1" x14ac:dyDescent="0.2">
      <c r="A226" s="28">
        <v>44713</v>
      </c>
      <c r="B226" s="18">
        <v>0</v>
      </c>
      <c r="C226" s="18">
        <v>249.43499999999992</v>
      </c>
      <c r="D226" s="18">
        <v>0</v>
      </c>
      <c r="E226" s="18">
        <v>139.44295915761592</v>
      </c>
      <c r="F226" s="18">
        <v>249.43499999999992</v>
      </c>
      <c r="G226" s="18">
        <v>139.44295915761592</v>
      </c>
    </row>
    <row r="227" spans="1:7" ht="11.25" customHeight="1" x14ac:dyDescent="0.2">
      <c r="A227" s="20" t="s">
        <v>609</v>
      </c>
      <c r="B227" s="18">
        <v>0</v>
      </c>
      <c r="C227" s="18">
        <v>0</v>
      </c>
      <c r="D227" s="18">
        <v>0</v>
      </c>
      <c r="E227" s="18">
        <v>0</v>
      </c>
      <c r="F227" s="18">
        <v>0</v>
      </c>
      <c r="G227" s="18">
        <v>0</v>
      </c>
    </row>
    <row r="228" spans="1:7" ht="11.25" customHeight="1" x14ac:dyDescent="0.2">
      <c r="A228" s="21" t="s">
        <v>22</v>
      </c>
      <c r="B228" s="18">
        <v>0</v>
      </c>
      <c r="C228" s="18">
        <v>0</v>
      </c>
      <c r="D228" s="18">
        <v>0</v>
      </c>
      <c r="E228" s="18">
        <v>0</v>
      </c>
      <c r="F228" s="18">
        <v>0</v>
      </c>
      <c r="G228" s="18">
        <v>0</v>
      </c>
    </row>
    <row r="229" spans="1:7" ht="11.25" customHeight="1" x14ac:dyDescent="0.2">
      <c r="A229" s="22" t="s">
        <v>23</v>
      </c>
      <c r="B229" s="18">
        <v>0</v>
      </c>
      <c r="C229" s="18">
        <v>0</v>
      </c>
      <c r="D229" s="18">
        <v>0</v>
      </c>
      <c r="E229" s="18">
        <v>0</v>
      </c>
      <c r="F229" s="18">
        <v>0</v>
      </c>
      <c r="G229" s="18">
        <v>0</v>
      </c>
    </row>
    <row r="230" spans="1:7" ht="11.25" customHeight="1" x14ac:dyDescent="0.2">
      <c r="A230" s="23" t="s">
        <v>24</v>
      </c>
      <c r="B230" s="18">
        <v>0</v>
      </c>
      <c r="C230" s="18">
        <v>0</v>
      </c>
      <c r="D230" s="18">
        <v>0</v>
      </c>
      <c r="E230" s="18">
        <v>0</v>
      </c>
      <c r="F230" s="18">
        <v>0</v>
      </c>
      <c r="G230" s="18">
        <v>0</v>
      </c>
    </row>
    <row r="231" spans="1:7" ht="11.25" customHeight="1" x14ac:dyDescent="0.2">
      <c r="A231" s="24" t="s">
        <v>24</v>
      </c>
      <c r="B231" s="18">
        <v>0</v>
      </c>
      <c r="C231" s="18">
        <v>0</v>
      </c>
      <c r="D231" s="18">
        <v>0</v>
      </c>
      <c r="E231" s="18">
        <v>0</v>
      </c>
      <c r="F231" s="18">
        <v>0</v>
      </c>
      <c r="G231" s="18">
        <v>0</v>
      </c>
    </row>
    <row r="232" spans="1:7" ht="11.25" customHeight="1" x14ac:dyDescent="0.2">
      <c r="A232" s="25" t="s">
        <v>25</v>
      </c>
      <c r="B232" s="18">
        <v>0</v>
      </c>
      <c r="C232" s="18">
        <v>0</v>
      </c>
      <c r="D232" s="18">
        <v>0</v>
      </c>
      <c r="E232" s="18">
        <v>0</v>
      </c>
      <c r="F232" s="18">
        <v>0</v>
      </c>
      <c r="G232" s="18">
        <v>0</v>
      </c>
    </row>
    <row r="233" spans="1:7" ht="11.25" customHeight="1" x14ac:dyDescent="0.2">
      <c r="A233" s="26" t="s">
        <v>25</v>
      </c>
      <c r="B233" s="18">
        <v>0</v>
      </c>
      <c r="C233" s="18">
        <v>0</v>
      </c>
      <c r="D233" s="18">
        <v>0</v>
      </c>
      <c r="E233" s="18">
        <v>0</v>
      </c>
      <c r="F233" s="18">
        <v>0</v>
      </c>
      <c r="G233" s="18">
        <v>0</v>
      </c>
    </row>
    <row r="234" spans="1:7" ht="11.25" customHeight="1" x14ac:dyDescent="0.2">
      <c r="A234" s="27" t="s">
        <v>25</v>
      </c>
      <c r="B234" s="18">
        <v>0</v>
      </c>
      <c r="C234" s="18">
        <v>0</v>
      </c>
      <c r="D234" s="18">
        <v>0</v>
      </c>
      <c r="E234" s="18">
        <v>0</v>
      </c>
      <c r="F234" s="18">
        <v>0</v>
      </c>
      <c r="G234" s="18">
        <v>0</v>
      </c>
    </row>
    <row r="235" spans="1:7" ht="11.25" customHeight="1" x14ac:dyDescent="0.2">
      <c r="A235" s="28">
        <v>44378</v>
      </c>
      <c r="B235" s="18">
        <v>0</v>
      </c>
      <c r="C235" s="18">
        <v>0</v>
      </c>
      <c r="D235" s="18">
        <v>0</v>
      </c>
      <c r="E235" s="18">
        <v>0</v>
      </c>
      <c r="F235" s="18">
        <v>0</v>
      </c>
      <c r="G235" s="18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FE88A-DF07-439E-867C-F3A8BD84D626}">
  <dimension ref="A1:V35"/>
  <sheetViews>
    <sheetView showGridLines="0" topLeftCell="D1" zoomScale="115" zoomScaleNormal="115" workbookViewId="0">
      <selection activeCell="X5" sqref="X5"/>
    </sheetView>
  </sheetViews>
  <sheetFormatPr defaultRowHeight="11.25" customHeight="1" x14ac:dyDescent="0.25"/>
  <cols>
    <col min="1" max="1" width="9.28515625" style="8" bestFit="1" customWidth="1"/>
    <col min="2" max="2" width="11.140625" style="8" bestFit="1" customWidth="1"/>
    <col min="3" max="3" width="10.28515625" style="8" bestFit="1" customWidth="1"/>
    <col min="4" max="4" width="6.28515625" style="8" bestFit="1" customWidth="1"/>
    <col min="5" max="10" width="7.7109375" style="8" customWidth="1"/>
    <col min="11" max="12" width="9.140625" style="8"/>
    <col min="13" max="13" width="14.28515625" style="8" customWidth="1"/>
    <col min="14" max="14" width="16.7109375" style="8" customWidth="1"/>
    <col min="15" max="15" width="31.7109375" style="8" customWidth="1"/>
    <col min="16" max="22" width="7.7109375" style="8" customWidth="1"/>
    <col min="23" max="16384" width="9.140625" style="8"/>
  </cols>
  <sheetData>
    <row r="1" spans="1:22" ht="11.25" customHeight="1" x14ac:dyDescent="0.25">
      <c r="A1" s="129" t="s">
        <v>679</v>
      </c>
      <c r="B1" s="151"/>
      <c r="C1" s="151"/>
      <c r="D1" s="151"/>
      <c r="E1" s="151"/>
      <c r="F1" s="151"/>
      <c r="G1" s="151"/>
      <c r="H1" s="151"/>
      <c r="I1" s="151"/>
      <c r="J1" s="151"/>
      <c r="L1" s="129" t="s">
        <v>689</v>
      </c>
      <c r="M1" s="130"/>
      <c r="N1" s="130"/>
      <c r="O1" s="130"/>
      <c r="P1" s="130"/>
      <c r="Q1" s="130"/>
      <c r="R1" s="130"/>
      <c r="S1" s="130"/>
      <c r="T1" s="130"/>
      <c r="U1" s="130"/>
      <c r="V1" s="130"/>
    </row>
    <row r="2" spans="1:22" ht="11.25" customHeight="1" x14ac:dyDescent="0.25">
      <c r="A2" s="142" t="s">
        <v>60</v>
      </c>
      <c r="B2" s="142" t="s">
        <v>61</v>
      </c>
      <c r="C2" s="142" t="s">
        <v>680</v>
      </c>
      <c r="D2" s="142" t="s">
        <v>66</v>
      </c>
      <c r="E2" s="142" t="s">
        <v>681</v>
      </c>
      <c r="F2" s="149"/>
      <c r="G2" s="149"/>
      <c r="H2" s="142" t="s">
        <v>450</v>
      </c>
      <c r="I2" s="149"/>
      <c r="J2" s="149"/>
      <c r="L2" s="142" t="s">
        <v>60</v>
      </c>
      <c r="M2" s="142" t="s">
        <v>61</v>
      </c>
      <c r="N2" s="142" t="s">
        <v>62</v>
      </c>
      <c r="O2" s="142" t="s">
        <v>63</v>
      </c>
      <c r="P2" s="142" t="s">
        <v>66</v>
      </c>
      <c r="Q2" s="142" t="s">
        <v>681</v>
      </c>
      <c r="R2" s="150"/>
      <c r="S2" s="150"/>
      <c r="T2" s="142" t="s">
        <v>450</v>
      </c>
      <c r="U2" s="150"/>
      <c r="V2" s="150"/>
    </row>
    <row r="3" spans="1:22" ht="11.25" customHeight="1" x14ac:dyDescent="0.25">
      <c r="A3" s="149"/>
      <c r="B3" s="149"/>
      <c r="C3" s="149"/>
      <c r="D3" s="149"/>
      <c r="E3" s="142" t="s">
        <v>408</v>
      </c>
      <c r="F3" s="149"/>
      <c r="G3" s="55" t="s">
        <v>436</v>
      </c>
      <c r="H3" s="142" t="s">
        <v>408</v>
      </c>
      <c r="I3" s="149"/>
      <c r="J3" s="55" t="s">
        <v>436</v>
      </c>
      <c r="L3" s="150"/>
      <c r="M3" s="150"/>
      <c r="N3" s="150"/>
      <c r="O3" s="150"/>
      <c r="P3" s="150"/>
      <c r="Q3" s="142" t="s">
        <v>408</v>
      </c>
      <c r="R3" s="150"/>
      <c r="S3" s="55" t="s">
        <v>436</v>
      </c>
      <c r="T3" s="142" t="s">
        <v>408</v>
      </c>
      <c r="U3" s="150"/>
      <c r="V3" s="55" t="s">
        <v>436</v>
      </c>
    </row>
    <row r="4" spans="1:22" ht="11.25" customHeight="1" x14ac:dyDescent="0.25">
      <c r="A4" s="149"/>
      <c r="B4" s="149"/>
      <c r="C4" s="149"/>
      <c r="D4" s="149"/>
      <c r="E4" s="55" t="s">
        <v>682</v>
      </c>
      <c r="F4" s="55" t="s">
        <v>683</v>
      </c>
      <c r="G4" s="55" t="s">
        <v>683</v>
      </c>
      <c r="H4" s="55" t="s">
        <v>682</v>
      </c>
      <c r="I4" s="55" t="s">
        <v>683</v>
      </c>
      <c r="J4" s="55" t="s">
        <v>683</v>
      </c>
      <c r="L4" s="150"/>
      <c r="M4" s="150"/>
      <c r="N4" s="150"/>
      <c r="O4" s="150"/>
      <c r="P4" s="150"/>
      <c r="Q4" s="55" t="s">
        <v>682</v>
      </c>
      <c r="R4" s="55" t="s">
        <v>683</v>
      </c>
      <c r="S4" s="55" t="s">
        <v>683</v>
      </c>
      <c r="T4" s="55" t="s">
        <v>682</v>
      </c>
      <c r="U4" s="55" t="s">
        <v>683</v>
      </c>
      <c r="V4" s="55" t="s">
        <v>683</v>
      </c>
    </row>
    <row r="5" spans="1:22" ht="11.25" customHeight="1" x14ac:dyDescent="0.25">
      <c r="A5" s="148" t="s">
        <v>34</v>
      </c>
      <c r="B5" s="148" t="s">
        <v>51</v>
      </c>
      <c r="C5" s="148" t="s">
        <v>25</v>
      </c>
      <c r="D5" s="56" t="s">
        <v>684</v>
      </c>
      <c r="E5" s="54">
        <f ca="1">ROUND('TUSD BE'!$AM$5+'TUSD BF'!$AM$5+'TUSD CVA'!$AM$5,2)</f>
        <v>35.090000000000003</v>
      </c>
      <c r="F5" s="54">
        <f ca="1">ROUND('TUSD BE'!$AM$7+'TUSD BF'!$AM$7+'TUSD CVA'!$AM$7,2)</f>
        <v>114.48</v>
      </c>
      <c r="G5" s="54">
        <f>ROUND('TE BE'!$AB$5+'TE BF'!$AB$5+'TE CVA'!$AB$5,2)</f>
        <v>347.99</v>
      </c>
      <c r="H5" s="54">
        <f ca="1">ROUND('TUSD BE'!$AM$5,2)</f>
        <v>37.770000000000003</v>
      </c>
      <c r="I5" s="54">
        <f ca="1">ROUND('TUSD BE'!$AM$7,2)</f>
        <v>108.24</v>
      </c>
      <c r="J5" s="54">
        <f>ROUND('TE BE'!$AB$5,2)</f>
        <v>360.26</v>
      </c>
      <c r="L5" s="145" t="s">
        <v>22</v>
      </c>
      <c r="M5" s="145" t="s">
        <v>690</v>
      </c>
      <c r="N5" s="145" t="s">
        <v>691</v>
      </c>
      <c r="O5" s="145" t="s">
        <v>691</v>
      </c>
      <c r="P5" s="56" t="s">
        <v>684</v>
      </c>
      <c r="Q5" s="54">
        <v>0</v>
      </c>
      <c r="R5" s="54">
        <f ca="1">ROUND('TUSD BE'!$AM$17+'TUSD BF'!$AM$17+'TUSD CVA'!$AM$17,2)</f>
        <v>967.19</v>
      </c>
      <c r="S5" s="54">
        <f>ROUND('TE BE'!$AB$8+'TE BF'!$AB$8+'TE CVA'!$AB$8,2)</f>
        <v>347.99</v>
      </c>
      <c r="T5" s="54">
        <v>0</v>
      </c>
      <c r="U5" s="54">
        <f ca="1">ROUND('TUSD BE'!$AM$17,2)</f>
        <v>1045.5999999999999</v>
      </c>
      <c r="V5" s="54">
        <f>ROUND('TE BE'!$AB$8,2)</f>
        <v>360.26</v>
      </c>
    </row>
    <row r="6" spans="1:22" ht="11.25" customHeight="1" x14ac:dyDescent="0.25">
      <c r="A6" s="149"/>
      <c r="B6" s="149"/>
      <c r="C6" s="149"/>
      <c r="D6" s="56" t="s">
        <v>685</v>
      </c>
      <c r="E6" s="54">
        <f ca="1">ROUND('TUSD BE'!$AM$6+'TUSD BF'!$AM$6+'TUSD CVA'!$AM$6,2)</f>
        <v>19.63</v>
      </c>
      <c r="F6" s="54">
        <f ca="1">ROUND('TUSD BE'!$AM$7+'TUSD BF'!$AM$7+'TUSD CVA'!$AM$7,2)</f>
        <v>114.48</v>
      </c>
      <c r="G6" s="54">
        <f>ROUND('TE BE'!$AB$6+'TE BF'!$AB$6+'TE CVA'!$AB$6,2)</f>
        <v>216.6</v>
      </c>
      <c r="H6" s="54">
        <f ca="1">ROUND('TUSD BE'!$AM$6,2)</f>
        <v>21.08</v>
      </c>
      <c r="I6" s="54">
        <f ca="1">ROUND('TUSD BE'!$AM$7,2)</f>
        <v>108.24</v>
      </c>
      <c r="J6" s="54">
        <f>ROUND('TE BE'!$AB$6,2)</f>
        <v>220.58</v>
      </c>
      <c r="L6" s="146"/>
      <c r="M6" s="146"/>
      <c r="N6" s="146"/>
      <c r="O6" s="146"/>
      <c r="P6" s="56" t="s">
        <v>692</v>
      </c>
      <c r="Q6" s="54">
        <v>0</v>
      </c>
      <c r="R6" s="54">
        <f ca="1">ROUND('TUSD BE'!$AM$18+'TUSD BF'!$AM$18+'TUSD CVA'!$AM$18,2)</f>
        <v>553.45000000000005</v>
      </c>
      <c r="S6" s="54">
        <f>ROUND('TE BE'!$AB$9+'TE BF'!$AB$9+'TE CVA'!$AB$9,2)</f>
        <v>216.6</v>
      </c>
      <c r="T6" s="54">
        <v>0</v>
      </c>
      <c r="U6" s="54">
        <f ca="1">ROUND('TUSD BE'!$AM$18,2)</f>
        <v>589.36</v>
      </c>
      <c r="V6" s="54">
        <f>ROUND('TE BE'!$AB$9,2)</f>
        <v>220.58</v>
      </c>
    </row>
    <row r="7" spans="1:22" ht="11.25" customHeight="1" x14ac:dyDescent="0.25">
      <c r="A7" s="149"/>
      <c r="B7" s="148" t="s">
        <v>686</v>
      </c>
      <c r="C7" s="148" t="s">
        <v>25</v>
      </c>
      <c r="D7" s="56" t="s">
        <v>684</v>
      </c>
      <c r="E7" s="54">
        <f ca="1">ROUND('TUSD BE'!$AM$5+'TUSD BF'!$AM$5+'TUSD CVA'!$AM$5,2)</f>
        <v>35.090000000000003</v>
      </c>
      <c r="F7" s="54">
        <f ca="1">ROUND('TUSD BE'!$AM$8+'TUSD BF'!$AM$8+'TUSD CVA'!$AM$8,2)</f>
        <v>11.87</v>
      </c>
      <c r="G7" s="54">
        <v>0</v>
      </c>
      <c r="H7" s="54">
        <f ca="1">ROUND('TUSD BE'!$AM$5,2)</f>
        <v>37.770000000000003</v>
      </c>
      <c r="I7" s="54">
        <f ca="1">ROUND('TUSD BE'!$AM$8,2)</f>
        <v>12.62</v>
      </c>
      <c r="J7" s="54">
        <v>0</v>
      </c>
      <c r="L7" s="146"/>
      <c r="M7" s="147"/>
      <c r="N7" s="147"/>
      <c r="O7" s="147"/>
      <c r="P7" s="56" t="s">
        <v>685</v>
      </c>
      <c r="Q7" s="54">
        <v>0</v>
      </c>
      <c r="R7" s="54">
        <f ca="1">ROUND('TUSD BE'!$AM$19+'TUSD BF'!$AM$19+'TUSD CVA'!$AM$19,2)</f>
        <v>222.46</v>
      </c>
      <c r="S7" s="54">
        <f>ROUND('TE BE'!$AB$10+'TE BF'!$AB$10+'TE CVA'!$AB$10,2)</f>
        <v>216.6</v>
      </c>
      <c r="T7" s="54">
        <v>0</v>
      </c>
      <c r="U7" s="54">
        <f ca="1">ROUND('TUSD BE'!$AM$19,2)</f>
        <v>224.36</v>
      </c>
      <c r="V7" s="54">
        <f>ROUND('TE BE'!$AB$10,2)</f>
        <v>220.58</v>
      </c>
    </row>
    <row r="8" spans="1:22" ht="11.25" customHeight="1" x14ac:dyDescent="0.25">
      <c r="A8" s="149"/>
      <c r="B8" s="149"/>
      <c r="C8" s="149"/>
      <c r="D8" s="56" t="s">
        <v>685</v>
      </c>
      <c r="E8" s="54">
        <f ca="1">ROUND('TUSD BE'!$AM$6+'TUSD BF'!$AM$6+'TUSD CVA'!$AM$6,2)</f>
        <v>19.63</v>
      </c>
      <c r="F8" s="54">
        <f ca="1">ROUND('TUSD BE'!$AM$8+'TUSD BF'!$AM$8+'TUSD CVA'!$AM$8,2)</f>
        <v>11.87</v>
      </c>
      <c r="G8" s="54">
        <v>0</v>
      </c>
      <c r="H8" s="54">
        <f ca="1">ROUND('TUSD BE'!$AM$6,2)</f>
        <v>21.08</v>
      </c>
      <c r="I8" s="54">
        <f ca="1">ROUND('TUSD BE'!$AM$8,2)</f>
        <v>12.62</v>
      </c>
      <c r="J8" s="54">
        <v>0</v>
      </c>
      <c r="L8" s="146"/>
      <c r="M8" s="56" t="s">
        <v>693</v>
      </c>
      <c r="N8" s="56" t="s">
        <v>691</v>
      </c>
      <c r="O8" s="56" t="s">
        <v>691</v>
      </c>
      <c r="P8" s="56" t="s">
        <v>687</v>
      </c>
      <c r="Q8" s="54">
        <v>0</v>
      </c>
      <c r="R8" s="54">
        <f ca="1">ROUND('TUSD BE'!$AM$25+'TUSD BF'!$AM$25+'TUSD CVA'!$AM$25,2)</f>
        <v>376.13</v>
      </c>
      <c r="S8" s="54">
        <f>ROUND('TE BE'!$AB$16+'TE BF'!$AB$16+'TE CVA'!$AB$16,2)</f>
        <v>227.55</v>
      </c>
      <c r="T8" s="54">
        <v>0</v>
      </c>
      <c r="U8" s="54">
        <f ca="1">ROUND('TUSD BE'!$AM$25,2)</f>
        <v>393.82</v>
      </c>
      <c r="V8" s="54">
        <f>ROUND('TE BE'!$AB$16,2)</f>
        <v>232.22</v>
      </c>
    </row>
    <row r="9" spans="1:22" ht="11.25" customHeight="1" x14ac:dyDescent="0.25">
      <c r="A9" s="149"/>
      <c r="B9" s="148" t="s">
        <v>35</v>
      </c>
      <c r="C9" s="148" t="s">
        <v>25</v>
      </c>
      <c r="D9" s="56" t="s">
        <v>687</v>
      </c>
      <c r="E9" s="54">
        <f ca="1">ROUND('TUSD BE'!$AM$10+'TUSD BF'!$AM$10+'TUSD CVA'!$AM$10,2)</f>
        <v>19.63</v>
      </c>
      <c r="F9" s="54">
        <v>0</v>
      </c>
      <c r="G9" s="54">
        <v>0</v>
      </c>
      <c r="H9" s="54">
        <f ca="1">ROUND('TUSD BE'!$AM$10,2)</f>
        <v>21.08</v>
      </c>
      <c r="I9" s="54">
        <v>0</v>
      </c>
      <c r="J9" s="54">
        <v>0</v>
      </c>
      <c r="L9" s="146"/>
      <c r="M9" s="56" t="s">
        <v>695</v>
      </c>
      <c r="N9" s="56" t="s">
        <v>691</v>
      </c>
      <c r="O9" s="56" t="s">
        <v>691</v>
      </c>
      <c r="P9" s="56" t="s">
        <v>687</v>
      </c>
      <c r="Q9" s="54">
        <v>0</v>
      </c>
      <c r="R9" s="54">
        <f ca="1">ROUND('TUSD BE'!$AM$20+'TUSD BF'!$AM$20+'TUSD CVA'!$AM$20,2)</f>
        <v>376.13</v>
      </c>
      <c r="S9" s="54">
        <f>ROUND('TE BE'!$AB$11+'TE BF'!$AB$11+'TE CVA'!$AB$11,2)</f>
        <v>227.55</v>
      </c>
      <c r="T9" s="54">
        <v>0</v>
      </c>
      <c r="U9" s="54">
        <f ca="1">ROUND('TUSD BE'!$AM$20,2)</f>
        <v>393.82</v>
      </c>
      <c r="V9" s="54">
        <f>ROUND('TE BE'!$AB$11,2)</f>
        <v>232.22</v>
      </c>
    </row>
    <row r="10" spans="1:22" ht="11.25" customHeight="1" x14ac:dyDescent="0.25">
      <c r="A10" s="149"/>
      <c r="B10" s="149"/>
      <c r="C10" s="149"/>
      <c r="D10" s="56" t="s">
        <v>684</v>
      </c>
      <c r="E10" s="54">
        <v>0</v>
      </c>
      <c r="F10" s="54">
        <f ca="1">ROUND('TUSD BE'!$AM$11+'TUSD BF'!$AM$11+'TUSD CVA'!$AM$11,2)</f>
        <v>966.51</v>
      </c>
      <c r="G10" s="54">
        <f>ROUND('TE BE'!$AB$5+'TE BF'!$AB$5+'TE CVA'!$AB$5,2)</f>
        <v>347.99</v>
      </c>
      <c r="H10" s="54">
        <v>0</v>
      </c>
      <c r="I10" s="54">
        <f ca="1">ROUND('TUSD BE'!$AM$11,2)</f>
        <v>1025.7</v>
      </c>
      <c r="J10" s="54">
        <f>ROUND('TE BE'!$AB$5,2)</f>
        <v>360.26</v>
      </c>
      <c r="L10" s="146"/>
      <c r="M10" s="56" t="s">
        <v>693</v>
      </c>
      <c r="N10" s="56" t="s">
        <v>691</v>
      </c>
      <c r="O10" s="56" t="s">
        <v>694</v>
      </c>
      <c r="P10" s="56" t="s">
        <v>687</v>
      </c>
      <c r="Q10" s="54">
        <v>0</v>
      </c>
      <c r="R10" s="54">
        <f ca="1">ROUND('TUSD BE'!$AM$26+'TUSD BF'!$AM$26+'TUSD CVA'!$AM$26,2)</f>
        <v>257.16000000000003</v>
      </c>
      <c r="S10" s="54">
        <f>ROUND('TE BE'!$AB$17+'TE BF'!$AB$17+'TE CVA'!$AB$17,2)</f>
        <v>227.55</v>
      </c>
      <c r="T10" s="54">
        <v>0</v>
      </c>
      <c r="U10" s="54">
        <f ca="1">ROUND('TUSD BE'!$AM$26,2)</f>
        <v>282.81</v>
      </c>
      <c r="V10" s="54">
        <f>ROUND('TE BE'!$AB$17,2)</f>
        <v>232.22</v>
      </c>
    </row>
    <row r="11" spans="1:22" ht="11.25" customHeight="1" x14ac:dyDescent="0.25">
      <c r="A11" s="149"/>
      <c r="B11" s="149"/>
      <c r="C11" s="149"/>
      <c r="D11" s="56" t="s">
        <v>685</v>
      </c>
      <c r="E11" s="54">
        <v>0</v>
      </c>
      <c r="F11" s="54">
        <f ca="1">ROUND('TUSD BE'!$AM$12+'TUSD BF'!$AM$12+'TUSD CVA'!$AM$12,2)</f>
        <v>114.48</v>
      </c>
      <c r="G11" s="54">
        <f>ROUND('TE BE'!$AB$6+'TE BF'!$AB$6+'TE CVA'!$AB$6,2)</f>
        <v>216.6</v>
      </c>
      <c r="H11" s="54">
        <v>0</v>
      </c>
      <c r="I11" s="54">
        <f ca="1">ROUND('TUSD BE'!$AM$12,2)</f>
        <v>108.24</v>
      </c>
      <c r="J11" s="54">
        <f>ROUND('TE BE'!$AB$6,2)</f>
        <v>220.58</v>
      </c>
      <c r="L11" s="147"/>
      <c r="M11" s="56" t="s">
        <v>695</v>
      </c>
      <c r="N11" s="56" t="s">
        <v>691</v>
      </c>
      <c r="O11" s="56" t="s">
        <v>694</v>
      </c>
      <c r="P11" s="56" t="s">
        <v>687</v>
      </c>
      <c r="Q11" s="54">
        <v>0</v>
      </c>
      <c r="R11" s="54">
        <f ca="1">ROUND('TUSD BE'!$AM$21+'TUSD BF'!$AM$21+'TUSD CVA'!$AM$21,2)</f>
        <v>257.16000000000003</v>
      </c>
      <c r="S11" s="54">
        <f>ROUND('TE BE'!$AB$12+'TE BF'!$AB$12+'TE CVA'!$AB$12,2)</f>
        <v>227.55</v>
      </c>
      <c r="T11" s="54">
        <v>0</v>
      </c>
      <c r="U11" s="54">
        <f ca="1">ROUND('TUSD BE'!$AM$21,2)</f>
        <v>282.81</v>
      </c>
      <c r="V11" s="54">
        <f>ROUND('TE BE'!$AB$12,2)</f>
        <v>232.22</v>
      </c>
    </row>
    <row r="12" spans="1:22" ht="11.25" customHeight="1" x14ac:dyDescent="0.25">
      <c r="A12" s="149"/>
      <c r="B12" s="148" t="s">
        <v>688</v>
      </c>
      <c r="C12" s="148" t="s">
        <v>25</v>
      </c>
      <c r="D12" s="56" t="s">
        <v>687</v>
      </c>
      <c r="E12" s="54">
        <f ca="1">ROUND('TUSD BE'!$AM$10+'TUSD BF'!$AM$10+'TUSD CVA'!$AM$10,2)</f>
        <v>19.63</v>
      </c>
      <c r="F12" s="54">
        <v>0</v>
      </c>
      <c r="G12" s="54">
        <v>0</v>
      </c>
      <c r="H12" s="54">
        <f ca="1">ROUND('TUSD BE'!$AM$10,2)</f>
        <v>21.08</v>
      </c>
      <c r="I12" s="54">
        <v>0</v>
      </c>
      <c r="J12" s="54">
        <v>0</v>
      </c>
      <c r="L12" s="145" t="s">
        <v>39</v>
      </c>
      <c r="M12" s="145" t="s">
        <v>690</v>
      </c>
      <c r="N12" s="145" t="s">
        <v>696</v>
      </c>
      <c r="O12" s="145" t="s">
        <v>697</v>
      </c>
      <c r="P12" s="56" t="s">
        <v>684</v>
      </c>
      <c r="Q12" s="54">
        <v>0</v>
      </c>
      <c r="R12" s="54">
        <f ca="1">ROUND(('TUSD BE'!$AM$30+'TUSD BF'!$AM$30+'TUSD CVA'!$AM$30)*(1-CUSTOS!$M$38),2)</f>
        <v>720.26</v>
      </c>
      <c r="S12" s="54">
        <f>ROUND(('TE BE'!$AB$21+'TE BF'!$AB$21+'TE CVA'!$AB$21)*(1-CUSTOS!$M$38),2)</f>
        <v>327.11</v>
      </c>
      <c r="T12" s="54">
        <v>0</v>
      </c>
      <c r="U12" s="54">
        <f ca="1">ROUND('TUSD BE'!$AM$30*(1-CUSTOS!$M$38),2)</f>
        <v>774.55</v>
      </c>
      <c r="V12" s="54">
        <f>ROUND('TE BE'!$AB$21*(1-CUSTOS!$M$38),2)</f>
        <v>338.65</v>
      </c>
    </row>
    <row r="13" spans="1:22" ht="11.25" customHeight="1" x14ac:dyDescent="0.25">
      <c r="A13" s="149"/>
      <c r="B13" s="149"/>
      <c r="C13" s="149"/>
      <c r="D13" s="56" t="s">
        <v>684</v>
      </c>
      <c r="E13" s="54">
        <v>0</v>
      </c>
      <c r="F13" s="54">
        <f ca="1">ROUND('TUSD BE'!$AM$13+'TUSD BF'!$AM$13+'TUSD CVA'!$AM$13,2)</f>
        <v>863.89</v>
      </c>
      <c r="G13" s="54">
        <v>0</v>
      </c>
      <c r="H13" s="54">
        <v>0</v>
      </c>
      <c r="I13" s="54">
        <f ca="1">ROUND('TUSD BE'!$AM$13,2)</f>
        <v>930.08</v>
      </c>
      <c r="J13" s="54">
        <v>0</v>
      </c>
      <c r="L13" s="146"/>
      <c r="M13" s="146"/>
      <c r="N13" s="146"/>
      <c r="O13" s="146"/>
      <c r="P13" s="56" t="s">
        <v>692</v>
      </c>
      <c r="Q13" s="54">
        <v>0</v>
      </c>
      <c r="R13" s="54">
        <f ca="1">ROUND(('TUSD BE'!$AM$31+'TUSD BF'!$AM$31+'TUSD CVA'!$AM$31)*(1-CUSTOS!$M$38),2)</f>
        <v>484.68</v>
      </c>
      <c r="S13" s="54">
        <f>ROUND(('TE BE'!$AB$22+'TE BF'!$AB$22+'TE CVA'!$AB$22)*(1-CUSTOS!$M$38),2)</f>
        <v>203.61</v>
      </c>
      <c r="T13" s="54">
        <v>0</v>
      </c>
      <c r="U13" s="54">
        <f ca="1">ROUND('TUSD BE'!$AM$31*(1-CUSTOS!$M$38),2)</f>
        <v>514.78</v>
      </c>
      <c r="V13" s="54">
        <f>ROUND('TE BE'!$AB$22*(1-CUSTOS!$M$38),2)</f>
        <v>207.34</v>
      </c>
    </row>
    <row r="14" spans="1:22" ht="11.25" customHeight="1" x14ac:dyDescent="0.25">
      <c r="A14" s="149"/>
      <c r="B14" s="149"/>
      <c r="C14" s="149"/>
      <c r="D14" s="56" t="s">
        <v>685</v>
      </c>
      <c r="E14" s="54">
        <v>0</v>
      </c>
      <c r="F14" s="54">
        <f ca="1">ROUND('TUSD BE'!$AM$14+'TUSD BF'!$AM$14+'TUSD CVA'!$AM$14,2)</f>
        <v>11.87</v>
      </c>
      <c r="G14" s="54">
        <v>0</v>
      </c>
      <c r="H14" s="54">
        <v>0</v>
      </c>
      <c r="I14" s="54">
        <f ca="1">ROUND('TUSD BE'!$AM$14,2)</f>
        <v>12.62</v>
      </c>
      <c r="J14" s="54">
        <v>0</v>
      </c>
      <c r="L14" s="146"/>
      <c r="M14" s="147"/>
      <c r="N14" s="147"/>
      <c r="O14" s="147"/>
      <c r="P14" s="56" t="s">
        <v>685</v>
      </c>
      <c r="Q14" s="54">
        <v>0</v>
      </c>
      <c r="R14" s="54">
        <f ca="1">ROUND(('TUSD BE'!$AM$32+'TUSD BF'!$AM$32+'TUSD CVA'!$AM$32)*(1-CUSTOS!$M$38),2)</f>
        <v>249.11</v>
      </c>
      <c r="S14" s="54">
        <f>ROUND(('TE BE'!$AB$23+'TE BF'!$AB$23+'TE CVA'!$AB$23)*(1-CUSTOS!$M$38),2)</f>
        <v>203.61</v>
      </c>
      <c r="T14" s="54">
        <v>0</v>
      </c>
      <c r="U14" s="54">
        <f ca="1">ROUND('TUSD BE'!$AM$32*(1-CUSTOS!$M$38),2)</f>
        <v>255.01</v>
      </c>
      <c r="V14" s="54">
        <f>ROUND('TE BE'!$AB$23*(1-CUSTOS!$M$38),2)</f>
        <v>207.34</v>
      </c>
    </row>
    <row r="15" spans="1:22" ht="11.25" customHeight="1" x14ac:dyDescent="0.25">
      <c r="A15" s="149"/>
      <c r="B15" s="56" t="s">
        <v>79</v>
      </c>
      <c r="C15" s="56" t="s">
        <v>25</v>
      </c>
      <c r="D15" s="56" t="s">
        <v>687</v>
      </c>
      <c r="E15" s="54">
        <f ca="1">ROUND('TUSD BE'!$AM$9+'TUSD BF'!$AM$9+'TUSD CVA'!$AM$9,2)</f>
        <v>2.99</v>
      </c>
      <c r="F15" s="54">
        <v>0</v>
      </c>
      <c r="G15" s="54">
        <v>0</v>
      </c>
      <c r="H15" s="54">
        <f ca="1">ROUND('TUSD BE'!$AM$9,2)</f>
        <v>3.4</v>
      </c>
      <c r="I15" s="54">
        <v>0</v>
      </c>
      <c r="J15" s="54">
        <v>0</v>
      </c>
      <c r="L15" s="146"/>
      <c r="M15" s="56" t="s">
        <v>693</v>
      </c>
      <c r="N15" s="56" t="s">
        <v>696</v>
      </c>
      <c r="O15" s="56" t="s">
        <v>697</v>
      </c>
      <c r="P15" s="56" t="s">
        <v>687</v>
      </c>
      <c r="Q15" s="54">
        <v>0</v>
      </c>
      <c r="R15" s="54">
        <f ca="1">ROUND(('TUSD BE'!$AM$42+'TUSD BF'!$AM$42+'TUSD CVA'!$AM$42)*(1-CUSTOS!$M$38),2)</f>
        <v>353.57</v>
      </c>
      <c r="S15" s="54">
        <f>ROUND(('TE BE'!$AB$33+'TE BF'!$AB$33+'TE CVA'!$AB$33)*(1-CUSTOS!$M$38),2)</f>
        <v>213.9</v>
      </c>
      <c r="T15" s="54">
        <v>0</v>
      </c>
      <c r="U15" s="54">
        <f ca="1">ROUND(('TUSD BE'!$AM$42)*(1-CUSTOS!$M$38),2)</f>
        <v>370.19</v>
      </c>
      <c r="V15" s="54">
        <f>ROUND(('TE BE'!$AB$33)*(1-CUSTOS!$M$38),2)</f>
        <v>218.28</v>
      </c>
    </row>
    <row r="16" spans="1:22" ht="11.25" customHeight="1" x14ac:dyDescent="0.25">
      <c r="L16" s="146"/>
      <c r="M16" s="56" t="s">
        <v>695</v>
      </c>
      <c r="N16" s="56" t="s">
        <v>696</v>
      </c>
      <c r="O16" s="56" t="s">
        <v>697</v>
      </c>
      <c r="P16" s="56" t="s">
        <v>687</v>
      </c>
      <c r="Q16" s="54">
        <v>0</v>
      </c>
      <c r="R16" s="54">
        <f ca="1">ROUND(('TUSD BE'!$AM$33+'TUSD BF'!$AM$33+'TUSD CVA'!$AM$33)*(1-CUSTOS!$M$38),2)</f>
        <v>353.57</v>
      </c>
      <c r="S16" s="54">
        <f>ROUND(('TE BE'!$AB$24+'TE BF'!$AB$24+'TE CVA'!$AB$24)*(1-CUSTOS!$M$38),2)</f>
        <v>213.9</v>
      </c>
      <c r="T16" s="54">
        <v>0</v>
      </c>
      <c r="U16" s="54">
        <f ca="1">ROUND(('TUSD BE'!$AM$33)*(1-CUSTOS!$M$38),2)</f>
        <v>370.19</v>
      </c>
      <c r="V16" s="54">
        <f>ROUND(('TE BE'!$AB$24)*(1-CUSTOS!$M$38),2)</f>
        <v>218.28</v>
      </c>
    </row>
    <row r="17" spans="12:22" ht="11.25" customHeight="1" x14ac:dyDescent="0.25">
      <c r="L17" s="146"/>
      <c r="M17" s="145" t="s">
        <v>690</v>
      </c>
      <c r="N17" s="145" t="s">
        <v>696</v>
      </c>
      <c r="O17" s="145" t="s">
        <v>698</v>
      </c>
      <c r="P17" s="56" t="s">
        <v>684</v>
      </c>
      <c r="Q17" s="54">
        <v>0</v>
      </c>
      <c r="R17" s="54">
        <f ca="1">ROUND(('TUSD BE'!$AM$34+'TUSD BF'!$AM$34+'TUSD CVA'!$AM$34)*(1-CUSTOS!$M$39),2)</f>
        <v>720.26</v>
      </c>
      <c r="S17" s="54">
        <f>ROUND(('TE BE'!$AB$25+'TE BF'!$AB$25+'TE CVA'!$AB$25)*(1-CUSTOS!$M$39),2)</f>
        <v>327.11</v>
      </c>
      <c r="T17" s="54">
        <v>0</v>
      </c>
      <c r="U17" s="54">
        <f ca="1">ROUND('TUSD BE'!$AM$34*(1-CUSTOS!$M$39),2)</f>
        <v>774.55</v>
      </c>
      <c r="V17" s="54">
        <f>ROUND('TE BE'!$AB$25*(1-CUSTOS!$M$39),2)</f>
        <v>338.65</v>
      </c>
    </row>
    <row r="18" spans="12:22" ht="11.25" customHeight="1" x14ac:dyDescent="0.25">
      <c r="L18" s="146"/>
      <c r="M18" s="146"/>
      <c r="N18" s="146"/>
      <c r="O18" s="146"/>
      <c r="P18" s="56" t="s">
        <v>692</v>
      </c>
      <c r="Q18" s="54">
        <v>0</v>
      </c>
      <c r="R18" s="54">
        <f ca="1">ROUND(('TUSD BE'!$AM$35+'TUSD BF'!$AM$35+'TUSD CVA'!$AM$35)*(1-CUSTOS!$M$39),2)</f>
        <v>484.68</v>
      </c>
      <c r="S18" s="54">
        <f>ROUND(('TE BE'!$AB$26+'TE BF'!$AB$26+'TE CVA'!$AB$26)*(1-CUSTOS!$M$39),2)</f>
        <v>203.61</v>
      </c>
      <c r="T18" s="54">
        <v>0</v>
      </c>
      <c r="U18" s="54">
        <f ca="1">ROUND('TUSD BE'!$AM$35*(1-CUSTOS!$M$39),2)</f>
        <v>514.78</v>
      </c>
      <c r="V18" s="54">
        <f>ROUND('TE BE'!$AB$26*(1-CUSTOS!$M$39),2)</f>
        <v>207.34</v>
      </c>
    </row>
    <row r="19" spans="12:22" ht="11.25" customHeight="1" x14ac:dyDescent="0.25">
      <c r="L19" s="146"/>
      <c r="M19" s="147"/>
      <c r="N19" s="147"/>
      <c r="O19" s="147"/>
      <c r="P19" s="56" t="s">
        <v>685</v>
      </c>
      <c r="Q19" s="54">
        <v>0</v>
      </c>
      <c r="R19" s="54">
        <f ca="1">ROUND(('TUSD BE'!$AM$36+'TUSD BF'!$AM$36+'TUSD CVA'!$AM$36)*(1-CUSTOS!$M$39),2)</f>
        <v>249.11</v>
      </c>
      <c r="S19" s="54">
        <f>ROUND(('TE BE'!$AB$27+'TE BF'!$AB$27+'TE CVA'!$AB$27)*(1-CUSTOS!$M$39),2)</f>
        <v>203.61</v>
      </c>
      <c r="T19" s="54">
        <v>0</v>
      </c>
      <c r="U19" s="54">
        <f ca="1">ROUND('TUSD BE'!$AM$36*(1-CUSTOS!$M$39),2)</f>
        <v>255.01</v>
      </c>
      <c r="V19" s="54">
        <f>ROUND('TE BE'!$AB$27*(1-CUSTOS!$M$39),2)</f>
        <v>207.34</v>
      </c>
    </row>
    <row r="20" spans="12:22" ht="11.25" customHeight="1" x14ac:dyDescent="0.25">
      <c r="L20" s="146"/>
      <c r="M20" s="56" t="s">
        <v>693</v>
      </c>
      <c r="N20" s="56" t="s">
        <v>696</v>
      </c>
      <c r="O20" s="56" t="s">
        <v>698</v>
      </c>
      <c r="P20" s="56" t="s">
        <v>687</v>
      </c>
      <c r="Q20" s="54">
        <v>0</v>
      </c>
      <c r="R20" s="54">
        <f ca="1">ROUND(('TUSD BE'!$AM$42+'TUSD BF'!$AM$42+'TUSD CVA'!$AM$42)*(1-CUSTOS!$M$39),2)</f>
        <v>353.57</v>
      </c>
      <c r="S20" s="54">
        <f>ROUND(('TE BE'!$AB$33+'TE BF'!$AB$33+'TE CVA'!$AB$33)*(1-CUSTOS!$M$39),2)</f>
        <v>213.9</v>
      </c>
      <c r="T20" s="54">
        <v>0</v>
      </c>
      <c r="U20" s="54">
        <f ca="1">ROUND(('TUSD BE'!$AM$42)*(1-CUSTOS!$M$39),2)</f>
        <v>370.19</v>
      </c>
      <c r="V20" s="54">
        <f>ROUND(('TE BE'!$AB$33)*(1-CUSTOS!$M$39),2)</f>
        <v>218.28</v>
      </c>
    </row>
    <row r="21" spans="12:22" ht="11.25" customHeight="1" x14ac:dyDescent="0.25">
      <c r="L21" s="146"/>
      <c r="M21" s="56" t="s">
        <v>695</v>
      </c>
      <c r="N21" s="56" t="s">
        <v>696</v>
      </c>
      <c r="O21" s="56" t="s">
        <v>698</v>
      </c>
      <c r="P21" s="56" t="s">
        <v>687</v>
      </c>
      <c r="Q21" s="54">
        <v>0</v>
      </c>
      <c r="R21" s="54">
        <f ca="1">ROUND(('TUSD BE'!$AM$33+'TUSD BF'!$AM$33+'TUSD CVA'!$AM$33)*(1-CUSTOS!$M$39),2)</f>
        <v>353.57</v>
      </c>
      <c r="S21" s="54">
        <f>ROUND(('TE BE'!$AB$24+'TE BF'!$AB$24+'TE CVA'!$AB$24)*(1-CUSTOS!$M$39),2)</f>
        <v>213.9</v>
      </c>
      <c r="T21" s="54">
        <v>0</v>
      </c>
      <c r="U21" s="54">
        <f ca="1">ROUND(('TUSD BE'!$AM$33)*(1-CUSTOS!$M$39),2)</f>
        <v>370.19</v>
      </c>
      <c r="V21" s="54">
        <f>ROUND(('TE BE'!$AB$24)*(1-CUSTOS!$M$39),2)</f>
        <v>218.28</v>
      </c>
    </row>
    <row r="22" spans="12:22" ht="11.25" customHeight="1" x14ac:dyDescent="0.25">
      <c r="L22" s="146"/>
      <c r="M22" s="145" t="s">
        <v>690</v>
      </c>
      <c r="N22" s="145" t="s">
        <v>696</v>
      </c>
      <c r="O22" s="145" t="s">
        <v>699</v>
      </c>
      <c r="P22" s="56" t="s">
        <v>684</v>
      </c>
      <c r="Q22" s="54">
        <v>0</v>
      </c>
      <c r="R22" s="54">
        <f ca="1">ROUND(('TUSD BE'!$AM$38+'TUSD BF'!$AM$38+'TUSD CVA'!$AM$38)*(1-CUSTOS!$M$40),2)</f>
        <v>704.93</v>
      </c>
      <c r="S22" s="54">
        <f>ROUND(('TE BE'!$AB$29+'TE BF'!$AB$29+'TE CVA'!$AB$29)*(1-CUSTOS!$M$40),2)</f>
        <v>320.14999999999998</v>
      </c>
      <c r="T22" s="54">
        <v>0</v>
      </c>
      <c r="U22" s="54">
        <f ca="1">ROUND('TUSD BE'!$AM$38*(1-CUSTOS!$M$40),2)</f>
        <v>758.08</v>
      </c>
      <c r="V22" s="54">
        <f>ROUND('TE BE'!$AB$29*(1-CUSTOS!$M$40),2)</f>
        <v>331.44</v>
      </c>
    </row>
    <row r="23" spans="12:22" ht="11.25" customHeight="1" x14ac:dyDescent="0.25">
      <c r="L23" s="146"/>
      <c r="M23" s="146"/>
      <c r="N23" s="146"/>
      <c r="O23" s="146"/>
      <c r="P23" s="56" t="s">
        <v>692</v>
      </c>
      <c r="Q23" s="54">
        <v>0</v>
      </c>
      <c r="R23" s="54">
        <f ca="1">ROUND(('TUSD BE'!$AM$39+'TUSD BF'!$AM$39+'TUSD CVA'!$AM$39)*(1-CUSTOS!$M$40),2)</f>
        <v>474.37</v>
      </c>
      <c r="S23" s="54">
        <f>ROUND(('TE BE'!$AB$30+'TE BF'!$AB$30+'TE CVA'!$AB$30)*(1-CUSTOS!$M$40),2)</f>
        <v>199.27</v>
      </c>
      <c r="T23" s="54">
        <v>0</v>
      </c>
      <c r="U23" s="54">
        <f ca="1">ROUND('TUSD BE'!$AM$39*(1-CUSTOS!$M$40),2)</f>
        <v>503.83</v>
      </c>
      <c r="V23" s="54">
        <f>ROUND('TE BE'!$AB$30*(1-CUSTOS!$M$40),2)</f>
        <v>202.93</v>
      </c>
    </row>
    <row r="24" spans="12:22" ht="11.25" customHeight="1" x14ac:dyDescent="0.25">
      <c r="L24" s="146"/>
      <c r="M24" s="147"/>
      <c r="N24" s="147"/>
      <c r="O24" s="147"/>
      <c r="P24" s="56" t="s">
        <v>685</v>
      </c>
      <c r="Q24" s="54">
        <v>0</v>
      </c>
      <c r="R24" s="54">
        <f ca="1">ROUND(('TUSD BE'!$AM$40+'TUSD BF'!$AM$40+'TUSD CVA'!$AM$40)*(1-CUSTOS!$M$40),2)</f>
        <v>243.81</v>
      </c>
      <c r="S24" s="54">
        <f>ROUND(('TE BE'!$AB$31+'TE BF'!$AB$31+'TE CVA'!$AB$31)*(1-CUSTOS!$M$40),2)</f>
        <v>199.27</v>
      </c>
      <c r="T24" s="54">
        <v>0</v>
      </c>
      <c r="U24" s="54">
        <f ca="1">ROUND('TUSD BE'!$AM$40*(1-CUSTOS!$M$40),2)</f>
        <v>249.59</v>
      </c>
      <c r="V24" s="54">
        <f>ROUND('TE BE'!$AB$31*(1-CUSTOS!$M$40),2)</f>
        <v>202.93</v>
      </c>
    </row>
    <row r="25" spans="12:22" ht="11.25" customHeight="1" x14ac:dyDescent="0.25">
      <c r="L25" s="146"/>
      <c r="M25" s="56" t="s">
        <v>693</v>
      </c>
      <c r="N25" s="56" t="s">
        <v>696</v>
      </c>
      <c r="O25" s="56" t="s">
        <v>699</v>
      </c>
      <c r="P25" s="56" t="s">
        <v>687</v>
      </c>
      <c r="Q25" s="54">
        <v>0</v>
      </c>
      <c r="R25" s="54">
        <f ca="1">ROUND(('TUSD BE'!$AM$42+'TUSD BF'!$AM$42+'TUSD CVA'!$AM$42)*(1-CUSTOS!$M$40),2)</f>
        <v>346.04</v>
      </c>
      <c r="S25" s="54">
        <f>ROUND(('TE BE'!$AB$33+'TE BF'!$AB$33+'TE CVA'!$AB$33)*(1-CUSTOS!$M$40),2)</f>
        <v>209.35</v>
      </c>
      <c r="T25" s="54">
        <v>0</v>
      </c>
      <c r="U25" s="54">
        <f ca="1">ROUND(('TUSD BE'!$AM$42)*(1-CUSTOS!$M$40),2)</f>
        <v>362.32</v>
      </c>
      <c r="V25" s="54">
        <f>ROUND(('TE BE'!$AB$33)*(1-CUSTOS!$M$40),2)</f>
        <v>213.64</v>
      </c>
    </row>
    <row r="26" spans="12:22" ht="11.25" customHeight="1" x14ac:dyDescent="0.25">
      <c r="L26" s="147"/>
      <c r="M26" s="56" t="s">
        <v>695</v>
      </c>
      <c r="N26" s="56" t="s">
        <v>696</v>
      </c>
      <c r="O26" s="56" t="s">
        <v>699</v>
      </c>
      <c r="P26" s="56" t="s">
        <v>687</v>
      </c>
      <c r="Q26" s="54">
        <v>0</v>
      </c>
      <c r="R26" s="54">
        <f ca="1">ROUND(('TUSD BE'!$AM$33+'TUSD BF'!$AM$33+'TUSD CVA'!$AM$33)*(1-CUSTOS!$M$40),2)</f>
        <v>346.04</v>
      </c>
      <c r="S26" s="54">
        <f>ROUND(('TE BE'!$AB$24+'TE BF'!$AB$24+'TE CVA'!$AB$24)*(1-CUSTOS!$M$40),2)</f>
        <v>209.35</v>
      </c>
      <c r="T26" s="54">
        <v>0</v>
      </c>
      <c r="U26" s="54">
        <f ca="1">ROUND(('TUSD BE'!$AM$33)*(1-CUSTOS!$M$40),2)</f>
        <v>362.32</v>
      </c>
      <c r="V26" s="54">
        <f>ROUND(('TE BE'!$AB$24)*(1-CUSTOS!$M$40),2)</f>
        <v>213.64</v>
      </c>
    </row>
    <row r="27" spans="12:22" ht="11.25" customHeight="1" x14ac:dyDescent="0.25">
      <c r="L27" s="145" t="s">
        <v>32</v>
      </c>
      <c r="M27" s="145" t="s">
        <v>690</v>
      </c>
      <c r="N27" s="145" t="s">
        <v>687</v>
      </c>
      <c r="O27" s="145" t="s">
        <v>687</v>
      </c>
      <c r="P27" s="56" t="s">
        <v>684</v>
      </c>
      <c r="Q27" s="54">
        <v>0</v>
      </c>
      <c r="R27" s="54">
        <f ca="1">ROUND(('TUSD BE'!$AM$45+'TUSD BF'!$AM$45+'TUSD CVA'!$AM$45)*(1-CUSTOS!$M$31),2)</f>
        <v>1236.71</v>
      </c>
      <c r="S27" s="54">
        <f>ROUND(('TE BE'!$AB$36+'TE BF'!$AB$36+'TE CVA'!$AB$36)*(1-CUSTOS!$M$31),2)</f>
        <v>347.99</v>
      </c>
      <c r="T27" s="54">
        <v>0</v>
      </c>
      <c r="U27" s="54">
        <f ca="1">ROUND('TUSD BE'!$AM$45*(1-CUSTOS!$M$31),2)</f>
        <v>1342.81</v>
      </c>
      <c r="V27" s="54">
        <f>ROUND('TE BE'!$AB$36*(1-CUSTOS!$M$31),2)</f>
        <v>360.26</v>
      </c>
    </row>
    <row r="28" spans="12:22" ht="11.25" customHeight="1" x14ac:dyDescent="0.25">
      <c r="L28" s="146"/>
      <c r="M28" s="146"/>
      <c r="N28" s="146"/>
      <c r="O28" s="146"/>
      <c r="P28" s="56" t="s">
        <v>692</v>
      </c>
      <c r="Q28" s="54">
        <v>0</v>
      </c>
      <c r="R28" s="54">
        <f ca="1">ROUND(('TUSD BE'!$AM$46+'TUSD BF'!$AM$46+'TUSD CVA'!$AM$46)*(1-CUSTOS!$M$31),2)</f>
        <v>551.09</v>
      </c>
      <c r="S28" s="54">
        <f>ROUND(('TE BE'!$AB$37+'TE BF'!$AB$37+'TE CVA'!$AB$37)*(1-CUSTOS!$M$31),2)</f>
        <v>216.6</v>
      </c>
      <c r="T28" s="54">
        <v>0</v>
      </c>
      <c r="U28" s="54">
        <f ca="1">ROUND('TUSD BE'!$AM$46*(1-CUSTOS!$M$31),2)</f>
        <v>586.75</v>
      </c>
      <c r="V28" s="54">
        <f>ROUND('TE BE'!$AB$37*(1-CUSTOS!$M$31),2)</f>
        <v>220.58</v>
      </c>
    </row>
    <row r="29" spans="12:22" ht="11.25" customHeight="1" x14ac:dyDescent="0.25">
      <c r="L29" s="146"/>
      <c r="M29" s="147"/>
      <c r="N29" s="147"/>
      <c r="O29" s="147"/>
      <c r="P29" s="56" t="s">
        <v>685</v>
      </c>
      <c r="Q29" s="54">
        <v>0</v>
      </c>
      <c r="R29" s="54">
        <f ca="1">ROUND(('TUSD BE'!$AM$47+'TUSD BF'!$AM$47+'TUSD CVA'!$AM$47)*(1-CUSTOS!$M$31),2)</f>
        <v>276.83999999999997</v>
      </c>
      <c r="S29" s="54">
        <f>ROUND(('TE BE'!$AB$38+'TE BF'!$AB$38+'TE CVA'!$AB$38)*(1-CUSTOS!$M$31),2)</f>
        <v>216.6</v>
      </c>
      <c r="T29" s="54">
        <v>0</v>
      </c>
      <c r="U29" s="54">
        <f ca="1">ROUND('TUSD BE'!$AM$47*(1-CUSTOS!$M$31),2)</f>
        <v>284.33</v>
      </c>
      <c r="V29" s="54">
        <f>ROUND('TE BE'!$AB$38*(1-CUSTOS!$M$31),2)</f>
        <v>220.58</v>
      </c>
    </row>
    <row r="30" spans="12:22" ht="11.25" customHeight="1" x14ac:dyDescent="0.25">
      <c r="L30" s="146"/>
      <c r="M30" s="56" t="s">
        <v>693</v>
      </c>
      <c r="N30" s="56" t="s">
        <v>687</v>
      </c>
      <c r="O30" s="56" t="s">
        <v>687</v>
      </c>
      <c r="P30" s="56" t="s">
        <v>687</v>
      </c>
      <c r="Q30" s="54">
        <v>0</v>
      </c>
      <c r="R30" s="54">
        <f ca="1">ROUND(('TUSD BE'!$AM$49+'TUSD BF'!$AM$49+'TUSD CVA'!$AM$49)*(1-CUSTOS!$M$31),2)</f>
        <v>376.13</v>
      </c>
      <c r="S30" s="54">
        <f>ROUND(('TE BE'!$AB$40+'TE BF'!$AB$40+'TE CVA'!$AB$40)*(1-CUSTOS!$M$31),2)</f>
        <v>227.55</v>
      </c>
      <c r="T30" s="54">
        <v>0</v>
      </c>
      <c r="U30" s="54">
        <f ca="1">ROUND(('TUSD BE'!$AM$49)*(1-CUSTOS!$M$31),2)</f>
        <v>393.82</v>
      </c>
      <c r="V30" s="54">
        <f>ROUND(('TE BE'!$AB$40)*(1-CUSTOS!$M$31),2)</f>
        <v>232.22</v>
      </c>
    </row>
    <row r="31" spans="12:22" ht="11.25" customHeight="1" x14ac:dyDescent="0.25">
      <c r="L31" s="147"/>
      <c r="M31" s="56" t="s">
        <v>695</v>
      </c>
      <c r="N31" s="56" t="s">
        <v>687</v>
      </c>
      <c r="O31" s="56" t="s">
        <v>687</v>
      </c>
      <c r="P31" s="56" t="s">
        <v>687</v>
      </c>
      <c r="Q31" s="54">
        <v>0</v>
      </c>
      <c r="R31" s="54">
        <f ca="1">ROUND(('TUSD BE'!$AM$48+'TUSD BF'!$AM$48+'TUSD CVA'!$AM$48)*(1-CUSTOS!$M$31),2)</f>
        <v>376.13</v>
      </c>
      <c r="S31" s="54">
        <f>ROUND(('TE BE'!$AB$39+'TE BF'!$AB$39+'TE CVA'!$AB$39)*(1-CUSTOS!$M$31),2)</f>
        <v>227.55</v>
      </c>
      <c r="T31" s="54">
        <v>0</v>
      </c>
      <c r="U31" s="54">
        <f ca="1">ROUND(('TUSD BE'!$AM$48)*(1-CUSTOS!$M$31),2)</f>
        <v>393.82</v>
      </c>
      <c r="V31" s="54">
        <f>ROUND(('TE BE'!$AB$39)*(1-CUSTOS!$M$31),2)</f>
        <v>232.22</v>
      </c>
    </row>
    <row r="32" spans="12:22" ht="11.25" customHeight="1" x14ac:dyDescent="0.25">
      <c r="L32" s="145" t="s">
        <v>42</v>
      </c>
      <c r="M32" s="145" t="s">
        <v>695</v>
      </c>
      <c r="N32" s="145" t="s">
        <v>700</v>
      </c>
      <c r="O32" s="56" t="s">
        <v>701</v>
      </c>
      <c r="P32" s="56" t="s">
        <v>687</v>
      </c>
      <c r="Q32" s="54">
        <v>0</v>
      </c>
      <c r="R32" s="54">
        <f ca="1">ROUND(('TUSD BE'!$AM$50+'TUSD BF'!$AM$50+'TUSD CVA'!$AM$50),2)</f>
        <v>206.87</v>
      </c>
      <c r="S32" s="54">
        <f>ROUND(('TE BE'!$AB$41+'TE BF'!$AB$41+'TE CVA'!$AB$41),2)</f>
        <v>125.15</v>
      </c>
      <c r="T32" s="54">
        <v>0</v>
      </c>
      <c r="U32" s="54">
        <f ca="1">ROUND(('TUSD BE'!$AM$50),2)</f>
        <v>216.6</v>
      </c>
      <c r="V32" s="54">
        <f>ROUND(('TE BE'!$AB$41),2)</f>
        <v>127.72</v>
      </c>
    </row>
    <row r="33" spans="12:22" ht="11.25" customHeight="1" x14ac:dyDescent="0.25">
      <c r="L33" s="147"/>
      <c r="M33" s="147"/>
      <c r="N33" s="147"/>
      <c r="O33" s="56" t="s">
        <v>702</v>
      </c>
      <c r="P33" s="56" t="s">
        <v>687</v>
      </c>
      <c r="Q33" s="54">
        <v>0</v>
      </c>
      <c r="R33" s="54">
        <f ca="1">ROUND(('TUSD BE'!$AM$51+'TUSD BF'!$AM$51+'TUSD CVA'!$AM$51),2)</f>
        <v>225.68</v>
      </c>
      <c r="S33" s="54">
        <f>ROUND(('TE BE'!$AB$42+'TE BF'!$AB$42+'TE CVA'!$AB$42),2)</f>
        <v>136.53</v>
      </c>
      <c r="T33" s="54">
        <v>0</v>
      </c>
      <c r="U33" s="54">
        <f ca="1">ROUND(('TUSD BE'!$AM$51),2)</f>
        <v>236.29</v>
      </c>
      <c r="V33" s="54">
        <f>ROUND(('TE BE'!$AB$42),2)</f>
        <v>139.33000000000001</v>
      </c>
    </row>
    <row r="34" spans="12:22" ht="11.25" customHeight="1" x14ac:dyDescent="0.25">
      <c r="L34" s="145" t="s">
        <v>80</v>
      </c>
      <c r="M34" s="145" t="s">
        <v>703</v>
      </c>
      <c r="N34" s="56" t="s">
        <v>81</v>
      </c>
      <c r="O34" s="56" t="s">
        <v>687</v>
      </c>
      <c r="P34" s="56" t="s">
        <v>687</v>
      </c>
      <c r="Q34" s="54">
        <f ca="1">ROUND(('TUSD BE'!$AM$15+'TUSD BF'!$AM$15+'TUSD CVA'!$AM$15),2)</f>
        <v>4.6100000000000003</v>
      </c>
      <c r="R34" s="54">
        <v>0</v>
      </c>
      <c r="S34" s="54">
        <v>0</v>
      </c>
      <c r="T34" s="54">
        <f ca="1">ROUND(('TUSD BE'!$AM$15),2)</f>
        <v>5.25</v>
      </c>
      <c r="U34" s="54">
        <v>0</v>
      </c>
      <c r="V34" s="54">
        <v>0</v>
      </c>
    </row>
    <row r="35" spans="12:22" ht="11.25" customHeight="1" x14ac:dyDescent="0.25">
      <c r="L35" s="147"/>
      <c r="M35" s="147"/>
      <c r="N35" s="56" t="s">
        <v>82</v>
      </c>
      <c r="O35" s="56" t="s">
        <v>687</v>
      </c>
      <c r="P35" s="56" t="s">
        <v>687</v>
      </c>
      <c r="Q35" s="54">
        <f ca="1">ROUND(('TUSD BE'!$AM$16+'TUSD BF'!$AM$16+'TUSD CVA'!$AM$16),2)</f>
        <v>7.88</v>
      </c>
      <c r="R35" s="54">
        <v>0</v>
      </c>
      <c r="S35" s="54">
        <v>0</v>
      </c>
      <c r="T35" s="54">
        <f ca="1">ROUND(('TUSD BE'!$AM$16),2)</f>
        <v>8.9700000000000006</v>
      </c>
      <c r="U35" s="54">
        <v>0</v>
      </c>
      <c r="V35" s="54">
        <v>0</v>
      </c>
    </row>
  </sheetData>
  <mergeCells count="51">
    <mergeCell ref="C5:C6"/>
    <mergeCell ref="C7:C8"/>
    <mergeCell ref="C9:C11"/>
    <mergeCell ref="C12:C14"/>
    <mergeCell ref="A1:J1"/>
    <mergeCell ref="A2:A4"/>
    <mergeCell ref="B2:B4"/>
    <mergeCell ref="C2:C4"/>
    <mergeCell ref="D2:D4"/>
    <mergeCell ref="E2:G2"/>
    <mergeCell ref="E3:F3"/>
    <mergeCell ref="H2:J2"/>
    <mergeCell ref="H3:I3"/>
    <mergeCell ref="A5:A15"/>
    <mergeCell ref="B5:B6"/>
    <mergeCell ref="B7:B8"/>
    <mergeCell ref="B9:B11"/>
    <mergeCell ref="B12:B14"/>
    <mergeCell ref="L1:V1"/>
    <mergeCell ref="L2:L4"/>
    <mergeCell ref="M2:M4"/>
    <mergeCell ref="N2:N4"/>
    <mergeCell ref="O2:O4"/>
    <mergeCell ref="P2:P4"/>
    <mergeCell ref="Q2:S2"/>
    <mergeCell ref="Q3:R3"/>
    <mergeCell ref="T2:V2"/>
    <mergeCell ref="T3:U3"/>
    <mergeCell ref="L5:L11"/>
    <mergeCell ref="L12:L26"/>
    <mergeCell ref="N5:N7"/>
    <mergeCell ref="N12:N14"/>
    <mergeCell ref="L27:L31"/>
    <mergeCell ref="L32:L33"/>
    <mergeCell ref="L34:L35"/>
    <mergeCell ref="M32:M33"/>
    <mergeCell ref="M34:M35"/>
    <mergeCell ref="N17:N19"/>
    <mergeCell ref="N22:N24"/>
    <mergeCell ref="N27:N29"/>
    <mergeCell ref="N32:N33"/>
    <mergeCell ref="M5:M7"/>
    <mergeCell ref="M12:M14"/>
    <mergeCell ref="M17:M19"/>
    <mergeCell ref="M22:M24"/>
    <mergeCell ref="M27:M29"/>
    <mergeCell ref="O5:O7"/>
    <mergeCell ref="O12:O14"/>
    <mergeCell ref="O17:O19"/>
    <mergeCell ref="O22:O24"/>
    <mergeCell ref="O27:O2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E682E-47AD-4653-8CB8-E5C0CE32D079}">
  <dimension ref="A1:AN444"/>
  <sheetViews>
    <sheetView showGridLines="0" workbookViewId="0">
      <selection sqref="A1:O444 Q1:AJ13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8" width="10.28515625" style="4" bestFit="1" customWidth="1"/>
    <col min="9" max="9" width="8.7109375" style="5" bestFit="1" customWidth="1"/>
    <col min="10" max="10" width="10.140625" style="6" bestFit="1" customWidth="1"/>
    <col min="11" max="11" width="10.5703125" style="6" bestFit="1" customWidth="1"/>
    <col min="12" max="12" width="9.42578125" style="6" bestFit="1" customWidth="1"/>
    <col min="13" max="13" width="13.7109375" style="6" bestFit="1" customWidth="1"/>
    <col min="14" max="14" width="14.140625" style="6" bestFit="1" customWidth="1"/>
    <col min="15" max="15" width="12.85546875" style="6" bestFit="1" customWidth="1"/>
    <col min="16" max="16" width="7" style="6" bestFit="1" customWidth="1"/>
    <col min="17" max="17" width="9.28515625" style="4" bestFit="1" customWidth="1"/>
    <col min="18" max="18" width="18.85546875" style="4" bestFit="1" customWidth="1"/>
    <col min="19" max="19" width="20.28515625" style="4" bestFit="1" customWidth="1"/>
    <col min="20" max="20" width="18.140625" style="4" bestFit="1" customWidth="1"/>
    <col min="21" max="21" width="17" style="4" bestFit="1" customWidth="1"/>
    <col min="22" max="22" width="18.5703125" style="4" bestFit="1" customWidth="1"/>
    <col min="23" max="23" width="16.28515625" style="4" bestFit="1" customWidth="1"/>
    <col min="24" max="24" width="16.7109375" style="4" bestFit="1" customWidth="1"/>
    <col min="25" max="25" width="18.28515625" style="4" bestFit="1" customWidth="1"/>
    <col min="26" max="26" width="16" style="4" bestFit="1" customWidth="1"/>
    <col min="27" max="27" width="16.85546875" style="4" bestFit="1" customWidth="1"/>
    <col min="28" max="28" width="18.42578125" style="4" bestFit="1" customWidth="1"/>
    <col min="29" max="29" width="16.140625" style="4" bestFit="1" customWidth="1"/>
    <col min="30" max="30" width="17.28515625" style="4" bestFit="1" customWidth="1"/>
    <col min="31" max="31" width="21.5703125" style="4" bestFit="1" customWidth="1"/>
    <col min="32" max="32" width="11.42578125" style="4" bestFit="1" customWidth="1"/>
    <col min="33" max="33" width="12.85546875" style="4" bestFit="1" customWidth="1"/>
    <col min="34" max="34" width="10.7109375" style="4" bestFit="1" customWidth="1"/>
    <col min="35" max="35" width="11.7109375" style="4" bestFit="1" customWidth="1"/>
    <col min="36" max="36" width="16" style="4" bestFit="1" customWidth="1"/>
    <col min="37" max="37" width="9.140625" style="4"/>
    <col min="38" max="38" width="8.7109375" style="4" bestFit="1" customWidth="1"/>
    <col min="39" max="39" width="5.5703125" style="4" bestFit="1" customWidth="1"/>
    <col min="40" max="40" width="14.7109375" style="4" bestFit="1" customWidth="1"/>
    <col min="41" max="16384" width="9.140625" style="4"/>
  </cols>
  <sheetData>
    <row r="1" spans="1:40" s="1" customFormat="1" ht="11.25" customHeight="1" x14ac:dyDescent="0.25">
      <c r="A1" s="59" t="s">
        <v>0</v>
      </c>
      <c r="B1" s="59" t="s">
        <v>1</v>
      </c>
      <c r="C1" s="59" t="s">
        <v>2</v>
      </c>
      <c r="D1" s="59" t="s">
        <v>3</v>
      </c>
      <c r="E1" s="59" t="s">
        <v>4</v>
      </c>
      <c r="F1" s="59" t="s">
        <v>5</v>
      </c>
      <c r="G1" s="59" t="s">
        <v>6</v>
      </c>
      <c r="H1" s="59" t="s">
        <v>7</v>
      </c>
      <c r="I1" s="66" t="s">
        <v>8</v>
      </c>
      <c r="J1" s="55" t="s">
        <v>650</v>
      </c>
      <c r="K1" s="55" t="s">
        <v>651</v>
      </c>
      <c r="L1" s="55" t="s">
        <v>652</v>
      </c>
      <c r="M1" s="55" t="s">
        <v>653</v>
      </c>
      <c r="N1" s="55" t="s">
        <v>654</v>
      </c>
      <c r="O1" s="55" t="s">
        <v>655</v>
      </c>
      <c r="P1" s="7"/>
      <c r="Q1" s="142" t="s">
        <v>656</v>
      </c>
      <c r="R1" s="150"/>
      <c r="S1" s="150"/>
      <c r="T1" s="150"/>
      <c r="U1" s="150"/>
      <c r="V1" s="150"/>
      <c r="W1" s="150"/>
      <c r="X1" s="150"/>
      <c r="Y1" s="150"/>
      <c r="Z1" s="150"/>
      <c r="AA1" s="150"/>
      <c r="AB1" s="150"/>
      <c r="AC1" s="150"/>
      <c r="AD1" s="150"/>
      <c r="AE1" s="150"/>
      <c r="AF1" s="150"/>
      <c r="AG1" s="150"/>
      <c r="AH1" s="150"/>
      <c r="AI1" s="150"/>
      <c r="AJ1" s="150"/>
      <c r="AL1" s="59" t="s">
        <v>677</v>
      </c>
      <c r="AM1" s="59" t="s">
        <v>57</v>
      </c>
      <c r="AN1" s="59" t="s">
        <v>678</v>
      </c>
    </row>
    <row r="2" spans="1:40" ht="11.25" customHeight="1" x14ac:dyDescent="0.2">
      <c r="A2" s="60" t="s">
        <v>21</v>
      </c>
      <c r="B2" s="60" t="s">
        <v>34</v>
      </c>
      <c r="C2" s="60" t="s">
        <v>51</v>
      </c>
      <c r="D2" s="60" t="s">
        <v>33</v>
      </c>
      <c r="E2" s="60" t="s">
        <v>25</v>
      </c>
      <c r="F2" s="60" t="s">
        <v>52</v>
      </c>
      <c r="G2" s="60" t="s">
        <v>25</v>
      </c>
      <c r="H2" s="60" t="s">
        <v>37</v>
      </c>
      <c r="I2" s="67">
        <v>44378</v>
      </c>
      <c r="J2" s="68">
        <f ca="1">EFEITO!$J$2*EFEITO!$Y$2</f>
        <v>35341.723391045525</v>
      </c>
      <c r="K2" s="68">
        <f ca="1">EFEITO!$L$2*EFEITO!$Z$2</f>
        <v>0</v>
      </c>
      <c r="L2" s="68">
        <f>EFEITO!$N$2*EFEITO!$AA$2</f>
        <v>0</v>
      </c>
      <c r="M2" s="68">
        <f ca="1">$J$2-EFEITO!$K$2*EFEITO!$Y$2</f>
        <v>17565.439455150678</v>
      </c>
      <c r="N2" s="68">
        <f ca="1">$K$2-EFEITO!$M$2*EFEITO!$Z$2</f>
        <v>0</v>
      </c>
      <c r="O2" s="68">
        <f>$L$2-EFEITO!$O$2*EFEITO!$AA$2</f>
        <v>0</v>
      </c>
      <c r="P2" s="18"/>
      <c r="Q2" s="53" t="s">
        <v>60</v>
      </c>
      <c r="R2" s="53" t="s">
        <v>658</v>
      </c>
      <c r="S2" s="53" t="s">
        <v>659</v>
      </c>
      <c r="T2" s="53" t="s">
        <v>660</v>
      </c>
      <c r="U2" s="53" t="s">
        <v>661</v>
      </c>
      <c r="V2" s="53" t="s">
        <v>662</v>
      </c>
      <c r="W2" s="53" t="s">
        <v>663</v>
      </c>
      <c r="X2" s="69" t="s">
        <v>664</v>
      </c>
      <c r="Y2" s="69" t="s">
        <v>665</v>
      </c>
      <c r="Z2" s="69" t="s">
        <v>666</v>
      </c>
      <c r="AA2" s="69" t="s">
        <v>667</v>
      </c>
      <c r="AB2" s="69" t="s">
        <v>668</v>
      </c>
      <c r="AC2" s="69" t="s">
        <v>669</v>
      </c>
      <c r="AD2" s="69" t="s">
        <v>670</v>
      </c>
      <c r="AE2" s="69" t="s">
        <v>671</v>
      </c>
      <c r="AF2" s="69" t="s">
        <v>672</v>
      </c>
      <c r="AG2" s="69" t="s">
        <v>673</v>
      </c>
      <c r="AH2" s="69" t="s">
        <v>674</v>
      </c>
      <c r="AI2" s="69" t="s">
        <v>675</v>
      </c>
      <c r="AJ2" s="69" t="s">
        <v>676</v>
      </c>
      <c r="AL2" s="60"/>
      <c r="AM2" s="60"/>
      <c r="AN2" s="60"/>
    </row>
    <row r="3" spans="1:40" ht="11.25" customHeight="1" x14ac:dyDescent="0.2">
      <c r="A3" s="60" t="s">
        <v>21</v>
      </c>
      <c r="B3" s="60" t="s">
        <v>34</v>
      </c>
      <c r="C3" s="60" t="s">
        <v>51</v>
      </c>
      <c r="D3" s="60" t="s">
        <v>33</v>
      </c>
      <c r="E3" s="60" t="s">
        <v>25</v>
      </c>
      <c r="F3" s="60" t="s">
        <v>52</v>
      </c>
      <c r="G3" s="60" t="s">
        <v>25</v>
      </c>
      <c r="H3" s="60" t="s">
        <v>37</v>
      </c>
      <c r="I3" s="67">
        <v>44409</v>
      </c>
      <c r="J3" s="68">
        <f ca="1">EFEITO!$J$3*EFEITO!$Y$3</f>
        <v>35380.991972591131</v>
      </c>
      <c r="K3" s="68">
        <f ca="1">EFEITO!$L$3*EFEITO!$Z$3</f>
        <v>0</v>
      </c>
      <c r="L3" s="68">
        <f>EFEITO!$N$3*EFEITO!$AA$3</f>
        <v>0</v>
      </c>
      <c r="M3" s="68">
        <f ca="1">$J$3-EFEITO!$K$3*EFEITO!$Y$3</f>
        <v>17338.553121516048</v>
      </c>
      <c r="N3" s="68">
        <f ca="1">$K$3-EFEITO!$M$3*EFEITO!$Z$3</f>
        <v>0</v>
      </c>
      <c r="O3" s="68">
        <f>$L$3-EFEITO!$O$3*EFEITO!$AA$3</f>
        <v>0</v>
      </c>
      <c r="P3" s="18"/>
      <c r="Q3" s="68" t="s">
        <v>657</v>
      </c>
      <c r="R3" s="68">
        <f>SUMIF($B$2:$B$444,$Q$3,$J$2:$J$444)</f>
        <v>0</v>
      </c>
      <c r="S3" s="68">
        <f>SUMIF($B$2:$B$444,$Q$3,$K$2:$K$444)</f>
        <v>0</v>
      </c>
      <c r="T3" s="68">
        <f>SUMIF($B$2:$B$444,$Q$3,$L$2:$L$444)</f>
        <v>0</v>
      </c>
      <c r="U3" s="68">
        <f>SUMIF($B$2:$B$444,$Q$3,$M$2:$M$444)</f>
        <v>0</v>
      </c>
      <c r="V3" s="68">
        <f>SUMIF($B$2:$B$444,$Q$3,$N$2:$N$444)</f>
        <v>0</v>
      </c>
      <c r="W3" s="68">
        <f>SUMIF($B$2:$B$444,$Q$3,$O$2:$O$444)</f>
        <v>0</v>
      </c>
      <c r="X3" s="61">
        <f>$R$3-$U$3</f>
        <v>0</v>
      </c>
      <c r="Y3" s="61">
        <f>$S$3-$V$3</f>
        <v>0</v>
      </c>
      <c r="Z3" s="61">
        <f>$T$3-$W$3</f>
        <v>0</v>
      </c>
      <c r="AA3" s="61">
        <f>SUMIF(EFEITO!$B$2:$B$444,$Q$3,EFEITO!$AE$2:$AE$444)</f>
        <v>0</v>
      </c>
      <c r="AB3" s="61">
        <f>SUMIF(EFEITO!$B$2:$B$444,$Q$3,EFEITO!$AF$2:$AF$444)</f>
        <v>0</v>
      </c>
      <c r="AC3" s="61">
        <f>SUMIF(EFEITO!$B$2:$B$444,$Q$3,EFEITO!$AG$2:$AH$444)</f>
        <v>0</v>
      </c>
      <c r="AD3" s="61">
        <f>SUMIF(SUBSIDIO!$B$2:$B$444,$Q$3,SUBSIDIO!$AD$2:$AD$444)</f>
        <v>0</v>
      </c>
      <c r="AE3" s="61">
        <f>SUMIF(SUBSIDIO!$B$2:$B$444,$Q$3,SUBSIDIO!$AE$2:$AE$444)</f>
        <v>0</v>
      </c>
      <c r="AF3" s="61" t="str">
        <f>IF(ABS($X$3-$AA$3)&lt;0.01,"OK","ERRO")</f>
        <v>OK</v>
      </c>
      <c r="AG3" s="61" t="str">
        <f>IF(ABS($Y$3-$AB$3)&lt;0.01,"OK","ERRO")</f>
        <v>OK</v>
      </c>
      <c r="AH3" s="61" t="str">
        <f>IF(ABS($Z$3-$AC$3)&lt;0.01,"OK","ERRO")</f>
        <v>OK</v>
      </c>
      <c r="AI3" s="61" t="str">
        <f>IF(ABS($U$3-$AD$3)&lt;0.01,"OK","ERRO")</f>
        <v>OK</v>
      </c>
      <c r="AJ3" s="61" t="str">
        <f>IF(ABS(($V$3+$W$3)-$AE$3)&lt;0.01,"OK","ERRO")</f>
        <v>OK</v>
      </c>
    </row>
    <row r="4" spans="1:40" ht="11.25" customHeight="1" x14ac:dyDescent="0.2">
      <c r="A4" s="60" t="s">
        <v>21</v>
      </c>
      <c r="B4" s="60" t="s">
        <v>34</v>
      </c>
      <c r="C4" s="60" t="s">
        <v>51</v>
      </c>
      <c r="D4" s="60" t="s">
        <v>33</v>
      </c>
      <c r="E4" s="60" t="s">
        <v>25</v>
      </c>
      <c r="F4" s="60" t="s">
        <v>52</v>
      </c>
      <c r="G4" s="60" t="s">
        <v>25</v>
      </c>
      <c r="H4" s="60" t="s">
        <v>37</v>
      </c>
      <c r="I4" s="67">
        <v>44440</v>
      </c>
      <c r="J4" s="68">
        <f ca="1">EFEITO!$J$4*EFEITO!$Y$4</f>
        <v>35341.723391045525</v>
      </c>
      <c r="K4" s="68">
        <f ca="1">EFEITO!$L$4*EFEITO!$Z$4</f>
        <v>0</v>
      </c>
      <c r="L4" s="68">
        <f>EFEITO!$N$4*EFEITO!$AA$4</f>
        <v>0</v>
      </c>
      <c r="M4" s="68">
        <f ca="1">$J$4-EFEITO!$K$4*EFEITO!$Y$4</f>
        <v>17526.565326506698</v>
      </c>
      <c r="N4" s="68">
        <f ca="1">$K$4-EFEITO!$M$4*EFEITO!$Z$4</f>
        <v>0</v>
      </c>
      <c r="O4" s="68">
        <f>$L$4-EFEITO!$O$4*EFEITO!$AA$4</f>
        <v>0</v>
      </c>
      <c r="P4" s="18"/>
      <c r="Q4" s="68" t="s">
        <v>535</v>
      </c>
      <c r="R4" s="68">
        <f>SUMIF($B$2:$B$444,$Q$4,$J$2:$J$444)</f>
        <v>0</v>
      </c>
      <c r="S4" s="68">
        <f>SUMIF($B$2:$B$444,$Q$4,$K$2:$K$444)</f>
        <v>0</v>
      </c>
      <c r="T4" s="68">
        <f>SUMIF($B$2:$B$444,$Q$4,$L$2:$L$444)</f>
        <v>0</v>
      </c>
      <c r="U4" s="68">
        <f>SUMIF($B$2:$B$444,$Q$4,$M$2:$M$444)</f>
        <v>0</v>
      </c>
      <c r="V4" s="68">
        <f>SUMIF($B$2:$B$444,$Q$4,$N$2:$N$444)</f>
        <v>0</v>
      </c>
      <c r="W4" s="68">
        <f>SUMIF($B$2:$B$444,$Q$4,$O$2:$O$444)</f>
        <v>0</v>
      </c>
      <c r="X4" s="61">
        <f>$R$4-$U$4</f>
        <v>0</v>
      </c>
      <c r="Y4" s="61">
        <f>$S$4-$V$4</f>
        <v>0</v>
      </c>
      <c r="Z4" s="61">
        <f>$T$4-$W$4</f>
        <v>0</v>
      </c>
      <c r="AA4" s="61">
        <f>SUMIF(EFEITO!$B$2:$B$444,$Q$4,EFEITO!$AE$2:$AE$444)</f>
        <v>0</v>
      </c>
      <c r="AB4" s="61">
        <f>SUMIF(EFEITO!$B$2:$B$444,$Q$4,EFEITO!$AF$2:$AF$444)</f>
        <v>0</v>
      </c>
      <c r="AC4" s="61">
        <f>SUMIF(EFEITO!$B$2:$B$444,$Q$4,EFEITO!$AG$2:$AH$444)</f>
        <v>0</v>
      </c>
      <c r="AD4" s="61">
        <f>SUMIF(SUBSIDIO!$B$2:$B$444,$Q$4,SUBSIDIO!$AD$2:$AD$444)</f>
        <v>0</v>
      </c>
      <c r="AE4" s="61">
        <f>SUMIF(SUBSIDIO!$B$2:$B$444,$Q$4,SUBSIDIO!$AE$2:$AE$444)</f>
        <v>0</v>
      </c>
      <c r="AF4" s="61" t="str">
        <f>IF(ABS($X$4-$AA$4)&lt;0.01,"OK","ERRO")</f>
        <v>OK</v>
      </c>
      <c r="AG4" s="61" t="str">
        <f>IF(ABS($Y$4-$AB$4)&lt;0.01,"OK","ERRO")</f>
        <v>OK</v>
      </c>
      <c r="AH4" s="61" t="str">
        <f>IF(ABS($Z$4-$AC$4)&lt;0.01,"OK","ERRO")</f>
        <v>OK</v>
      </c>
      <c r="AI4" s="61" t="str">
        <f>IF(ABS($U$4-$AD$4)&lt;0.01,"OK","ERRO")</f>
        <v>OK</v>
      </c>
      <c r="AJ4" s="61" t="str">
        <f>IF(ABS(($V$4+$W$4)-$AE$4)&lt;0.01,"OK","ERRO")</f>
        <v>OK</v>
      </c>
    </row>
    <row r="5" spans="1:40" ht="11.25" customHeight="1" x14ac:dyDescent="0.2">
      <c r="A5" s="60" t="s">
        <v>21</v>
      </c>
      <c r="B5" s="60" t="s">
        <v>34</v>
      </c>
      <c r="C5" s="60" t="s">
        <v>51</v>
      </c>
      <c r="D5" s="60" t="s">
        <v>33</v>
      </c>
      <c r="E5" s="60" t="s">
        <v>25</v>
      </c>
      <c r="F5" s="60" t="s">
        <v>52</v>
      </c>
      <c r="G5" s="60" t="s">
        <v>25</v>
      </c>
      <c r="H5" s="60" t="s">
        <v>37</v>
      </c>
      <c r="I5" s="67">
        <v>44470</v>
      </c>
      <c r="J5" s="68">
        <f ca="1">EFEITO!$J$5*EFEITO!$Y$5</f>
        <v>35596.969171091965</v>
      </c>
      <c r="K5" s="68">
        <f ca="1">EFEITO!$L$5*EFEITO!$Z$5</f>
        <v>0</v>
      </c>
      <c r="L5" s="68">
        <f>EFEITO!$N$5*EFEITO!$AA$5</f>
        <v>0</v>
      </c>
      <c r="M5" s="68">
        <f ca="1">$J$5-EFEITO!$K$5*EFEITO!$Y$5</f>
        <v>17789.906783884824</v>
      </c>
      <c r="N5" s="68">
        <f ca="1">$K$5-EFEITO!$M$5*EFEITO!$Z$5</f>
        <v>0</v>
      </c>
      <c r="O5" s="68">
        <f>$L$5-EFEITO!$O$5*EFEITO!$AA$5</f>
        <v>0</v>
      </c>
      <c r="P5" s="18"/>
      <c r="Q5" s="68" t="s">
        <v>536</v>
      </c>
      <c r="R5" s="68">
        <f>SUMIF($B$2:$B$444,$Q$5,$J$2:$J$444)</f>
        <v>0</v>
      </c>
      <c r="S5" s="68">
        <f>SUMIF($B$2:$B$444,$Q$5,$K$2:$K$444)</f>
        <v>0</v>
      </c>
      <c r="T5" s="68">
        <f>SUMIF($B$2:$B$444,$Q$5,$L$2:$L$444)</f>
        <v>0</v>
      </c>
      <c r="U5" s="68">
        <f>SUMIF($B$2:$B$444,$Q$5,$M$2:$M$444)</f>
        <v>0</v>
      </c>
      <c r="V5" s="68">
        <f>SUMIF($B$2:$B$444,$Q$5,$N$2:$N$444)</f>
        <v>0</v>
      </c>
      <c r="W5" s="68">
        <f>SUMIF($B$2:$B$444,$Q$5,$O$2:$O$444)</f>
        <v>0</v>
      </c>
      <c r="X5" s="61">
        <f>$R$5-$U$5</f>
        <v>0</v>
      </c>
      <c r="Y5" s="61">
        <f>$S$5-$V$5</f>
        <v>0</v>
      </c>
      <c r="Z5" s="61">
        <f>$T$5-$W$5</f>
        <v>0</v>
      </c>
      <c r="AA5" s="61">
        <f>SUMIF(EFEITO!$B$2:$B$444,$Q$5,EFEITO!$AE$2:$AE$444)</f>
        <v>0</v>
      </c>
      <c r="AB5" s="61">
        <f>SUMIF(EFEITO!$B$2:$B$444,$Q$5,EFEITO!$AF$2:$AF$444)</f>
        <v>0</v>
      </c>
      <c r="AC5" s="61">
        <f>SUMIF(EFEITO!$B$2:$B$444,$Q$5,EFEITO!$AG$2:$AH$444)</f>
        <v>0</v>
      </c>
      <c r="AD5" s="61">
        <f>SUMIF(SUBSIDIO!$B$2:$B$444,$Q$5,SUBSIDIO!$AD$2:$AD$444)</f>
        <v>0</v>
      </c>
      <c r="AE5" s="61">
        <f>SUMIF(SUBSIDIO!$B$2:$B$444,$Q$5,SUBSIDIO!$AE$2:$AE$444)</f>
        <v>0</v>
      </c>
      <c r="AF5" s="61" t="str">
        <f>IF(ABS($X$5-$AA$5)&lt;0.01,"OK","ERRO")</f>
        <v>OK</v>
      </c>
      <c r="AG5" s="61" t="str">
        <f>IF(ABS($Y$5-$AB$5)&lt;0.01,"OK","ERRO")</f>
        <v>OK</v>
      </c>
      <c r="AH5" s="61" t="str">
        <f>IF(ABS($Z$5-$AC$5)&lt;0.01,"OK","ERRO")</f>
        <v>OK</v>
      </c>
      <c r="AI5" s="61" t="str">
        <f>IF(ABS($U$5-$AD$5)&lt;0.01,"OK","ERRO")</f>
        <v>OK</v>
      </c>
      <c r="AJ5" s="61" t="str">
        <f>IF(ABS(($V$5+$W$5)-$AE$5)&lt;0.01,"OK","ERRO")</f>
        <v>OK</v>
      </c>
    </row>
    <row r="6" spans="1:40" ht="11.25" customHeight="1" x14ac:dyDescent="0.2">
      <c r="A6" s="60" t="s">
        <v>21</v>
      </c>
      <c r="B6" s="60" t="s">
        <v>34</v>
      </c>
      <c r="C6" s="60" t="s">
        <v>51</v>
      </c>
      <c r="D6" s="60" t="s">
        <v>33</v>
      </c>
      <c r="E6" s="60" t="s">
        <v>25</v>
      </c>
      <c r="F6" s="60" t="s">
        <v>52</v>
      </c>
      <c r="G6" s="60" t="s">
        <v>25</v>
      </c>
      <c r="H6" s="60" t="s">
        <v>37</v>
      </c>
      <c r="I6" s="67">
        <v>44501</v>
      </c>
      <c r="J6" s="68">
        <f ca="1">EFEITO!$J$6*EFEITO!$Y$6</f>
        <v>35518.432008000753</v>
      </c>
      <c r="K6" s="68">
        <f ca="1">EFEITO!$L$6*EFEITO!$Z$6</f>
        <v>0</v>
      </c>
      <c r="L6" s="68">
        <f>EFEITO!$N$6*EFEITO!$AA$6</f>
        <v>0</v>
      </c>
      <c r="M6" s="68">
        <f ca="1">$J$6-EFEITO!$K$6*EFEITO!$Y$6</f>
        <v>17759.216004000376</v>
      </c>
      <c r="N6" s="68">
        <f ca="1">$K$6-EFEITO!$M$6*EFEITO!$Z$6</f>
        <v>0</v>
      </c>
      <c r="O6" s="68">
        <f>$L$6-EFEITO!$O$6*EFEITO!$AA$6</f>
        <v>0</v>
      </c>
      <c r="P6" s="18"/>
      <c r="Q6" s="68" t="s">
        <v>537</v>
      </c>
      <c r="R6" s="68">
        <f>SUMIF($B$2:$B$444,$Q$6,$J$2:$J$444)</f>
        <v>0</v>
      </c>
      <c r="S6" s="68">
        <f>SUMIF($B$2:$B$444,$Q$6,$K$2:$K$444)</f>
        <v>0</v>
      </c>
      <c r="T6" s="68">
        <f>SUMIF($B$2:$B$444,$Q$6,$L$2:$L$444)</f>
        <v>0</v>
      </c>
      <c r="U6" s="68">
        <f>SUMIF($B$2:$B$444,$Q$6,$M$2:$M$444)</f>
        <v>0</v>
      </c>
      <c r="V6" s="68">
        <f>SUMIF($B$2:$B$444,$Q$6,$N$2:$N$444)</f>
        <v>0</v>
      </c>
      <c r="W6" s="68">
        <f>SUMIF($B$2:$B$444,$Q$6,$O$2:$O$444)</f>
        <v>0</v>
      </c>
      <c r="X6" s="61">
        <f>$R$6-$U$6</f>
        <v>0</v>
      </c>
      <c r="Y6" s="61">
        <f>$S$6-$V$6</f>
        <v>0</v>
      </c>
      <c r="Z6" s="61">
        <f>$T$6-$W$6</f>
        <v>0</v>
      </c>
      <c r="AA6" s="61">
        <f>SUMIF(EFEITO!$B$2:$B$444,$Q$6,EFEITO!$AE$2:$AE$444)</f>
        <v>0</v>
      </c>
      <c r="AB6" s="61">
        <f>SUMIF(EFEITO!$B$2:$B$444,$Q$6,EFEITO!$AF$2:$AF$444)</f>
        <v>0</v>
      </c>
      <c r="AC6" s="61">
        <f>SUMIF(EFEITO!$B$2:$B$444,$Q$6,EFEITO!$AG$2:$AH$444)</f>
        <v>0</v>
      </c>
      <c r="AD6" s="61">
        <f>SUMIF(SUBSIDIO!$B$2:$B$444,$Q$6,SUBSIDIO!$AD$2:$AD$444)</f>
        <v>0</v>
      </c>
      <c r="AE6" s="61">
        <f>SUMIF(SUBSIDIO!$B$2:$B$444,$Q$6,SUBSIDIO!$AE$2:$AE$444)</f>
        <v>0</v>
      </c>
      <c r="AF6" s="61" t="str">
        <f>IF(ABS($X$6-$AA$6)&lt;0.01,"OK","ERRO")</f>
        <v>OK</v>
      </c>
      <c r="AG6" s="61" t="str">
        <f>IF(ABS($Y$6-$AB$6)&lt;0.01,"OK","ERRO")</f>
        <v>OK</v>
      </c>
      <c r="AH6" s="61" t="str">
        <f>IF(ABS($Z$6-$AC$6)&lt;0.01,"OK","ERRO")</f>
        <v>OK</v>
      </c>
      <c r="AI6" s="61" t="str">
        <f>IF(ABS($U$6-$AD$6)&lt;0.01,"OK","ERRO")</f>
        <v>OK</v>
      </c>
      <c r="AJ6" s="61" t="str">
        <f>IF(ABS(($V$6+$W$6)-$AE$6)&lt;0.01,"OK","ERRO")</f>
        <v>OK</v>
      </c>
    </row>
    <row r="7" spans="1:40" ht="11.25" customHeight="1" x14ac:dyDescent="0.2">
      <c r="A7" s="60" t="s">
        <v>21</v>
      </c>
      <c r="B7" s="60" t="s">
        <v>34</v>
      </c>
      <c r="C7" s="60" t="s">
        <v>51</v>
      </c>
      <c r="D7" s="60" t="s">
        <v>33</v>
      </c>
      <c r="E7" s="60" t="s">
        <v>25</v>
      </c>
      <c r="F7" s="60" t="s">
        <v>52</v>
      </c>
      <c r="G7" s="60" t="s">
        <v>25</v>
      </c>
      <c r="H7" s="60" t="s">
        <v>37</v>
      </c>
      <c r="I7" s="67">
        <v>44531</v>
      </c>
      <c r="J7" s="68">
        <f ca="1">EFEITO!$J$7*EFEITO!$Y$7</f>
        <v>35341.723391045525</v>
      </c>
      <c r="K7" s="68">
        <f ca="1">EFEITO!$L$7*EFEITO!$Z$7</f>
        <v>0</v>
      </c>
      <c r="L7" s="68">
        <f>EFEITO!$N$7*EFEITO!$AA$7</f>
        <v>0</v>
      </c>
      <c r="M7" s="68">
        <f ca="1">$J$7-EFEITO!$K$7*EFEITO!$Y$7</f>
        <v>17027.132348737203</v>
      </c>
      <c r="N7" s="68">
        <f ca="1">$K$7-EFEITO!$M$7*EFEITO!$Z$7</f>
        <v>0</v>
      </c>
      <c r="O7" s="68">
        <f>$L$7-EFEITO!$O$7*EFEITO!$AA$7</f>
        <v>0</v>
      </c>
      <c r="P7" s="18"/>
      <c r="Q7" s="68" t="s">
        <v>34</v>
      </c>
      <c r="R7" s="68">
        <f ca="1">SUMIF($B$2:$B$444,$Q$7,$J$2:$J$444)</f>
        <v>2788127.1749495482</v>
      </c>
      <c r="S7" s="68">
        <f ca="1">SUMIF($B$2:$B$444,$Q$7,$K$2:$K$444)</f>
        <v>6494619.4009927763</v>
      </c>
      <c r="T7" s="68">
        <f>SUMIF($B$2:$B$444,$Q$7,$L$2:$L$444)</f>
        <v>5809473.9708861308</v>
      </c>
      <c r="U7" s="68">
        <f ca="1">SUMIF($B$2:$B$444,$Q$7,$M$2:$M$444)</f>
        <v>664596.62526556745</v>
      </c>
      <c r="V7" s="68">
        <f ca="1">SUMIF($B$2:$B$444,$Q$7,$N$2:$N$444)</f>
        <v>173388.72682757376</v>
      </c>
      <c r="W7" s="68">
        <f>SUMIF($B$2:$B$444,$Q$7,$O$2:$O$444)</f>
        <v>101.25133356556444</v>
      </c>
      <c r="X7" s="61">
        <f ca="1">$R$7-$U$7</f>
        <v>2123530.5496839806</v>
      </c>
      <c r="Y7" s="61">
        <f ca="1">$S$7-$V$7</f>
        <v>6321230.6741652023</v>
      </c>
      <c r="Z7" s="61">
        <f>$T$7-$W$7</f>
        <v>5809372.7195525654</v>
      </c>
      <c r="AA7" s="61">
        <f ca="1">SUMIF(EFEITO!$B$2:$B$444,$Q$7,EFEITO!$AE$2:$AE$444)</f>
        <v>2123530.5496839806</v>
      </c>
      <c r="AB7" s="61">
        <f ca="1">SUMIF(EFEITO!$B$2:$B$444,$Q$7,EFEITO!$AF$2:$AF$444)</f>
        <v>6321230.6741652023</v>
      </c>
      <c r="AC7" s="61">
        <f>SUMIF(EFEITO!$B$2:$B$444,$Q$7,EFEITO!$AG$2:$AH$444)</f>
        <v>5809372.7195525654</v>
      </c>
      <c r="AD7" s="61">
        <f ca="1">SUMIF(SUBSIDIO!$B$2:$B$444,$Q$7,SUBSIDIO!$AD$2:$AD$444)</f>
        <v>664596.62526556745</v>
      </c>
      <c r="AE7" s="61">
        <f ca="1">SUMIF(SUBSIDIO!$B$2:$B$444,$Q$7,SUBSIDIO!$AE$2:$AE$444)</f>
        <v>173489.97816113933</v>
      </c>
      <c r="AF7" s="61" t="str">
        <f ca="1">IF(ABS($X$7-$AA$7)&lt;0.01,"OK","ERRO")</f>
        <v>OK</v>
      </c>
      <c r="AG7" s="61" t="str">
        <f ca="1">IF(ABS($Y$7-$AB$7)&lt;0.01,"OK","ERRO")</f>
        <v>OK</v>
      </c>
      <c r="AH7" s="61" t="str">
        <f>IF(ABS($Z$7-$AC$7)&lt;0.01,"OK","ERRO")</f>
        <v>OK</v>
      </c>
      <c r="AI7" s="61" t="str">
        <f ca="1">IF(ABS($U$7-$AD$7)&lt;0.01,"OK","ERRO")</f>
        <v>OK</v>
      </c>
      <c r="AJ7" s="61" t="str">
        <f ca="1">IF(ABS(($V$7+$W$7)-$AE$7)&lt;0.01,"OK","ERRO")</f>
        <v>OK</v>
      </c>
    </row>
    <row r="8" spans="1:40" ht="11.25" customHeight="1" x14ac:dyDescent="0.2">
      <c r="A8" s="60" t="s">
        <v>21</v>
      </c>
      <c r="B8" s="60" t="s">
        <v>34</v>
      </c>
      <c r="C8" s="60" t="s">
        <v>51</v>
      </c>
      <c r="D8" s="60" t="s">
        <v>33</v>
      </c>
      <c r="E8" s="60" t="s">
        <v>25</v>
      </c>
      <c r="F8" s="60" t="s">
        <v>52</v>
      </c>
      <c r="G8" s="60" t="s">
        <v>25</v>
      </c>
      <c r="H8" s="60" t="s">
        <v>37</v>
      </c>
      <c r="I8" s="67">
        <v>44562</v>
      </c>
      <c r="J8" s="68">
        <f ca="1">EFEITO!$J$8*EFEITO!$Y$8</f>
        <v>35341.723391045525</v>
      </c>
      <c r="K8" s="68">
        <f ca="1">EFEITO!$L$8*EFEITO!$Z$8</f>
        <v>0</v>
      </c>
      <c r="L8" s="68">
        <f>EFEITO!$N$8*EFEITO!$AA$8</f>
        <v>0</v>
      </c>
      <c r="M8" s="68">
        <f ca="1">$J$8-EFEITO!$K$8*EFEITO!$Y$8</f>
        <v>17647.922089704101</v>
      </c>
      <c r="N8" s="68">
        <f ca="1">$K$8-EFEITO!$M$8*EFEITO!$Z$8</f>
        <v>0</v>
      </c>
      <c r="O8" s="68">
        <f>$L$8-EFEITO!$O$8*EFEITO!$AA$8</f>
        <v>0</v>
      </c>
      <c r="P8" s="18"/>
      <c r="Q8" s="68" t="s">
        <v>538</v>
      </c>
      <c r="R8" s="68">
        <f>SUMIF($B$2:$B$444,$Q$8,$J$2:$J$444)</f>
        <v>0</v>
      </c>
      <c r="S8" s="68">
        <f>SUMIF($B$2:$B$444,$Q$8,$K$2:$K$444)</f>
        <v>0</v>
      </c>
      <c r="T8" s="68">
        <f>SUMIF($B$2:$B$444,$Q$8,$L$2:$L$444)</f>
        <v>0</v>
      </c>
      <c r="U8" s="68">
        <f>SUMIF($B$2:$B$444,$Q$8,$M$2:$M$444)</f>
        <v>0</v>
      </c>
      <c r="V8" s="68">
        <f>SUMIF($B$2:$B$444,$Q$8,$N$2:$N$444)</f>
        <v>0</v>
      </c>
      <c r="W8" s="68">
        <f>SUMIF($B$2:$B$444,$Q$8,$O$2:$O$444)</f>
        <v>0</v>
      </c>
      <c r="X8" s="61">
        <f>$R$8-$U$8</f>
        <v>0</v>
      </c>
      <c r="Y8" s="61">
        <f>$S$8-$V$8</f>
        <v>0</v>
      </c>
      <c r="Z8" s="61">
        <f>$T$8-$W$8</f>
        <v>0</v>
      </c>
      <c r="AA8" s="61">
        <f>SUMIF(EFEITO!$B$2:$B$444,$Q$8,EFEITO!$AE$2:$AE$444)</f>
        <v>0</v>
      </c>
      <c r="AB8" s="61">
        <f>SUMIF(EFEITO!$B$2:$B$444,$Q$8,EFEITO!$AF$2:$AF$444)</f>
        <v>0</v>
      </c>
      <c r="AC8" s="61">
        <f>SUMIF(EFEITO!$B$2:$B$444,$Q$8,EFEITO!$AG$2:$AH$444)</f>
        <v>0</v>
      </c>
      <c r="AD8" s="61">
        <f>SUMIF(SUBSIDIO!$B$2:$B$444,$Q$8,SUBSIDIO!$AD$2:$AD$444)</f>
        <v>0</v>
      </c>
      <c r="AE8" s="61">
        <f>SUMIF(SUBSIDIO!$B$2:$B$444,$Q$8,SUBSIDIO!$AE$2:$AE$444)</f>
        <v>0</v>
      </c>
      <c r="AF8" s="61" t="str">
        <f>IF(ABS($X$8-$AA$8)&lt;0.01,"OK","ERRO")</f>
        <v>OK</v>
      </c>
      <c r="AG8" s="61" t="str">
        <f>IF(ABS($Y$8-$AB$8)&lt;0.01,"OK","ERRO")</f>
        <v>OK</v>
      </c>
      <c r="AH8" s="61" t="str">
        <f>IF(ABS($Z$8-$AC$8)&lt;0.01,"OK","ERRO")</f>
        <v>OK</v>
      </c>
      <c r="AI8" s="61" t="str">
        <f>IF(ABS($U$8-$AD$8)&lt;0.01,"OK","ERRO")</f>
        <v>OK</v>
      </c>
      <c r="AJ8" s="61" t="str">
        <f>IF(ABS(($V$8+$W$8)-$AE$8)&lt;0.01,"OK","ERRO")</f>
        <v>OK</v>
      </c>
    </row>
    <row r="9" spans="1:40" ht="11.25" customHeight="1" x14ac:dyDescent="0.2">
      <c r="A9" s="60" t="s">
        <v>21</v>
      </c>
      <c r="B9" s="60" t="s">
        <v>34</v>
      </c>
      <c r="C9" s="60" t="s">
        <v>51</v>
      </c>
      <c r="D9" s="60" t="s">
        <v>33</v>
      </c>
      <c r="E9" s="60" t="s">
        <v>25</v>
      </c>
      <c r="F9" s="60" t="s">
        <v>52</v>
      </c>
      <c r="G9" s="60" t="s">
        <v>25</v>
      </c>
      <c r="H9" s="60" t="s">
        <v>37</v>
      </c>
      <c r="I9" s="67">
        <v>44593</v>
      </c>
      <c r="J9" s="68">
        <f ca="1">EFEITO!$J$9*EFEITO!$Y$9</f>
        <v>35341.723391045525</v>
      </c>
      <c r="K9" s="68">
        <f ca="1">EFEITO!$L$9*EFEITO!$Z$9</f>
        <v>0</v>
      </c>
      <c r="L9" s="68">
        <f>EFEITO!$N$9*EFEITO!$AA$9</f>
        <v>0</v>
      </c>
      <c r="M9" s="68">
        <f ca="1">$J$9-EFEITO!$K$9*EFEITO!$Y$9</f>
        <v>17655.047334556974</v>
      </c>
      <c r="N9" s="68">
        <f ca="1">$K$9-EFEITO!$M$9*EFEITO!$Z$9</f>
        <v>0</v>
      </c>
      <c r="O9" s="68">
        <f>$L$9-EFEITO!$O$9*EFEITO!$AA$9</f>
        <v>0</v>
      </c>
      <c r="P9" s="18"/>
      <c r="Q9" s="68" t="s">
        <v>22</v>
      </c>
      <c r="R9" s="68">
        <f>SUMIF($B$2:$B$444,$Q$9,$J$2:$J$444)</f>
        <v>0</v>
      </c>
      <c r="S9" s="68">
        <f ca="1">SUMIF($B$2:$B$444,$Q$9,$K$2:$K$444)</f>
        <v>7971251.9466861272</v>
      </c>
      <c r="T9" s="68">
        <f>SUMIF($B$2:$B$444,$Q$9,$L$2:$L$444)</f>
        <v>4892053.752520781</v>
      </c>
      <c r="U9" s="68">
        <f>SUMIF($B$2:$B$444,$Q$9,$M$2:$M$444)</f>
        <v>0</v>
      </c>
      <c r="V9" s="68">
        <f ca="1">SUMIF($B$2:$B$444,$Q$9,$N$2:$N$444)</f>
        <v>72401.170954966423</v>
      </c>
      <c r="W9" s="68">
        <f>SUMIF($B$2:$B$444,$Q$9,$O$2:$O$444)</f>
        <v>64063.800324798787</v>
      </c>
      <c r="X9" s="61">
        <f>$R$9-$U$9</f>
        <v>0</v>
      </c>
      <c r="Y9" s="61">
        <f ca="1">$S$9-$V$9</f>
        <v>7898850.7757311612</v>
      </c>
      <c r="Z9" s="61">
        <f>$T$9-$W$9</f>
        <v>4827989.9521959824</v>
      </c>
      <c r="AA9" s="61">
        <f>SUMIF(EFEITO!$B$2:$B$444,$Q$9,EFEITO!$AE$2:$AE$444)</f>
        <v>0</v>
      </c>
      <c r="AB9" s="61">
        <f ca="1">SUMIF(EFEITO!$B$2:$B$444,$Q$9,EFEITO!$AF$2:$AF$444)</f>
        <v>7898850.7757311575</v>
      </c>
      <c r="AC9" s="61">
        <f>SUMIF(EFEITO!$B$2:$B$444,$Q$9,EFEITO!$AG$2:$AH$444)</f>
        <v>4827989.952195988</v>
      </c>
      <c r="AD9" s="61">
        <f>SUMIF(SUBSIDIO!$B$2:$B$444,$Q$9,SUBSIDIO!$AD$2:$AD$444)</f>
        <v>0</v>
      </c>
      <c r="AE9" s="61">
        <f ca="1">SUMIF(SUBSIDIO!$B$2:$B$444,$Q$9,SUBSIDIO!$AE$2:$AE$444)</f>
        <v>136464.97127976519</v>
      </c>
      <c r="AF9" s="61" t="str">
        <f>IF(ABS($X$9-$AA$9)&lt;0.01,"OK","ERRO")</f>
        <v>OK</v>
      </c>
      <c r="AG9" s="61" t="str">
        <f ca="1">IF(ABS($Y$9-$AB$9)&lt;0.01,"OK","ERRO")</f>
        <v>OK</v>
      </c>
      <c r="AH9" s="61" t="str">
        <f>IF(ABS($Z$9-$AC$9)&lt;0.01,"OK","ERRO")</f>
        <v>OK</v>
      </c>
      <c r="AI9" s="61" t="str">
        <f>IF(ABS($U$9-$AD$9)&lt;0.01,"OK","ERRO")</f>
        <v>OK</v>
      </c>
      <c r="AJ9" s="61" t="str">
        <f ca="1">IF(ABS(($V$9+$W$9)-$AE$9)&lt;0.01,"OK","ERRO")</f>
        <v>OK</v>
      </c>
    </row>
    <row r="10" spans="1:40" ht="11.25" customHeight="1" x14ac:dyDescent="0.2">
      <c r="A10" s="60" t="s">
        <v>21</v>
      </c>
      <c r="B10" s="60" t="s">
        <v>34</v>
      </c>
      <c r="C10" s="60" t="s">
        <v>51</v>
      </c>
      <c r="D10" s="60" t="s">
        <v>33</v>
      </c>
      <c r="E10" s="60" t="s">
        <v>25</v>
      </c>
      <c r="F10" s="60" t="s">
        <v>52</v>
      </c>
      <c r="G10" s="60" t="s">
        <v>25</v>
      </c>
      <c r="H10" s="60" t="s">
        <v>37</v>
      </c>
      <c r="I10" s="67">
        <v>44621</v>
      </c>
      <c r="J10" s="68">
        <f ca="1">EFEITO!$J$10*EFEITO!$Y$10</f>
        <v>35341.723391045525</v>
      </c>
      <c r="K10" s="68">
        <f ca="1">EFEITO!$L$10*EFEITO!$Z$10</f>
        <v>0</v>
      </c>
      <c r="L10" s="68">
        <f>EFEITO!$N$10*EFEITO!$AA$10</f>
        <v>0</v>
      </c>
      <c r="M10" s="68">
        <f ca="1">$J$10-EFEITO!$K$10*EFEITO!$Y$10</f>
        <v>17646.541995405682</v>
      </c>
      <c r="N10" s="68">
        <f ca="1">$K$10-EFEITO!$M$10*EFEITO!$Z$10</f>
        <v>0</v>
      </c>
      <c r="O10" s="68">
        <f>$L$10-EFEITO!$O$10*EFEITO!$AA$10</f>
        <v>0</v>
      </c>
      <c r="P10" s="18"/>
      <c r="Q10" s="68" t="s">
        <v>39</v>
      </c>
      <c r="R10" s="68">
        <f>SUMIF($B$2:$B$444,$Q$10,$J$2:$J$444)</f>
        <v>0</v>
      </c>
      <c r="S10" s="68">
        <f ca="1">SUMIF($B$2:$B$444,$Q$10,$K$2:$K$444)</f>
        <v>17103.539599444004</v>
      </c>
      <c r="T10" s="68">
        <f>SUMIF($B$2:$B$444,$Q$10,$L$2:$L$444)</f>
        <v>10347.181016916988</v>
      </c>
      <c r="U10" s="68">
        <f>SUMIF($B$2:$B$444,$Q$10,$M$2:$M$444)</f>
        <v>0</v>
      </c>
      <c r="V10" s="68">
        <f ca="1">SUMIF($B$2:$B$444,$Q$10,$N$2:$N$444)</f>
        <v>1026.2123759666404</v>
      </c>
      <c r="W10" s="68">
        <f>SUMIF($B$2:$B$444,$Q$10,$O$2:$O$444)</f>
        <v>620.83086101501988</v>
      </c>
      <c r="X10" s="61">
        <f>$R$10-$U$10</f>
        <v>0</v>
      </c>
      <c r="Y10" s="61">
        <f ca="1">$S$10-$V$10</f>
        <v>16077.327223477363</v>
      </c>
      <c r="Z10" s="61">
        <f>$T$10-$W$10</f>
        <v>9726.3501559019678</v>
      </c>
      <c r="AA10" s="61">
        <f>SUMIF(EFEITO!$B$2:$B$444,$Q$10,EFEITO!$AE$2:$AE$444)</f>
        <v>0</v>
      </c>
      <c r="AB10" s="61">
        <f ca="1">SUMIF(EFEITO!$B$2:$B$444,$Q$10,EFEITO!$AF$2:$AF$444)</f>
        <v>16077.32722347737</v>
      </c>
      <c r="AC10" s="61">
        <f>SUMIF(EFEITO!$B$2:$B$444,$Q$10,EFEITO!$AG$2:$AH$444)</f>
        <v>9726.3501559019678</v>
      </c>
      <c r="AD10" s="61">
        <f>SUMIF(SUBSIDIO!$B$2:$B$444,$Q$10,SUBSIDIO!$AD$2:$AD$444)</f>
        <v>0</v>
      </c>
      <c r="AE10" s="61">
        <f ca="1">SUMIF(SUBSIDIO!$B$2:$B$444,$Q$10,SUBSIDIO!$AE$2:$AE$444)</f>
        <v>1647.0432369816583</v>
      </c>
      <c r="AF10" s="61" t="str">
        <f>IF(ABS($X$10-$AA$10)&lt;0.01,"OK","ERRO")</f>
        <v>OK</v>
      </c>
      <c r="AG10" s="61" t="str">
        <f ca="1">IF(ABS($Y$10-$AB$10)&lt;0.01,"OK","ERRO")</f>
        <v>OK</v>
      </c>
      <c r="AH10" s="61" t="str">
        <f>IF(ABS($Z$10-$AC$10)&lt;0.01,"OK","ERRO")</f>
        <v>OK</v>
      </c>
      <c r="AI10" s="61" t="str">
        <f>IF(ABS($U$10-$AD$10)&lt;0.01,"OK","ERRO")</f>
        <v>OK</v>
      </c>
      <c r="AJ10" s="61" t="str">
        <f ca="1">IF(ABS(($V$10+$W$10)-$AE$10)&lt;0.01,"OK","ERRO")</f>
        <v>OK</v>
      </c>
    </row>
    <row r="11" spans="1:40" ht="11.25" customHeight="1" x14ac:dyDescent="0.2">
      <c r="A11" s="60" t="s">
        <v>21</v>
      </c>
      <c r="B11" s="60" t="s">
        <v>34</v>
      </c>
      <c r="C11" s="60" t="s">
        <v>51</v>
      </c>
      <c r="D11" s="60" t="s">
        <v>33</v>
      </c>
      <c r="E11" s="60" t="s">
        <v>25</v>
      </c>
      <c r="F11" s="60" t="s">
        <v>52</v>
      </c>
      <c r="G11" s="60" t="s">
        <v>25</v>
      </c>
      <c r="H11" s="60" t="s">
        <v>37</v>
      </c>
      <c r="I11" s="67">
        <v>44652</v>
      </c>
      <c r="J11" s="68">
        <f ca="1">EFEITO!$J$11*EFEITO!$Y$11</f>
        <v>35341.723391045525</v>
      </c>
      <c r="K11" s="68">
        <f ca="1">EFEITO!$L$11*EFEITO!$Z$11</f>
        <v>0</v>
      </c>
      <c r="L11" s="68">
        <f>EFEITO!$N$11*EFEITO!$AA$11</f>
        <v>0</v>
      </c>
      <c r="M11" s="68">
        <f ca="1">$J$11-EFEITO!$K$11*EFEITO!$Y$11</f>
        <v>17638.316916120883</v>
      </c>
      <c r="N11" s="68">
        <f ca="1">$K$11-EFEITO!$M$11*EFEITO!$Z$11</f>
        <v>0</v>
      </c>
      <c r="O11" s="68">
        <f>$L$11-EFEITO!$O$11*EFEITO!$AA$11</f>
        <v>0</v>
      </c>
      <c r="P11" s="18"/>
      <c r="Q11" s="68" t="s">
        <v>32</v>
      </c>
      <c r="R11" s="68">
        <f>SUMIF($B$2:$B$444,$Q$11,$J$2:$J$444)</f>
        <v>0</v>
      </c>
      <c r="S11" s="68">
        <f ca="1">SUMIF($B$2:$B$444,$Q$11,$K$2:$K$444)</f>
        <v>4665085.9496968109</v>
      </c>
      <c r="T11" s="68">
        <f>SUMIF($B$2:$B$444,$Q$11,$L$2:$L$444)</f>
        <v>2822320.7606378919</v>
      </c>
      <c r="U11" s="68">
        <f>SUMIF($B$2:$B$444,$Q$11,$M$2:$M$444)</f>
        <v>0</v>
      </c>
      <c r="V11" s="68">
        <f ca="1">SUMIF($B$2:$B$444,$Q$11,$N$2:$N$444)</f>
        <v>21694.940270715997</v>
      </c>
      <c r="W11" s="68">
        <f>SUMIF($B$2:$B$444,$Q$11,$O$2:$O$444)</f>
        <v>13124.85481891696</v>
      </c>
      <c r="X11" s="61">
        <f>$R$11-$U$11</f>
        <v>0</v>
      </c>
      <c r="Y11" s="61">
        <f ca="1">$S$11-$V$11</f>
        <v>4643391.0094260946</v>
      </c>
      <c r="Z11" s="61">
        <f>$T$11-$W$11</f>
        <v>2809195.9058189751</v>
      </c>
      <c r="AA11" s="61">
        <f>SUMIF(EFEITO!$B$2:$B$444,$Q$11,EFEITO!$AE$2:$AE$444)</f>
        <v>0</v>
      </c>
      <c r="AB11" s="61">
        <f ca="1">SUMIF(EFEITO!$B$2:$B$444,$Q$11,EFEITO!$AF$2:$AF$444)</f>
        <v>4643391.0094260946</v>
      </c>
      <c r="AC11" s="61">
        <f>SUMIF(EFEITO!$B$2:$B$444,$Q$11,EFEITO!$AG$2:$AH$444)</f>
        <v>2809195.9058189755</v>
      </c>
      <c r="AD11" s="61">
        <f>SUMIF(SUBSIDIO!$B$2:$B$444,$Q$11,SUBSIDIO!$AD$2:$AD$444)</f>
        <v>0</v>
      </c>
      <c r="AE11" s="61">
        <f ca="1">SUMIF(SUBSIDIO!$B$2:$B$444,$Q$11,SUBSIDIO!$AE$2:$AE$444)</f>
        <v>34819.795089632898</v>
      </c>
      <c r="AF11" s="61" t="str">
        <f>IF(ABS($X$11-$AA$11)&lt;0.01,"OK","ERRO")</f>
        <v>OK</v>
      </c>
      <c r="AG11" s="61" t="str">
        <f ca="1">IF(ABS($Y$11-$AB$11)&lt;0.01,"OK","ERRO")</f>
        <v>OK</v>
      </c>
      <c r="AH11" s="61" t="str">
        <f>IF(ABS($Z$11-$AC$11)&lt;0.01,"OK","ERRO")</f>
        <v>OK</v>
      </c>
      <c r="AI11" s="61" t="str">
        <f>IF(ABS($U$11-$AD$11)&lt;0.01,"OK","ERRO")</f>
        <v>OK</v>
      </c>
      <c r="AJ11" s="61" t="str">
        <f ca="1">IF(ABS(($V$11+$W$11)-$AE$11)&lt;0.01,"OK","ERRO")</f>
        <v>OK</v>
      </c>
    </row>
    <row r="12" spans="1:40" ht="11.25" customHeight="1" x14ac:dyDescent="0.2">
      <c r="A12" s="60" t="s">
        <v>21</v>
      </c>
      <c r="B12" s="60" t="s">
        <v>34</v>
      </c>
      <c r="C12" s="60" t="s">
        <v>51</v>
      </c>
      <c r="D12" s="60" t="s">
        <v>33</v>
      </c>
      <c r="E12" s="60" t="s">
        <v>25</v>
      </c>
      <c r="F12" s="60" t="s">
        <v>52</v>
      </c>
      <c r="G12" s="60" t="s">
        <v>25</v>
      </c>
      <c r="H12" s="60" t="s">
        <v>37</v>
      </c>
      <c r="I12" s="67">
        <v>44682</v>
      </c>
      <c r="J12" s="68">
        <f ca="1">EFEITO!$J$12*EFEITO!$Y$12</f>
        <v>35341.723391045525</v>
      </c>
      <c r="K12" s="68">
        <f ca="1">EFEITO!$L$12*EFEITO!$Z$12</f>
        <v>0</v>
      </c>
      <c r="L12" s="68">
        <f>EFEITO!$N$12*EFEITO!$AA$12</f>
        <v>0</v>
      </c>
      <c r="M12" s="68">
        <f ca="1">$J$12-EFEITO!$K$12*EFEITO!$Y$12</f>
        <v>15903.775525970486</v>
      </c>
      <c r="N12" s="68">
        <f ca="1">$K$12-EFEITO!$M$12*EFEITO!$Z$12</f>
        <v>0</v>
      </c>
      <c r="O12" s="68">
        <f>$L$12-EFEITO!$O$12*EFEITO!$AA$12</f>
        <v>0</v>
      </c>
      <c r="P12" s="18"/>
      <c r="Q12" s="68" t="s">
        <v>42</v>
      </c>
      <c r="R12" s="68">
        <f>SUMIF($B$2:$B$444,$Q$12,$J$2:$J$444)</f>
        <v>0</v>
      </c>
      <c r="S12" s="68">
        <f ca="1">SUMIF($B$2:$B$444,$Q$12,$K$2:$K$444)</f>
        <v>739731.66094359488</v>
      </c>
      <c r="T12" s="68">
        <f>SUMIF($B$2:$B$444,$Q$12,$L$2:$L$444)</f>
        <v>447517.74071238772</v>
      </c>
      <c r="U12" s="68">
        <f>SUMIF($B$2:$B$444,$Q$12,$M$2:$M$444)</f>
        <v>0</v>
      </c>
      <c r="V12" s="68">
        <f ca="1">SUMIF($B$2:$B$444,$Q$12,$N$2:$N$444)</f>
        <v>0</v>
      </c>
      <c r="W12" s="68">
        <f>SUMIF($B$2:$B$444,$Q$12,$O$2:$O$444)</f>
        <v>0</v>
      </c>
      <c r="X12" s="61">
        <f>$R$12-$U$12</f>
        <v>0</v>
      </c>
      <c r="Y12" s="61">
        <f ca="1">$S$12-$V$12</f>
        <v>739731.66094359488</v>
      </c>
      <c r="Z12" s="61">
        <f>$T$12-$W$12</f>
        <v>447517.74071238772</v>
      </c>
      <c r="AA12" s="61">
        <f>SUMIF(EFEITO!$B$2:$B$444,$Q$12,EFEITO!$AE$2:$AE$444)</f>
        <v>0</v>
      </c>
      <c r="AB12" s="61">
        <f ca="1">SUMIF(EFEITO!$B$2:$B$444,$Q$12,EFEITO!$AF$2:$AF$444)</f>
        <v>739731.66094359488</v>
      </c>
      <c r="AC12" s="61">
        <f>SUMIF(EFEITO!$B$2:$B$444,$Q$12,EFEITO!$AG$2:$AH$444)</f>
        <v>447517.74071238772</v>
      </c>
      <c r="AD12" s="61">
        <f>SUMIF(SUBSIDIO!$B$2:$B$444,$Q$12,SUBSIDIO!$AD$2:$AD$444)</f>
        <v>0</v>
      </c>
      <c r="AE12" s="61">
        <f>SUMIF(SUBSIDIO!$B$2:$B$444,$Q$12,SUBSIDIO!$AE$2:$AE$444)</f>
        <v>0</v>
      </c>
      <c r="AF12" s="61" t="str">
        <f>IF(ABS($X$12-$AA$12)&lt;0.01,"OK","ERRO")</f>
        <v>OK</v>
      </c>
      <c r="AG12" s="61" t="str">
        <f ca="1">IF(ABS($Y$12-$AB$12)&lt;0.01,"OK","ERRO")</f>
        <v>OK</v>
      </c>
      <c r="AH12" s="61" t="str">
        <f>IF(ABS($Z$12-$AC$12)&lt;0.01,"OK","ERRO")</f>
        <v>OK</v>
      </c>
      <c r="AI12" s="61" t="str">
        <f>IF(ABS($U$12-$AD$12)&lt;0.01,"OK","ERRO")</f>
        <v>OK</v>
      </c>
      <c r="AJ12" s="61" t="str">
        <f ca="1">IF(ABS(($V$12+$W$12)-$AE$12)&lt;0.01,"OK","ERRO")</f>
        <v>OK</v>
      </c>
    </row>
    <row r="13" spans="1:40" ht="11.25" customHeight="1" x14ac:dyDescent="0.2">
      <c r="A13" s="60" t="s">
        <v>21</v>
      </c>
      <c r="B13" s="60" t="s">
        <v>34</v>
      </c>
      <c r="C13" s="60" t="s">
        <v>51</v>
      </c>
      <c r="D13" s="60" t="s">
        <v>33</v>
      </c>
      <c r="E13" s="60" t="s">
        <v>25</v>
      </c>
      <c r="F13" s="60" t="s">
        <v>52</v>
      </c>
      <c r="G13" s="60" t="s">
        <v>25</v>
      </c>
      <c r="H13" s="60" t="s">
        <v>37</v>
      </c>
      <c r="I13" s="67">
        <v>44713</v>
      </c>
      <c r="J13" s="68">
        <f ca="1">EFEITO!$J$13*EFEITO!$Y$13</f>
        <v>35341.723391045525</v>
      </c>
      <c r="K13" s="68">
        <f ca="1">EFEITO!$L$13*EFEITO!$Z$13</f>
        <v>0</v>
      </c>
      <c r="L13" s="68">
        <f>EFEITO!$N$13*EFEITO!$AA$13</f>
        <v>0</v>
      </c>
      <c r="M13" s="68">
        <f ca="1">$J$13-EFEITO!$K$13*EFEITO!$Y$13</f>
        <v>15903.775525970486</v>
      </c>
      <c r="N13" s="68">
        <f ca="1">$K$13-EFEITO!$M$13*EFEITO!$Z$13</f>
        <v>0</v>
      </c>
      <c r="O13" s="68">
        <f>$L$13-EFEITO!$O$13*EFEITO!$AA$13</f>
        <v>0</v>
      </c>
      <c r="P13" s="18"/>
      <c r="Q13" s="68" t="s">
        <v>80</v>
      </c>
      <c r="R13" s="68">
        <f>SUMIF($B$2:$B$444,$Q$13,$J$2:$J$444)</f>
        <v>0</v>
      </c>
      <c r="S13" s="68">
        <f>SUMIF($B$2:$B$444,$Q$13,$K$2:$K$444)</f>
        <v>0</v>
      </c>
      <c r="T13" s="68">
        <f>SUMIF($B$2:$B$444,$Q$13,$L$2:$L$444)</f>
        <v>0</v>
      </c>
      <c r="U13" s="68">
        <f>SUMIF($B$2:$B$444,$Q$13,$M$2:$M$444)</f>
        <v>0</v>
      </c>
      <c r="V13" s="68">
        <f>SUMIF($B$2:$B$444,$Q$13,$N$2:$N$444)</f>
        <v>0</v>
      </c>
      <c r="W13" s="68">
        <f>SUMIF($B$2:$B$444,$Q$13,$O$2:$O$444)</f>
        <v>0</v>
      </c>
      <c r="X13" s="61">
        <f>$R$13-$U$13</f>
        <v>0</v>
      </c>
      <c r="Y13" s="61">
        <f>$S$13-$V$13</f>
        <v>0</v>
      </c>
      <c r="Z13" s="61">
        <f>$T$13-$W$13</f>
        <v>0</v>
      </c>
      <c r="AA13" s="61">
        <f>SUMIF(EFEITO!$B$2:$B$444,$Q$13,EFEITO!$AE$2:$AE$444)</f>
        <v>0</v>
      </c>
      <c r="AB13" s="61">
        <f>SUMIF(EFEITO!$B$2:$B$444,$Q$13,EFEITO!$AF$2:$AF$444)</f>
        <v>0</v>
      </c>
      <c r="AC13" s="61">
        <f>SUMIF(EFEITO!$B$2:$B$444,$Q$13,EFEITO!$AG$2:$AH$444)</f>
        <v>0</v>
      </c>
      <c r="AD13" s="61">
        <f>SUMIF(SUBSIDIO!$B$2:$B$444,$Q$13,SUBSIDIO!$AD$2:$AD$444)</f>
        <v>0</v>
      </c>
      <c r="AE13" s="61">
        <f>SUMIF(SUBSIDIO!$B$2:$B$444,$Q$13,SUBSIDIO!$AE$2:$AE$444)</f>
        <v>0</v>
      </c>
      <c r="AF13" s="61" t="str">
        <f>IF(ABS($X$13-$AA$13)&lt;0.01,"OK","ERRO")</f>
        <v>OK</v>
      </c>
      <c r="AG13" s="61" t="str">
        <f>IF(ABS($Y$13-$AB$13)&lt;0.01,"OK","ERRO")</f>
        <v>OK</v>
      </c>
      <c r="AH13" s="61" t="str">
        <f>IF(ABS($Z$13-$AC$13)&lt;0.01,"OK","ERRO")</f>
        <v>OK</v>
      </c>
      <c r="AI13" s="61" t="str">
        <f>IF(ABS($U$13-$AD$13)&lt;0.01,"OK","ERRO")</f>
        <v>OK</v>
      </c>
      <c r="AJ13" s="61" t="str">
        <f>IF(ABS(($V$13+$W$13)-$AE$13)&lt;0.01,"OK","ERRO")</f>
        <v>OK</v>
      </c>
    </row>
    <row r="14" spans="1:40" ht="11.25" customHeight="1" x14ac:dyDescent="0.2">
      <c r="A14" s="60" t="s">
        <v>21</v>
      </c>
      <c r="B14" s="60" t="s">
        <v>34</v>
      </c>
      <c r="C14" s="60" t="s">
        <v>51</v>
      </c>
      <c r="D14" s="60" t="s">
        <v>33</v>
      </c>
      <c r="E14" s="60" t="s">
        <v>25</v>
      </c>
      <c r="F14" s="60" t="s">
        <v>52</v>
      </c>
      <c r="G14" s="60" t="s">
        <v>25</v>
      </c>
      <c r="H14" s="60" t="s">
        <v>25</v>
      </c>
      <c r="I14" s="67">
        <v>44378</v>
      </c>
      <c r="J14" s="68">
        <f>EFEITO!$J$14*EFEITO!$Y$14</f>
        <v>0</v>
      </c>
      <c r="K14" s="68">
        <f ca="1">EFEITO!$L$14*EFEITO!$Z$14</f>
        <v>93440.040391689094</v>
      </c>
      <c r="L14" s="68">
        <f>EFEITO!$N$14*EFEITO!$AA$14</f>
        <v>0</v>
      </c>
      <c r="M14" s="68">
        <f>$J$14-EFEITO!$K$14*EFEITO!$Y$14</f>
        <v>0</v>
      </c>
      <c r="N14" s="68">
        <f ca="1">$K$14-EFEITO!$M$14*EFEITO!$Z$14</f>
        <v>0</v>
      </c>
      <c r="O14" s="68">
        <f>$L$14-EFEITO!$O$14*EFEITO!$AA$14</f>
        <v>0</v>
      </c>
      <c r="P14" s="18"/>
      <c r="Q14" s="18"/>
      <c r="R14" s="18"/>
      <c r="S14" s="18"/>
      <c r="T14" s="18"/>
      <c r="U14" s="18"/>
      <c r="V14" s="18"/>
      <c r="W14" s="18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60" t="s">
        <v>21</v>
      </c>
      <c r="B15" s="60" t="s">
        <v>34</v>
      </c>
      <c r="C15" s="60" t="s">
        <v>51</v>
      </c>
      <c r="D15" s="60" t="s">
        <v>33</v>
      </c>
      <c r="E15" s="60" t="s">
        <v>25</v>
      </c>
      <c r="F15" s="60" t="s">
        <v>52</v>
      </c>
      <c r="G15" s="60" t="s">
        <v>25</v>
      </c>
      <c r="H15" s="60" t="s">
        <v>25</v>
      </c>
      <c r="I15" s="67">
        <v>44409</v>
      </c>
      <c r="J15" s="68">
        <f>EFEITO!$J$15*EFEITO!$Y$15</f>
        <v>0</v>
      </c>
      <c r="K15" s="68">
        <f ca="1">EFEITO!$L$15*EFEITO!$Z$15</f>
        <v>88128.035743112414</v>
      </c>
      <c r="L15" s="68">
        <f>EFEITO!$N$15*EFEITO!$AA$15</f>
        <v>0</v>
      </c>
      <c r="M15" s="68">
        <f>$J$15-EFEITO!$K$15*EFEITO!$Y$15</f>
        <v>0</v>
      </c>
      <c r="N15" s="68">
        <f ca="1">$K$15-EFEITO!$M$15*EFEITO!$Z$15</f>
        <v>0</v>
      </c>
      <c r="O15" s="68">
        <f>$L$15-EFEITO!$O$15*EFEITO!$AA$15</f>
        <v>0</v>
      </c>
      <c r="P15" s="18"/>
      <c r="Q15" s="18"/>
      <c r="R15" s="18"/>
      <c r="S15" s="18"/>
      <c r="T15" s="18"/>
      <c r="U15" s="18"/>
      <c r="V15" s="18"/>
      <c r="W15" s="18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60" t="s">
        <v>21</v>
      </c>
      <c r="B16" s="60" t="s">
        <v>34</v>
      </c>
      <c r="C16" s="60" t="s">
        <v>51</v>
      </c>
      <c r="D16" s="60" t="s">
        <v>33</v>
      </c>
      <c r="E16" s="60" t="s">
        <v>25</v>
      </c>
      <c r="F16" s="60" t="s">
        <v>52</v>
      </c>
      <c r="G16" s="60" t="s">
        <v>25</v>
      </c>
      <c r="H16" s="60" t="s">
        <v>25</v>
      </c>
      <c r="I16" s="67">
        <v>44440</v>
      </c>
      <c r="J16" s="68">
        <f>EFEITO!$J$16*EFEITO!$Y$16</f>
        <v>0</v>
      </c>
      <c r="K16" s="68">
        <f ca="1">EFEITO!$L$16*EFEITO!$Z$16</f>
        <v>84314.007018042263</v>
      </c>
      <c r="L16" s="68">
        <f>EFEITO!$N$16*EFEITO!$AA$16</f>
        <v>0</v>
      </c>
      <c r="M16" s="68">
        <f>$J$16-EFEITO!$K$16*EFEITO!$Y$16</f>
        <v>0</v>
      </c>
      <c r="N16" s="68">
        <f ca="1">$K$16-EFEITO!$M$16*EFEITO!$Z$16</f>
        <v>0</v>
      </c>
      <c r="O16" s="68">
        <f>$L$16-EFEITO!$O$16*EFEITO!$AA$16</f>
        <v>0</v>
      </c>
      <c r="P16" s="18"/>
      <c r="Q16" s="18"/>
      <c r="R16" s="18"/>
      <c r="S16" s="18"/>
      <c r="T16" s="18"/>
      <c r="U16" s="18"/>
      <c r="V16" s="18"/>
      <c r="W16" s="18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60" t="s">
        <v>21</v>
      </c>
      <c r="B17" s="60" t="s">
        <v>34</v>
      </c>
      <c r="C17" s="60" t="s">
        <v>51</v>
      </c>
      <c r="D17" s="60" t="s">
        <v>33</v>
      </c>
      <c r="E17" s="60" t="s">
        <v>25</v>
      </c>
      <c r="F17" s="60" t="s">
        <v>52</v>
      </c>
      <c r="G17" s="60" t="s">
        <v>25</v>
      </c>
      <c r="H17" s="60" t="s">
        <v>25</v>
      </c>
      <c r="I17" s="67">
        <v>44470</v>
      </c>
      <c r="J17" s="68">
        <f>EFEITO!$J$17*EFEITO!$Y$17</f>
        <v>0</v>
      </c>
      <c r="K17" s="68">
        <f ca="1">EFEITO!$L$17*EFEITO!$Z$17</f>
        <v>93220.924922251463</v>
      </c>
      <c r="L17" s="68">
        <f>EFEITO!$N$17*EFEITO!$AA$17</f>
        <v>0</v>
      </c>
      <c r="M17" s="68">
        <f>$J$17-EFEITO!$K$17*EFEITO!$Y$17</f>
        <v>0</v>
      </c>
      <c r="N17" s="68">
        <f ca="1">$K$17-EFEITO!$M$17*EFEITO!$Z$17</f>
        <v>0</v>
      </c>
      <c r="O17" s="68">
        <f>$L$17-EFEITO!$O$17*EFEITO!$AA$17</f>
        <v>0</v>
      </c>
      <c r="P17" s="18"/>
      <c r="Q17" s="18"/>
      <c r="R17" s="18"/>
      <c r="S17" s="18"/>
      <c r="T17" s="18"/>
      <c r="U17" s="18"/>
      <c r="V17" s="18"/>
      <c r="W17" s="18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60" t="s">
        <v>21</v>
      </c>
      <c r="B18" s="60" t="s">
        <v>34</v>
      </c>
      <c r="C18" s="60" t="s">
        <v>51</v>
      </c>
      <c r="D18" s="60" t="s">
        <v>33</v>
      </c>
      <c r="E18" s="60" t="s">
        <v>25</v>
      </c>
      <c r="F18" s="60" t="s">
        <v>52</v>
      </c>
      <c r="G18" s="60" t="s">
        <v>25</v>
      </c>
      <c r="H18" s="60" t="s">
        <v>25</v>
      </c>
      <c r="I18" s="67">
        <v>44501</v>
      </c>
      <c r="J18" s="68">
        <f>EFEITO!$J$18*EFEITO!$Y$18</f>
        <v>0</v>
      </c>
      <c r="K18" s="68">
        <f ca="1">EFEITO!$L$18*EFEITO!$Z$18</f>
        <v>88475.369251092445</v>
      </c>
      <c r="L18" s="68">
        <f>EFEITO!$N$18*EFEITO!$AA$18</f>
        <v>0</v>
      </c>
      <c r="M18" s="68">
        <f>$J$18-EFEITO!$K$18*EFEITO!$Y$18</f>
        <v>0</v>
      </c>
      <c r="N18" s="68">
        <f ca="1">$K$18-EFEITO!$M$18*EFEITO!$Z$18</f>
        <v>0</v>
      </c>
      <c r="O18" s="68">
        <f>$L$18-EFEITO!$O$18*EFEITO!$AA$18</f>
        <v>0</v>
      </c>
      <c r="P18" s="18"/>
      <c r="Q18" s="18"/>
      <c r="R18" s="18"/>
      <c r="S18" s="18"/>
      <c r="T18" s="18"/>
      <c r="U18" s="18"/>
      <c r="V18" s="18"/>
      <c r="W18" s="18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60" t="s">
        <v>21</v>
      </c>
      <c r="B19" s="60" t="s">
        <v>34</v>
      </c>
      <c r="C19" s="60" t="s">
        <v>51</v>
      </c>
      <c r="D19" s="60" t="s">
        <v>33</v>
      </c>
      <c r="E19" s="60" t="s">
        <v>25</v>
      </c>
      <c r="F19" s="60" t="s">
        <v>52</v>
      </c>
      <c r="G19" s="60" t="s">
        <v>25</v>
      </c>
      <c r="H19" s="60" t="s">
        <v>25</v>
      </c>
      <c r="I19" s="67">
        <v>44531</v>
      </c>
      <c r="J19" s="68">
        <f>EFEITO!$J$19*EFEITO!$Y$19</f>
        <v>0</v>
      </c>
      <c r="K19" s="68">
        <f ca="1">EFEITO!$L$19*EFEITO!$Z$19</f>
        <v>68283.661229670339</v>
      </c>
      <c r="L19" s="68">
        <f>EFEITO!$N$19*EFEITO!$AA$19</f>
        <v>0</v>
      </c>
      <c r="M19" s="68">
        <f>$J$19-EFEITO!$K$19*EFEITO!$Y$19</f>
        <v>0</v>
      </c>
      <c r="N19" s="68">
        <f ca="1">$K$19-EFEITO!$M$19*EFEITO!$Z$19</f>
        <v>0</v>
      </c>
      <c r="O19" s="68">
        <f>$L$19-EFEITO!$O$19*EFEITO!$AA$19</f>
        <v>0</v>
      </c>
      <c r="P19" s="18"/>
      <c r="Q19" s="18"/>
      <c r="R19" s="18"/>
      <c r="S19" s="18"/>
      <c r="T19" s="18"/>
      <c r="U19" s="18"/>
      <c r="V19" s="18"/>
      <c r="W19" s="18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60" t="s">
        <v>21</v>
      </c>
      <c r="B20" s="60" t="s">
        <v>34</v>
      </c>
      <c r="C20" s="60" t="s">
        <v>51</v>
      </c>
      <c r="D20" s="60" t="s">
        <v>33</v>
      </c>
      <c r="E20" s="60" t="s">
        <v>25</v>
      </c>
      <c r="F20" s="60" t="s">
        <v>52</v>
      </c>
      <c r="G20" s="60" t="s">
        <v>25</v>
      </c>
      <c r="H20" s="60" t="s">
        <v>25</v>
      </c>
      <c r="I20" s="67">
        <v>44562</v>
      </c>
      <c r="J20" s="68">
        <f>EFEITO!$J$20*EFEITO!$Y$20</f>
        <v>0</v>
      </c>
      <c r="K20" s="68">
        <f ca="1">EFEITO!$L$20*EFEITO!$Z$20</f>
        <v>68864.649216815582</v>
      </c>
      <c r="L20" s="68">
        <f>EFEITO!$N$20*EFEITO!$AA$20</f>
        <v>0</v>
      </c>
      <c r="M20" s="68">
        <f>$J$20-EFEITO!$K$20*EFEITO!$Y$20</f>
        <v>0</v>
      </c>
      <c r="N20" s="68">
        <f ca="1">$K$20-EFEITO!$M$20*EFEITO!$Z$20</f>
        <v>0</v>
      </c>
      <c r="O20" s="68">
        <f>$L$20-EFEITO!$O$20*EFEITO!$AA$20</f>
        <v>0</v>
      </c>
      <c r="P20" s="18"/>
      <c r="Q20" s="18"/>
      <c r="R20" s="18"/>
      <c r="S20" s="18"/>
      <c r="T20" s="18"/>
      <c r="U20" s="18"/>
      <c r="V20" s="18"/>
      <c r="W20" s="18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60" t="s">
        <v>21</v>
      </c>
      <c r="B21" s="60" t="s">
        <v>34</v>
      </c>
      <c r="C21" s="60" t="s">
        <v>51</v>
      </c>
      <c r="D21" s="60" t="s">
        <v>33</v>
      </c>
      <c r="E21" s="60" t="s">
        <v>25</v>
      </c>
      <c r="F21" s="60" t="s">
        <v>52</v>
      </c>
      <c r="G21" s="60" t="s">
        <v>25</v>
      </c>
      <c r="H21" s="60" t="s">
        <v>25</v>
      </c>
      <c r="I21" s="67">
        <v>44593</v>
      </c>
      <c r="J21" s="68">
        <f>EFEITO!$J$21*EFEITO!$Y$21</f>
        <v>0</v>
      </c>
      <c r="K21" s="68">
        <f ca="1">EFEITO!$L$21*EFEITO!$Z$21</f>
        <v>80733.518291745757</v>
      </c>
      <c r="L21" s="68">
        <f>EFEITO!$N$21*EFEITO!$AA$21</f>
        <v>0</v>
      </c>
      <c r="M21" s="68">
        <f>$J$21-EFEITO!$K$21*EFEITO!$Y$21</f>
        <v>0</v>
      </c>
      <c r="N21" s="68">
        <f ca="1">$K$21-EFEITO!$M$21*EFEITO!$Z$21</f>
        <v>0</v>
      </c>
      <c r="O21" s="68">
        <f>$L$21-EFEITO!$O$21*EFEITO!$AA$21</f>
        <v>0</v>
      </c>
      <c r="P21" s="18"/>
      <c r="Q21" s="18"/>
      <c r="R21" s="18"/>
      <c r="S21" s="18"/>
      <c r="T21" s="18"/>
      <c r="U21" s="18"/>
      <c r="V21" s="18"/>
      <c r="W21" s="18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60" t="s">
        <v>21</v>
      </c>
      <c r="B22" s="60" t="s">
        <v>34</v>
      </c>
      <c r="C22" s="60" t="s">
        <v>51</v>
      </c>
      <c r="D22" s="60" t="s">
        <v>33</v>
      </c>
      <c r="E22" s="60" t="s">
        <v>25</v>
      </c>
      <c r="F22" s="60" t="s">
        <v>52</v>
      </c>
      <c r="G22" s="60" t="s">
        <v>25</v>
      </c>
      <c r="H22" s="60" t="s">
        <v>25</v>
      </c>
      <c r="I22" s="67">
        <v>44621</v>
      </c>
      <c r="J22" s="68">
        <f>EFEITO!$J$22*EFEITO!$Y$22</f>
        <v>0</v>
      </c>
      <c r="K22" s="68">
        <f ca="1">EFEITO!$L$22*EFEITO!$Z$22</f>
        <v>87141.558209076829</v>
      </c>
      <c r="L22" s="68">
        <f>EFEITO!$N$22*EFEITO!$AA$22</f>
        <v>0</v>
      </c>
      <c r="M22" s="68">
        <f>$J$22-EFEITO!$K$22*EFEITO!$Y$22</f>
        <v>0</v>
      </c>
      <c r="N22" s="68">
        <f ca="1">$K$22-EFEITO!$M$22*EFEITO!$Z$22</f>
        <v>0</v>
      </c>
      <c r="O22" s="68">
        <f>$L$22-EFEITO!$O$22*EFEITO!$AA$22</f>
        <v>0</v>
      </c>
      <c r="P22" s="18"/>
      <c r="Q22" s="18"/>
      <c r="R22" s="18"/>
      <c r="S22" s="18"/>
      <c r="T22" s="18"/>
      <c r="U22" s="18"/>
      <c r="V22" s="18"/>
      <c r="W22" s="18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60" t="s">
        <v>21</v>
      </c>
      <c r="B23" s="60" t="s">
        <v>34</v>
      </c>
      <c r="C23" s="60" t="s">
        <v>51</v>
      </c>
      <c r="D23" s="60" t="s">
        <v>33</v>
      </c>
      <c r="E23" s="60" t="s">
        <v>25</v>
      </c>
      <c r="F23" s="60" t="s">
        <v>52</v>
      </c>
      <c r="G23" s="60" t="s">
        <v>25</v>
      </c>
      <c r="H23" s="60" t="s">
        <v>25</v>
      </c>
      <c r="I23" s="67">
        <v>44652</v>
      </c>
      <c r="J23" s="68">
        <f>EFEITO!$J$23*EFEITO!$Y$23</f>
        <v>0</v>
      </c>
      <c r="K23" s="68">
        <f ca="1">EFEITO!$L$23*EFEITO!$Z$23</f>
        <v>78275.280843869914</v>
      </c>
      <c r="L23" s="68">
        <f>EFEITO!$N$23*EFEITO!$AA$23</f>
        <v>0</v>
      </c>
      <c r="M23" s="68">
        <f>$J$23-EFEITO!$K$23*EFEITO!$Y$23</f>
        <v>0</v>
      </c>
      <c r="N23" s="68">
        <f ca="1">$K$23-EFEITO!$M$23*EFEITO!$Z$23</f>
        <v>0</v>
      </c>
      <c r="O23" s="68">
        <f>$L$23-EFEITO!$O$23*EFEITO!$AA$23</f>
        <v>0</v>
      </c>
      <c r="P23" s="18"/>
      <c r="Q23" s="18"/>
      <c r="R23" s="18"/>
      <c r="S23" s="18"/>
      <c r="T23" s="18"/>
      <c r="U23" s="18"/>
      <c r="V23" s="18"/>
      <c r="W23" s="18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60" t="s">
        <v>21</v>
      </c>
      <c r="B24" s="60" t="s">
        <v>34</v>
      </c>
      <c r="C24" s="60" t="s">
        <v>51</v>
      </c>
      <c r="D24" s="60" t="s">
        <v>33</v>
      </c>
      <c r="E24" s="60" t="s">
        <v>25</v>
      </c>
      <c r="F24" s="60" t="s">
        <v>52</v>
      </c>
      <c r="G24" s="60" t="s">
        <v>25</v>
      </c>
      <c r="H24" s="60" t="s">
        <v>25</v>
      </c>
      <c r="I24" s="67">
        <v>44682</v>
      </c>
      <c r="J24" s="68">
        <f>EFEITO!$J$24*EFEITO!$Y$24</f>
        <v>0</v>
      </c>
      <c r="K24" s="68">
        <f ca="1">EFEITO!$L$24*EFEITO!$Z$24</f>
        <v>81171.176828663243</v>
      </c>
      <c r="L24" s="68">
        <f>EFEITO!$N$24*EFEITO!$AA$24</f>
        <v>0</v>
      </c>
      <c r="M24" s="68">
        <f>$J$24-EFEITO!$K$24*EFEITO!$Y$24</f>
        <v>0</v>
      </c>
      <c r="N24" s="68">
        <f ca="1">$K$24-EFEITO!$M$24*EFEITO!$Z$24</f>
        <v>0</v>
      </c>
      <c r="O24" s="68">
        <f>$L$24-EFEITO!$O$24*EFEITO!$AA$24</f>
        <v>0</v>
      </c>
      <c r="P24" s="18"/>
      <c r="Q24" s="18"/>
      <c r="R24" s="18"/>
      <c r="S24" s="18"/>
      <c r="T24" s="18"/>
      <c r="U24" s="18"/>
      <c r="V24" s="18"/>
      <c r="W24" s="18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60" t="s">
        <v>21</v>
      </c>
      <c r="B25" s="60" t="s">
        <v>34</v>
      </c>
      <c r="C25" s="60" t="s">
        <v>51</v>
      </c>
      <c r="D25" s="60" t="s">
        <v>33</v>
      </c>
      <c r="E25" s="60" t="s">
        <v>25</v>
      </c>
      <c r="F25" s="60" t="s">
        <v>52</v>
      </c>
      <c r="G25" s="60" t="s">
        <v>25</v>
      </c>
      <c r="H25" s="60" t="s">
        <v>25</v>
      </c>
      <c r="I25" s="67">
        <v>44713</v>
      </c>
      <c r="J25" s="68">
        <f>EFEITO!$J$25*EFEITO!$Y$25</f>
        <v>0</v>
      </c>
      <c r="K25" s="68">
        <f ca="1">EFEITO!$L$25*EFEITO!$Z$25</f>
        <v>81176.671887457924</v>
      </c>
      <c r="L25" s="68">
        <f>EFEITO!$N$25*EFEITO!$AA$25</f>
        <v>0</v>
      </c>
      <c r="M25" s="68">
        <f>$J$25-EFEITO!$K$25*EFEITO!$Y$25</f>
        <v>0</v>
      </c>
      <c r="N25" s="68">
        <f ca="1">$K$25-EFEITO!$M$25*EFEITO!$Z$25</f>
        <v>0</v>
      </c>
      <c r="O25" s="68">
        <f>$L$25-EFEITO!$O$25*EFEITO!$AA$25</f>
        <v>0</v>
      </c>
      <c r="P25" s="18"/>
      <c r="Q25" s="18"/>
      <c r="R25" s="18"/>
      <c r="S25" s="18"/>
      <c r="T25" s="18"/>
      <c r="U25" s="18"/>
      <c r="V25" s="18"/>
      <c r="W25" s="18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60" t="s">
        <v>21</v>
      </c>
      <c r="B26" s="60" t="s">
        <v>34</v>
      </c>
      <c r="C26" s="60" t="s">
        <v>51</v>
      </c>
      <c r="D26" s="60" t="s">
        <v>33</v>
      </c>
      <c r="E26" s="60" t="s">
        <v>25</v>
      </c>
      <c r="F26" s="60" t="s">
        <v>52</v>
      </c>
      <c r="G26" s="60" t="s">
        <v>25</v>
      </c>
      <c r="H26" s="60" t="s">
        <v>36</v>
      </c>
      <c r="I26" s="67">
        <v>44378</v>
      </c>
      <c r="J26" s="68">
        <f ca="1">EFEITO!$J$26*EFEITO!$Y$26</f>
        <v>59646.489227489321</v>
      </c>
      <c r="K26" s="68">
        <f ca="1">EFEITO!$L$26*EFEITO!$Z$26</f>
        <v>0</v>
      </c>
      <c r="L26" s="68">
        <f>EFEITO!$N$26*EFEITO!$AA$26</f>
        <v>0</v>
      </c>
      <c r="M26" s="68">
        <f ca="1">$J$26-EFEITO!$K$26*EFEITO!$Y$26</f>
        <v>29645.322715168411</v>
      </c>
      <c r="N26" s="68">
        <f ca="1">$K$26-EFEITO!$M$26*EFEITO!$Z$26</f>
        <v>0</v>
      </c>
      <c r="O26" s="68">
        <f>$L$26-EFEITO!$O$26*EFEITO!$AA$26</f>
        <v>0</v>
      </c>
      <c r="P26" s="18"/>
      <c r="Q26" s="18"/>
      <c r="R26" s="18"/>
      <c r="S26" s="18"/>
      <c r="T26" s="18"/>
      <c r="U26" s="18"/>
      <c r="V26" s="18"/>
      <c r="W26" s="18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60" t="s">
        <v>21</v>
      </c>
      <c r="B27" s="60" t="s">
        <v>34</v>
      </c>
      <c r="C27" s="60" t="s">
        <v>51</v>
      </c>
      <c r="D27" s="60" t="s">
        <v>33</v>
      </c>
      <c r="E27" s="60" t="s">
        <v>25</v>
      </c>
      <c r="F27" s="60" t="s">
        <v>52</v>
      </c>
      <c r="G27" s="60" t="s">
        <v>25</v>
      </c>
      <c r="H27" s="60" t="s">
        <v>36</v>
      </c>
      <c r="I27" s="67">
        <v>44409</v>
      </c>
      <c r="J27" s="68">
        <f ca="1">EFEITO!$J$27*EFEITO!$Y$27</f>
        <v>61646.400925116905</v>
      </c>
      <c r="K27" s="68">
        <f ca="1">EFEITO!$L$27*EFEITO!$Z$27</f>
        <v>0</v>
      </c>
      <c r="L27" s="68">
        <f>EFEITO!$N$27*EFEITO!$AA$27</f>
        <v>0</v>
      </c>
      <c r="M27" s="68">
        <f ca="1">$J$27-EFEITO!$K$27*EFEITO!$Y$27</f>
        <v>30209.989533884102</v>
      </c>
      <c r="N27" s="68">
        <f ca="1">$K$27-EFEITO!$M$27*EFEITO!$Z$27</f>
        <v>0</v>
      </c>
      <c r="O27" s="68">
        <f>$L$27-EFEITO!$O$27*EFEITO!$AA$27</f>
        <v>0</v>
      </c>
      <c r="P27" s="18"/>
      <c r="Q27" s="18"/>
      <c r="R27" s="18"/>
      <c r="S27" s="18"/>
      <c r="T27" s="18"/>
      <c r="U27" s="18"/>
      <c r="V27" s="18"/>
      <c r="W27" s="18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60" t="s">
        <v>21</v>
      </c>
      <c r="B28" s="60" t="s">
        <v>34</v>
      </c>
      <c r="C28" s="60" t="s">
        <v>51</v>
      </c>
      <c r="D28" s="60" t="s">
        <v>33</v>
      </c>
      <c r="E28" s="60" t="s">
        <v>25</v>
      </c>
      <c r="F28" s="60" t="s">
        <v>52</v>
      </c>
      <c r="G28" s="60" t="s">
        <v>25</v>
      </c>
      <c r="H28" s="60" t="s">
        <v>36</v>
      </c>
      <c r="I28" s="67">
        <v>44440</v>
      </c>
      <c r="J28" s="68">
        <f ca="1">EFEITO!$J$28*EFEITO!$Y$28</f>
        <v>59646.489227489321</v>
      </c>
      <c r="K28" s="68">
        <f ca="1">EFEITO!$L$28*EFEITO!$Z$28</f>
        <v>0</v>
      </c>
      <c r="L28" s="68">
        <f>EFEITO!$N$28*EFEITO!$AA$28</f>
        <v>0</v>
      </c>
      <c r="M28" s="68">
        <f ca="1">$J$28-EFEITO!$K$28*EFEITO!$Y$28</f>
        <v>29579.714559342636</v>
      </c>
      <c r="N28" s="68">
        <f ca="1">$K$28-EFEITO!$M$28*EFEITO!$Z$28</f>
        <v>0</v>
      </c>
      <c r="O28" s="68">
        <f>$L$28-EFEITO!$O$28*EFEITO!$AA$28</f>
        <v>0</v>
      </c>
      <c r="P28" s="18"/>
      <c r="Q28" s="18"/>
      <c r="R28" s="18"/>
      <c r="S28" s="18"/>
      <c r="T28" s="18"/>
      <c r="U28" s="18"/>
      <c r="V28" s="18"/>
      <c r="W28" s="18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60" t="s">
        <v>21</v>
      </c>
      <c r="B29" s="60" t="s">
        <v>34</v>
      </c>
      <c r="C29" s="60" t="s">
        <v>51</v>
      </c>
      <c r="D29" s="60" t="s">
        <v>33</v>
      </c>
      <c r="E29" s="60" t="s">
        <v>25</v>
      </c>
      <c r="F29" s="60" t="s">
        <v>52</v>
      </c>
      <c r="G29" s="60" t="s">
        <v>25</v>
      </c>
      <c r="H29" s="60" t="s">
        <v>36</v>
      </c>
      <c r="I29" s="67">
        <v>44470</v>
      </c>
      <c r="J29" s="68">
        <f ca="1">EFEITO!$J$29*EFEITO!$Y$29</f>
        <v>60699.074331503842</v>
      </c>
      <c r="K29" s="68">
        <f ca="1">EFEITO!$L$29*EFEITO!$Z$29</f>
        <v>0</v>
      </c>
      <c r="L29" s="68">
        <f>EFEITO!$N$29*EFEITO!$AA$29</f>
        <v>0</v>
      </c>
      <c r="M29" s="68">
        <f ca="1">$J$29-EFEITO!$K$29*EFEITO!$Y$29</f>
        <v>30334.910509810263</v>
      </c>
      <c r="N29" s="68">
        <f ca="1">$K$29-EFEITO!$M$29*EFEITO!$Z$29</f>
        <v>0</v>
      </c>
      <c r="O29" s="68">
        <f>$L$29-EFEITO!$O$29*EFEITO!$AA$29</f>
        <v>0</v>
      </c>
      <c r="P29" s="18"/>
      <c r="Q29" s="18"/>
      <c r="R29" s="18"/>
      <c r="S29" s="18"/>
      <c r="T29" s="18"/>
      <c r="U29" s="18"/>
      <c r="V29" s="18"/>
      <c r="W29" s="18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60" t="s">
        <v>21</v>
      </c>
      <c r="B30" s="60" t="s">
        <v>34</v>
      </c>
      <c r="C30" s="60" t="s">
        <v>51</v>
      </c>
      <c r="D30" s="60" t="s">
        <v>33</v>
      </c>
      <c r="E30" s="60" t="s">
        <v>25</v>
      </c>
      <c r="F30" s="60" t="s">
        <v>52</v>
      </c>
      <c r="G30" s="60" t="s">
        <v>25</v>
      </c>
      <c r="H30" s="60" t="s">
        <v>36</v>
      </c>
      <c r="I30" s="67">
        <v>44501</v>
      </c>
      <c r="J30" s="68">
        <f ca="1">EFEITO!$J$30*EFEITO!$Y$30</f>
        <v>59646.489227489321</v>
      </c>
      <c r="K30" s="68">
        <f ca="1">EFEITO!$L$30*EFEITO!$Z$30</f>
        <v>0</v>
      </c>
      <c r="L30" s="68">
        <f>EFEITO!$N$30*EFEITO!$AA$30</f>
        <v>0</v>
      </c>
      <c r="M30" s="68">
        <f ca="1">$J$30-EFEITO!$K$30*EFEITO!$Y$30</f>
        <v>29823.24461374466</v>
      </c>
      <c r="N30" s="68">
        <f ca="1">$K$30-EFEITO!$M$30*EFEITO!$Z$30</f>
        <v>0</v>
      </c>
      <c r="O30" s="68">
        <f>$L$30-EFEITO!$O$30*EFEITO!$AA$30</f>
        <v>0</v>
      </c>
      <c r="P30" s="18"/>
      <c r="Q30" s="18"/>
      <c r="R30" s="18"/>
      <c r="S30" s="18"/>
      <c r="T30" s="18"/>
      <c r="U30" s="18"/>
      <c r="V30" s="18"/>
      <c r="W30" s="18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60" t="s">
        <v>21</v>
      </c>
      <c r="B31" s="60" t="s">
        <v>34</v>
      </c>
      <c r="C31" s="60" t="s">
        <v>51</v>
      </c>
      <c r="D31" s="60" t="s">
        <v>33</v>
      </c>
      <c r="E31" s="60" t="s">
        <v>25</v>
      </c>
      <c r="F31" s="60" t="s">
        <v>52</v>
      </c>
      <c r="G31" s="60" t="s">
        <v>25</v>
      </c>
      <c r="H31" s="60" t="s">
        <v>36</v>
      </c>
      <c r="I31" s="67">
        <v>44531</v>
      </c>
      <c r="J31" s="68">
        <f ca="1">EFEITO!$J$31*EFEITO!$Y$31</f>
        <v>59646.489227489321</v>
      </c>
      <c r="K31" s="68">
        <f ca="1">EFEITO!$L$31*EFEITO!$Z$31</f>
        <v>0</v>
      </c>
      <c r="L31" s="68">
        <f>EFEITO!$N$31*EFEITO!$AA$31</f>
        <v>0</v>
      </c>
      <c r="M31" s="68">
        <f ca="1">$J$31-EFEITO!$K$31*EFEITO!$Y$31</f>
        <v>28736.817810964803</v>
      </c>
      <c r="N31" s="68">
        <f ca="1">$K$31-EFEITO!$M$31*EFEITO!$Z$31</f>
        <v>0</v>
      </c>
      <c r="O31" s="68">
        <f>$L$31-EFEITO!$O$31*EFEITO!$AA$31</f>
        <v>0</v>
      </c>
      <c r="P31" s="18"/>
      <c r="Q31" s="18"/>
      <c r="R31" s="18"/>
      <c r="S31" s="18"/>
      <c r="T31" s="18"/>
      <c r="U31" s="18"/>
      <c r="V31" s="18"/>
      <c r="W31" s="18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60" t="s">
        <v>21</v>
      </c>
      <c r="B32" s="60" t="s">
        <v>34</v>
      </c>
      <c r="C32" s="60" t="s">
        <v>51</v>
      </c>
      <c r="D32" s="60" t="s">
        <v>33</v>
      </c>
      <c r="E32" s="60" t="s">
        <v>25</v>
      </c>
      <c r="F32" s="60" t="s">
        <v>52</v>
      </c>
      <c r="G32" s="60" t="s">
        <v>25</v>
      </c>
      <c r="H32" s="60" t="s">
        <v>36</v>
      </c>
      <c r="I32" s="67">
        <v>44562</v>
      </c>
      <c r="J32" s="68">
        <f ca="1">EFEITO!$J$32*EFEITO!$Y$32</f>
        <v>59646.489227489321</v>
      </c>
      <c r="K32" s="68">
        <f ca="1">EFEITO!$L$32*EFEITO!$Z$32</f>
        <v>0</v>
      </c>
      <c r="L32" s="68">
        <f>EFEITO!$N$32*EFEITO!$AA$32</f>
        <v>0</v>
      </c>
      <c r="M32" s="68">
        <f ca="1">$J$32-EFEITO!$K$32*EFEITO!$Y$32</f>
        <v>29784.529270516883</v>
      </c>
      <c r="N32" s="68">
        <f ca="1">$K$32-EFEITO!$M$32*EFEITO!$Z$32</f>
        <v>0</v>
      </c>
      <c r="O32" s="68">
        <f>$L$32-EFEITO!$O$32*EFEITO!$AA$32</f>
        <v>0</v>
      </c>
      <c r="P32" s="18"/>
      <c r="Q32" s="18"/>
      <c r="R32" s="18"/>
      <c r="S32" s="18"/>
      <c r="T32" s="18"/>
      <c r="U32" s="18"/>
      <c r="V32" s="18"/>
      <c r="W32" s="18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60" t="s">
        <v>21</v>
      </c>
      <c r="B33" s="60" t="s">
        <v>34</v>
      </c>
      <c r="C33" s="60" t="s">
        <v>51</v>
      </c>
      <c r="D33" s="60" t="s">
        <v>33</v>
      </c>
      <c r="E33" s="60" t="s">
        <v>25</v>
      </c>
      <c r="F33" s="60" t="s">
        <v>52</v>
      </c>
      <c r="G33" s="60" t="s">
        <v>25</v>
      </c>
      <c r="H33" s="60" t="s">
        <v>36</v>
      </c>
      <c r="I33" s="67">
        <v>44593</v>
      </c>
      <c r="J33" s="68">
        <f ca="1">EFEITO!$J$33*EFEITO!$Y$33</f>
        <v>59646.489227489321</v>
      </c>
      <c r="K33" s="68">
        <f ca="1">EFEITO!$L$33*EFEITO!$Z$33</f>
        <v>0</v>
      </c>
      <c r="L33" s="68">
        <f>EFEITO!$N$33*EFEITO!$AA$33</f>
        <v>0</v>
      </c>
      <c r="M33" s="68">
        <f ca="1">$J$33-EFEITO!$K$33*EFEITO!$Y$33</f>
        <v>29796.554599210034</v>
      </c>
      <c r="N33" s="68">
        <f ca="1">$K$33-EFEITO!$M$33*EFEITO!$Z$33</f>
        <v>0</v>
      </c>
      <c r="O33" s="68">
        <f>$L$33-EFEITO!$O$33*EFEITO!$AA$33</f>
        <v>0</v>
      </c>
      <c r="P33" s="18"/>
      <c r="Q33" s="18"/>
      <c r="R33" s="18"/>
      <c r="S33" s="18"/>
      <c r="T33" s="18"/>
      <c r="U33" s="18"/>
      <c r="V33" s="18"/>
      <c r="W33" s="18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60" t="s">
        <v>21</v>
      </c>
      <c r="B34" s="60" t="s">
        <v>34</v>
      </c>
      <c r="C34" s="60" t="s">
        <v>51</v>
      </c>
      <c r="D34" s="60" t="s">
        <v>33</v>
      </c>
      <c r="E34" s="60" t="s">
        <v>25</v>
      </c>
      <c r="F34" s="60" t="s">
        <v>52</v>
      </c>
      <c r="G34" s="60" t="s">
        <v>25</v>
      </c>
      <c r="H34" s="60" t="s">
        <v>36</v>
      </c>
      <c r="I34" s="67">
        <v>44621</v>
      </c>
      <c r="J34" s="68">
        <f ca="1">EFEITO!$J$34*EFEITO!$Y$34</f>
        <v>59646.489227489321</v>
      </c>
      <c r="K34" s="68">
        <f ca="1">EFEITO!$L$34*EFEITO!$Z$34</f>
        <v>0</v>
      </c>
      <c r="L34" s="68">
        <f>EFEITO!$N$34*EFEITO!$AA$34</f>
        <v>0</v>
      </c>
      <c r="M34" s="68">
        <f ca="1">$J$34-EFEITO!$K$34*EFEITO!$Y$34</f>
        <v>29782.200075112549</v>
      </c>
      <c r="N34" s="68">
        <f ca="1">$K$34-EFEITO!$M$34*EFEITO!$Z$34</f>
        <v>0</v>
      </c>
      <c r="O34" s="68">
        <f>$L$34-EFEITO!$O$34*EFEITO!$AA$34</f>
        <v>0</v>
      </c>
      <c r="P34" s="18"/>
      <c r="Q34" s="18"/>
      <c r="R34" s="18"/>
      <c r="S34" s="18"/>
      <c r="T34" s="18"/>
      <c r="U34" s="18"/>
      <c r="V34" s="18"/>
      <c r="W34" s="18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60" t="s">
        <v>21</v>
      </c>
      <c r="B35" s="60" t="s">
        <v>34</v>
      </c>
      <c r="C35" s="60" t="s">
        <v>51</v>
      </c>
      <c r="D35" s="60" t="s">
        <v>33</v>
      </c>
      <c r="E35" s="60" t="s">
        <v>25</v>
      </c>
      <c r="F35" s="60" t="s">
        <v>52</v>
      </c>
      <c r="G35" s="60" t="s">
        <v>25</v>
      </c>
      <c r="H35" s="60" t="s">
        <v>36</v>
      </c>
      <c r="I35" s="67">
        <v>44652</v>
      </c>
      <c r="J35" s="68">
        <f ca="1">EFEITO!$J$35*EFEITO!$Y$35</f>
        <v>59646.489227489321</v>
      </c>
      <c r="K35" s="68">
        <f ca="1">EFEITO!$L$35*EFEITO!$Z$35</f>
        <v>0</v>
      </c>
      <c r="L35" s="68">
        <f>EFEITO!$N$35*EFEITO!$AA$35</f>
        <v>0</v>
      </c>
      <c r="M35" s="68">
        <f ca="1">$J$35-EFEITO!$K$35*EFEITO!$Y$35</f>
        <v>29768.318547674633</v>
      </c>
      <c r="N35" s="68">
        <f ca="1">$K$35-EFEITO!$M$35*EFEITO!$Z$35</f>
        <v>0</v>
      </c>
      <c r="O35" s="68">
        <f>$L$35-EFEITO!$O$35*EFEITO!$AA$35</f>
        <v>0</v>
      </c>
      <c r="P35" s="18"/>
      <c r="Q35" s="18"/>
      <c r="R35" s="18"/>
      <c r="S35" s="18"/>
      <c r="T35" s="18"/>
      <c r="U35" s="18"/>
      <c r="V35" s="18"/>
      <c r="W35" s="18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60" t="s">
        <v>21</v>
      </c>
      <c r="B36" s="60" t="s">
        <v>34</v>
      </c>
      <c r="C36" s="60" t="s">
        <v>51</v>
      </c>
      <c r="D36" s="60" t="s">
        <v>33</v>
      </c>
      <c r="E36" s="60" t="s">
        <v>25</v>
      </c>
      <c r="F36" s="60" t="s">
        <v>52</v>
      </c>
      <c r="G36" s="60" t="s">
        <v>25</v>
      </c>
      <c r="H36" s="60" t="s">
        <v>36</v>
      </c>
      <c r="I36" s="67">
        <v>44682</v>
      </c>
      <c r="J36" s="68">
        <f ca="1">EFEITO!$J$36*EFEITO!$Y$36</f>
        <v>59646.489227489321</v>
      </c>
      <c r="K36" s="68">
        <f ca="1">EFEITO!$L$36*EFEITO!$Z$36</f>
        <v>0</v>
      </c>
      <c r="L36" s="68">
        <f>EFEITO!$N$36*EFEITO!$AA$36</f>
        <v>0</v>
      </c>
      <c r="M36" s="68">
        <f ca="1">$J$36-EFEITO!$K$36*EFEITO!$Y$36</f>
        <v>26840.920152370192</v>
      </c>
      <c r="N36" s="68">
        <f ca="1">$K$36-EFEITO!$M$36*EFEITO!$Z$36</f>
        <v>0</v>
      </c>
      <c r="O36" s="68">
        <f>$L$36-EFEITO!$O$36*EFEITO!$AA$36</f>
        <v>0</v>
      </c>
      <c r="P36" s="18"/>
      <c r="Q36" s="18"/>
      <c r="R36" s="18"/>
      <c r="S36" s="18"/>
      <c r="T36" s="18"/>
      <c r="U36" s="18"/>
      <c r="V36" s="18"/>
      <c r="W36" s="18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60" t="s">
        <v>21</v>
      </c>
      <c r="B37" s="60" t="s">
        <v>34</v>
      </c>
      <c r="C37" s="60" t="s">
        <v>51</v>
      </c>
      <c r="D37" s="60" t="s">
        <v>33</v>
      </c>
      <c r="E37" s="60" t="s">
        <v>25</v>
      </c>
      <c r="F37" s="60" t="s">
        <v>52</v>
      </c>
      <c r="G37" s="60" t="s">
        <v>25</v>
      </c>
      <c r="H37" s="60" t="s">
        <v>36</v>
      </c>
      <c r="I37" s="67">
        <v>44713</v>
      </c>
      <c r="J37" s="68">
        <f ca="1">EFEITO!$J$37*EFEITO!$Y$37</f>
        <v>59646.489227489321</v>
      </c>
      <c r="K37" s="68">
        <f ca="1">EFEITO!$L$37*EFEITO!$Z$37</f>
        <v>0</v>
      </c>
      <c r="L37" s="68">
        <f>EFEITO!$N$37*EFEITO!$AA$37</f>
        <v>0</v>
      </c>
      <c r="M37" s="68">
        <f ca="1">$J$37-EFEITO!$K$37*EFEITO!$Y$37</f>
        <v>26840.920152370192</v>
      </c>
      <c r="N37" s="68">
        <f ca="1">$K$37-EFEITO!$M$37*EFEITO!$Z$37</f>
        <v>0</v>
      </c>
      <c r="O37" s="68">
        <f>$L$37-EFEITO!$O$37*EFEITO!$AA$37</f>
        <v>0</v>
      </c>
      <c r="P37" s="18"/>
      <c r="Q37" s="18"/>
      <c r="R37" s="18"/>
      <c r="S37" s="18"/>
      <c r="T37" s="18"/>
      <c r="U37" s="18"/>
      <c r="V37" s="18"/>
      <c r="W37" s="18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60" t="s">
        <v>21</v>
      </c>
      <c r="B38" s="60" t="s">
        <v>34</v>
      </c>
      <c r="C38" s="60" t="s">
        <v>35</v>
      </c>
      <c r="D38" s="60" t="s">
        <v>38</v>
      </c>
      <c r="E38" s="60" t="s">
        <v>25</v>
      </c>
      <c r="F38" s="60" t="s">
        <v>25</v>
      </c>
      <c r="G38" s="60" t="s">
        <v>25</v>
      </c>
      <c r="H38" s="60" t="s">
        <v>37</v>
      </c>
      <c r="I38" s="67">
        <v>44378</v>
      </c>
      <c r="J38" s="68">
        <f>EFEITO!$J$38*EFEITO!$Y$38</f>
        <v>0</v>
      </c>
      <c r="K38" s="68">
        <f ca="1">EFEITO!$L$38*EFEITO!$Z$38</f>
        <v>20413.914461431759</v>
      </c>
      <c r="L38" s="68">
        <f>EFEITO!$N$38*EFEITO!$AA$38</f>
        <v>38623.985097796285</v>
      </c>
      <c r="M38" s="68">
        <f>$J$38-EFEITO!$K$38*EFEITO!$Y$38</f>
        <v>0</v>
      </c>
      <c r="N38" s="68">
        <f ca="1">$K$38-EFEITO!$M$38*EFEITO!$Z$38</f>
        <v>0</v>
      </c>
      <c r="O38" s="68">
        <f>$L$38-EFEITO!$O$38*EFEITO!$AA$38</f>
        <v>0</v>
      </c>
      <c r="P38" s="18"/>
      <c r="Q38" s="18"/>
      <c r="R38" s="18"/>
      <c r="S38" s="18"/>
      <c r="T38" s="18"/>
      <c r="U38" s="18"/>
      <c r="V38" s="18"/>
      <c r="W38" s="18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60" t="s">
        <v>27</v>
      </c>
      <c r="B39" s="60" t="s">
        <v>34</v>
      </c>
      <c r="C39" s="60" t="s">
        <v>35</v>
      </c>
      <c r="D39" s="60" t="s">
        <v>38</v>
      </c>
      <c r="E39" s="60" t="s">
        <v>25</v>
      </c>
      <c r="F39" s="60" t="s">
        <v>25</v>
      </c>
      <c r="G39" s="60" t="s">
        <v>25</v>
      </c>
      <c r="H39" s="60" t="s">
        <v>37</v>
      </c>
      <c r="I39" s="67">
        <v>44378</v>
      </c>
      <c r="J39" s="68">
        <f>EFEITO!$J$39*EFEITO!$Y$39</f>
        <v>0</v>
      </c>
      <c r="K39" s="68">
        <f ca="1">EFEITO!$L$39*EFEITO!$Z$39</f>
        <v>1436.1565120664284</v>
      </c>
      <c r="L39" s="68">
        <f>EFEITO!$N$39*EFEITO!$AA$39</f>
        <v>2717.2685486145783</v>
      </c>
      <c r="M39" s="68">
        <f>$J$39-EFEITO!$K$39*EFEITO!$Y$39</f>
        <v>0</v>
      </c>
      <c r="N39" s="68">
        <f ca="1">$K$39-EFEITO!$M$39*EFEITO!$Z$39</f>
        <v>0</v>
      </c>
      <c r="O39" s="68">
        <f>$L$39-EFEITO!$O$39*EFEITO!$AA$39</f>
        <v>0</v>
      </c>
      <c r="P39" s="18"/>
      <c r="Q39" s="18"/>
      <c r="R39" s="18"/>
      <c r="S39" s="18"/>
      <c r="T39" s="18"/>
      <c r="U39" s="18"/>
      <c r="V39" s="18"/>
      <c r="W39" s="18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60" t="s">
        <v>21</v>
      </c>
      <c r="B40" s="60" t="s">
        <v>34</v>
      </c>
      <c r="C40" s="60" t="s">
        <v>35</v>
      </c>
      <c r="D40" s="60" t="s">
        <v>38</v>
      </c>
      <c r="E40" s="60" t="s">
        <v>25</v>
      </c>
      <c r="F40" s="60" t="s">
        <v>25</v>
      </c>
      <c r="G40" s="60" t="s">
        <v>25</v>
      </c>
      <c r="H40" s="60" t="s">
        <v>37</v>
      </c>
      <c r="I40" s="67">
        <v>44409</v>
      </c>
      <c r="J40" s="68">
        <f>EFEITO!$J$40*EFEITO!$Y$40</f>
        <v>0</v>
      </c>
      <c r="K40" s="68">
        <f ca="1">EFEITO!$L$40*EFEITO!$Z$40</f>
        <v>19740.884239475716</v>
      </c>
      <c r="L40" s="68">
        <f>EFEITO!$N$40*EFEITO!$AA$40</f>
        <v>37350.583599406076</v>
      </c>
      <c r="M40" s="68">
        <f>$J$40-EFEITO!$K$40*EFEITO!$Y$40</f>
        <v>0</v>
      </c>
      <c r="N40" s="68">
        <f ca="1">$K$40-EFEITO!$M$40*EFEITO!$Z$40</f>
        <v>0</v>
      </c>
      <c r="O40" s="68">
        <f>$L$40-EFEITO!$O$40*EFEITO!$AA$40</f>
        <v>0</v>
      </c>
      <c r="P40" s="18"/>
      <c r="Q40" s="18"/>
      <c r="R40" s="18"/>
      <c r="S40" s="18"/>
      <c r="T40" s="18"/>
      <c r="U40" s="18"/>
      <c r="V40" s="18"/>
      <c r="W40" s="18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60" t="s">
        <v>27</v>
      </c>
      <c r="B41" s="60" t="s">
        <v>34</v>
      </c>
      <c r="C41" s="60" t="s">
        <v>35</v>
      </c>
      <c r="D41" s="60" t="s">
        <v>38</v>
      </c>
      <c r="E41" s="60" t="s">
        <v>25</v>
      </c>
      <c r="F41" s="60" t="s">
        <v>25</v>
      </c>
      <c r="G41" s="60" t="s">
        <v>25</v>
      </c>
      <c r="H41" s="60" t="s">
        <v>37</v>
      </c>
      <c r="I41" s="67">
        <v>44409</v>
      </c>
      <c r="J41" s="68">
        <f>EFEITO!$J$41*EFEITO!$Y$41</f>
        <v>0</v>
      </c>
      <c r="K41" s="68">
        <f ca="1">EFEITO!$L$41*EFEITO!$Z$41</f>
        <v>1059.4015434565747</v>
      </c>
      <c r="L41" s="68">
        <f>EFEITO!$N$41*EFEITO!$AA$41</f>
        <v>2004.4322956460187</v>
      </c>
      <c r="M41" s="68">
        <f>$J$41-EFEITO!$K$41*EFEITO!$Y$41</f>
        <v>0</v>
      </c>
      <c r="N41" s="68">
        <f ca="1">$K$41-EFEITO!$M$41*EFEITO!$Z$41</f>
        <v>0</v>
      </c>
      <c r="O41" s="68">
        <f>$L$41-EFEITO!$O$41*EFEITO!$AA$41</f>
        <v>0</v>
      </c>
      <c r="P41" s="18"/>
      <c r="Q41" s="18"/>
      <c r="R41" s="18"/>
      <c r="S41" s="18"/>
      <c r="T41" s="18"/>
      <c r="U41" s="18"/>
      <c r="V41" s="18"/>
      <c r="W41" s="18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60" t="s">
        <v>21</v>
      </c>
      <c r="B42" s="60" t="s">
        <v>34</v>
      </c>
      <c r="C42" s="60" t="s">
        <v>35</v>
      </c>
      <c r="D42" s="60" t="s">
        <v>38</v>
      </c>
      <c r="E42" s="60" t="s">
        <v>25</v>
      </c>
      <c r="F42" s="60" t="s">
        <v>25</v>
      </c>
      <c r="G42" s="60" t="s">
        <v>25</v>
      </c>
      <c r="H42" s="60" t="s">
        <v>37</v>
      </c>
      <c r="I42" s="67">
        <v>44440</v>
      </c>
      <c r="J42" s="68">
        <f>EFEITO!$J$42*EFEITO!$Y$42</f>
        <v>0</v>
      </c>
      <c r="K42" s="68">
        <f ca="1">EFEITO!$L$42*EFEITO!$Z$42</f>
        <v>19058.810066586775</v>
      </c>
      <c r="L42" s="68">
        <f>EFEITO!$N$42*EFEITO!$AA$42</f>
        <v>36060.070565317146</v>
      </c>
      <c r="M42" s="68">
        <f>$J$42-EFEITO!$K$42*EFEITO!$Y$42</f>
        <v>0</v>
      </c>
      <c r="N42" s="68">
        <f ca="1">$K$42-EFEITO!$M$42*EFEITO!$Z$42</f>
        <v>0</v>
      </c>
      <c r="O42" s="68">
        <f>$L$42-EFEITO!$O$42*EFEITO!$AA$42</f>
        <v>0</v>
      </c>
      <c r="P42" s="18"/>
      <c r="Q42" s="18"/>
      <c r="R42" s="18"/>
      <c r="S42" s="18"/>
      <c r="T42" s="18"/>
      <c r="U42" s="18"/>
      <c r="V42" s="18"/>
      <c r="W42" s="18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60" t="s">
        <v>27</v>
      </c>
      <c r="B43" s="60" t="s">
        <v>34</v>
      </c>
      <c r="C43" s="60" t="s">
        <v>35</v>
      </c>
      <c r="D43" s="60" t="s">
        <v>38</v>
      </c>
      <c r="E43" s="60" t="s">
        <v>25</v>
      </c>
      <c r="F43" s="60" t="s">
        <v>25</v>
      </c>
      <c r="G43" s="60" t="s">
        <v>25</v>
      </c>
      <c r="H43" s="60" t="s">
        <v>37</v>
      </c>
      <c r="I43" s="67">
        <v>44440</v>
      </c>
      <c r="J43" s="68">
        <f>EFEITO!$J$43*EFEITO!$Y$43</f>
        <v>0</v>
      </c>
      <c r="K43" s="68">
        <f ca="1">EFEITO!$L$43*EFEITO!$Z$43</f>
        <v>828.83803486336728</v>
      </c>
      <c r="L43" s="68">
        <f>EFEITO!$N$43*EFEITO!$AA$43</f>
        <v>1568.1964361872895</v>
      </c>
      <c r="M43" s="68">
        <f>$J$43-EFEITO!$K$43*EFEITO!$Y$43</f>
        <v>0</v>
      </c>
      <c r="N43" s="68">
        <f ca="1">$K$43-EFEITO!$M$43*EFEITO!$Z$43</f>
        <v>0</v>
      </c>
      <c r="O43" s="68">
        <f>$L$43-EFEITO!$O$43*EFEITO!$AA$43</f>
        <v>0</v>
      </c>
      <c r="P43" s="18"/>
      <c r="Q43" s="18"/>
      <c r="R43" s="18"/>
      <c r="S43" s="18"/>
      <c r="T43" s="18"/>
      <c r="U43" s="18"/>
      <c r="V43" s="18"/>
      <c r="W43" s="18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60" t="s">
        <v>21</v>
      </c>
      <c r="B44" s="60" t="s">
        <v>34</v>
      </c>
      <c r="C44" s="60" t="s">
        <v>35</v>
      </c>
      <c r="D44" s="60" t="s">
        <v>38</v>
      </c>
      <c r="E44" s="60" t="s">
        <v>25</v>
      </c>
      <c r="F44" s="60" t="s">
        <v>25</v>
      </c>
      <c r="G44" s="60" t="s">
        <v>25</v>
      </c>
      <c r="H44" s="60" t="s">
        <v>37</v>
      </c>
      <c r="I44" s="67">
        <v>44470</v>
      </c>
      <c r="J44" s="68">
        <f>EFEITO!$J$44*EFEITO!$Y$44</f>
        <v>0</v>
      </c>
      <c r="K44" s="68">
        <f ca="1">EFEITO!$L$44*EFEITO!$Z$44</f>
        <v>20072.533933812621</v>
      </c>
      <c r="L44" s="68">
        <f>EFEITO!$N$44*EFEITO!$AA$44</f>
        <v>37978.078775598704</v>
      </c>
      <c r="M44" s="68">
        <f>$J$44-EFEITO!$K$44*EFEITO!$Y$44</f>
        <v>0</v>
      </c>
      <c r="N44" s="68">
        <f ca="1">$K$44-EFEITO!$M$44*EFEITO!$Z$44</f>
        <v>0</v>
      </c>
      <c r="O44" s="68">
        <f>$L$44-EFEITO!$O$44*EFEITO!$AA$44</f>
        <v>0</v>
      </c>
      <c r="P44" s="18"/>
      <c r="Q44" s="18"/>
      <c r="R44" s="18"/>
      <c r="S44" s="18"/>
      <c r="T44" s="18"/>
      <c r="U44" s="18"/>
      <c r="V44" s="18"/>
      <c r="W44" s="18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60" t="s">
        <v>27</v>
      </c>
      <c r="B45" s="60" t="s">
        <v>34</v>
      </c>
      <c r="C45" s="60" t="s">
        <v>35</v>
      </c>
      <c r="D45" s="60" t="s">
        <v>38</v>
      </c>
      <c r="E45" s="60" t="s">
        <v>25</v>
      </c>
      <c r="F45" s="60" t="s">
        <v>25</v>
      </c>
      <c r="G45" s="60" t="s">
        <v>25</v>
      </c>
      <c r="H45" s="60" t="s">
        <v>37</v>
      </c>
      <c r="I45" s="67">
        <v>44470</v>
      </c>
      <c r="J45" s="68">
        <f>EFEITO!$J$45*EFEITO!$Y$45</f>
        <v>0</v>
      </c>
      <c r="K45" s="68">
        <f ca="1">EFEITO!$L$45*EFEITO!$Z$45</f>
        <v>988.99610264981061</v>
      </c>
      <c r="L45" s="68">
        <f>EFEITO!$N$45*EFEITO!$AA$45</f>
        <v>1871.2222392571814</v>
      </c>
      <c r="M45" s="68">
        <f>$J$45-EFEITO!$K$45*EFEITO!$Y$45</f>
        <v>0</v>
      </c>
      <c r="N45" s="68">
        <f ca="1">$K$45-EFEITO!$M$45*EFEITO!$Z$45</f>
        <v>0</v>
      </c>
      <c r="O45" s="68">
        <f>$L$45-EFEITO!$O$45*EFEITO!$AA$45</f>
        <v>0</v>
      </c>
      <c r="P45" s="18"/>
      <c r="Q45" s="18"/>
      <c r="R45" s="18"/>
      <c r="S45" s="18"/>
      <c r="T45" s="18"/>
      <c r="U45" s="18"/>
      <c r="V45" s="18"/>
      <c r="W45" s="18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60" t="s">
        <v>21</v>
      </c>
      <c r="B46" s="60" t="s">
        <v>34</v>
      </c>
      <c r="C46" s="60" t="s">
        <v>35</v>
      </c>
      <c r="D46" s="60" t="s">
        <v>38</v>
      </c>
      <c r="E46" s="60" t="s">
        <v>25</v>
      </c>
      <c r="F46" s="60" t="s">
        <v>25</v>
      </c>
      <c r="G46" s="60" t="s">
        <v>25</v>
      </c>
      <c r="H46" s="60" t="s">
        <v>37</v>
      </c>
      <c r="I46" s="67">
        <v>44501</v>
      </c>
      <c r="J46" s="68">
        <f>EFEITO!$J$46*EFEITO!$Y$46</f>
        <v>0</v>
      </c>
      <c r="K46" s="68">
        <f ca="1">EFEITO!$L$46*EFEITO!$Z$46</f>
        <v>23499.16101385824</v>
      </c>
      <c r="L46" s="68">
        <f>EFEITO!$N$46*EFEITO!$AA$46</f>
        <v>44461.401389957529</v>
      </c>
      <c r="M46" s="68">
        <f>$J$46-EFEITO!$K$46*EFEITO!$Y$46</f>
        <v>0</v>
      </c>
      <c r="N46" s="68">
        <f ca="1">$K$46-EFEITO!$M$46*EFEITO!$Z$46</f>
        <v>0</v>
      </c>
      <c r="O46" s="68">
        <f>$L$46-EFEITO!$O$46*EFEITO!$AA$46</f>
        <v>0</v>
      </c>
      <c r="P46" s="18"/>
      <c r="Q46" s="18"/>
      <c r="R46" s="18"/>
      <c r="S46" s="18"/>
      <c r="T46" s="18"/>
      <c r="U46" s="18"/>
      <c r="V46" s="18"/>
      <c r="W46" s="18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60" t="s">
        <v>27</v>
      </c>
      <c r="B47" s="60" t="s">
        <v>34</v>
      </c>
      <c r="C47" s="60" t="s">
        <v>35</v>
      </c>
      <c r="D47" s="60" t="s">
        <v>38</v>
      </c>
      <c r="E47" s="60" t="s">
        <v>25</v>
      </c>
      <c r="F47" s="60" t="s">
        <v>25</v>
      </c>
      <c r="G47" s="60" t="s">
        <v>25</v>
      </c>
      <c r="H47" s="60" t="s">
        <v>37</v>
      </c>
      <c r="I47" s="67">
        <v>44501</v>
      </c>
      <c r="J47" s="68">
        <f>EFEITO!$J$47*EFEITO!$Y$47</f>
        <v>0</v>
      </c>
      <c r="K47" s="68">
        <f ca="1">EFEITO!$L$47*EFEITO!$Z$47</f>
        <v>3678.8273826428599</v>
      </c>
      <c r="L47" s="68">
        <f>EFEITO!$N$47*EFEITO!$AA$47</f>
        <v>6960.4961984638876</v>
      </c>
      <c r="M47" s="68">
        <f>$J$47-EFEITO!$K$47*EFEITO!$Y$47</f>
        <v>0</v>
      </c>
      <c r="N47" s="68">
        <f ca="1">$K$47-EFEITO!$M$47*EFEITO!$Z$47</f>
        <v>0</v>
      </c>
      <c r="O47" s="68">
        <f>$L$47-EFEITO!$O$47*EFEITO!$AA$47</f>
        <v>0</v>
      </c>
      <c r="P47" s="18"/>
      <c r="Q47" s="18"/>
      <c r="R47" s="18"/>
      <c r="S47" s="18"/>
      <c r="T47" s="18"/>
      <c r="U47" s="18"/>
      <c r="V47" s="18"/>
      <c r="W47" s="18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60" t="s">
        <v>21</v>
      </c>
      <c r="B48" s="60" t="s">
        <v>34</v>
      </c>
      <c r="C48" s="60" t="s">
        <v>35</v>
      </c>
      <c r="D48" s="60" t="s">
        <v>38</v>
      </c>
      <c r="E48" s="60" t="s">
        <v>25</v>
      </c>
      <c r="F48" s="60" t="s">
        <v>25</v>
      </c>
      <c r="G48" s="60" t="s">
        <v>25</v>
      </c>
      <c r="H48" s="60" t="s">
        <v>37</v>
      </c>
      <c r="I48" s="67">
        <v>44531</v>
      </c>
      <c r="J48" s="68">
        <f>EFEITO!$J$48*EFEITO!$Y$48</f>
        <v>0</v>
      </c>
      <c r="K48" s="68">
        <f ca="1">EFEITO!$L$48*EFEITO!$Z$48</f>
        <v>25185.228220690795</v>
      </c>
      <c r="L48" s="68">
        <f>EFEITO!$N$48*EFEITO!$AA$48</f>
        <v>47651.511488323056</v>
      </c>
      <c r="M48" s="68">
        <f>$J$48-EFEITO!$K$48*EFEITO!$Y$48</f>
        <v>0</v>
      </c>
      <c r="N48" s="68">
        <f ca="1">$K$48-EFEITO!$M$48*EFEITO!$Z$48</f>
        <v>0</v>
      </c>
      <c r="O48" s="68">
        <f>$L$48-EFEITO!$O$48*EFEITO!$AA$48</f>
        <v>0</v>
      </c>
      <c r="P48" s="18"/>
      <c r="Q48" s="18"/>
      <c r="R48" s="18"/>
      <c r="S48" s="18"/>
      <c r="T48" s="18"/>
      <c r="U48" s="18"/>
      <c r="V48" s="18"/>
      <c r="W48" s="18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60" t="s">
        <v>27</v>
      </c>
      <c r="B49" s="60" t="s">
        <v>34</v>
      </c>
      <c r="C49" s="60" t="s">
        <v>35</v>
      </c>
      <c r="D49" s="60" t="s">
        <v>38</v>
      </c>
      <c r="E49" s="60" t="s">
        <v>25</v>
      </c>
      <c r="F49" s="60" t="s">
        <v>25</v>
      </c>
      <c r="G49" s="60" t="s">
        <v>25</v>
      </c>
      <c r="H49" s="60" t="s">
        <v>37</v>
      </c>
      <c r="I49" s="67">
        <v>44531</v>
      </c>
      <c r="J49" s="68">
        <f>EFEITO!$J$49*EFEITO!$Y$49</f>
        <v>0</v>
      </c>
      <c r="K49" s="68">
        <f ca="1">EFEITO!$L$49*EFEITO!$Z$49</f>
        <v>1861.2222059127935</v>
      </c>
      <c r="L49" s="68">
        <f>EFEITO!$N$49*EFEITO!$AA$49</f>
        <v>3521.5107264548274</v>
      </c>
      <c r="M49" s="68">
        <f>$J$49-EFEITO!$K$49*EFEITO!$Y$49</f>
        <v>0</v>
      </c>
      <c r="N49" s="68">
        <f ca="1">$K$49-EFEITO!$M$49*EFEITO!$Z$49</f>
        <v>0</v>
      </c>
      <c r="O49" s="68">
        <f>$L$49-EFEITO!$O$49*EFEITO!$AA$49</f>
        <v>0</v>
      </c>
      <c r="P49" s="18"/>
      <c r="Q49" s="18"/>
      <c r="R49" s="18"/>
      <c r="S49" s="18"/>
      <c r="T49" s="18"/>
      <c r="U49" s="18"/>
      <c r="V49" s="18"/>
      <c r="W49" s="18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60" t="s">
        <v>21</v>
      </c>
      <c r="B50" s="60" t="s">
        <v>34</v>
      </c>
      <c r="C50" s="60" t="s">
        <v>35</v>
      </c>
      <c r="D50" s="60" t="s">
        <v>38</v>
      </c>
      <c r="E50" s="60" t="s">
        <v>25</v>
      </c>
      <c r="F50" s="60" t="s">
        <v>25</v>
      </c>
      <c r="G50" s="60" t="s">
        <v>25</v>
      </c>
      <c r="H50" s="60" t="s">
        <v>37</v>
      </c>
      <c r="I50" s="67">
        <v>44562</v>
      </c>
      <c r="J50" s="68">
        <f>EFEITO!$J$50*EFEITO!$Y$50</f>
        <v>0</v>
      </c>
      <c r="K50" s="68">
        <f ca="1">EFEITO!$L$50*EFEITO!$Z$50</f>
        <v>26850.116555085537</v>
      </c>
      <c r="L50" s="68">
        <f>EFEITO!$N$50*EFEITO!$AA$50</f>
        <v>50801.550268913074</v>
      </c>
      <c r="M50" s="68">
        <f>$J$50-EFEITO!$K$50*EFEITO!$Y$50</f>
        <v>0</v>
      </c>
      <c r="N50" s="68">
        <f ca="1">$K$50-EFEITO!$M$50*EFEITO!$Z$50</f>
        <v>0</v>
      </c>
      <c r="O50" s="68">
        <f>$L$50-EFEITO!$O$50*EFEITO!$AA$50</f>
        <v>0</v>
      </c>
      <c r="P50" s="18"/>
      <c r="Q50" s="18"/>
      <c r="R50" s="18"/>
      <c r="S50" s="18"/>
      <c r="T50" s="18"/>
      <c r="U50" s="18"/>
      <c r="V50" s="18"/>
      <c r="W50" s="18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60" t="s">
        <v>27</v>
      </c>
      <c r="B51" s="60" t="s">
        <v>34</v>
      </c>
      <c r="C51" s="60" t="s">
        <v>35</v>
      </c>
      <c r="D51" s="60" t="s">
        <v>38</v>
      </c>
      <c r="E51" s="60" t="s">
        <v>25</v>
      </c>
      <c r="F51" s="60" t="s">
        <v>25</v>
      </c>
      <c r="G51" s="60" t="s">
        <v>25</v>
      </c>
      <c r="H51" s="60" t="s">
        <v>37</v>
      </c>
      <c r="I51" s="67">
        <v>44562</v>
      </c>
      <c r="J51" s="68">
        <f>EFEITO!$J$51*EFEITO!$Y$51</f>
        <v>0</v>
      </c>
      <c r="K51" s="68">
        <f ca="1">EFEITO!$L$51*EFEITO!$Z$51</f>
        <v>2364.4780071917107</v>
      </c>
      <c r="L51" s="68">
        <f>EFEITO!$N$51*EFEITO!$AA$51</f>
        <v>4473.6918774878832</v>
      </c>
      <c r="M51" s="68">
        <f>$J$51-EFEITO!$K$51*EFEITO!$Y$51</f>
        <v>0</v>
      </c>
      <c r="N51" s="68">
        <f ca="1">$K$51-EFEITO!$M$51*EFEITO!$Z$51</f>
        <v>0</v>
      </c>
      <c r="O51" s="68">
        <f>$L$51-EFEITO!$O$51*EFEITO!$AA$51</f>
        <v>0</v>
      </c>
      <c r="P51" s="18"/>
      <c r="Q51" s="18"/>
      <c r="R51" s="18"/>
      <c r="S51" s="18"/>
      <c r="T51" s="18"/>
      <c r="U51" s="18"/>
      <c r="V51" s="18"/>
      <c r="W51" s="18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60" t="s">
        <v>21</v>
      </c>
      <c r="B52" s="60" t="s">
        <v>34</v>
      </c>
      <c r="C52" s="60" t="s">
        <v>35</v>
      </c>
      <c r="D52" s="60" t="s">
        <v>38</v>
      </c>
      <c r="E52" s="60" t="s">
        <v>25</v>
      </c>
      <c r="F52" s="60" t="s">
        <v>25</v>
      </c>
      <c r="G52" s="60" t="s">
        <v>25</v>
      </c>
      <c r="H52" s="60" t="s">
        <v>37</v>
      </c>
      <c r="I52" s="67">
        <v>44593</v>
      </c>
      <c r="J52" s="68">
        <f>EFEITO!$J$52*EFEITO!$Y$52</f>
        <v>0</v>
      </c>
      <c r="K52" s="68">
        <f ca="1">EFEITO!$L$52*EFEITO!$Z$52</f>
        <v>23826.345972924471</v>
      </c>
      <c r="L52" s="68">
        <f>EFEITO!$N$52*EFEITO!$AA$52</f>
        <v>45080.449099159639</v>
      </c>
      <c r="M52" s="68">
        <f>$J$52-EFEITO!$K$52*EFEITO!$Y$52</f>
        <v>0</v>
      </c>
      <c r="N52" s="68">
        <f ca="1">$K$52-EFEITO!$M$52*EFEITO!$Z$52</f>
        <v>0</v>
      </c>
      <c r="O52" s="68">
        <f>$L$52-EFEITO!$O$52*EFEITO!$AA$52</f>
        <v>0</v>
      </c>
      <c r="P52" s="18"/>
      <c r="Q52" s="18"/>
      <c r="R52" s="18"/>
      <c r="S52" s="18"/>
      <c r="T52" s="18"/>
      <c r="U52" s="18"/>
      <c r="V52" s="18"/>
      <c r="W52" s="18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60" t="s">
        <v>27</v>
      </c>
      <c r="B53" s="60" t="s">
        <v>34</v>
      </c>
      <c r="C53" s="60" t="s">
        <v>35</v>
      </c>
      <c r="D53" s="60" t="s">
        <v>38</v>
      </c>
      <c r="E53" s="60" t="s">
        <v>25</v>
      </c>
      <c r="F53" s="60" t="s">
        <v>25</v>
      </c>
      <c r="G53" s="60" t="s">
        <v>25</v>
      </c>
      <c r="H53" s="60" t="s">
        <v>37</v>
      </c>
      <c r="I53" s="67">
        <v>44593</v>
      </c>
      <c r="J53" s="68">
        <f>EFEITO!$J$53*EFEITO!$Y$53</f>
        <v>0</v>
      </c>
      <c r="K53" s="68">
        <f ca="1">EFEITO!$L$53*EFEITO!$Z$53</f>
        <v>4796.8428865759606</v>
      </c>
      <c r="L53" s="68">
        <f>EFEITO!$N$53*EFEITO!$AA$53</f>
        <v>9075.8285735750851</v>
      </c>
      <c r="M53" s="68">
        <f>$J$53-EFEITO!$K$53*EFEITO!$Y$53</f>
        <v>0</v>
      </c>
      <c r="N53" s="68">
        <f ca="1">$K$53-EFEITO!$M$53*EFEITO!$Z$53</f>
        <v>0</v>
      </c>
      <c r="O53" s="68">
        <f>$L$53-EFEITO!$O$53*EFEITO!$AA$53</f>
        <v>0</v>
      </c>
      <c r="P53" s="18"/>
      <c r="Q53" s="18"/>
      <c r="R53" s="18"/>
      <c r="S53" s="18"/>
      <c r="T53" s="18"/>
      <c r="U53" s="18"/>
      <c r="V53" s="18"/>
      <c r="W53" s="18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60" t="s">
        <v>21</v>
      </c>
      <c r="B54" s="60" t="s">
        <v>34</v>
      </c>
      <c r="C54" s="60" t="s">
        <v>35</v>
      </c>
      <c r="D54" s="60" t="s">
        <v>38</v>
      </c>
      <c r="E54" s="60" t="s">
        <v>25</v>
      </c>
      <c r="F54" s="60" t="s">
        <v>25</v>
      </c>
      <c r="G54" s="60" t="s">
        <v>25</v>
      </c>
      <c r="H54" s="60" t="s">
        <v>37</v>
      </c>
      <c r="I54" s="67">
        <v>44621</v>
      </c>
      <c r="J54" s="68">
        <f>EFEITO!$J$54*EFEITO!$Y$54</f>
        <v>0</v>
      </c>
      <c r="K54" s="68">
        <f ca="1">EFEITO!$L$54*EFEITO!$Z$54</f>
        <v>24034.814765947427</v>
      </c>
      <c r="L54" s="68">
        <f>EFEITO!$N$54*EFEITO!$AA$54</f>
        <v>45474.880827101224</v>
      </c>
      <c r="M54" s="68">
        <f>$J$54-EFEITO!$K$54*EFEITO!$Y$54</f>
        <v>0</v>
      </c>
      <c r="N54" s="68">
        <f ca="1">$K$54-EFEITO!$M$54*EFEITO!$Z$54</f>
        <v>0</v>
      </c>
      <c r="O54" s="68">
        <f>$L$54-EFEITO!$O$54*EFEITO!$AA$54</f>
        <v>0</v>
      </c>
      <c r="P54" s="18"/>
      <c r="Q54" s="18"/>
      <c r="R54" s="18"/>
      <c r="S54" s="18"/>
      <c r="T54" s="18"/>
      <c r="U54" s="18"/>
      <c r="V54" s="18"/>
      <c r="W54" s="18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60" t="s">
        <v>27</v>
      </c>
      <c r="B55" s="60" t="s">
        <v>34</v>
      </c>
      <c r="C55" s="60" t="s">
        <v>35</v>
      </c>
      <c r="D55" s="60" t="s">
        <v>38</v>
      </c>
      <c r="E55" s="60" t="s">
        <v>25</v>
      </c>
      <c r="F55" s="60" t="s">
        <v>25</v>
      </c>
      <c r="G55" s="60" t="s">
        <v>25</v>
      </c>
      <c r="H55" s="60" t="s">
        <v>37</v>
      </c>
      <c r="I55" s="67">
        <v>44621</v>
      </c>
      <c r="J55" s="68">
        <f>EFEITO!$J$55*EFEITO!$Y$55</f>
        <v>0</v>
      </c>
      <c r="K55" s="68">
        <f ca="1">EFEITO!$L$55*EFEITO!$Z$55</f>
        <v>3666.1200591801758</v>
      </c>
      <c r="L55" s="68">
        <f>EFEITO!$N$55*EFEITO!$AA$55</f>
        <v>6936.4534077985854</v>
      </c>
      <c r="M55" s="68">
        <f>$J$55-EFEITO!$K$55*EFEITO!$Y$55</f>
        <v>0</v>
      </c>
      <c r="N55" s="68">
        <f ca="1">$K$55-EFEITO!$M$55*EFEITO!$Z$55</f>
        <v>0</v>
      </c>
      <c r="O55" s="68">
        <f>$L$55-EFEITO!$O$55*EFEITO!$AA$55</f>
        <v>0</v>
      </c>
      <c r="P55" s="18"/>
      <c r="Q55" s="18"/>
      <c r="R55" s="18"/>
      <c r="S55" s="18"/>
      <c r="T55" s="18"/>
      <c r="U55" s="18"/>
      <c r="V55" s="18"/>
      <c r="W55" s="18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60" t="s">
        <v>21</v>
      </c>
      <c r="B56" s="60" t="s">
        <v>34</v>
      </c>
      <c r="C56" s="60" t="s">
        <v>35</v>
      </c>
      <c r="D56" s="60" t="s">
        <v>38</v>
      </c>
      <c r="E56" s="60" t="s">
        <v>25</v>
      </c>
      <c r="F56" s="60" t="s">
        <v>25</v>
      </c>
      <c r="G56" s="60" t="s">
        <v>25</v>
      </c>
      <c r="H56" s="60" t="s">
        <v>37</v>
      </c>
      <c r="I56" s="67">
        <v>44652</v>
      </c>
      <c r="J56" s="68">
        <f>EFEITO!$J$56*EFEITO!$Y$56</f>
        <v>0</v>
      </c>
      <c r="K56" s="68">
        <f ca="1">EFEITO!$L$56*EFEITO!$Z$56</f>
        <v>20437.840863266902</v>
      </c>
      <c r="L56" s="68">
        <f>EFEITO!$N$56*EFEITO!$AA$56</f>
        <v>38669.254856796717</v>
      </c>
      <c r="M56" s="68">
        <f>$J$56-EFEITO!$K$56*EFEITO!$Y$56</f>
        <v>0</v>
      </c>
      <c r="N56" s="68">
        <f ca="1">$K$56-EFEITO!$M$56*EFEITO!$Z$56</f>
        <v>0</v>
      </c>
      <c r="O56" s="68">
        <f>$L$56-EFEITO!$O$56*EFEITO!$AA$56</f>
        <v>0</v>
      </c>
      <c r="P56" s="18"/>
      <c r="Q56" s="18"/>
      <c r="R56" s="18"/>
      <c r="S56" s="18"/>
      <c r="T56" s="18"/>
      <c r="U56" s="18"/>
      <c r="V56" s="18"/>
      <c r="W56" s="18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60" t="s">
        <v>27</v>
      </c>
      <c r="B57" s="60" t="s">
        <v>34</v>
      </c>
      <c r="C57" s="60" t="s">
        <v>35</v>
      </c>
      <c r="D57" s="60" t="s">
        <v>38</v>
      </c>
      <c r="E57" s="60" t="s">
        <v>25</v>
      </c>
      <c r="F57" s="60" t="s">
        <v>25</v>
      </c>
      <c r="G57" s="60" t="s">
        <v>25</v>
      </c>
      <c r="H57" s="60" t="s">
        <v>37</v>
      </c>
      <c r="I57" s="67">
        <v>44652</v>
      </c>
      <c r="J57" s="68">
        <f>EFEITO!$J$57*EFEITO!$Y$57</f>
        <v>0</v>
      </c>
      <c r="K57" s="68">
        <f ca="1">EFEITO!$L$57*EFEITO!$Z$57</f>
        <v>5337.3048151104849</v>
      </c>
      <c r="L57" s="68">
        <f>EFEITO!$N$57*EFEITO!$AA$57</f>
        <v>10098.405282862404</v>
      </c>
      <c r="M57" s="68">
        <f>$J$57-EFEITO!$K$57*EFEITO!$Y$57</f>
        <v>0</v>
      </c>
      <c r="N57" s="68">
        <f ca="1">$K$57-EFEITO!$M$57*EFEITO!$Z$57</f>
        <v>0</v>
      </c>
      <c r="O57" s="68">
        <f>$L$57-EFEITO!$O$57*EFEITO!$AA$57</f>
        <v>0</v>
      </c>
      <c r="P57" s="18"/>
      <c r="Q57" s="18"/>
      <c r="R57" s="18"/>
      <c r="S57" s="18"/>
      <c r="T57" s="18"/>
      <c r="U57" s="18"/>
      <c r="V57" s="18"/>
      <c r="W57" s="18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60" t="s">
        <v>21</v>
      </c>
      <c r="B58" s="60" t="s">
        <v>34</v>
      </c>
      <c r="C58" s="60" t="s">
        <v>35</v>
      </c>
      <c r="D58" s="60" t="s">
        <v>38</v>
      </c>
      <c r="E58" s="60" t="s">
        <v>25</v>
      </c>
      <c r="F58" s="60" t="s">
        <v>25</v>
      </c>
      <c r="G58" s="60" t="s">
        <v>25</v>
      </c>
      <c r="H58" s="60" t="s">
        <v>37</v>
      </c>
      <c r="I58" s="67">
        <v>44682</v>
      </c>
      <c r="J58" s="68">
        <f>EFEITO!$J$58*EFEITO!$Y$58</f>
        <v>0</v>
      </c>
      <c r="K58" s="68">
        <f ca="1">EFEITO!$L$58*EFEITO!$Z$58</f>
        <v>21457.975632419864</v>
      </c>
      <c r="L58" s="68">
        <f>EFEITO!$N$58*EFEITO!$AA$58</f>
        <v>40599.392763269774</v>
      </c>
      <c r="M58" s="68">
        <f>$J$58-EFEITO!$K$58*EFEITO!$Y$58</f>
        <v>0</v>
      </c>
      <c r="N58" s="68">
        <f ca="1">$K$58-EFEITO!$M$58*EFEITO!$Z$58</f>
        <v>0</v>
      </c>
      <c r="O58" s="68">
        <f>$L$58-EFEITO!$O$58*EFEITO!$AA$58</f>
        <v>0</v>
      </c>
      <c r="P58" s="18"/>
      <c r="Q58" s="18"/>
      <c r="R58" s="18"/>
      <c r="S58" s="18"/>
      <c r="T58" s="18"/>
      <c r="U58" s="18"/>
      <c r="V58" s="18"/>
      <c r="W58" s="18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60" t="s">
        <v>27</v>
      </c>
      <c r="B59" s="60" t="s">
        <v>34</v>
      </c>
      <c r="C59" s="60" t="s">
        <v>35</v>
      </c>
      <c r="D59" s="60" t="s">
        <v>38</v>
      </c>
      <c r="E59" s="60" t="s">
        <v>25</v>
      </c>
      <c r="F59" s="60" t="s">
        <v>25</v>
      </c>
      <c r="G59" s="60" t="s">
        <v>25</v>
      </c>
      <c r="H59" s="60" t="s">
        <v>37</v>
      </c>
      <c r="I59" s="67">
        <v>44682</v>
      </c>
      <c r="J59" s="68">
        <f>EFEITO!$J$59*EFEITO!$Y$59</f>
        <v>0</v>
      </c>
      <c r="K59" s="68">
        <f ca="1">EFEITO!$L$59*EFEITO!$Z$59</f>
        <v>3273.9102377103004</v>
      </c>
      <c r="L59" s="68">
        <f>EFEITO!$N$59*EFEITO!$AA$59</f>
        <v>6194.3759229397929</v>
      </c>
      <c r="M59" s="68">
        <f>$J$59-EFEITO!$K$59*EFEITO!$Y$59</f>
        <v>0</v>
      </c>
      <c r="N59" s="68">
        <f ca="1">$K$59-EFEITO!$M$59*EFEITO!$Z$59</f>
        <v>0</v>
      </c>
      <c r="O59" s="68">
        <f>$L$59-EFEITO!$O$59*EFEITO!$AA$59</f>
        <v>0</v>
      </c>
      <c r="P59" s="18"/>
      <c r="Q59" s="18"/>
      <c r="R59" s="18"/>
      <c r="S59" s="18"/>
      <c r="T59" s="18"/>
      <c r="U59" s="18"/>
      <c r="V59" s="18"/>
      <c r="W59" s="18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60" t="s">
        <v>21</v>
      </c>
      <c r="B60" s="60" t="s">
        <v>34</v>
      </c>
      <c r="C60" s="60" t="s">
        <v>35</v>
      </c>
      <c r="D60" s="60" t="s">
        <v>38</v>
      </c>
      <c r="E60" s="60" t="s">
        <v>25</v>
      </c>
      <c r="F60" s="60" t="s">
        <v>25</v>
      </c>
      <c r="G60" s="60" t="s">
        <v>25</v>
      </c>
      <c r="H60" s="60" t="s">
        <v>37</v>
      </c>
      <c r="I60" s="67">
        <v>44713</v>
      </c>
      <c r="J60" s="68">
        <f>EFEITO!$J$60*EFEITO!$Y$60</f>
        <v>0</v>
      </c>
      <c r="K60" s="68">
        <f ca="1">EFEITO!$L$60*EFEITO!$Z$60</f>
        <v>20299.548550267598</v>
      </c>
      <c r="L60" s="68">
        <f>EFEITO!$N$60*EFEITO!$AA$60</f>
        <v>38407.599981808562</v>
      </c>
      <c r="M60" s="68">
        <f>$J$60-EFEITO!$K$60*EFEITO!$Y$60</f>
        <v>0</v>
      </c>
      <c r="N60" s="68">
        <f ca="1">$K$60-EFEITO!$M$60*EFEITO!$Z$60</f>
        <v>0</v>
      </c>
      <c r="O60" s="68">
        <f>$L$60-EFEITO!$O$60*EFEITO!$AA$60</f>
        <v>0</v>
      </c>
      <c r="P60" s="18"/>
      <c r="Q60" s="18"/>
      <c r="R60" s="18"/>
      <c r="S60" s="18"/>
      <c r="T60" s="18"/>
      <c r="U60" s="18"/>
      <c r="V60" s="18"/>
      <c r="W60" s="18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60" t="s">
        <v>27</v>
      </c>
      <c r="B61" s="60" t="s">
        <v>34</v>
      </c>
      <c r="C61" s="60" t="s">
        <v>35</v>
      </c>
      <c r="D61" s="60" t="s">
        <v>38</v>
      </c>
      <c r="E61" s="60" t="s">
        <v>25</v>
      </c>
      <c r="F61" s="60" t="s">
        <v>25</v>
      </c>
      <c r="G61" s="60" t="s">
        <v>25</v>
      </c>
      <c r="H61" s="60" t="s">
        <v>37</v>
      </c>
      <c r="I61" s="67">
        <v>44713</v>
      </c>
      <c r="J61" s="68">
        <f>EFEITO!$J$61*EFEITO!$Y$61</f>
        <v>0</v>
      </c>
      <c r="K61" s="68">
        <f ca="1">EFEITO!$L$61*EFEITO!$Z$61</f>
        <v>2545.8149474159613</v>
      </c>
      <c r="L61" s="68">
        <f>EFEITO!$N$61*EFEITO!$AA$61</f>
        <v>4816.7889983332798</v>
      </c>
      <c r="M61" s="68">
        <f>$J$61-EFEITO!$K$61*EFEITO!$Y$61</f>
        <v>0</v>
      </c>
      <c r="N61" s="68">
        <f ca="1">$K$61-EFEITO!$M$61*EFEITO!$Z$61</f>
        <v>0</v>
      </c>
      <c r="O61" s="68">
        <f>$L$61-EFEITO!$O$61*EFEITO!$AA$61</f>
        <v>0</v>
      </c>
      <c r="P61" s="18"/>
      <c r="Q61" s="18"/>
      <c r="R61" s="18"/>
      <c r="S61" s="18"/>
      <c r="T61" s="18"/>
      <c r="U61" s="18"/>
      <c r="V61" s="18"/>
      <c r="W61" s="18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60" t="s">
        <v>21</v>
      </c>
      <c r="B62" s="60" t="s">
        <v>34</v>
      </c>
      <c r="C62" s="60" t="s">
        <v>35</v>
      </c>
      <c r="D62" s="60" t="s">
        <v>38</v>
      </c>
      <c r="E62" s="60" t="s">
        <v>25</v>
      </c>
      <c r="F62" s="60" t="s">
        <v>25</v>
      </c>
      <c r="G62" s="60" t="s">
        <v>25</v>
      </c>
      <c r="H62" s="60" t="s">
        <v>25</v>
      </c>
      <c r="I62" s="67">
        <v>44378</v>
      </c>
      <c r="J62" s="68">
        <f ca="1">EFEITO!$J$62*EFEITO!$Y$62</f>
        <v>17670.861695522763</v>
      </c>
      <c r="K62" s="68">
        <f>EFEITO!$L$62*EFEITO!$Z$62</f>
        <v>0</v>
      </c>
      <c r="L62" s="68">
        <f>EFEITO!$N$62*EFEITO!$AA$62</f>
        <v>0</v>
      </c>
      <c r="M62" s="68">
        <f ca="1">$J$62-EFEITO!$K$62*EFEITO!$Y$62</f>
        <v>0</v>
      </c>
      <c r="N62" s="68">
        <f>$K$62-EFEITO!$M$62*EFEITO!$Z$62</f>
        <v>0</v>
      </c>
      <c r="O62" s="68">
        <f>$L$62-EFEITO!$O$62*EFEITO!$AA$62</f>
        <v>0</v>
      </c>
      <c r="P62" s="18"/>
      <c r="Q62" s="18"/>
      <c r="R62" s="18"/>
      <c r="S62" s="18"/>
      <c r="T62" s="18"/>
      <c r="U62" s="18"/>
      <c r="V62" s="18"/>
      <c r="W62" s="18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60" t="s">
        <v>27</v>
      </c>
      <c r="B63" s="60" t="s">
        <v>34</v>
      </c>
      <c r="C63" s="60" t="s">
        <v>35</v>
      </c>
      <c r="D63" s="60" t="s">
        <v>38</v>
      </c>
      <c r="E63" s="60" t="s">
        <v>25</v>
      </c>
      <c r="F63" s="60" t="s">
        <v>25</v>
      </c>
      <c r="G63" s="60" t="s">
        <v>25</v>
      </c>
      <c r="H63" s="60" t="s">
        <v>25</v>
      </c>
      <c r="I63" s="67">
        <v>44378</v>
      </c>
      <c r="J63" s="68">
        <f ca="1">EFEITO!$J$63*EFEITO!$Y$63</f>
        <v>2945.1436159204604</v>
      </c>
      <c r="K63" s="68">
        <f>EFEITO!$L$63*EFEITO!$Z$63</f>
        <v>0</v>
      </c>
      <c r="L63" s="68">
        <f>EFEITO!$N$63*EFEITO!$AA$63</f>
        <v>0</v>
      </c>
      <c r="M63" s="68">
        <f ca="1">$J$63-EFEITO!$K$63*EFEITO!$Y$63</f>
        <v>0</v>
      </c>
      <c r="N63" s="68">
        <f>$K$63-EFEITO!$M$63*EFEITO!$Z$63</f>
        <v>0</v>
      </c>
      <c r="O63" s="68">
        <f>$L$63-EFEITO!$O$63*EFEITO!$AA$63</f>
        <v>0</v>
      </c>
      <c r="P63" s="18"/>
      <c r="Q63" s="18"/>
      <c r="R63" s="18"/>
      <c r="S63" s="18"/>
      <c r="T63" s="18"/>
      <c r="U63" s="18"/>
      <c r="V63" s="18"/>
      <c r="W63" s="18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60" t="s">
        <v>21</v>
      </c>
      <c r="B64" s="60" t="s">
        <v>34</v>
      </c>
      <c r="C64" s="60" t="s">
        <v>35</v>
      </c>
      <c r="D64" s="60" t="s">
        <v>38</v>
      </c>
      <c r="E64" s="60" t="s">
        <v>25</v>
      </c>
      <c r="F64" s="60" t="s">
        <v>25</v>
      </c>
      <c r="G64" s="60" t="s">
        <v>25</v>
      </c>
      <c r="H64" s="60" t="s">
        <v>25</v>
      </c>
      <c r="I64" s="67">
        <v>44409</v>
      </c>
      <c r="J64" s="68">
        <f ca="1">EFEITO!$J$64*EFEITO!$Y$64</f>
        <v>17219.273007748292</v>
      </c>
      <c r="K64" s="68">
        <f>EFEITO!$L$64*EFEITO!$Z$64</f>
        <v>0</v>
      </c>
      <c r="L64" s="68">
        <f>EFEITO!$N$64*EFEITO!$AA$64</f>
        <v>0</v>
      </c>
      <c r="M64" s="68">
        <f ca="1">$J$64-EFEITO!$K$64*EFEITO!$Y$64</f>
        <v>0</v>
      </c>
      <c r="N64" s="68">
        <f>$K$64-EFEITO!$M$64*EFEITO!$Z$64</f>
        <v>0</v>
      </c>
      <c r="O64" s="68">
        <f>$L$64-EFEITO!$O$64*EFEITO!$AA$64</f>
        <v>0</v>
      </c>
      <c r="P64" s="18"/>
      <c r="Q64" s="18"/>
      <c r="R64" s="18"/>
      <c r="S64" s="18"/>
      <c r="T64" s="18"/>
      <c r="U64" s="18"/>
      <c r="V64" s="18"/>
      <c r="W64" s="18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60" t="s">
        <v>27</v>
      </c>
      <c r="B65" s="60" t="s">
        <v>34</v>
      </c>
      <c r="C65" s="60" t="s">
        <v>35</v>
      </c>
      <c r="D65" s="60" t="s">
        <v>38</v>
      </c>
      <c r="E65" s="60" t="s">
        <v>25</v>
      </c>
      <c r="F65" s="60" t="s">
        <v>25</v>
      </c>
      <c r="G65" s="60" t="s">
        <v>25</v>
      </c>
      <c r="H65" s="60" t="s">
        <v>25</v>
      </c>
      <c r="I65" s="67">
        <v>44409</v>
      </c>
      <c r="J65" s="68">
        <f ca="1">EFEITO!$J$65*EFEITO!$Y$65</f>
        <v>2945.1436159204604</v>
      </c>
      <c r="K65" s="68">
        <f>EFEITO!$L$65*EFEITO!$Z$65</f>
        <v>0</v>
      </c>
      <c r="L65" s="68">
        <f>EFEITO!$N$65*EFEITO!$AA$65</f>
        <v>0</v>
      </c>
      <c r="M65" s="68">
        <f ca="1">$J$65-EFEITO!$K$65*EFEITO!$Y$65</f>
        <v>0</v>
      </c>
      <c r="N65" s="68">
        <f>$K$65-EFEITO!$M$65*EFEITO!$Z$65</f>
        <v>0</v>
      </c>
      <c r="O65" s="68">
        <f>$L$65-EFEITO!$O$65*EFEITO!$AA$65</f>
        <v>0</v>
      </c>
      <c r="P65" s="18"/>
      <c r="Q65" s="18"/>
      <c r="R65" s="18"/>
      <c r="S65" s="18"/>
      <c r="T65" s="18"/>
      <c r="U65" s="18"/>
      <c r="V65" s="18"/>
      <c r="W65" s="18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60" t="s">
        <v>21</v>
      </c>
      <c r="B66" s="60" t="s">
        <v>34</v>
      </c>
      <c r="C66" s="60" t="s">
        <v>35</v>
      </c>
      <c r="D66" s="60" t="s">
        <v>38</v>
      </c>
      <c r="E66" s="60" t="s">
        <v>25</v>
      </c>
      <c r="F66" s="60" t="s">
        <v>25</v>
      </c>
      <c r="G66" s="60" t="s">
        <v>25</v>
      </c>
      <c r="H66" s="60" t="s">
        <v>25</v>
      </c>
      <c r="I66" s="67">
        <v>44440</v>
      </c>
      <c r="J66" s="68">
        <f ca="1">EFEITO!$J$66*EFEITO!$Y$66</f>
        <v>17219.273007748292</v>
      </c>
      <c r="K66" s="68">
        <f>EFEITO!$L$66*EFEITO!$Z$66</f>
        <v>0</v>
      </c>
      <c r="L66" s="68">
        <f>EFEITO!$N$66*EFEITO!$AA$66</f>
        <v>0</v>
      </c>
      <c r="M66" s="68">
        <f ca="1">$J$66-EFEITO!$K$66*EFEITO!$Y$66</f>
        <v>0</v>
      </c>
      <c r="N66" s="68">
        <f>$K$66-EFEITO!$M$66*EFEITO!$Z$66</f>
        <v>0</v>
      </c>
      <c r="O66" s="68">
        <f>$L$66-EFEITO!$O$66*EFEITO!$AA$66</f>
        <v>0</v>
      </c>
      <c r="P66" s="18"/>
      <c r="Q66" s="18"/>
      <c r="R66" s="18"/>
      <c r="S66" s="18"/>
      <c r="T66" s="18"/>
      <c r="U66" s="18"/>
      <c r="V66" s="18"/>
      <c r="W66" s="18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60" t="s">
        <v>27</v>
      </c>
      <c r="B67" s="60" t="s">
        <v>34</v>
      </c>
      <c r="C67" s="60" t="s">
        <v>35</v>
      </c>
      <c r="D67" s="60" t="s">
        <v>38</v>
      </c>
      <c r="E67" s="60" t="s">
        <v>25</v>
      </c>
      <c r="F67" s="60" t="s">
        <v>25</v>
      </c>
      <c r="G67" s="60" t="s">
        <v>25</v>
      </c>
      <c r="H67" s="60" t="s">
        <v>25</v>
      </c>
      <c r="I67" s="67">
        <v>44440</v>
      </c>
      <c r="J67" s="68">
        <f ca="1">EFEITO!$J$67*EFEITO!$Y$67</f>
        <v>2945.1436159204604</v>
      </c>
      <c r="K67" s="68">
        <f>EFEITO!$L$67*EFEITO!$Z$67</f>
        <v>0</v>
      </c>
      <c r="L67" s="68">
        <f>EFEITO!$N$67*EFEITO!$AA$67</f>
        <v>0</v>
      </c>
      <c r="M67" s="68">
        <f ca="1">$J$67-EFEITO!$K$67*EFEITO!$Y$67</f>
        <v>0</v>
      </c>
      <c r="N67" s="68">
        <f>$K$67-EFEITO!$M$67*EFEITO!$Z$67</f>
        <v>0</v>
      </c>
      <c r="O67" s="68">
        <f>$L$67-EFEITO!$O$67*EFEITO!$AA$67</f>
        <v>0</v>
      </c>
      <c r="P67" s="18"/>
      <c r="Q67" s="18"/>
      <c r="R67" s="18"/>
      <c r="S67" s="18"/>
      <c r="T67" s="18"/>
      <c r="U67" s="18"/>
      <c r="V67" s="18"/>
      <c r="W67" s="18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60" t="s">
        <v>21</v>
      </c>
      <c r="B68" s="60" t="s">
        <v>34</v>
      </c>
      <c r="C68" s="60" t="s">
        <v>35</v>
      </c>
      <c r="D68" s="60" t="s">
        <v>38</v>
      </c>
      <c r="E68" s="60" t="s">
        <v>25</v>
      </c>
      <c r="F68" s="60" t="s">
        <v>25</v>
      </c>
      <c r="G68" s="60" t="s">
        <v>25</v>
      </c>
      <c r="H68" s="60" t="s">
        <v>25</v>
      </c>
      <c r="I68" s="67">
        <v>44470</v>
      </c>
      <c r="J68" s="68">
        <f ca="1">EFEITO!$J$68*EFEITO!$Y$68</f>
        <v>17219.273007748292</v>
      </c>
      <c r="K68" s="68">
        <f>EFEITO!$L$68*EFEITO!$Z$68</f>
        <v>0</v>
      </c>
      <c r="L68" s="68">
        <f>EFEITO!$N$68*EFEITO!$AA$68</f>
        <v>0</v>
      </c>
      <c r="M68" s="68">
        <f ca="1">$J$68-EFEITO!$K$68*EFEITO!$Y$68</f>
        <v>0</v>
      </c>
      <c r="N68" s="68">
        <f>$K$68-EFEITO!$M$68*EFEITO!$Z$68</f>
        <v>0</v>
      </c>
      <c r="O68" s="68">
        <f>$L$68-EFEITO!$O$68*EFEITO!$AA$68</f>
        <v>0</v>
      </c>
      <c r="P68" s="18"/>
      <c r="Q68" s="18"/>
      <c r="R68" s="18"/>
      <c r="S68" s="18"/>
      <c r="T68" s="18"/>
      <c r="U68" s="18"/>
      <c r="V68" s="18"/>
      <c r="W68" s="18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60" t="s">
        <v>27</v>
      </c>
      <c r="B69" s="60" t="s">
        <v>34</v>
      </c>
      <c r="C69" s="60" t="s">
        <v>35</v>
      </c>
      <c r="D69" s="60" t="s">
        <v>38</v>
      </c>
      <c r="E69" s="60" t="s">
        <v>25</v>
      </c>
      <c r="F69" s="60" t="s">
        <v>25</v>
      </c>
      <c r="G69" s="60" t="s">
        <v>25</v>
      </c>
      <c r="H69" s="60" t="s">
        <v>25</v>
      </c>
      <c r="I69" s="67">
        <v>44470</v>
      </c>
      <c r="J69" s="68">
        <f ca="1">EFEITO!$J$69*EFEITO!$Y$69</f>
        <v>2945.1436159204604</v>
      </c>
      <c r="K69" s="68">
        <f>EFEITO!$L$69*EFEITO!$Z$69</f>
        <v>0</v>
      </c>
      <c r="L69" s="68">
        <f>EFEITO!$N$69*EFEITO!$AA$69</f>
        <v>0</v>
      </c>
      <c r="M69" s="68">
        <f ca="1">$J$69-EFEITO!$K$69*EFEITO!$Y$69</f>
        <v>0</v>
      </c>
      <c r="N69" s="68">
        <f>$K$69-EFEITO!$M$69*EFEITO!$Z$69</f>
        <v>0</v>
      </c>
      <c r="O69" s="68">
        <f>$L$69-EFEITO!$O$69*EFEITO!$AA$69</f>
        <v>0</v>
      </c>
      <c r="P69" s="18"/>
      <c r="Q69" s="18"/>
      <c r="R69" s="18"/>
      <c r="S69" s="18"/>
      <c r="T69" s="18"/>
      <c r="U69" s="18"/>
      <c r="V69" s="18"/>
      <c r="W69" s="18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60" t="s">
        <v>21</v>
      </c>
      <c r="B70" s="60" t="s">
        <v>34</v>
      </c>
      <c r="C70" s="60" t="s">
        <v>35</v>
      </c>
      <c r="D70" s="60" t="s">
        <v>38</v>
      </c>
      <c r="E70" s="60" t="s">
        <v>25</v>
      </c>
      <c r="F70" s="60" t="s">
        <v>25</v>
      </c>
      <c r="G70" s="60" t="s">
        <v>25</v>
      </c>
      <c r="H70" s="60" t="s">
        <v>25</v>
      </c>
      <c r="I70" s="67">
        <v>44501</v>
      </c>
      <c r="J70" s="68">
        <f ca="1">EFEITO!$J$70*EFEITO!$Y$70</f>
        <v>17278.175880066701</v>
      </c>
      <c r="K70" s="68">
        <f>EFEITO!$L$70*EFEITO!$Z$70</f>
        <v>0</v>
      </c>
      <c r="L70" s="68">
        <f>EFEITO!$N$70*EFEITO!$AA$70</f>
        <v>0</v>
      </c>
      <c r="M70" s="68">
        <f ca="1">$J$70-EFEITO!$K$70*EFEITO!$Y$70</f>
        <v>0</v>
      </c>
      <c r="N70" s="68">
        <f>$K$70-EFEITO!$M$70*EFEITO!$Z$70</f>
        <v>0</v>
      </c>
      <c r="O70" s="68">
        <f>$L$70-EFEITO!$O$70*EFEITO!$AA$70</f>
        <v>0</v>
      </c>
      <c r="P70" s="18"/>
      <c r="Q70" s="18"/>
      <c r="R70" s="18"/>
      <c r="S70" s="18"/>
      <c r="T70" s="18"/>
      <c r="U70" s="18"/>
      <c r="V70" s="18"/>
      <c r="W70" s="18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60" t="s">
        <v>27</v>
      </c>
      <c r="B71" s="60" t="s">
        <v>34</v>
      </c>
      <c r="C71" s="60" t="s">
        <v>35</v>
      </c>
      <c r="D71" s="60" t="s">
        <v>38</v>
      </c>
      <c r="E71" s="60" t="s">
        <v>25</v>
      </c>
      <c r="F71" s="60" t="s">
        <v>25</v>
      </c>
      <c r="G71" s="60" t="s">
        <v>25</v>
      </c>
      <c r="H71" s="60" t="s">
        <v>25</v>
      </c>
      <c r="I71" s="67">
        <v>44501</v>
      </c>
      <c r="J71" s="68">
        <f ca="1">EFEITO!$J$71*EFEITO!$Y$71</f>
        <v>3671.612374514174</v>
      </c>
      <c r="K71" s="68">
        <f>EFEITO!$L$71*EFEITO!$Z$71</f>
        <v>0</v>
      </c>
      <c r="L71" s="68">
        <f>EFEITO!$N$71*EFEITO!$AA$71</f>
        <v>0</v>
      </c>
      <c r="M71" s="68">
        <f ca="1">$J$71-EFEITO!$K$71*EFEITO!$Y$71</f>
        <v>0</v>
      </c>
      <c r="N71" s="68">
        <f>$K$71-EFEITO!$M$71*EFEITO!$Z$71</f>
        <v>0</v>
      </c>
      <c r="O71" s="68">
        <f>$L$71-EFEITO!$O$71*EFEITO!$AA$71</f>
        <v>0</v>
      </c>
      <c r="P71" s="18"/>
      <c r="Q71" s="18"/>
      <c r="R71" s="18"/>
      <c r="S71" s="18"/>
      <c r="T71" s="18"/>
      <c r="U71" s="18"/>
      <c r="V71" s="18"/>
      <c r="W71" s="18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60" t="s">
        <v>21</v>
      </c>
      <c r="B72" s="60" t="s">
        <v>34</v>
      </c>
      <c r="C72" s="60" t="s">
        <v>35</v>
      </c>
      <c r="D72" s="60" t="s">
        <v>38</v>
      </c>
      <c r="E72" s="60" t="s">
        <v>25</v>
      </c>
      <c r="F72" s="60" t="s">
        <v>25</v>
      </c>
      <c r="G72" s="60" t="s">
        <v>25</v>
      </c>
      <c r="H72" s="60" t="s">
        <v>25</v>
      </c>
      <c r="I72" s="67">
        <v>44531</v>
      </c>
      <c r="J72" s="68">
        <f ca="1">EFEITO!$J$72*EFEITO!$Y$72</f>
        <v>17474.518787794732</v>
      </c>
      <c r="K72" s="68">
        <f>EFEITO!$L$72*EFEITO!$Z$72</f>
        <v>0</v>
      </c>
      <c r="L72" s="68">
        <f>EFEITO!$N$72*EFEITO!$AA$72</f>
        <v>0</v>
      </c>
      <c r="M72" s="68">
        <f ca="1">$J$72-EFEITO!$K$72*EFEITO!$Y$72</f>
        <v>0</v>
      </c>
      <c r="N72" s="68">
        <f>$K$72-EFEITO!$M$72*EFEITO!$Z$72</f>
        <v>0</v>
      </c>
      <c r="O72" s="68">
        <f>$L$72-EFEITO!$O$72*EFEITO!$AA$72</f>
        <v>0</v>
      </c>
      <c r="P72" s="18"/>
      <c r="Q72" s="18"/>
      <c r="R72" s="18"/>
      <c r="S72" s="18"/>
      <c r="T72" s="18"/>
      <c r="U72" s="18"/>
      <c r="V72" s="18"/>
      <c r="W72" s="18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60" t="s">
        <v>27</v>
      </c>
      <c r="B73" s="60" t="s">
        <v>34</v>
      </c>
      <c r="C73" s="60" t="s">
        <v>35</v>
      </c>
      <c r="D73" s="60" t="s">
        <v>38</v>
      </c>
      <c r="E73" s="60" t="s">
        <v>25</v>
      </c>
      <c r="F73" s="60" t="s">
        <v>25</v>
      </c>
      <c r="G73" s="60" t="s">
        <v>25</v>
      </c>
      <c r="H73" s="60" t="s">
        <v>25</v>
      </c>
      <c r="I73" s="67">
        <v>44531</v>
      </c>
      <c r="J73" s="68">
        <f ca="1">EFEITO!$J$73*EFEITO!$Y$73</f>
        <v>2945.1436159204604</v>
      </c>
      <c r="K73" s="68">
        <f>EFEITO!$L$73*EFEITO!$Z$73</f>
        <v>0</v>
      </c>
      <c r="L73" s="68">
        <f>EFEITO!$N$73*EFEITO!$AA$73</f>
        <v>0</v>
      </c>
      <c r="M73" s="68">
        <f ca="1">$J$73-EFEITO!$K$73*EFEITO!$Y$73</f>
        <v>0</v>
      </c>
      <c r="N73" s="68">
        <f>$K$73-EFEITO!$M$73*EFEITO!$Z$73</f>
        <v>0</v>
      </c>
      <c r="O73" s="68">
        <f>$L$73-EFEITO!$O$73*EFEITO!$AA$73</f>
        <v>0</v>
      </c>
      <c r="P73" s="18"/>
      <c r="Q73" s="18"/>
      <c r="R73" s="18"/>
      <c r="S73" s="18"/>
      <c r="T73" s="18"/>
      <c r="U73" s="18"/>
      <c r="V73" s="18"/>
      <c r="W73" s="18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60" t="s">
        <v>21</v>
      </c>
      <c r="B74" s="60" t="s">
        <v>34</v>
      </c>
      <c r="C74" s="60" t="s">
        <v>35</v>
      </c>
      <c r="D74" s="60" t="s">
        <v>38</v>
      </c>
      <c r="E74" s="60" t="s">
        <v>25</v>
      </c>
      <c r="F74" s="60" t="s">
        <v>25</v>
      </c>
      <c r="G74" s="60" t="s">
        <v>25</v>
      </c>
      <c r="H74" s="60" t="s">
        <v>25</v>
      </c>
      <c r="I74" s="67">
        <v>44562</v>
      </c>
      <c r="J74" s="68">
        <f ca="1">EFEITO!$J$74*EFEITO!$Y$74</f>
        <v>18318.793291025264</v>
      </c>
      <c r="K74" s="68">
        <f>EFEITO!$L$74*EFEITO!$Z$74</f>
        <v>0</v>
      </c>
      <c r="L74" s="68">
        <f>EFEITO!$N$74*EFEITO!$AA$74</f>
        <v>0</v>
      </c>
      <c r="M74" s="68">
        <f ca="1">$J$74-EFEITO!$K$74*EFEITO!$Y$74</f>
        <v>0</v>
      </c>
      <c r="N74" s="68">
        <f>$K$74-EFEITO!$M$74*EFEITO!$Z$74</f>
        <v>0</v>
      </c>
      <c r="O74" s="68">
        <f>$L$74-EFEITO!$O$74*EFEITO!$AA$74</f>
        <v>0</v>
      </c>
      <c r="P74" s="18"/>
      <c r="Q74" s="18"/>
      <c r="R74" s="18"/>
      <c r="S74" s="18"/>
      <c r="T74" s="18"/>
      <c r="U74" s="18"/>
      <c r="V74" s="18"/>
      <c r="W74" s="18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60" t="s">
        <v>27</v>
      </c>
      <c r="B75" s="60" t="s">
        <v>34</v>
      </c>
      <c r="C75" s="60" t="s">
        <v>35</v>
      </c>
      <c r="D75" s="60" t="s">
        <v>38</v>
      </c>
      <c r="E75" s="60" t="s">
        <v>25</v>
      </c>
      <c r="F75" s="60" t="s">
        <v>25</v>
      </c>
      <c r="G75" s="60" t="s">
        <v>25</v>
      </c>
      <c r="H75" s="60" t="s">
        <v>25</v>
      </c>
      <c r="I75" s="67">
        <v>44562</v>
      </c>
      <c r="J75" s="68">
        <f ca="1">EFEITO!$J$75*EFEITO!$Y$75</f>
        <v>2945.1436159204604</v>
      </c>
      <c r="K75" s="68">
        <f>EFEITO!$L$75*EFEITO!$Z$75</f>
        <v>0</v>
      </c>
      <c r="L75" s="68">
        <f>EFEITO!$N$75*EFEITO!$AA$75</f>
        <v>0</v>
      </c>
      <c r="M75" s="68">
        <f ca="1">$J$75-EFEITO!$K$75*EFEITO!$Y$75</f>
        <v>0</v>
      </c>
      <c r="N75" s="68">
        <f>$K$75-EFEITO!$M$75*EFEITO!$Z$75</f>
        <v>0</v>
      </c>
      <c r="O75" s="68">
        <f>$L$75-EFEITO!$O$75*EFEITO!$AA$75</f>
        <v>0</v>
      </c>
      <c r="P75" s="18"/>
      <c r="Q75" s="18"/>
      <c r="R75" s="18"/>
      <c r="S75" s="18"/>
      <c r="T75" s="18"/>
      <c r="U75" s="18"/>
      <c r="V75" s="18"/>
      <c r="W75" s="18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60" t="s">
        <v>21</v>
      </c>
      <c r="B76" s="60" t="s">
        <v>34</v>
      </c>
      <c r="C76" s="60" t="s">
        <v>35</v>
      </c>
      <c r="D76" s="60" t="s">
        <v>38</v>
      </c>
      <c r="E76" s="60" t="s">
        <v>25</v>
      </c>
      <c r="F76" s="60" t="s">
        <v>25</v>
      </c>
      <c r="G76" s="60" t="s">
        <v>25</v>
      </c>
      <c r="H76" s="60" t="s">
        <v>25</v>
      </c>
      <c r="I76" s="67">
        <v>44593</v>
      </c>
      <c r="J76" s="68">
        <f ca="1">EFEITO!$J$76*EFEITO!$Y$76</f>
        <v>17494.153078567535</v>
      </c>
      <c r="K76" s="68">
        <f>EFEITO!$L$76*EFEITO!$Z$76</f>
        <v>0</v>
      </c>
      <c r="L76" s="68">
        <f>EFEITO!$N$76*EFEITO!$AA$76</f>
        <v>0</v>
      </c>
      <c r="M76" s="68">
        <f ca="1">$J$76-EFEITO!$K$76*EFEITO!$Y$76</f>
        <v>0</v>
      </c>
      <c r="N76" s="68">
        <f>$K$76-EFEITO!$M$76*EFEITO!$Z$76</f>
        <v>0</v>
      </c>
      <c r="O76" s="68">
        <f>$L$76-EFEITO!$O$76*EFEITO!$AA$76</f>
        <v>0</v>
      </c>
      <c r="P76" s="18"/>
      <c r="Q76" s="18"/>
      <c r="R76" s="18"/>
      <c r="S76" s="18"/>
      <c r="T76" s="18"/>
      <c r="U76" s="18"/>
      <c r="V76" s="18"/>
      <c r="W76" s="18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60" t="s">
        <v>27</v>
      </c>
      <c r="B77" s="60" t="s">
        <v>34</v>
      </c>
      <c r="C77" s="60" t="s">
        <v>35</v>
      </c>
      <c r="D77" s="60" t="s">
        <v>38</v>
      </c>
      <c r="E77" s="60" t="s">
        <v>25</v>
      </c>
      <c r="F77" s="60" t="s">
        <v>25</v>
      </c>
      <c r="G77" s="60" t="s">
        <v>25</v>
      </c>
      <c r="H77" s="60" t="s">
        <v>25</v>
      </c>
      <c r="I77" s="67">
        <v>44593</v>
      </c>
      <c r="J77" s="68">
        <f ca="1">EFEITO!$J$77*EFEITO!$Y$77</f>
        <v>3750.1495376053863</v>
      </c>
      <c r="K77" s="68">
        <f>EFEITO!$L$77*EFEITO!$Z$77</f>
        <v>0</v>
      </c>
      <c r="L77" s="68">
        <f>EFEITO!$N$77*EFEITO!$AA$77</f>
        <v>0</v>
      </c>
      <c r="M77" s="68">
        <f ca="1">$J$77-EFEITO!$K$77*EFEITO!$Y$77</f>
        <v>0</v>
      </c>
      <c r="N77" s="68">
        <f>$K$77-EFEITO!$M$77*EFEITO!$Z$77</f>
        <v>0</v>
      </c>
      <c r="O77" s="68">
        <f>$L$77-EFEITO!$O$77*EFEITO!$AA$77</f>
        <v>0</v>
      </c>
      <c r="P77" s="18"/>
      <c r="Q77" s="18"/>
      <c r="R77" s="18"/>
      <c r="S77" s="18"/>
      <c r="T77" s="18"/>
      <c r="U77" s="18"/>
      <c r="V77" s="18"/>
      <c r="W77" s="18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60" t="s">
        <v>21</v>
      </c>
      <c r="B78" s="60" t="s">
        <v>34</v>
      </c>
      <c r="C78" s="60" t="s">
        <v>35</v>
      </c>
      <c r="D78" s="60" t="s">
        <v>38</v>
      </c>
      <c r="E78" s="60" t="s">
        <v>25</v>
      </c>
      <c r="F78" s="60" t="s">
        <v>25</v>
      </c>
      <c r="G78" s="60" t="s">
        <v>25</v>
      </c>
      <c r="H78" s="60" t="s">
        <v>25</v>
      </c>
      <c r="I78" s="67">
        <v>44621</v>
      </c>
      <c r="J78" s="68">
        <f ca="1">EFEITO!$J$78*EFEITO!$Y$78</f>
        <v>17317.444461612307</v>
      </c>
      <c r="K78" s="68">
        <f>EFEITO!$L$78*EFEITO!$Z$78</f>
        <v>0</v>
      </c>
      <c r="L78" s="68">
        <f>EFEITO!$N$78*EFEITO!$AA$78</f>
        <v>0</v>
      </c>
      <c r="M78" s="68">
        <f ca="1">$J$78-EFEITO!$K$78*EFEITO!$Y$78</f>
        <v>0</v>
      </c>
      <c r="N78" s="68">
        <f>$K$78-EFEITO!$M$78*EFEITO!$Z$78</f>
        <v>0</v>
      </c>
      <c r="O78" s="68">
        <f>$L$78-EFEITO!$O$78*EFEITO!$AA$78</f>
        <v>0</v>
      </c>
      <c r="P78" s="18"/>
      <c r="Q78" s="18"/>
      <c r="R78" s="18"/>
      <c r="S78" s="18"/>
      <c r="T78" s="18"/>
      <c r="U78" s="18"/>
      <c r="V78" s="18"/>
      <c r="W78" s="18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60" t="s">
        <v>27</v>
      </c>
      <c r="B79" s="60" t="s">
        <v>34</v>
      </c>
      <c r="C79" s="60" t="s">
        <v>35</v>
      </c>
      <c r="D79" s="60" t="s">
        <v>38</v>
      </c>
      <c r="E79" s="60" t="s">
        <v>25</v>
      </c>
      <c r="F79" s="60" t="s">
        <v>25</v>
      </c>
      <c r="G79" s="60" t="s">
        <v>25</v>
      </c>
      <c r="H79" s="60" t="s">
        <v>25</v>
      </c>
      <c r="I79" s="67">
        <v>44621</v>
      </c>
      <c r="J79" s="68">
        <f ca="1">EFEITO!$J$79*EFEITO!$Y$79</f>
        <v>3043.3150697844758</v>
      </c>
      <c r="K79" s="68">
        <f>EFEITO!$L$79*EFEITO!$Z$79</f>
        <v>0</v>
      </c>
      <c r="L79" s="68">
        <f>EFEITO!$N$79*EFEITO!$AA$79</f>
        <v>0</v>
      </c>
      <c r="M79" s="68">
        <f ca="1">$J$79-EFEITO!$K$79*EFEITO!$Y$79</f>
        <v>0</v>
      </c>
      <c r="N79" s="68">
        <f>$K$79-EFEITO!$M$79*EFEITO!$Z$79</f>
        <v>0</v>
      </c>
      <c r="O79" s="68">
        <f>$L$79-EFEITO!$O$79*EFEITO!$AA$79</f>
        <v>0</v>
      </c>
      <c r="P79" s="18"/>
      <c r="Q79" s="18"/>
      <c r="R79" s="18"/>
      <c r="S79" s="18"/>
      <c r="T79" s="18"/>
      <c r="U79" s="18"/>
      <c r="V79" s="18"/>
      <c r="W79" s="18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60" t="s">
        <v>21</v>
      </c>
      <c r="B80" s="60" t="s">
        <v>34</v>
      </c>
      <c r="C80" s="60" t="s">
        <v>35</v>
      </c>
      <c r="D80" s="60" t="s">
        <v>38</v>
      </c>
      <c r="E80" s="60" t="s">
        <v>25</v>
      </c>
      <c r="F80" s="60" t="s">
        <v>25</v>
      </c>
      <c r="G80" s="60" t="s">
        <v>25</v>
      </c>
      <c r="H80" s="60" t="s">
        <v>25</v>
      </c>
      <c r="I80" s="67">
        <v>44652</v>
      </c>
      <c r="J80" s="68">
        <f ca="1">EFEITO!$J$80*EFEITO!$Y$80</f>
        <v>17415.615915476323</v>
      </c>
      <c r="K80" s="68">
        <f>EFEITO!$L$80*EFEITO!$Z$80</f>
        <v>0</v>
      </c>
      <c r="L80" s="68">
        <f>EFEITO!$N$80*EFEITO!$AA$80</f>
        <v>0</v>
      </c>
      <c r="M80" s="68">
        <f ca="1">$J$80-EFEITO!$K$80*EFEITO!$Y$80</f>
        <v>0</v>
      </c>
      <c r="N80" s="68">
        <f>$K$80-EFEITO!$M$80*EFEITO!$Z$80</f>
        <v>0</v>
      </c>
      <c r="O80" s="68">
        <f>$L$80-EFEITO!$O$80*EFEITO!$AA$80</f>
        <v>0</v>
      </c>
      <c r="P80" s="18"/>
      <c r="Q80" s="18"/>
      <c r="R80" s="18"/>
      <c r="S80" s="18"/>
      <c r="T80" s="18"/>
      <c r="U80" s="18"/>
      <c r="V80" s="18"/>
      <c r="W80" s="18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60" t="s">
        <v>27</v>
      </c>
      <c r="B81" s="60" t="s">
        <v>34</v>
      </c>
      <c r="C81" s="60" t="s">
        <v>35</v>
      </c>
      <c r="D81" s="60" t="s">
        <v>38</v>
      </c>
      <c r="E81" s="60" t="s">
        <v>25</v>
      </c>
      <c r="F81" s="60" t="s">
        <v>25</v>
      </c>
      <c r="G81" s="60" t="s">
        <v>25</v>
      </c>
      <c r="H81" s="60" t="s">
        <v>25</v>
      </c>
      <c r="I81" s="67">
        <v>44652</v>
      </c>
      <c r="J81" s="68">
        <f ca="1">EFEITO!$J$81*EFEITO!$Y$81</f>
        <v>3907.2238637878108</v>
      </c>
      <c r="K81" s="68">
        <f>EFEITO!$L$81*EFEITO!$Z$81</f>
        <v>0</v>
      </c>
      <c r="L81" s="68">
        <f>EFEITO!$N$81*EFEITO!$AA$81</f>
        <v>0</v>
      </c>
      <c r="M81" s="68">
        <f ca="1">$J$81-EFEITO!$K$81*EFEITO!$Y$81</f>
        <v>0</v>
      </c>
      <c r="N81" s="68">
        <f>$K$81-EFEITO!$M$81*EFEITO!$Z$81</f>
        <v>0</v>
      </c>
      <c r="O81" s="68">
        <f>$L$81-EFEITO!$O$81*EFEITO!$AA$81</f>
        <v>0</v>
      </c>
      <c r="P81" s="18"/>
      <c r="Q81" s="18"/>
      <c r="R81" s="18"/>
      <c r="S81" s="18"/>
      <c r="T81" s="18"/>
      <c r="U81" s="18"/>
      <c r="V81" s="18"/>
      <c r="W81" s="18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60" t="s">
        <v>21</v>
      </c>
      <c r="B82" s="60" t="s">
        <v>34</v>
      </c>
      <c r="C82" s="60" t="s">
        <v>35</v>
      </c>
      <c r="D82" s="60" t="s">
        <v>38</v>
      </c>
      <c r="E82" s="60" t="s">
        <v>25</v>
      </c>
      <c r="F82" s="60" t="s">
        <v>25</v>
      </c>
      <c r="G82" s="60" t="s">
        <v>25</v>
      </c>
      <c r="H82" s="60" t="s">
        <v>25</v>
      </c>
      <c r="I82" s="67">
        <v>44682</v>
      </c>
      <c r="J82" s="68">
        <f ca="1">EFEITO!$J$82*EFEITO!$Y$82</f>
        <v>17415.615915476323</v>
      </c>
      <c r="K82" s="68">
        <f>EFEITO!$L$82*EFEITO!$Z$82</f>
        <v>0</v>
      </c>
      <c r="L82" s="68">
        <f>EFEITO!$N$82*EFEITO!$AA$82</f>
        <v>0</v>
      </c>
      <c r="M82" s="68">
        <f ca="1">$J$82-EFEITO!$K$82*EFEITO!$Y$82</f>
        <v>0</v>
      </c>
      <c r="N82" s="68">
        <f>$K$82-EFEITO!$M$82*EFEITO!$Z$82</f>
        <v>0</v>
      </c>
      <c r="O82" s="68">
        <f>$L$82-EFEITO!$O$82*EFEITO!$AA$82</f>
        <v>0</v>
      </c>
      <c r="P82" s="18"/>
      <c r="Q82" s="18"/>
      <c r="R82" s="18"/>
      <c r="S82" s="18"/>
      <c r="T82" s="18"/>
      <c r="U82" s="18"/>
      <c r="V82" s="18"/>
      <c r="W82" s="18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60" t="s">
        <v>27</v>
      </c>
      <c r="B83" s="60" t="s">
        <v>34</v>
      </c>
      <c r="C83" s="60" t="s">
        <v>35</v>
      </c>
      <c r="D83" s="60" t="s">
        <v>38</v>
      </c>
      <c r="E83" s="60" t="s">
        <v>25</v>
      </c>
      <c r="F83" s="60" t="s">
        <v>25</v>
      </c>
      <c r="G83" s="60" t="s">
        <v>25</v>
      </c>
      <c r="H83" s="60" t="s">
        <v>25</v>
      </c>
      <c r="I83" s="67">
        <v>44682</v>
      </c>
      <c r="J83" s="68">
        <f ca="1">EFEITO!$J$83*EFEITO!$Y$83</f>
        <v>3553.8066298773556</v>
      </c>
      <c r="K83" s="68">
        <f>EFEITO!$L$83*EFEITO!$Z$83</f>
        <v>0</v>
      </c>
      <c r="L83" s="68">
        <f>EFEITO!$N$83*EFEITO!$AA$83</f>
        <v>0</v>
      </c>
      <c r="M83" s="68">
        <f ca="1">$J$83-EFEITO!$K$83*EFEITO!$Y$83</f>
        <v>0</v>
      </c>
      <c r="N83" s="68">
        <f>$K$83-EFEITO!$M$83*EFEITO!$Z$83</f>
        <v>0</v>
      </c>
      <c r="O83" s="68">
        <f>$L$83-EFEITO!$O$83*EFEITO!$AA$83</f>
        <v>0</v>
      </c>
      <c r="P83" s="18"/>
      <c r="Q83" s="18"/>
      <c r="R83" s="18"/>
      <c r="S83" s="18"/>
      <c r="T83" s="18"/>
      <c r="U83" s="18"/>
      <c r="V83" s="18"/>
      <c r="W83" s="18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60" t="s">
        <v>21</v>
      </c>
      <c r="B84" s="60" t="s">
        <v>34</v>
      </c>
      <c r="C84" s="60" t="s">
        <v>35</v>
      </c>
      <c r="D84" s="60" t="s">
        <v>38</v>
      </c>
      <c r="E84" s="60" t="s">
        <v>25</v>
      </c>
      <c r="F84" s="60" t="s">
        <v>25</v>
      </c>
      <c r="G84" s="60" t="s">
        <v>25</v>
      </c>
      <c r="H84" s="60" t="s">
        <v>25</v>
      </c>
      <c r="I84" s="67">
        <v>44713</v>
      </c>
      <c r="J84" s="68">
        <f ca="1">EFEITO!$J$84*EFEITO!$Y$84</f>
        <v>17415.615915476323</v>
      </c>
      <c r="K84" s="68">
        <f>EFEITO!$L$84*EFEITO!$Z$84</f>
        <v>0</v>
      </c>
      <c r="L84" s="68">
        <f>EFEITO!$N$84*EFEITO!$AA$84</f>
        <v>0</v>
      </c>
      <c r="M84" s="68">
        <f ca="1">$J$84-EFEITO!$K$84*EFEITO!$Y$84</f>
        <v>0</v>
      </c>
      <c r="N84" s="68">
        <f>$K$84-EFEITO!$M$84*EFEITO!$Z$84</f>
        <v>0</v>
      </c>
      <c r="O84" s="68">
        <f>$L$84-EFEITO!$O$84*EFEITO!$AA$84</f>
        <v>0</v>
      </c>
      <c r="P84" s="18"/>
      <c r="Q84" s="18"/>
      <c r="R84" s="18"/>
      <c r="S84" s="18"/>
      <c r="T84" s="18"/>
      <c r="U84" s="18"/>
      <c r="V84" s="18"/>
      <c r="W84" s="18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60" t="s">
        <v>27</v>
      </c>
      <c r="B85" s="60" t="s">
        <v>34</v>
      </c>
      <c r="C85" s="60" t="s">
        <v>35</v>
      </c>
      <c r="D85" s="60" t="s">
        <v>38</v>
      </c>
      <c r="E85" s="60" t="s">
        <v>25</v>
      </c>
      <c r="F85" s="60" t="s">
        <v>25</v>
      </c>
      <c r="G85" s="60" t="s">
        <v>25</v>
      </c>
      <c r="H85" s="60" t="s">
        <v>25</v>
      </c>
      <c r="I85" s="67">
        <v>44713</v>
      </c>
      <c r="J85" s="68">
        <f ca="1">EFEITO!$J$85*EFEITO!$Y$85</f>
        <v>2945.1436159204604</v>
      </c>
      <c r="K85" s="68">
        <f>EFEITO!$L$85*EFEITO!$Z$85</f>
        <v>0</v>
      </c>
      <c r="L85" s="68">
        <f>EFEITO!$N$85*EFEITO!$AA$85</f>
        <v>0</v>
      </c>
      <c r="M85" s="68">
        <f ca="1">$J$85-EFEITO!$K$85*EFEITO!$Y$85</f>
        <v>0</v>
      </c>
      <c r="N85" s="68">
        <f>$K$85-EFEITO!$M$85*EFEITO!$Z$85</f>
        <v>0</v>
      </c>
      <c r="O85" s="68">
        <f>$L$85-EFEITO!$O$85*EFEITO!$AA$85</f>
        <v>0</v>
      </c>
      <c r="P85" s="18"/>
      <c r="Q85" s="18"/>
      <c r="R85" s="18"/>
      <c r="S85" s="18"/>
      <c r="T85" s="18"/>
      <c r="U85" s="18"/>
      <c r="V85" s="18"/>
      <c r="W85" s="18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60" t="s">
        <v>21</v>
      </c>
      <c r="B86" s="60" t="s">
        <v>34</v>
      </c>
      <c r="C86" s="60" t="s">
        <v>35</v>
      </c>
      <c r="D86" s="60" t="s">
        <v>38</v>
      </c>
      <c r="E86" s="60" t="s">
        <v>25</v>
      </c>
      <c r="F86" s="60" t="s">
        <v>25</v>
      </c>
      <c r="G86" s="60" t="s">
        <v>25</v>
      </c>
      <c r="H86" s="60" t="s">
        <v>36</v>
      </c>
      <c r="I86" s="67">
        <v>44378</v>
      </c>
      <c r="J86" s="68">
        <f>EFEITO!$J$86*EFEITO!$Y$86</f>
        <v>0</v>
      </c>
      <c r="K86" s="68">
        <f ca="1">EFEITO!$L$86*EFEITO!$Z$86</f>
        <v>15781.145238187482</v>
      </c>
      <c r="L86" s="68">
        <f>EFEITO!$N$86*EFEITO!$AA$86</f>
        <v>5681.95362414185</v>
      </c>
      <c r="M86" s="68">
        <f>$J$86-EFEITO!$K$86*EFEITO!$Y$86</f>
        <v>0</v>
      </c>
      <c r="N86" s="68">
        <f ca="1">$K$86-EFEITO!$M$86*EFEITO!$Z$86</f>
        <v>0</v>
      </c>
      <c r="O86" s="68">
        <f>$L$86-EFEITO!$O$86*EFEITO!$AA$86</f>
        <v>0</v>
      </c>
      <c r="P86" s="18"/>
      <c r="Q86" s="18"/>
      <c r="R86" s="18"/>
      <c r="S86" s="18"/>
      <c r="T86" s="18"/>
      <c r="U86" s="18"/>
      <c r="V86" s="18"/>
      <c r="W86" s="18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60" t="s">
        <v>27</v>
      </c>
      <c r="B87" s="60" t="s">
        <v>34</v>
      </c>
      <c r="C87" s="60" t="s">
        <v>35</v>
      </c>
      <c r="D87" s="60" t="s">
        <v>38</v>
      </c>
      <c r="E87" s="60" t="s">
        <v>25</v>
      </c>
      <c r="F87" s="60" t="s">
        <v>25</v>
      </c>
      <c r="G87" s="60" t="s">
        <v>25</v>
      </c>
      <c r="H87" s="60" t="s">
        <v>36</v>
      </c>
      <c r="I87" s="67">
        <v>44378</v>
      </c>
      <c r="J87" s="68">
        <f>EFEITO!$J$87*EFEITO!$Y$87</f>
        <v>0</v>
      </c>
      <c r="K87" s="68">
        <f ca="1">EFEITO!$L$87*EFEITO!$Z$87</f>
        <v>1579.2743336108736</v>
      </c>
      <c r="L87" s="68">
        <f>EFEITO!$N$87*EFEITO!$AA$87</f>
        <v>568.61294842281859</v>
      </c>
      <c r="M87" s="68">
        <f>$J$87-EFEITO!$K$87*EFEITO!$Y$87</f>
        <v>0</v>
      </c>
      <c r="N87" s="68">
        <f ca="1">$K$87-EFEITO!$M$87*EFEITO!$Z$87</f>
        <v>0</v>
      </c>
      <c r="O87" s="68">
        <f>$L$87-EFEITO!$O$87*EFEITO!$AA$87</f>
        <v>0</v>
      </c>
      <c r="P87" s="18"/>
      <c r="Q87" s="18"/>
      <c r="R87" s="18"/>
      <c r="S87" s="18"/>
      <c r="T87" s="18"/>
      <c r="U87" s="18"/>
      <c r="V87" s="18"/>
      <c r="W87" s="18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60" t="s">
        <v>21</v>
      </c>
      <c r="B88" s="60" t="s">
        <v>34</v>
      </c>
      <c r="C88" s="60" t="s">
        <v>35</v>
      </c>
      <c r="D88" s="60" t="s">
        <v>38</v>
      </c>
      <c r="E88" s="60" t="s">
        <v>25</v>
      </c>
      <c r="F88" s="60" t="s">
        <v>25</v>
      </c>
      <c r="G88" s="60" t="s">
        <v>25</v>
      </c>
      <c r="H88" s="60" t="s">
        <v>36</v>
      </c>
      <c r="I88" s="67">
        <v>44409</v>
      </c>
      <c r="J88" s="68">
        <f>EFEITO!$J$88*EFEITO!$Y$88</f>
        <v>0</v>
      </c>
      <c r="K88" s="68">
        <f ca="1">EFEITO!$L$88*EFEITO!$Z$88</f>
        <v>15747.317452583822</v>
      </c>
      <c r="L88" s="68">
        <f>EFEITO!$N$88*EFEITO!$AA$88</f>
        <v>5669.7740322233685</v>
      </c>
      <c r="M88" s="68">
        <f>$J$88-EFEITO!$K$88*EFEITO!$Y$88</f>
        <v>0</v>
      </c>
      <c r="N88" s="68">
        <f ca="1">$K$88-EFEITO!$M$88*EFEITO!$Z$88</f>
        <v>0</v>
      </c>
      <c r="O88" s="68">
        <f>$L$88-EFEITO!$O$88*EFEITO!$AA$88</f>
        <v>0</v>
      </c>
      <c r="P88" s="18"/>
      <c r="Q88" s="18"/>
      <c r="R88" s="18"/>
      <c r="S88" s="18"/>
      <c r="T88" s="18"/>
      <c r="U88" s="18"/>
      <c r="V88" s="18"/>
      <c r="W88" s="18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60" t="s">
        <v>27</v>
      </c>
      <c r="B89" s="60" t="s">
        <v>34</v>
      </c>
      <c r="C89" s="60" t="s">
        <v>35</v>
      </c>
      <c r="D89" s="60" t="s">
        <v>38</v>
      </c>
      <c r="E89" s="60" t="s">
        <v>25</v>
      </c>
      <c r="F89" s="60" t="s">
        <v>25</v>
      </c>
      <c r="G89" s="60" t="s">
        <v>25</v>
      </c>
      <c r="H89" s="60" t="s">
        <v>36</v>
      </c>
      <c r="I89" s="67">
        <v>44409</v>
      </c>
      <c r="J89" s="68">
        <f>EFEITO!$J$89*EFEITO!$Y$89</f>
        <v>0</v>
      </c>
      <c r="K89" s="68">
        <f ca="1">EFEITO!$L$89*EFEITO!$Z$89</f>
        <v>1151.1112186845476</v>
      </c>
      <c r="L89" s="68">
        <f>EFEITO!$N$89*EFEITO!$AA$89</f>
        <v>414.45411356889662</v>
      </c>
      <c r="M89" s="68">
        <f>$J$89-EFEITO!$K$89*EFEITO!$Y$89</f>
        <v>0</v>
      </c>
      <c r="N89" s="68">
        <f ca="1">$K$89-EFEITO!$M$89*EFEITO!$Z$89</f>
        <v>0</v>
      </c>
      <c r="O89" s="68">
        <f>$L$89-EFEITO!$O$89*EFEITO!$AA$89</f>
        <v>0</v>
      </c>
      <c r="P89" s="18"/>
      <c r="Q89" s="18"/>
      <c r="R89" s="18"/>
      <c r="S89" s="18"/>
      <c r="T89" s="18"/>
      <c r="U89" s="18"/>
      <c r="V89" s="18"/>
      <c r="W89" s="18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60" t="s">
        <v>21</v>
      </c>
      <c r="B90" s="60" t="s">
        <v>34</v>
      </c>
      <c r="C90" s="60" t="s">
        <v>35</v>
      </c>
      <c r="D90" s="60" t="s">
        <v>38</v>
      </c>
      <c r="E90" s="60" t="s">
        <v>25</v>
      </c>
      <c r="F90" s="60" t="s">
        <v>25</v>
      </c>
      <c r="G90" s="60" t="s">
        <v>25</v>
      </c>
      <c r="H90" s="60" t="s">
        <v>36</v>
      </c>
      <c r="I90" s="67">
        <v>44440</v>
      </c>
      <c r="J90" s="68">
        <f>EFEITO!$J$90*EFEITO!$Y$90</f>
        <v>0</v>
      </c>
      <c r="K90" s="68">
        <f ca="1">EFEITO!$L$90*EFEITO!$Z$90</f>
        <v>15504.723904397577</v>
      </c>
      <c r="L90" s="68">
        <f>EFEITO!$N$90*EFEITO!$AA$90</f>
        <v>5582.428958750831</v>
      </c>
      <c r="M90" s="68">
        <f>$J$90-EFEITO!$K$90*EFEITO!$Y$90</f>
        <v>0</v>
      </c>
      <c r="N90" s="68">
        <f ca="1">$K$90-EFEITO!$M$90*EFEITO!$Z$90</f>
        <v>0</v>
      </c>
      <c r="O90" s="68">
        <f>$L$90-EFEITO!$O$90*EFEITO!$AA$90</f>
        <v>0</v>
      </c>
      <c r="P90" s="18"/>
      <c r="Q90" s="18"/>
      <c r="R90" s="18"/>
      <c r="S90" s="18"/>
      <c r="T90" s="18"/>
      <c r="U90" s="18"/>
      <c r="V90" s="18"/>
      <c r="W90" s="18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60" t="s">
        <v>27</v>
      </c>
      <c r="B91" s="60" t="s">
        <v>34</v>
      </c>
      <c r="C91" s="60" t="s">
        <v>35</v>
      </c>
      <c r="D91" s="60" t="s">
        <v>38</v>
      </c>
      <c r="E91" s="60" t="s">
        <v>25</v>
      </c>
      <c r="F91" s="60" t="s">
        <v>25</v>
      </c>
      <c r="G91" s="60" t="s">
        <v>25</v>
      </c>
      <c r="H91" s="60" t="s">
        <v>36</v>
      </c>
      <c r="I91" s="67">
        <v>44440</v>
      </c>
      <c r="J91" s="68">
        <f>EFEITO!$J$91*EFEITO!$Y$91</f>
        <v>0</v>
      </c>
      <c r="K91" s="68">
        <f ca="1">EFEITO!$L$91*EFEITO!$Z$91</f>
        <v>940.41243978175044</v>
      </c>
      <c r="L91" s="68">
        <f>EFEITO!$N$91*EFEITO!$AA$91</f>
        <v>338.59265533378368</v>
      </c>
      <c r="M91" s="68">
        <f>$J$91-EFEITO!$K$91*EFEITO!$Y$91</f>
        <v>0</v>
      </c>
      <c r="N91" s="68">
        <f ca="1">$K$91-EFEITO!$M$91*EFEITO!$Z$91</f>
        <v>0</v>
      </c>
      <c r="O91" s="68">
        <f>$L$91-EFEITO!$O$91*EFEITO!$AA$91</f>
        <v>0</v>
      </c>
      <c r="P91" s="18"/>
      <c r="Q91" s="18"/>
      <c r="R91" s="18"/>
      <c r="S91" s="18"/>
      <c r="T91" s="18"/>
      <c r="U91" s="18"/>
      <c r="V91" s="18"/>
      <c r="W91" s="18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60" t="s">
        <v>21</v>
      </c>
      <c r="B92" s="60" t="s">
        <v>34</v>
      </c>
      <c r="C92" s="60" t="s">
        <v>35</v>
      </c>
      <c r="D92" s="60" t="s">
        <v>38</v>
      </c>
      <c r="E92" s="60" t="s">
        <v>25</v>
      </c>
      <c r="F92" s="60" t="s">
        <v>25</v>
      </c>
      <c r="G92" s="60" t="s">
        <v>25</v>
      </c>
      <c r="H92" s="60" t="s">
        <v>36</v>
      </c>
      <c r="I92" s="67">
        <v>44470</v>
      </c>
      <c r="J92" s="68">
        <f>EFEITO!$J$92*EFEITO!$Y$92</f>
        <v>0</v>
      </c>
      <c r="K92" s="68">
        <f ca="1">EFEITO!$L$92*EFEITO!$Z$92</f>
        <v>15059.163642589365</v>
      </c>
      <c r="L92" s="68">
        <f>EFEITO!$N$92*EFEITO!$AA$92</f>
        <v>5422.0063337674037</v>
      </c>
      <c r="M92" s="68">
        <f>$J$92-EFEITO!$K$92*EFEITO!$Y$92</f>
        <v>0</v>
      </c>
      <c r="N92" s="68">
        <f ca="1">$K$92-EFEITO!$M$92*EFEITO!$Z$92</f>
        <v>0</v>
      </c>
      <c r="O92" s="68">
        <f>$L$92-EFEITO!$O$92*EFEITO!$AA$92</f>
        <v>0</v>
      </c>
      <c r="P92" s="18"/>
      <c r="Q92" s="18"/>
      <c r="R92" s="18"/>
      <c r="S92" s="18"/>
      <c r="T92" s="18"/>
      <c r="U92" s="18"/>
      <c r="V92" s="18"/>
      <c r="W92" s="18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60" t="s">
        <v>27</v>
      </c>
      <c r="B93" s="60" t="s">
        <v>34</v>
      </c>
      <c r="C93" s="60" t="s">
        <v>35</v>
      </c>
      <c r="D93" s="60" t="s">
        <v>38</v>
      </c>
      <c r="E93" s="60" t="s">
        <v>25</v>
      </c>
      <c r="F93" s="60" t="s">
        <v>25</v>
      </c>
      <c r="G93" s="60" t="s">
        <v>25</v>
      </c>
      <c r="H93" s="60" t="s">
        <v>36</v>
      </c>
      <c r="I93" s="67">
        <v>44470</v>
      </c>
      <c r="J93" s="68">
        <f>EFEITO!$J$93*EFEITO!$Y$93</f>
        <v>0</v>
      </c>
      <c r="K93" s="68">
        <f ca="1">EFEITO!$L$93*EFEITO!$Z$93</f>
        <v>961.675619304051</v>
      </c>
      <c r="L93" s="68">
        <f>EFEITO!$N$93*EFEITO!$AA$93</f>
        <v>346.24839882540061</v>
      </c>
      <c r="M93" s="68">
        <f>$J$93-EFEITO!$K$93*EFEITO!$Y$93</f>
        <v>0</v>
      </c>
      <c r="N93" s="68">
        <f ca="1">$K$93-EFEITO!$M$93*EFEITO!$Z$93</f>
        <v>0</v>
      </c>
      <c r="O93" s="68">
        <f>$L$93-EFEITO!$O$93*EFEITO!$AA$93</f>
        <v>0</v>
      </c>
      <c r="P93" s="18"/>
      <c r="Q93" s="18"/>
      <c r="R93" s="18"/>
      <c r="S93" s="18"/>
      <c r="T93" s="18"/>
      <c r="U93" s="18"/>
      <c r="V93" s="18"/>
      <c r="W93" s="18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60" t="s">
        <v>21</v>
      </c>
      <c r="B94" s="60" t="s">
        <v>34</v>
      </c>
      <c r="C94" s="60" t="s">
        <v>35</v>
      </c>
      <c r="D94" s="60" t="s">
        <v>38</v>
      </c>
      <c r="E94" s="60" t="s">
        <v>25</v>
      </c>
      <c r="F94" s="60" t="s">
        <v>25</v>
      </c>
      <c r="G94" s="60" t="s">
        <v>25</v>
      </c>
      <c r="H94" s="60" t="s">
        <v>36</v>
      </c>
      <c r="I94" s="67">
        <v>44501</v>
      </c>
      <c r="J94" s="68">
        <f>EFEITO!$J$94*EFEITO!$Y$94</f>
        <v>0</v>
      </c>
      <c r="K94" s="68">
        <f ca="1">EFEITO!$L$94*EFEITO!$Z$94</f>
        <v>18035.042267551351</v>
      </c>
      <c r="L94" s="68">
        <f>EFEITO!$N$94*EFEITO!$AA$94</f>
        <v>6493.4624342532416</v>
      </c>
      <c r="M94" s="68">
        <f>$J$94-EFEITO!$K$94*EFEITO!$Y$94</f>
        <v>0</v>
      </c>
      <c r="N94" s="68">
        <f ca="1">$K$94-EFEITO!$M$94*EFEITO!$Z$94</f>
        <v>0</v>
      </c>
      <c r="O94" s="68">
        <f>$L$94-EFEITO!$O$94*EFEITO!$AA$94</f>
        <v>0</v>
      </c>
      <c r="P94" s="18"/>
      <c r="Q94" s="18"/>
      <c r="R94" s="18"/>
      <c r="S94" s="18"/>
      <c r="T94" s="18"/>
      <c r="U94" s="18"/>
      <c r="V94" s="18"/>
      <c r="W94" s="18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60" t="s">
        <v>27</v>
      </c>
      <c r="B95" s="60" t="s">
        <v>34</v>
      </c>
      <c r="C95" s="60" t="s">
        <v>35</v>
      </c>
      <c r="D95" s="60" t="s">
        <v>38</v>
      </c>
      <c r="E95" s="60" t="s">
        <v>25</v>
      </c>
      <c r="F95" s="60" t="s">
        <v>25</v>
      </c>
      <c r="G95" s="60" t="s">
        <v>25</v>
      </c>
      <c r="H95" s="60" t="s">
        <v>36</v>
      </c>
      <c r="I95" s="67">
        <v>44501</v>
      </c>
      <c r="J95" s="68">
        <f>EFEITO!$J$95*EFEITO!$Y$95</f>
        <v>0</v>
      </c>
      <c r="K95" s="68">
        <f ca="1">EFEITO!$L$95*EFEITO!$Z$95</f>
        <v>2585.4093282797348</v>
      </c>
      <c r="L95" s="68">
        <f>EFEITO!$N$95*EFEITO!$AA$95</f>
        <v>930.86881091250905</v>
      </c>
      <c r="M95" s="68">
        <f>$J$95-EFEITO!$K$95*EFEITO!$Y$95</f>
        <v>0</v>
      </c>
      <c r="N95" s="68">
        <f ca="1">$K$95-EFEITO!$M$95*EFEITO!$Z$95</f>
        <v>0</v>
      </c>
      <c r="O95" s="68">
        <f>$L$95-EFEITO!$O$95*EFEITO!$AA$95</f>
        <v>0</v>
      </c>
      <c r="P95" s="18"/>
      <c r="Q95" s="18"/>
      <c r="R95" s="18"/>
      <c r="S95" s="18"/>
      <c r="T95" s="18"/>
      <c r="U95" s="18"/>
      <c r="V95" s="18"/>
      <c r="W95" s="18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60" t="s">
        <v>21</v>
      </c>
      <c r="B96" s="60" t="s">
        <v>34</v>
      </c>
      <c r="C96" s="60" t="s">
        <v>35</v>
      </c>
      <c r="D96" s="60" t="s">
        <v>38</v>
      </c>
      <c r="E96" s="60" t="s">
        <v>25</v>
      </c>
      <c r="F96" s="60" t="s">
        <v>25</v>
      </c>
      <c r="G96" s="60" t="s">
        <v>25</v>
      </c>
      <c r="H96" s="60" t="s">
        <v>36</v>
      </c>
      <c r="I96" s="67">
        <v>44531</v>
      </c>
      <c r="J96" s="68">
        <f>EFEITO!$J$96*EFEITO!$Y$96</f>
        <v>0</v>
      </c>
      <c r="K96" s="68">
        <f ca="1">EFEITO!$L$96*EFEITO!$Z$96</f>
        <v>21347.265732229724</v>
      </c>
      <c r="L96" s="68">
        <f>EFEITO!$N$96*EFEITO!$AA$96</f>
        <v>7686.0184772428365</v>
      </c>
      <c r="M96" s="68">
        <f>$J$96-EFEITO!$K$96*EFEITO!$Y$96</f>
        <v>0</v>
      </c>
      <c r="N96" s="68">
        <f ca="1">$K$96-EFEITO!$M$96*EFEITO!$Z$96</f>
        <v>0</v>
      </c>
      <c r="O96" s="68">
        <f>$L$96-EFEITO!$O$96*EFEITO!$AA$96</f>
        <v>0</v>
      </c>
      <c r="P96" s="18"/>
      <c r="Q96" s="18"/>
      <c r="R96" s="18"/>
      <c r="S96" s="18"/>
      <c r="T96" s="18"/>
      <c r="U96" s="18"/>
      <c r="V96" s="18"/>
      <c r="W96" s="18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60" t="s">
        <v>27</v>
      </c>
      <c r="B97" s="60" t="s">
        <v>34</v>
      </c>
      <c r="C97" s="60" t="s">
        <v>35</v>
      </c>
      <c r="D97" s="60" t="s">
        <v>38</v>
      </c>
      <c r="E97" s="60" t="s">
        <v>25</v>
      </c>
      <c r="F97" s="60" t="s">
        <v>25</v>
      </c>
      <c r="G97" s="60" t="s">
        <v>25</v>
      </c>
      <c r="H97" s="60" t="s">
        <v>36</v>
      </c>
      <c r="I97" s="67">
        <v>44531</v>
      </c>
      <c r="J97" s="68">
        <f>EFEITO!$J$97*EFEITO!$Y$97</f>
        <v>0</v>
      </c>
      <c r="K97" s="68">
        <f ca="1">EFEITO!$L$97*EFEITO!$Z$97</f>
        <v>937.51291530143669</v>
      </c>
      <c r="L97" s="68">
        <f>EFEITO!$N$97*EFEITO!$AA$97</f>
        <v>337.54869031219954</v>
      </c>
      <c r="M97" s="68">
        <f>$J$97-EFEITO!$K$97*EFEITO!$Y$97</f>
        <v>0</v>
      </c>
      <c r="N97" s="68">
        <f ca="1">$K$97-EFEITO!$M$97*EFEITO!$Z$97</f>
        <v>0</v>
      </c>
      <c r="O97" s="68">
        <f>$L$97-EFEITO!$O$97*EFEITO!$AA$97</f>
        <v>0</v>
      </c>
      <c r="P97" s="18"/>
      <c r="Q97" s="18"/>
      <c r="R97" s="18"/>
      <c r="S97" s="18"/>
      <c r="T97" s="18"/>
      <c r="U97" s="18"/>
      <c r="V97" s="18"/>
      <c r="W97" s="18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60" t="s">
        <v>21</v>
      </c>
      <c r="B98" s="60" t="s">
        <v>34</v>
      </c>
      <c r="C98" s="60" t="s">
        <v>35</v>
      </c>
      <c r="D98" s="60" t="s">
        <v>38</v>
      </c>
      <c r="E98" s="60" t="s">
        <v>25</v>
      </c>
      <c r="F98" s="60" t="s">
        <v>25</v>
      </c>
      <c r="G98" s="60" t="s">
        <v>25</v>
      </c>
      <c r="H98" s="60" t="s">
        <v>36</v>
      </c>
      <c r="I98" s="67">
        <v>44562</v>
      </c>
      <c r="J98" s="68">
        <f>EFEITO!$J$98*EFEITO!$Y$98</f>
        <v>0</v>
      </c>
      <c r="K98" s="68">
        <f ca="1">EFEITO!$L$98*EFEITO!$Z$98</f>
        <v>21230.31824485707</v>
      </c>
      <c r="L98" s="68">
        <f>EFEITO!$N$98*EFEITO!$AA$98</f>
        <v>7643.9118880389442</v>
      </c>
      <c r="M98" s="68">
        <f>$J$98-EFEITO!$K$98*EFEITO!$Y$98</f>
        <v>0</v>
      </c>
      <c r="N98" s="68">
        <f ca="1">$K$98-EFEITO!$M$98*EFEITO!$Z$98</f>
        <v>0</v>
      </c>
      <c r="O98" s="68">
        <f>$L$98-EFEITO!$O$98*EFEITO!$AA$98</f>
        <v>0</v>
      </c>
      <c r="P98" s="18"/>
      <c r="Q98" s="18"/>
      <c r="R98" s="18"/>
      <c r="S98" s="18"/>
      <c r="T98" s="18"/>
      <c r="U98" s="18"/>
      <c r="V98" s="18"/>
      <c r="W98" s="18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60" t="s">
        <v>27</v>
      </c>
      <c r="B99" s="60" t="s">
        <v>34</v>
      </c>
      <c r="C99" s="60" t="s">
        <v>35</v>
      </c>
      <c r="D99" s="60" t="s">
        <v>38</v>
      </c>
      <c r="E99" s="60" t="s">
        <v>25</v>
      </c>
      <c r="F99" s="60" t="s">
        <v>25</v>
      </c>
      <c r="G99" s="60" t="s">
        <v>25</v>
      </c>
      <c r="H99" s="60" t="s">
        <v>36</v>
      </c>
      <c r="I99" s="67">
        <v>44562</v>
      </c>
      <c r="J99" s="68">
        <f>EFEITO!$J$99*EFEITO!$Y$99</f>
        <v>0</v>
      </c>
      <c r="K99" s="68">
        <f ca="1">EFEITO!$L$99*EFEITO!$Z$99</f>
        <v>2052.8633320621152</v>
      </c>
      <c r="L99" s="68">
        <f>EFEITO!$N$99*EFEITO!$AA$99</f>
        <v>739.12723528155868</v>
      </c>
      <c r="M99" s="68">
        <f>$J$99-EFEITO!$K$99*EFEITO!$Y$99</f>
        <v>0</v>
      </c>
      <c r="N99" s="68">
        <f ca="1">$K$99-EFEITO!$M$99*EFEITO!$Z$99</f>
        <v>0</v>
      </c>
      <c r="O99" s="68">
        <f>$L$99-EFEITO!$O$99*EFEITO!$AA$99</f>
        <v>0</v>
      </c>
      <c r="P99" s="18"/>
      <c r="Q99" s="18"/>
      <c r="R99" s="18"/>
      <c r="S99" s="18"/>
      <c r="T99" s="18"/>
      <c r="U99" s="18"/>
      <c r="V99" s="18"/>
      <c r="W99" s="18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60" t="s">
        <v>21</v>
      </c>
      <c r="B100" s="60" t="s">
        <v>34</v>
      </c>
      <c r="C100" s="60" t="s">
        <v>35</v>
      </c>
      <c r="D100" s="60" t="s">
        <v>38</v>
      </c>
      <c r="E100" s="60" t="s">
        <v>25</v>
      </c>
      <c r="F100" s="60" t="s">
        <v>25</v>
      </c>
      <c r="G100" s="60" t="s">
        <v>25</v>
      </c>
      <c r="H100" s="60" t="s">
        <v>36</v>
      </c>
      <c r="I100" s="67">
        <v>44593</v>
      </c>
      <c r="J100" s="68">
        <f>EFEITO!$J$100*EFEITO!$Y$100</f>
        <v>0</v>
      </c>
      <c r="K100" s="68">
        <f ca="1">EFEITO!$L$100*EFEITO!$Z$100</f>
        <v>19740.929170135922</v>
      </c>
      <c r="L100" s="68">
        <f>EFEITO!$N$100*EFEITO!$AA$100</f>
        <v>7107.6618552852333</v>
      </c>
      <c r="M100" s="68">
        <f>$J$100-EFEITO!$K$100*EFEITO!$Y$100</f>
        <v>0</v>
      </c>
      <c r="N100" s="68">
        <f ca="1">$K$100-EFEITO!$M$100*EFEITO!$Z$100</f>
        <v>0</v>
      </c>
      <c r="O100" s="68">
        <f>$L$100-EFEITO!$O$100*EFEITO!$AA$100</f>
        <v>0</v>
      </c>
      <c r="P100" s="18"/>
      <c r="Q100" s="18"/>
      <c r="R100" s="18"/>
      <c r="S100" s="18"/>
      <c r="T100" s="18"/>
      <c r="U100" s="18"/>
      <c r="V100" s="18"/>
      <c r="W100" s="18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60" t="s">
        <v>27</v>
      </c>
      <c r="B101" s="60" t="s">
        <v>34</v>
      </c>
      <c r="C101" s="60" t="s">
        <v>35</v>
      </c>
      <c r="D101" s="60" t="s">
        <v>38</v>
      </c>
      <c r="E101" s="60" t="s">
        <v>25</v>
      </c>
      <c r="F101" s="60" t="s">
        <v>25</v>
      </c>
      <c r="G101" s="60" t="s">
        <v>25</v>
      </c>
      <c r="H101" s="60" t="s">
        <v>36</v>
      </c>
      <c r="I101" s="67">
        <v>44593</v>
      </c>
      <c r="J101" s="68">
        <f>EFEITO!$J$101*EFEITO!$Y$101</f>
        <v>0</v>
      </c>
      <c r="K101" s="68">
        <f ca="1">EFEITO!$L$101*EFEITO!$Z$101</f>
        <v>4203.3439882947923</v>
      </c>
      <c r="L101" s="68">
        <f>EFEITO!$N$101*EFEITO!$AA$101</f>
        <v>1513.4012929564494</v>
      </c>
      <c r="M101" s="68">
        <f>$J$101-EFEITO!$K$101*EFEITO!$Y$101</f>
        <v>0</v>
      </c>
      <c r="N101" s="68">
        <f ca="1">$K$101-EFEITO!$M$101*EFEITO!$Z$101</f>
        <v>0</v>
      </c>
      <c r="O101" s="68">
        <f>$L$101-EFEITO!$O$101*EFEITO!$AA$101</f>
        <v>0</v>
      </c>
      <c r="P101" s="18"/>
      <c r="Q101" s="18"/>
      <c r="R101" s="18"/>
      <c r="S101" s="18"/>
      <c r="T101" s="18"/>
      <c r="U101" s="18"/>
      <c r="V101" s="18"/>
      <c r="W101" s="18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60" t="s">
        <v>21</v>
      </c>
      <c r="B102" s="60" t="s">
        <v>34</v>
      </c>
      <c r="C102" s="60" t="s">
        <v>35</v>
      </c>
      <c r="D102" s="60" t="s">
        <v>38</v>
      </c>
      <c r="E102" s="60" t="s">
        <v>25</v>
      </c>
      <c r="F102" s="60" t="s">
        <v>25</v>
      </c>
      <c r="G102" s="60" t="s">
        <v>25</v>
      </c>
      <c r="H102" s="60" t="s">
        <v>36</v>
      </c>
      <c r="I102" s="67">
        <v>44621</v>
      </c>
      <c r="J102" s="68">
        <f>EFEITO!$J$102*EFEITO!$Y$102</f>
        <v>0</v>
      </c>
      <c r="K102" s="68">
        <f ca="1">EFEITO!$L$102*EFEITO!$Z$102</f>
        <v>18859.473728120553</v>
      </c>
      <c r="L102" s="68">
        <f>EFEITO!$N$102*EFEITO!$AA$102</f>
        <v>6790.2964887236603</v>
      </c>
      <c r="M102" s="68">
        <f>$J$102-EFEITO!$K$102*EFEITO!$Y$102</f>
        <v>0</v>
      </c>
      <c r="N102" s="68">
        <f ca="1">$K$102-EFEITO!$M$102*EFEITO!$Z$102</f>
        <v>0</v>
      </c>
      <c r="O102" s="68">
        <f>$L$102-EFEITO!$O$102*EFEITO!$AA$102</f>
        <v>0</v>
      </c>
      <c r="P102" s="18"/>
      <c r="Q102" s="18"/>
      <c r="R102" s="18"/>
      <c r="S102" s="18"/>
      <c r="T102" s="18"/>
      <c r="U102" s="18"/>
      <c r="V102" s="18"/>
      <c r="W102" s="18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60" t="s">
        <v>27</v>
      </c>
      <c r="B103" s="60" t="s">
        <v>34</v>
      </c>
      <c r="C103" s="60" t="s">
        <v>35</v>
      </c>
      <c r="D103" s="60" t="s">
        <v>38</v>
      </c>
      <c r="E103" s="60" t="s">
        <v>25</v>
      </c>
      <c r="F103" s="60" t="s">
        <v>25</v>
      </c>
      <c r="G103" s="60" t="s">
        <v>25</v>
      </c>
      <c r="H103" s="60" t="s">
        <v>36</v>
      </c>
      <c r="I103" s="67">
        <v>44621</v>
      </c>
      <c r="J103" s="68">
        <f>EFEITO!$J$103*EFEITO!$Y$103</f>
        <v>0</v>
      </c>
      <c r="K103" s="68">
        <f ca="1">EFEITO!$L$103*EFEITO!$Z$103</f>
        <v>3086.0605552139045</v>
      </c>
      <c r="L103" s="68">
        <f>EFEITO!$N$103*EFEITO!$AA$103</f>
        <v>1111.1267713060342</v>
      </c>
      <c r="M103" s="68">
        <f>$J$103-EFEITO!$K$103*EFEITO!$Y$103</f>
        <v>0</v>
      </c>
      <c r="N103" s="68">
        <f ca="1">$K$103-EFEITO!$M$103*EFEITO!$Z$103</f>
        <v>0</v>
      </c>
      <c r="O103" s="68">
        <f>$L$103-EFEITO!$O$103*EFEITO!$AA$103</f>
        <v>0</v>
      </c>
      <c r="P103" s="18"/>
      <c r="Q103" s="18"/>
      <c r="R103" s="18"/>
      <c r="S103" s="18"/>
      <c r="T103" s="18"/>
      <c r="U103" s="18"/>
      <c r="V103" s="18"/>
      <c r="W103" s="18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60" t="s">
        <v>21</v>
      </c>
      <c r="B104" s="60" t="s">
        <v>34</v>
      </c>
      <c r="C104" s="60" t="s">
        <v>35</v>
      </c>
      <c r="D104" s="60" t="s">
        <v>38</v>
      </c>
      <c r="E104" s="60" t="s">
        <v>25</v>
      </c>
      <c r="F104" s="60" t="s">
        <v>25</v>
      </c>
      <c r="G104" s="60" t="s">
        <v>25</v>
      </c>
      <c r="H104" s="60" t="s">
        <v>36</v>
      </c>
      <c r="I104" s="67">
        <v>44652</v>
      </c>
      <c r="J104" s="68">
        <f>EFEITO!$J$104*EFEITO!$Y$104</f>
        <v>0</v>
      </c>
      <c r="K104" s="68">
        <f ca="1">EFEITO!$L$104*EFEITO!$Z$104</f>
        <v>14734.416900794229</v>
      </c>
      <c r="L104" s="68">
        <f>EFEITO!$N$104*EFEITO!$AA$104</f>
        <v>5305.0822513499816</v>
      </c>
      <c r="M104" s="68">
        <f>$J$104-EFEITO!$K$104*EFEITO!$Y$104</f>
        <v>0</v>
      </c>
      <c r="N104" s="68">
        <f ca="1">$K$104-EFEITO!$M$104*EFEITO!$Z$104</f>
        <v>0</v>
      </c>
      <c r="O104" s="68">
        <f>$L$104-EFEITO!$O$104*EFEITO!$AA$104</f>
        <v>0</v>
      </c>
      <c r="P104" s="18"/>
      <c r="Q104" s="18"/>
      <c r="R104" s="18"/>
      <c r="S104" s="18"/>
      <c r="T104" s="18"/>
      <c r="U104" s="18"/>
      <c r="V104" s="18"/>
      <c r="W104" s="18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60" t="s">
        <v>27</v>
      </c>
      <c r="B105" s="60" t="s">
        <v>34</v>
      </c>
      <c r="C105" s="60" t="s">
        <v>35</v>
      </c>
      <c r="D105" s="60" t="s">
        <v>38</v>
      </c>
      <c r="E105" s="60" t="s">
        <v>25</v>
      </c>
      <c r="F105" s="60" t="s">
        <v>25</v>
      </c>
      <c r="G105" s="60" t="s">
        <v>25</v>
      </c>
      <c r="H105" s="60" t="s">
        <v>36</v>
      </c>
      <c r="I105" s="67">
        <v>44652</v>
      </c>
      <c r="J105" s="68">
        <f>EFEITO!$J$105*EFEITO!$Y$105</f>
        <v>0</v>
      </c>
      <c r="K105" s="68">
        <f ca="1">EFEITO!$L$105*EFEITO!$Z$105</f>
        <v>4267.133526861694</v>
      </c>
      <c r="L105" s="68">
        <f>EFEITO!$N$105*EFEITO!$AA$105</f>
        <v>1536.3685234313002</v>
      </c>
      <c r="M105" s="68">
        <f>$J$105-EFEITO!$K$105*EFEITO!$Y$105</f>
        <v>0</v>
      </c>
      <c r="N105" s="68">
        <f ca="1">$K$105-EFEITO!$M$105*EFEITO!$Z$105</f>
        <v>0</v>
      </c>
      <c r="O105" s="68">
        <f>$L$105-EFEITO!$O$105*EFEITO!$AA$105</f>
        <v>0</v>
      </c>
      <c r="P105" s="18"/>
      <c r="Q105" s="18"/>
      <c r="R105" s="18"/>
      <c r="S105" s="18"/>
      <c r="T105" s="18"/>
      <c r="U105" s="18"/>
      <c r="V105" s="18"/>
      <c r="W105" s="18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60" t="s">
        <v>21</v>
      </c>
      <c r="B106" s="60" t="s">
        <v>34</v>
      </c>
      <c r="C106" s="60" t="s">
        <v>35</v>
      </c>
      <c r="D106" s="60" t="s">
        <v>38</v>
      </c>
      <c r="E106" s="60" t="s">
        <v>25</v>
      </c>
      <c r="F106" s="60" t="s">
        <v>25</v>
      </c>
      <c r="G106" s="60" t="s">
        <v>25</v>
      </c>
      <c r="H106" s="60" t="s">
        <v>36</v>
      </c>
      <c r="I106" s="67">
        <v>44682</v>
      </c>
      <c r="J106" s="68">
        <f>EFEITO!$J$106*EFEITO!$Y$106</f>
        <v>0</v>
      </c>
      <c r="K106" s="68">
        <f ca="1">EFEITO!$L$106*EFEITO!$Z$106</f>
        <v>16285.662497762072</v>
      </c>
      <c r="L106" s="68">
        <f>EFEITO!$N$106*EFEITO!$AA$106</f>
        <v>5863.6035378974875</v>
      </c>
      <c r="M106" s="68">
        <f>$J$106-EFEITO!$K$106*EFEITO!$Y$106</f>
        <v>0</v>
      </c>
      <c r="N106" s="68">
        <f ca="1">$K$106-EFEITO!$M$106*EFEITO!$Z$106</f>
        <v>0</v>
      </c>
      <c r="O106" s="68">
        <f>$L$106-EFEITO!$O$106*EFEITO!$AA$106</f>
        <v>0</v>
      </c>
      <c r="P106" s="18"/>
      <c r="Q106" s="18"/>
      <c r="R106" s="18"/>
      <c r="S106" s="18"/>
      <c r="T106" s="18"/>
      <c r="U106" s="18"/>
      <c r="V106" s="18"/>
      <c r="W106" s="18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60" t="s">
        <v>27</v>
      </c>
      <c r="B107" s="60" t="s">
        <v>34</v>
      </c>
      <c r="C107" s="60" t="s">
        <v>35</v>
      </c>
      <c r="D107" s="60" t="s">
        <v>38</v>
      </c>
      <c r="E107" s="60" t="s">
        <v>25</v>
      </c>
      <c r="F107" s="60" t="s">
        <v>25</v>
      </c>
      <c r="G107" s="60" t="s">
        <v>25</v>
      </c>
      <c r="H107" s="60" t="s">
        <v>36</v>
      </c>
      <c r="I107" s="67">
        <v>44682</v>
      </c>
      <c r="J107" s="68">
        <f>EFEITO!$J$107*EFEITO!$Y$107</f>
        <v>0</v>
      </c>
      <c r="K107" s="68">
        <f ca="1">EFEITO!$L$107*EFEITO!$Z$107</f>
        <v>3372.1469706048583</v>
      </c>
      <c r="L107" s="68">
        <f>EFEITO!$N$107*EFEITO!$AA$107</f>
        <v>1214.1313201023343</v>
      </c>
      <c r="M107" s="68">
        <f>$J$107-EFEITO!$K$107*EFEITO!$Y$107</f>
        <v>0</v>
      </c>
      <c r="N107" s="68">
        <f ca="1">$K$107-EFEITO!$M$107*EFEITO!$Z$107</f>
        <v>0</v>
      </c>
      <c r="O107" s="68">
        <f>$L$107-EFEITO!$O$107*EFEITO!$AA$107</f>
        <v>0</v>
      </c>
      <c r="P107" s="18"/>
      <c r="Q107" s="18"/>
      <c r="R107" s="18"/>
      <c r="S107" s="18"/>
      <c r="T107" s="18"/>
      <c r="U107" s="18"/>
      <c r="V107" s="18"/>
      <c r="W107" s="18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60" t="s">
        <v>21</v>
      </c>
      <c r="B108" s="60" t="s">
        <v>34</v>
      </c>
      <c r="C108" s="60" t="s">
        <v>35</v>
      </c>
      <c r="D108" s="60" t="s">
        <v>38</v>
      </c>
      <c r="E108" s="60" t="s">
        <v>25</v>
      </c>
      <c r="F108" s="60" t="s">
        <v>25</v>
      </c>
      <c r="G108" s="60" t="s">
        <v>25</v>
      </c>
      <c r="H108" s="60" t="s">
        <v>36</v>
      </c>
      <c r="I108" s="67">
        <v>44713</v>
      </c>
      <c r="J108" s="68">
        <f>EFEITO!$J$108*EFEITO!$Y$108</f>
        <v>0</v>
      </c>
      <c r="K108" s="68">
        <f ca="1">EFEITO!$L$108*EFEITO!$Z$108</f>
        <v>15719.288715940789</v>
      </c>
      <c r="L108" s="68">
        <f>EFEITO!$N$108*EFEITO!$AA$108</f>
        <v>5659.682370348055</v>
      </c>
      <c r="M108" s="68">
        <f>$J$108-EFEITO!$K$108*EFEITO!$Y$108</f>
        <v>0</v>
      </c>
      <c r="N108" s="68">
        <f ca="1">$K$108-EFEITO!$M$108*EFEITO!$Z$108</f>
        <v>0</v>
      </c>
      <c r="O108" s="68">
        <f>$L$108-EFEITO!$O$108*EFEITO!$AA$108</f>
        <v>0</v>
      </c>
      <c r="P108" s="18"/>
      <c r="Q108" s="18"/>
      <c r="R108" s="18"/>
      <c r="S108" s="18"/>
      <c r="T108" s="18"/>
      <c r="U108" s="18"/>
      <c r="V108" s="18"/>
      <c r="W108" s="18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60" t="s">
        <v>27</v>
      </c>
      <c r="B109" s="60" t="s">
        <v>34</v>
      </c>
      <c r="C109" s="60" t="s">
        <v>35</v>
      </c>
      <c r="D109" s="60" t="s">
        <v>38</v>
      </c>
      <c r="E109" s="60" t="s">
        <v>25</v>
      </c>
      <c r="F109" s="60" t="s">
        <v>25</v>
      </c>
      <c r="G109" s="60" t="s">
        <v>25</v>
      </c>
      <c r="H109" s="60" t="s">
        <v>36</v>
      </c>
      <c r="I109" s="67">
        <v>44713</v>
      </c>
      <c r="J109" s="68">
        <f>EFEITO!$J$109*EFEITO!$Y$109</f>
        <v>0</v>
      </c>
      <c r="K109" s="68">
        <f ca="1">EFEITO!$L$109*EFEITO!$Z$109</f>
        <v>1545.4465480072136</v>
      </c>
      <c r="L109" s="68">
        <f>EFEITO!$N$109*EFEITO!$AA$109</f>
        <v>556.43335650433721</v>
      </c>
      <c r="M109" s="68">
        <f>$J$109-EFEITO!$K$109*EFEITO!$Y$109</f>
        <v>0</v>
      </c>
      <c r="N109" s="68">
        <f ca="1">$K$109-EFEITO!$M$109*EFEITO!$Z$109</f>
        <v>0</v>
      </c>
      <c r="O109" s="68">
        <f>$L$109-EFEITO!$O$109*EFEITO!$AA$109</f>
        <v>0</v>
      </c>
      <c r="P109" s="18"/>
      <c r="Q109" s="18"/>
      <c r="R109" s="18"/>
      <c r="S109" s="18"/>
      <c r="T109" s="18"/>
      <c r="U109" s="18"/>
      <c r="V109" s="18"/>
      <c r="W109" s="18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60" t="s">
        <v>21</v>
      </c>
      <c r="B110" s="60" t="s">
        <v>34</v>
      </c>
      <c r="C110" s="60" t="s">
        <v>35</v>
      </c>
      <c r="D110" s="60" t="s">
        <v>33</v>
      </c>
      <c r="E110" s="60" t="s">
        <v>25</v>
      </c>
      <c r="F110" s="60" t="s">
        <v>52</v>
      </c>
      <c r="G110" s="60" t="s">
        <v>25</v>
      </c>
      <c r="H110" s="60" t="s">
        <v>37</v>
      </c>
      <c r="I110" s="67">
        <v>44378</v>
      </c>
      <c r="J110" s="68">
        <f>EFEITO!$J$110*EFEITO!$Y$110</f>
        <v>0</v>
      </c>
      <c r="K110" s="68">
        <f ca="1">EFEITO!$L$110*EFEITO!$Z$110</f>
        <v>23320.915044205998</v>
      </c>
      <c r="L110" s="68">
        <f>EFEITO!$N$110*EFEITO!$AA$110</f>
        <v>0</v>
      </c>
      <c r="M110" s="68">
        <f>$J$110-EFEITO!$K$110*EFEITO!$Y$110</f>
        <v>0</v>
      </c>
      <c r="N110" s="68">
        <f ca="1">$K$110-EFEITO!$M$110*EFEITO!$Z$110</f>
        <v>0</v>
      </c>
      <c r="O110" s="68">
        <f>$L$110-EFEITO!$O$110*EFEITO!$AA$110</f>
        <v>0</v>
      </c>
      <c r="P110" s="18"/>
      <c r="Q110" s="18"/>
      <c r="R110" s="18"/>
      <c r="S110" s="18"/>
      <c r="T110" s="18"/>
      <c r="U110" s="18"/>
      <c r="V110" s="18"/>
      <c r="W110" s="18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60" t="s">
        <v>21</v>
      </c>
      <c r="B111" s="60" t="s">
        <v>34</v>
      </c>
      <c r="C111" s="60" t="s">
        <v>35</v>
      </c>
      <c r="D111" s="60" t="s">
        <v>33</v>
      </c>
      <c r="E111" s="60" t="s">
        <v>25</v>
      </c>
      <c r="F111" s="60" t="s">
        <v>52</v>
      </c>
      <c r="G111" s="60" t="s">
        <v>25</v>
      </c>
      <c r="H111" s="60" t="s">
        <v>37</v>
      </c>
      <c r="I111" s="67">
        <v>44409</v>
      </c>
      <c r="J111" s="68">
        <f>EFEITO!$J$111*EFEITO!$Y$111</f>
        <v>0</v>
      </c>
      <c r="K111" s="68">
        <f ca="1">EFEITO!$L$111*EFEITO!$Z$111</f>
        <v>21780.924816998533</v>
      </c>
      <c r="L111" s="68">
        <f>EFEITO!$N$111*EFEITO!$AA$111</f>
        <v>0</v>
      </c>
      <c r="M111" s="68">
        <f>$J$111-EFEITO!$K$111*EFEITO!$Y$111</f>
        <v>0</v>
      </c>
      <c r="N111" s="68">
        <f ca="1">$K$111-EFEITO!$M$111*EFEITO!$Z$111</f>
        <v>0</v>
      </c>
      <c r="O111" s="68">
        <f>$L$111-EFEITO!$O$111*EFEITO!$AA$111</f>
        <v>0</v>
      </c>
      <c r="P111" s="18"/>
      <c r="Q111" s="18"/>
      <c r="R111" s="18"/>
      <c r="S111" s="18"/>
      <c r="T111" s="18"/>
      <c r="U111" s="18"/>
      <c r="V111" s="18"/>
      <c r="W111" s="18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60" t="s">
        <v>21</v>
      </c>
      <c r="B112" s="60" t="s">
        <v>34</v>
      </c>
      <c r="C112" s="60" t="s">
        <v>35</v>
      </c>
      <c r="D112" s="60" t="s">
        <v>33</v>
      </c>
      <c r="E112" s="60" t="s">
        <v>25</v>
      </c>
      <c r="F112" s="60" t="s">
        <v>52</v>
      </c>
      <c r="G112" s="60" t="s">
        <v>25</v>
      </c>
      <c r="H112" s="60" t="s">
        <v>37</v>
      </c>
      <c r="I112" s="67">
        <v>44440</v>
      </c>
      <c r="J112" s="68">
        <f>EFEITO!$J$112*EFEITO!$Y$112</f>
        <v>0</v>
      </c>
      <c r="K112" s="68">
        <f ca="1">EFEITO!$L$112*EFEITO!$Z$112</f>
        <v>22394.997637303382</v>
      </c>
      <c r="L112" s="68">
        <f>EFEITO!$N$112*EFEITO!$AA$112</f>
        <v>0</v>
      </c>
      <c r="M112" s="68">
        <f>$J$112-EFEITO!$K$112*EFEITO!$Y$112</f>
        <v>0</v>
      </c>
      <c r="N112" s="68">
        <f ca="1">$K$112-EFEITO!$M$112*EFEITO!$Z$112</f>
        <v>0</v>
      </c>
      <c r="O112" s="68">
        <f>$L$112-EFEITO!$O$112*EFEITO!$AA$112</f>
        <v>0</v>
      </c>
      <c r="P112" s="18"/>
      <c r="Q112" s="18"/>
      <c r="R112" s="18"/>
      <c r="S112" s="18"/>
      <c r="T112" s="18"/>
      <c r="U112" s="18"/>
      <c r="V112" s="18"/>
      <c r="W112" s="18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60" t="s">
        <v>21</v>
      </c>
      <c r="B113" s="60" t="s">
        <v>34</v>
      </c>
      <c r="C113" s="60" t="s">
        <v>35</v>
      </c>
      <c r="D113" s="60" t="s">
        <v>33</v>
      </c>
      <c r="E113" s="60" t="s">
        <v>25</v>
      </c>
      <c r="F113" s="60" t="s">
        <v>52</v>
      </c>
      <c r="G113" s="60" t="s">
        <v>25</v>
      </c>
      <c r="H113" s="60" t="s">
        <v>37</v>
      </c>
      <c r="I113" s="67">
        <v>44470</v>
      </c>
      <c r="J113" s="68">
        <f>EFEITO!$J$113*EFEITO!$Y$113</f>
        <v>0</v>
      </c>
      <c r="K113" s="68">
        <f ca="1">EFEITO!$L$113*EFEITO!$Z$113</f>
        <v>23739.226394950576</v>
      </c>
      <c r="L113" s="68">
        <f>EFEITO!$N$113*EFEITO!$AA$113</f>
        <v>0</v>
      </c>
      <c r="M113" s="68">
        <f>$J$113-EFEITO!$K$113*EFEITO!$Y$113</f>
        <v>0</v>
      </c>
      <c r="N113" s="68">
        <f ca="1">$K$113-EFEITO!$M$113*EFEITO!$Z$113</f>
        <v>0</v>
      </c>
      <c r="O113" s="68">
        <f>$L$113-EFEITO!$O$113*EFEITO!$AA$113</f>
        <v>0</v>
      </c>
      <c r="P113" s="18"/>
      <c r="Q113" s="18"/>
      <c r="R113" s="18"/>
      <c r="S113" s="18"/>
      <c r="T113" s="18"/>
      <c r="U113" s="18"/>
      <c r="V113" s="18"/>
      <c r="W113" s="18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60" t="s">
        <v>21</v>
      </c>
      <c r="B114" s="60" t="s">
        <v>34</v>
      </c>
      <c r="C114" s="60" t="s">
        <v>35</v>
      </c>
      <c r="D114" s="60" t="s">
        <v>33</v>
      </c>
      <c r="E114" s="60" t="s">
        <v>25</v>
      </c>
      <c r="F114" s="60" t="s">
        <v>52</v>
      </c>
      <c r="G114" s="60" t="s">
        <v>25</v>
      </c>
      <c r="H114" s="60" t="s">
        <v>37</v>
      </c>
      <c r="I114" s="67">
        <v>44501</v>
      </c>
      <c r="J114" s="68">
        <f>EFEITO!$J$114*EFEITO!$Y$114</f>
        <v>0</v>
      </c>
      <c r="K114" s="68">
        <f ca="1">EFEITO!$L$114*EFEITO!$Z$114</f>
        <v>23387.199190916752</v>
      </c>
      <c r="L114" s="68">
        <f>EFEITO!$N$114*EFEITO!$AA$114</f>
        <v>0</v>
      </c>
      <c r="M114" s="68">
        <f>$J$114-EFEITO!$K$114*EFEITO!$Y$114</f>
        <v>0</v>
      </c>
      <c r="N114" s="68">
        <f ca="1">$K$114-EFEITO!$M$114*EFEITO!$Z$114</f>
        <v>0</v>
      </c>
      <c r="O114" s="68">
        <f>$L$114-EFEITO!$O$114*EFEITO!$AA$114</f>
        <v>0</v>
      </c>
      <c r="P114" s="18"/>
      <c r="Q114" s="18"/>
      <c r="R114" s="18"/>
      <c r="S114" s="18"/>
      <c r="T114" s="18"/>
      <c r="U114" s="18"/>
      <c r="V114" s="18"/>
      <c r="W114" s="18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60" t="s">
        <v>21</v>
      </c>
      <c r="B115" s="60" t="s">
        <v>34</v>
      </c>
      <c r="C115" s="60" t="s">
        <v>35</v>
      </c>
      <c r="D115" s="60" t="s">
        <v>33</v>
      </c>
      <c r="E115" s="60" t="s">
        <v>25</v>
      </c>
      <c r="F115" s="60" t="s">
        <v>52</v>
      </c>
      <c r="G115" s="60" t="s">
        <v>25</v>
      </c>
      <c r="H115" s="60" t="s">
        <v>37</v>
      </c>
      <c r="I115" s="67">
        <v>44531</v>
      </c>
      <c r="J115" s="68">
        <f>EFEITO!$J$115*EFEITO!$Y$115</f>
        <v>0</v>
      </c>
      <c r="K115" s="68">
        <f ca="1">EFEITO!$L$115*EFEITO!$Z$115</f>
        <v>16217.864669740182</v>
      </c>
      <c r="L115" s="68">
        <f>EFEITO!$N$115*EFEITO!$AA$115</f>
        <v>0</v>
      </c>
      <c r="M115" s="68">
        <f>$J$115-EFEITO!$K$115*EFEITO!$Y$115</f>
        <v>0</v>
      </c>
      <c r="N115" s="68">
        <f ca="1">$K$115-EFEITO!$M$115*EFEITO!$Z$115</f>
        <v>0</v>
      </c>
      <c r="O115" s="68">
        <f>$L$115-EFEITO!$O$115*EFEITO!$AA$115</f>
        <v>0</v>
      </c>
      <c r="P115" s="18"/>
      <c r="Q115" s="18"/>
      <c r="R115" s="18"/>
      <c r="S115" s="18"/>
      <c r="T115" s="18"/>
      <c r="U115" s="18"/>
      <c r="V115" s="18"/>
      <c r="W115" s="18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60" t="s">
        <v>21</v>
      </c>
      <c r="B116" s="60" t="s">
        <v>34</v>
      </c>
      <c r="C116" s="60" t="s">
        <v>35</v>
      </c>
      <c r="D116" s="60" t="s">
        <v>33</v>
      </c>
      <c r="E116" s="60" t="s">
        <v>25</v>
      </c>
      <c r="F116" s="60" t="s">
        <v>52</v>
      </c>
      <c r="G116" s="60" t="s">
        <v>25</v>
      </c>
      <c r="H116" s="60" t="s">
        <v>37</v>
      </c>
      <c r="I116" s="67">
        <v>44562</v>
      </c>
      <c r="J116" s="68">
        <f>EFEITO!$J$116*EFEITO!$Y$116</f>
        <v>0</v>
      </c>
      <c r="K116" s="68">
        <f ca="1">EFEITO!$L$116*EFEITO!$Z$116</f>
        <v>38097.929505825967</v>
      </c>
      <c r="L116" s="68">
        <f>EFEITO!$N$116*EFEITO!$AA$116</f>
        <v>0</v>
      </c>
      <c r="M116" s="68">
        <f>$J$116-EFEITO!$K$116*EFEITO!$Y$116</f>
        <v>0</v>
      </c>
      <c r="N116" s="68">
        <f ca="1">$K$116-EFEITO!$M$116*EFEITO!$Z$116</f>
        <v>0</v>
      </c>
      <c r="O116" s="68">
        <f>$L$116-EFEITO!$O$116*EFEITO!$AA$116</f>
        <v>0</v>
      </c>
      <c r="P116" s="18"/>
      <c r="Q116" s="18"/>
      <c r="R116" s="18"/>
      <c r="S116" s="18"/>
      <c r="T116" s="18"/>
      <c r="U116" s="18"/>
      <c r="V116" s="18"/>
      <c r="W116" s="18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60" t="s">
        <v>21</v>
      </c>
      <c r="B117" s="60" t="s">
        <v>34</v>
      </c>
      <c r="C117" s="60" t="s">
        <v>35</v>
      </c>
      <c r="D117" s="60" t="s">
        <v>33</v>
      </c>
      <c r="E117" s="60" t="s">
        <v>25</v>
      </c>
      <c r="F117" s="60" t="s">
        <v>52</v>
      </c>
      <c r="G117" s="60" t="s">
        <v>25</v>
      </c>
      <c r="H117" s="60" t="s">
        <v>37</v>
      </c>
      <c r="I117" s="67">
        <v>44593</v>
      </c>
      <c r="J117" s="68">
        <f>EFEITO!$J$117*EFEITO!$Y$117</f>
        <v>0</v>
      </c>
      <c r="K117" s="68">
        <f ca="1">EFEITO!$L$117*EFEITO!$Z$117</f>
        <v>34599.981141841134</v>
      </c>
      <c r="L117" s="68">
        <f>EFEITO!$N$117*EFEITO!$AA$117</f>
        <v>0</v>
      </c>
      <c r="M117" s="68">
        <f>$J$117-EFEITO!$K$117*EFEITO!$Y$117</f>
        <v>0</v>
      </c>
      <c r="N117" s="68">
        <f ca="1">$K$117-EFEITO!$M$117*EFEITO!$Z$117</f>
        <v>0</v>
      </c>
      <c r="O117" s="68">
        <f>$L$117-EFEITO!$O$117*EFEITO!$AA$117</f>
        <v>0</v>
      </c>
      <c r="P117" s="18"/>
      <c r="Q117" s="18"/>
      <c r="R117" s="18"/>
      <c r="S117" s="18"/>
      <c r="T117" s="18"/>
      <c r="U117" s="18"/>
      <c r="V117" s="18"/>
      <c r="W117" s="18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60" t="s">
        <v>21</v>
      </c>
      <c r="B118" s="60" t="s">
        <v>34</v>
      </c>
      <c r="C118" s="60" t="s">
        <v>35</v>
      </c>
      <c r="D118" s="60" t="s">
        <v>33</v>
      </c>
      <c r="E118" s="60" t="s">
        <v>25</v>
      </c>
      <c r="F118" s="60" t="s">
        <v>52</v>
      </c>
      <c r="G118" s="60" t="s">
        <v>25</v>
      </c>
      <c r="H118" s="60" t="s">
        <v>37</v>
      </c>
      <c r="I118" s="67">
        <v>44621</v>
      </c>
      <c r="J118" s="68">
        <f>EFEITO!$J$118*EFEITO!$Y$118</f>
        <v>0</v>
      </c>
      <c r="K118" s="68">
        <f ca="1">EFEITO!$L$118*EFEITO!$Z$118</f>
        <v>39622.006958607184</v>
      </c>
      <c r="L118" s="68">
        <f>EFEITO!$N$118*EFEITO!$AA$118</f>
        <v>0</v>
      </c>
      <c r="M118" s="68">
        <f>$J$118-EFEITO!$K$118*EFEITO!$Y$118</f>
        <v>0</v>
      </c>
      <c r="N118" s="68">
        <f ca="1">$K$118-EFEITO!$M$118*EFEITO!$Z$118</f>
        <v>0</v>
      </c>
      <c r="O118" s="68">
        <f>$L$118-EFEITO!$O$118*EFEITO!$AA$118</f>
        <v>0</v>
      </c>
      <c r="P118" s="18"/>
      <c r="Q118" s="18"/>
      <c r="R118" s="18"/>
      <c r="S118" s="18"/>
      <c r="T118" s="18"/>
      <c r="U118" s="18"/>
      <c r="V118" s="18"/>
      <c r="W118" s="18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60" t="s">
        <v>21</v>
      </c>
      <c r="B119" s="60" t="s">
        <v>34</v>
      </c>
      <c r="C119" s="60" t="s">
        <v>35</v>
      </c>
      <c r="D119" s="60" t="s">
        <v>33</v>
      </c>
      <c r="E119" s="60" t="s">
        <v>25</v>
      </c>
      <c r="F119" s="60" t="s">
        <v>52</v>
      </c>
      <c r="G119" s="60" t="s">
        <v>25</v>
      </c>
      <c r="H119" s="60" t="s">
        <v>37</v>
      </c>
      <c r="I119" s="67">
        <v>44652</v>
      </c>
      <c r="J119" s="68">
        <f>EFEITO!$J$119*EFEITO!$Y$119</f>
        <v>0</v>
      </c>
      <c r="K119" s="68">
        <f ca="1">EFEITO!$L$119*EFEITO!$Z$119</f>
        <v>32699.721122407842</v>
      </c>
      <c r="L119" s="68">
        <f>EFEITO!$N$119*EFEITO!$AA$119</f>
        <v>0</v>
      </c>
      <c r="M119" s="68">
        <f>$J$119-EFEITO!$K$119*EFEITO!$Y$119</f>
        <v>0</v>
      </c>
      <c r="N119" s="68">
        <f ca="1">$K$119-EFEITO!$M$119*EFEITO!$Z$119</f>
        <v>0</v>
      </c>
      <c r="O119" s="68">
        <f>$L$119-EFEITO!$O$119*EFEITO!$AA$119</f>
        <v>0</v>
      </c>
      <c r="P119" s="18"/>
      <c r="Q119" s="18"/>
      <c r="R119" s="18"/>
      <c r="S119" s="18"/>
      <c r="T119" s="18"/>
      <c r="U119" s="18"/>
      <c r="V119" s="18"/>
      <c r="W119" s="18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60" t="s">
        <v>21</v>
      </c>
      <c r="B120" s="60" t="s">
        <v>34</v>
      </c>
      <c r="C120" s="60" t="s">
        <v>35</v>
      </c>
      <c r="D120" s="60" t="s">
        <v>33</v>
      </c>
      <c r="E120" s="60" t="s">
        <v>25</v>
      </c>
      <c r="F120" s="60" t="s">
        <v>52</v>
      </c>
      <c r="G120" s="60" t="s">
        <v>25</v>
      </c>
      <c r="H120" s="60" t="s">
        <v>37</v>
      </c>
      <c r="I120" s="67">
        <v>44682</v>
      </c>
      <c r="J120" s="68">
        <f>EFEITO!$J$120*EFEITO!$Y$120</f>
        <v>0</v>
      </c>
      <c r="K120" s="68">
        <f ca="1">EFEITO!$L$120*EFEITO!$Z$120</f>
        <v>34777.425748752488</v>
      </c>
      <c r="L120" s="68">
        <f>EFEITO!$N$120*EFEITO!$AA$120</f>
        <v>0</v>
      </c>
      <c r="M120" s="68">
        <f>$J$120-EFEITO!$K$120*EFEITO!$Y$120</f>
        <v>0</v>
      </c>
      <c r="N120" s="68">
        <f ca="1">$K$120-EFEITO!$M$120*EFEITO!$Z$120</f>
        <v>0</v>
      </c>
      <c r="O120" s="68">
        <f>$L$120-EFEITO!$O$120*EFEITO!$AA$120</f>
        <v>0</v>
      </c>
      <c r="P120" s="18"/>
      <c r="Q120" s="18"/>
      <c r="R120" s="18"/>
      <c r="S120" s="18"/>
      <c r="T120" s="18"/>
      <c r="U120" s="18"/>
      <c r="V120" s="18"/>
      <c r="W120" s="18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60" t="s">
        <v>21</v>
      </c>
      <c r="B121" s="60" t="s">
        <v>34</v>
      </c>
      <c r="C121" s="60" t="s">
        <v>35</v>
      </c>
      <c r="D121" s="60" t="s">
        <v>33</v>
      </c>
      <c r="E121" s="60" t="s">
        <v>25</v>
      </c>
      <c r="F121" s="60" t="s">
        <v>52</v>
      </c>
      <c r="G121" s="60" t="s">
        <v>25</v>
      </c>
      <c r="H121" s="60" t="s">
        <v>37</v>
      </c>
      <c r="I121" s="67">
        <v>44713</v>
      </c>
      <c r="J121" s="68">
        <f>EFEITO!$J$121*EFEITO!$Y$121</f>
        <v>0</v>
      </c>
      <c r="K121" s="68">
        <f ca="1">EFEITO!$L$121*EFEITO!$Z$121</f>
        <v>34525.797848113027</v>
      </c>
      <c r="L121" s="68">
        <f>EFEITO!$N$121*EFEITO!$AA$121</f>
        <v>0</v>
      </c>
      <c r="M121" s="68">
        <f>$J$121-EFEITO!$K$121*EFEITO!$Y$121</f>
        <v>0</v>
      </c>
      <c r="N121" s="68">
        <f ca="1">$K$121-EFEITO!$M$121*EFEITO!$Z$121</f>
        <v>0</v>
      </c>
      <c r="O121" s="68">
        <f>$L$121-EFEITO!$O$121*EFEITO!$AA$121</f>
        <v>0</v>
      </c>
      <c r="P121" s="18"/>
      <c r="Q121" s="18"/>
      <c r="R121" s="18"/>
      <c r="S121" s="18"/>
      <c r="T121" s="18"/>
      <c r="U121" s="18"/>
      <c r="V121" s="18"/>
      <c r="W121" s="18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60" t="s">
        <v>21</v>
      </c>
      <c r="B122" s="60" t="s">
        <v>34</v>
      </c>
      <c r="C122" s="60" t="s">
        <v>35</v>
      </c>
      <c r="D122" s="60" t="s">
        <v>33</v>
      </c>
      <c r="E122" s="60" t="s">
        <v>25</v>
      </c>
      <c r="F122" s="60" t="s">
        <v>52</v>
      </c>
      <c r="G122" s="60" t="s">
        <v>25</v>
      </c>
      <c r="H122" s="60" t="s">
        <v>25</v>
      </c>
      <c r="I122" s="67">
        <v>44378</v>
      </c>
      <c r="J122" s="68">
        <f ca="1">EFEITO!$J$122*EFEITO!$Y$122</f>
        <v>14725.718079602302</v>
      </c>
      <c r="K122" s="68">
        <f>EFEITO!$L$122*EFEITO!$Z$122</f>
        <v>0</v>
      </c>
      <c r="L122" s="68">
        <f>EFEITO!$N$122*EFEITO!$AA$122</f>
        <v>0</v>
      </c>
      <c r="M122" s="68">
        <f ca="1">$J$122-EFEITO!$K$122*EFEITO!$Y$122</f>
        <v>7336.1225842842832</v>
      </c>
      <c r="N122" s="68">
        <f>$K$122-EFEITO!$M$122*EFEITO!$Z$122</f>
        <v>0</v>
      </c>
      <c r="O122" s="68">
        <f>$L$122-EFEITO!$O$122*EFEITO!$AA$122</f>
        <v>0</v>
      </c>
      <c r="P122" s="18"/>
      <c r="Q122" s="18"/>
      <c r="R122" s="18"/>
      <c r="S122" s="18"/>
      <c r="T122" s="18"/>
      <c r="U122" s="18"/>
      <c r="V122" s="18"/>
      <c r="W122" s="18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60" t="s">
        <v>21</v>
      </c>
      <c r="B123" s="60" t="s">
        <v>34</v>
      </c>
      <c r="C123" s="60" t="s">
        <v>35</v>
      </c>
      <c r="D123" s="60" t="s">
        <v>33</v>
      </c>
      <c r="E123" s="60" t="s">
        <v>25</v>
      </c>
      <c r="F123" s="60" t="s">
        <v>52</v>
      </c>
      <c r="G123" s="60" t="s">
        <v>25</v>
      </c>
      <c r="H123" s="60" t="s">
        <v>25</v>
      </c>
      <c r="I123" s="67">
        <v>44409</v>
      </c>
      <c r="J123" s="68">
        <f ca="1">EFEITO!$J$123*EFEITO!$Y$123</f>
        <v>14725.718079602302</v>
      </c>
      <c r="K123" s="68">
        <f>EFEITO!$L$123*EFEITO!$Z$123</f>
        <v>0</v>
      </c>
      <c r="L123" s="68">
        <f>EFEITO!$N$123*EFEITO!$AA$123</f>
        <v>0</v>
      </c>
      <c r="M123" s="68">
        <f ca="1">$J$123-EFEITO!$K$123*EFEITO!$Y$123</f>
        <v>7341.5875927779844</v>
      </c>
      <c r="N123" s="68">
        <f>$K$123-EFEITO!$M$123*EFEITO!$Z$123</f>
        <v>0</v>
      </c>
      <c r="O123" s="68">
        <f>$L$123-EFEITO!$O$123*EFEITO!$AA$123</f>
        <v>0</v>
      </c>
      <c r="P123" s="18"/>
      <c r="Q123" s="18"/>
      <c r="R123" s="18"/>
      <c r="S123" s="18"/>
      <c r="T123" s="18"/>
      <c r="U123" s="18"/>
      <c r="V123" s="18"/>
      <c r="W123" s="18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60" t="s">
        <v>21</v>
      </c>
      <c r="B124" s="60" t="s">
        <v>34</v>
      </c>
      <c r="C124" s="60" t="s">
        <v>35</v>
      </c>
      <c r="D124" s="60" t="s">
        <v>33</v>
      </c>
      <c r="E124" s="60" t="s">
        <v>25</v>
      </c>
      <c r="F124" s="60" t="s">
        <v>52</v>
      </c>
      <c r="G124" s="60" t="s">
        <v>25</v>
      </c>
      <c r="H124" s="60" t="s">
        <v>25</v>
      </c>
      <c r="I124" s="67">
        <v>44440</v>
      </c>
      <c r="J124" s="68">
        <f ca="1">EFEITO!$J$124*EFEITO!$Y$124</f>
        <v>13744.003540962149</v>
      </c>
      <c r="K124" s="68">
        <f>EFEITO!$L$124*EFEITO!$Z$124</f>
        <v>0</v>
      </c>
      <c r="L124" s="68">
        <f>EFEITO!$N$124*EFEITO!$AA$124</f>
        <v>0</v>
      </c>
      <c r="M124" s="68">
        <f ca="1">$J$124-EFEITO!$K$124*EFEITO!$Y$124</f>
        <v>6827.2111624613617</v>
      </c>
      <c r="N124" s="68">
        <f>$K$124-EFEITO!$M$124*EFEITO!$Z$124</f>
        <v>0</v>
      </c>
      <c r="O124" s="68">
        <f>$L$124-EFEITO!$O$124*EFEITO!$AA$124</f>
        <v>0</v>
      </c>
      <c r="P124" s="18"/>
      <c r="Q124" s="18"/>
      <c r="R124" s="18"/>
      <c r="S124" s="18"/>
      <c r="T124" s="18"/>
      <c r="U124" s="18"/>
      <c r="V124" s="18"/>
      <c r="W124" s="18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60" t="s">
        <v>21</v>
      </c>
      <c r="B125" s="60" t="s">
        <v>34</v>
      </c>
      <c r="C125" s="60" t="s">
        <v>35</v>
      </c>
      <c r="D125" s="60" t="s">
        <v>33</v>
      </c>
      <c r="E125" s="60" t="s">
        <v>25</v>
      </c>
      <c r="F125" s="60" t="s">
        <v>52</v>
      </c>
      <c r="G125" s="60" t="s">
        <v>25</v>
      </c>
      <c r="H125" s="60" t="s">
        <v>25</v>
      </c>
      <c r="I125" s="67">
        <v>44470</v>
      </c>
      <c r="J125" s="68">
        <f ca="1">EFEITO!$J$125*EFEITO!$Y$125</f>
        <v>13901.077867144573</v>
      </c>
      <c r="K125" s="68">
        <f>EFEITO!$L$125*EFEITO!$Z$125</f>
        <v>0</v>
      </c>
      <c r="L125" s="68">
        <f>EFEITO!$N$125*EFEITO!$AA$125</f>
        <v>0</v>
      </c>
      <c r="M125" s="68">
        <f ca="1">$J$125-EFEITO!$K$125*EFEITO!$Y$125</f>
        <v>6911.8915739183867</v>
      </c>
      <c r="N125" s="68">
        <f>$K$125-EFEITO!$M$125*EFEITO!$Z$125</f>
        <v>0</v>
      </c>
      <c r="O125" s="68">
        <f>$L$125-EFEITO!$O$125*EFEITO!$AA$125</f>
        <v>0</v>
      </c>
      <c r="P125" s="18"/>
      <c r="Q125" s="18"/>
      <c r="R125" s="18"/>
      <c r="S125" s="18"/>
      <c r="T125" s="18"/>
      <c r="U125" s="18"/>
      <c r="V125" s="18"/>
      <c r="W125" s="18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60" t="s">
        <v>21</v>
      </c>
      <c r="B126" s="60" t="s">
        <v>34</v>
      </c>
      <c r="C126" s="60" t="s">
        <v>35</v>
      </c>
      <c r="D126" s="60" t="s">
        <v>33</v>
      </c>
      <c r="E126" s="60" t="s">
        <v>25</v>
      </c>
      <c r="F126" s="60" t="s">
        <v>52</v>
      </c>
      <c r="G126" s="60" t="s">
        <v>25</v>
      </c>
      <c r="H126" s="60" t="s">
        <v>25</v>
      </c>
      <c r="I126" s="67">
        <v>44501</v>
      </c>
      <c r="J126" s="68">
        <f ca="1">EFEITO!$J$126*EFEITO!$Y$126</f>
        <v>13802.906413280558</v>
      </c>
      <c r="K126" s="68">
        <f>EFEITO!$L$126*EFEITO!$Z$126</f>
        <v>0</v>
      </c>
      <c r="L126" s="68">
        <f>EFEITO!$N$126*EFEITO!$AA$126</f>
        <v>0</v>
      </c>
      <c r="M126" s="68">
        <f ca="1">$J$126-EFEITO!$K$126*EFEITO!$Y$126</f>
        <v>6298.1427983965841</v>
      </c>
      <c r="N126" s="68">
        <f>$K$126-EFEITO!$M$126*EFEITO!$Z$126</f>
        <v>0</v>
      </c>
      <c r="O126" s="68">
        <f>$L$126-EFEITO!$O$126*EFEITO!$AA$126</f>
        <v>0</v>
      </c>
      <c r="P126" s="18"/>
      <c r="Q126" s="18"/>
      <c r="R126" s="18"/>
      <c r="S126" s="18"/>
      <c r="T126" s="18"/>
      <c r="U126" s="18"/>
      <c r="V126" s="18"/>
      <c r="W126" s="18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60" t="s">
        <v>21</v>
      </c>
      <c r="B127" s="60" t="s">
        <v>34</v>
      </c>
      <c r="C127" s="60" t="s">
        <v>35</v>
      </c>
      <c r="D127" s="60" t="s">
        <v>33</v>
      </c>
      <c r="E127" s="60" t="s">
        <v>25</v>
      </c>
      <c r="F127" s="60" t="s">
        <v>52</v>
      </c>
      <c r="G127" s="60" t="s">
        <v>25</v>
      </c>
      <c r="H127" s="60" t="s">
        <v>25</v>
      </c>
      <c r="I127" s="67">
        <v>44531</v>
      </c>
      <c r="J127" s="68">
        <f ca="1">EFEITO!$J$127*EFEITO!$Y$127</f>
        <v>13744.003540962149</v>
      </c>
      <c r="K127" s="68">
        <f>EFEITO!$L$127*EFEITO!$Z$127</f>
        <v>0</v>
      </c>
      <c r="L127" s="68">
        <f>EFEITO!$N$127*EFEITO!$AA$127</f>
        <v>0</v>
      </c>
      <c r="M127" s="68">
        <f ca="1">$J$127-EFEITO!$K$127*EFEITO!$Y$127</f>
        <v>6855.0106086635242</v>
      </c>
      <c r="N127" s="68">
        <f>$K$127-EFEITO!$M$127*EFEITO!$Z$127</f>
        <v>0</v>
      </c>
      <c r="O127" s="68">
        <f>$L$127-EFEITO!$O$127*EFEITO!$AA$127</f>
        <v>0</v>
      </c>
      <c r="P127" s="18"/>
      <c r="Q127" s="18"/>
      <c r="R127" s="18"/>
      <c r="S127" s="18"/>
      <c r="T127" s="18"/>
      <c r="U127" s="18"/>
      <c r="V127" s="18"/>
      <c r="W127" s="18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60" t="s">
        <v>21</v>
      </c>
      <c r="B128" s="60" t="s">
        <v>34</v>
      </c>
      <c r="C128" s="60" t="s">
        <v>35</v>
      </c>
      <c r="D128" s="60" t="s">
        <v>33</v>
      </c>
      <c r="E128" s="60" t="s">
        <v>25</v>
      </c>
      <c r="F128" s="60" t="s">
        <v>52</v>
      </c>
      <c r="G128" s="60" t="s">
        <v>25</v>
      </c>
      <c r="H128" s="60" t="s">
        <v>25</v>
      </c>
      <c r="I128" s="67">
        <v>44562</v>
      </c>
      <c r="J128" s="68">
        <f ca="1">EFEITO!$J$128*EFEITO!$Y$128</f>
        <v>22775.777296451561</v>
      </c>
      <c r="K128" s="68">
        <f>EFEITO!$L$128*EFEITO!$Z$128</f>
        <v>0</v>
      </c>
      <c r="L128" s="68">
        <f>EFEITO!$N$128*EFEITO!$AA$128</f>
        <v>0</v>
      </c>
      <c r="M128" s="68">
        <f ca="1">$J$128-EFEITO!$K$128*EFEITO!$Y$128</f>
        <v>10105.028415505676</v>
      </c>
      <c r="N128" s="68">
        <f>$K$128-EFEITO!$M$128*EFEITO!$Z$128</f>
        <v>0</v>
      </c>
      <c r="O128" s="68">
        <f>$L$128-EFEITO!$O$128*EFEITO!$AA$128</f>
        <v>0</v>
      </c>
      <c r="P128" s="18"/>
      <c r="Q128" s="18"/>
      <c r="R128" s="18"/>
      <c r="S128" s="18"/>
      <c r="T128" s="18"/>
      <c r="U128" s="18"/>
      <c r="V128" s="18"/>
      <c r="W128" s="18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60" t="s">
        <v>21</v>
      </c>
      <c r="B129" s="60" t="s">
        <v>34</v>
      </c>
      <c r="C129" s="60" t="s">
        <v>35</v>
      </c>
      <c r="D129" s="60" t="s">
        <v>33</v>
      </c>
      <c r="E129" s="60" t="s">
        <v>25</v>
      </c>
      <c r="F129" s="60" t="s">
        <v>52</v>
      </c>
      <c r="G129" s="60" t="s">
        <v>25</v>
      </c>
      <c r="H129" s="60" t="s">
        <v>25</v>
      </c>
      <c r="I129" s="67">
        <v>44593</v>
      </c>
      <c r="J129" s="68">
        <f ca="1">EFEITO!$J$129*EFEITO!$Y$129</f>
        <v>23384.440310408456</v>
      </c>
      <c r="K129" s="68">
        <f>EFEITO!$L$129*EFEITO!$Z$129</f>
        <v>0</v>
      </c>
      <c r="L129" s="68">
        <f>EFEITO!$N$129*EFEITO!$AA$129</f>
        <v>0</v>
      </c>
      <c r="M129" s="68">
        <f ca="1">$J$129-EFEITO!$K$129*EFEITO!$Y$129</f>
        <v>10322.510705304907</v>
      </c>
      <c r="N129" s="68">
        <f>$K$129-EFEITO!$M$129*EFEITO!$Z$129</f>
        <v>0</v>
      </c>
      <c r="O129" s="68">
        <f>$L$129-EFEITO!$O$129*EFEITO!$AA$129</f>
        <v>0</v>
      </c>
      <c r="P129" s="18"/>
      <c r="Q129" s="18"/>
      <c r="R129" s="18"/>
      <c r="S129" s="18"/>
      <c r="T129" s="18"/>
      <c r="U129" s="18"/>
      <c r="V129" s="18"/>
      <c r="W129" s="18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60" t="s">
        <v>21</v>
      </c>
      <c r="B130" s="60" t="s">
        <v>34</v>
      </c>
      <c r="C130" s="60" t="s">
        <v>35</v>
      </c>
      <c r="D130" s="60" t="s">
        <v>33</v>
      </c>
      <c r="E130" s="60" t="s">
        <v>25</v>
      </c>
      <c r="F130" s="60" t="s">
        <v>52</v>
      </c>
      <c r="G130" s="60" t="s">
        <v>25</v>
      </c>
      <c r="H130" s="60" t="s">
        <v>25</v>
      </c>
      <c r="I130" s="67">
        <v>44621</v>
      </c>
      <c r="J130" s="68">
        <f ca="1">EFEITO!$J$130*EFEITO!$Y$130</f>
        <v>23050.657367270804</v>
      </c>
      <c r="K130" s="68">
        <f>EFEITO!$L$130*EFEITO!$Z$130</f>
        <v>0</v>
      </c>
      <c r="L130" s="68">
        <f>EFEITO!$N$130*EFEITO!$AA$130</f>
        <v>0</v>
      </c>
      <c r="M130" s="68">
        <f ca="1">$J$130-EFEITO!$K$130*EFEITO!$Y$130</f>
        <v>10809.650721163509</v>
      </c>
      <c r="N130" s="68">
        <f>$K$130-EFEITO!$M$130*EFEITO!$Z$130</f>
        <v>0</v>
      </c>
      <c r="O130" s="68">
        <f>$L$130-EFEITO!$O$130*EFEITO!$AA$130</f>
        <v>0</v>
      </c>
      <c r="P130" s="18"/>
      <c r="Q130" s="18"/>
      <c r="R130" s="18"/>
      <c r="S130" s="18"/>
      <c r="T130" s="18"/>
      <c r="U130" s="18"/>
      <c r="V130" s="18"/>
      <c r="W130" s="18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60" t="s">
        <v>21</v>
      </c>
      <c r="B131" s="60" t="s">
        <v>34</v>
      </c>
      <c r="C131" s="60" t="s">
        <v>35</v>
      </c>
      <c r="D131" s="60" t="s">
        <v>33</v>
      </c>
      <c r="E131" s="60" t="s">
        <v>25</v>
      </c>
      <c r="F131" s="60" t="s">
        <v>52</v>
      </c>
      <c r="G131" s="60" t="s">
        <v>25</v>
      </c>
      <c r="H131" s="60" t="s">
        <v>25</v>
      </c>
      <c r="I131" s="67">
        <v>44652</v>
      </c>
      <c r="J131" s="68">
        <f ca="1">EFEITO!$J$131*EFEITO!$Y$131</f>
        <v>23561.148927363683</v>
      </c>
      <c r="K131" s="68">
        <f>EFEITO!$L$131*EFEITO!$Z$131</f>
        <v>0</v>
      </c>
      <c r="L131" s="68">
        <f>EFEITO!$N$131*EFEITO!$AA$131</f>
        <v>0</v>
      </c>
      <c r="M131" s="68">
        <f ca="1">$J$131-EFEITO!$K$131*EFEITO!$Y$131</f>
        <v>11408.146681147855</v>
      </c>
      <c r="N131" s="68">
        <f>$K$131-EFEITO!$M$131*EFEITO!$Z$131</f>
        <v>0</v>
      </c>
      <c r="O131" s="68">
        <f>$L$131-EFEITO!$O$131*EFEITO!$AA$131</f>
        <v>0</v>
      </c>
      <c r="P131" s="18"/>
      <c r="Q131" s="18"/>
      <c r="R131" s="18"/>
      <c r="S131" s="18"/>
      <c r="T131" s="18"/>
      <c r="U131" s="18"/>
      <c r="V131" s="18"/>
      <c r="W131" s="18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60" t="s">
        <v>21</v>
      </c>
      <c r="B132" s="60" t="s">
        <v>34</v>
      </c>
      <c r="C132" s="60" t="s">
        <v>35</v>
      </c>
      <c r="D132" s="60" t="s">
        <v>33</v>
      </c>
      <c r="E132" s="60" t="s">
        <v>25</v>
      </c>
      <c r="F132" s="60" t="s">
        <v>52</v>
      </c>
      <c r="G132" s="60" t="s">
        <v>25</v>
      </c>
      <c r="H132" s="60" t="s">
        <v>25</v>
      </c>
      <c r="I132" s="67">
        <v>44682</v>
      </c>
      <c r="J132" s="68">
        <f ca="1">EFEITO!$J$132*EFEITO!$Y$132</f>
        <v>23561.148927363683</v>
      </c>
      <c r="K132" s="68">
        <f>EFEITO!$L$132*EFEITO!$Z$132</f>
        <v>0</v>
      </c>
      <c r="L132" s="68">
        <f>EFEITO!$N$132*EFEITO!$AA$132</f>
        <v>0</v>
      </c>
      <c r="M132" s="68">
        <f ca="1">$J$132-EFEITO!$K$132*EFEITO!$Y$132</f>
        <v>10602.517017313658</v>
      </c>
      <c r="N132" s="68">
        <f>$K$132-EFEITO!$M$132*EFEITO!$Z$132</f>
        <v>0</v>
      </c>
      <c r="O132" s="68">
        <f>$L$132-EFEITO!$O$132*EFEITO!$AA$132</f>
        <v>0</v>
      </c>
      <c r="P132" s="18"/>
      <c r="Q132" s="18"/>
      <c r="R132" s="18"/>
      <c r="S132" s="18"/>
      <c r="T132" s="18"/>
      <c r="U132" s="18"/>
      <c r="V132" s="18"/>
      <c r="W132" s="18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60" t="s">
        <v>21</v>
      </c>
      <c r="B133" s="60" t="s">
        <v>34</v>
      </c>
      <c r="C133" s="60" t="s">
        <v>35</v>
      </c>
      <c r="D133" s="60" t="s">
        <v>33</v>
      </c>
      <c r="E133" s="60" t="s">
        <v>25</v>
      </c>
      <c r="F133" s="60" t="s">
        <v>52</v>
      </c>
      <c r="G133" s="60" t="s">
        <v>25</v>
      </c>
      <c r="H133" s="60" t="s">
        <v>25</v>
      </c>
      <c r="I133" s="67">
        <v>44713</v>
      </c>
      <c r="J133" s="68">
        <f ca="1">EFEITO!$J$133*EFEITO!$Y$133</f>
        <v>23561.148927363683</v>
      </c>
      <c r="K133" s="68">
        <f>EFEITO!$L$133*EFEITO!$Z$133</f>
        <v>0</v>
      </c>
      <c r="L133" s="68">
        <f>EFEITO!$N$133*EFEITO!$AA$133</f>
        <v>0</v>
      </c>
      <c r="M133" s="68">
        <f ca="1">$J$133-EFEITO!$K$133*EFEITO!$Y$133</f>
        <v>10602.517017313658</v>
      </c>
      <c r="N133" s="68">
        <f>$K$133-EFEITO!$M$133*EFEITO!$Z$133</f>
        <v>0</v>
      </c>
      <c r="O133" s="68">
        <f>$L$133-EFEITO!$O$133*EFEITO!$AA$133</f>
        <v>0</v>
      </c>
      <c r="P133" s="18"/>
      <c r="Q133" s="18"/>
      <c r="R133" s="18"/>
      <c r="S133" s="18"/>
      <c r="T133" s="18"/>
      <c r="U133" s="18"/>
      <c r="V133" s="18"/>
      <c r="W133" s="18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60" t="s">
        <v>21</v>
      </c>
      <c r="B134" s="60" t="s">
        <v>34</v>
      </c>
      <c r="C134" s="60" t="s">
        <v>35</v>
      </c>
      <c r="D134" s="60" t="s">
        <v>33</v>
      </c>
      <c r="E134" s="60" t="s">
        <v>25</v>
      </c>
      <c r="F134" s="60" t="s">
        <v>52</v>
      </c>
      <c r="G134" s="60" t="s">
        <v>25</v>
      </c>
      <c r="H134" s="60" t="s">
        <v>36</v>
      </c>
      <c r="I134" s="67">
        <v>44378</v>
      </c>
      <c r="J134" s="68">
        <f>EFEITO!$J$134*EFEITO!$Y$134</f>
        <v>0</v>
      </c>
      <c r="K134" s="68">
        <f ca="1">EFEITO!$L$134*EFEITO!$Z$134</f>
        <v>26918.218767072485</v>
      </c>
      <c r="L134" s="68">
        <f>EFEITO!$N$134*EFEITO!$AA$134</f>
        <v>0</v>
      </c>
      <c r="M134" s="68">
        <f>$J$134-EFEITO!$K$134*EFEITO!$Y$134</f>
        <v>0</v>
      </c>
      <c r="N134" s="68">
        <f ca="1">$K$134-EFEITO!$M$134*EFEITO!$Z$134</f>
        <v>12262.743955454027</v>
      </c>
      <c r="O134" s="68">
        <f>$L$134-EFEITO!$O$134*EFEITO!$AA$134</f>
        <v>0</v>
      </c>
      <c r="P134" s="18"/>
      <c r="Q134" s="18"/>
      <c r="R134" s="18"/>
      <c r="S134" s="18"/>
      <c r="T134" s="18"/>
      <c r="U134" s="18"/>
      <c r="V134" s="18"/>
      <c r="W134" s="18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60" t="s">
        <v>21</v>
      </c>
      <c r="B135" s="60" t="s">
        <v>34</v>
      </c>
      <c r="C135" s="60" t="s">
        <v>35</v>
      </c>
      <c r="D135" s="60" t="s">
        <v>33</v>
      </c>
      <c r="E135" s="60" t="s">
        <v>25</v>
      </c>
      <c r="F135" s="60" t="s">
        <v>52</v>
      </c>
      <c r="G135" s="60" t="s">
        <v>25</v>
      </c>
      <c r="H135" s="60" t="s">
        <v>36</v>
      </c>
      <c r="I135" s="67">
        <v>44409</v>
      </c>
      <c r="J135" s="68">
        <f>EFEITO!$J$135*EFEITO!$Y$135</f>
        <v>0</v>
      </c>
      <c r="K135" s="68">
        <f ca="1">EFEITO!$L$135*EFEITO!$Z$135</f>
        <v>26011.634112894397</v>
      </c>
      <c r="L135" s="68">
        <f>EFEITO!$N$135*EFEITO!$AA$135</f>
        <v>0</v>
      </c>
      <c r="M135" s="68">
        <f>$J$135-EFEITO!$K$135*EFEITO!$Y$135</f>
        <v>0</v>
      </c>
      <c r="N135" s="68">
        <f ca="1">$K$135-EFEITO!$M$135*EFEITO!$Z$135</f>
        <v>11884.052329511571</v>
      </c>
      <c r="O135" s="68">
        <f>$L$135-EFEITO!$O$135*EFEITO!$AA$135</f>
        <v>0</v>
      </c>
      <c r="P135" s="18"/>
      <c r="Q135" s="18"/>
      <c r="R135" s="18"/>
      <c r="S135" s="18"/>
      <c r="T135" s="18"/>
      <c r="U135" s="18"/>
      <c r="V135" s="18"/>
      <c r="W135" s="18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60" t="s">
        <v>21</v>
      </c>
      <c r="B136" s="60" t="s">
        <v>34</v>
      </c>
      <c r="C136" s="60" t="s">
        <v>35</v>
      </c>
      <c r="D136" s="60" t="s">
        <v>33</v>
      </c>
      <c r="E136" s="60" t="s">
        <v>25</v>
      </c>
      <c r="F136" s="60" t="s">
        <v>52</v>
      </c>
      <c r="G136" s="60" t="s">
        <v>25</v>
      </c>
      <c r="H136" s="60" t="s">
        <v>36</v>
      </c>
      <c r="I136" s="67">
        <v>44440</v>
      </c>
      <c r="J136" s="68">
        <f>EFEITO!$J$136*EFEITO!$Y$136</f>
        <v>0</v>
      </c>
      <c r="K136" s="68">
        <f ca="1">EFEITO!$L$136*EFEITO!$Z$136</f>
        <v>26604.103615038501</v>
      </c>
      <c r="L136" s="68">
        <f>EFEITO!$N$136*EFEITO!$AA$136</f>
        <v>0</v>
      </c>
      <c r="M136" s="68">
        <f>$J$136-EFEITO!$K$136*EFEITO!$Y$136</f>
        <v>0</v>
      </c>
      <c r="N136" s="68">
        <f ca="1">$K$136-EFEITO!$M$136*EFEITO!$Z$136</f>
        <v>12110.50136190611</v>
      </c>
      <c r="O136" s="68">
        <f>$L$136-EFEITO!$O$136*EFEITO!$AA$136</f>
        <v>0</v>
      </c>
      <c r="P136" s="18"/>
      <c r="Q136" s="18"/>
      <c r="R136" s="18"/>
      <c r="S136" s="18"/>
      <c r="T136" s="18"/>
      <c r="U136" s="18"/>
      <c r="V136" s="18"/>
      <c r="W136" s="18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60" t="s">
        <v>21</v>
      </c>
      <c r="B137" s="60" t="s">
        <v>34</v>
      </c>
      <c r="C137" s="60" t="s">
        <v>35</v>
      </c>
      <c r="D137" s="60" t="s">
        <v>33</v>
      </c>
      <c r="E137" s="60" t="s">
        <v>25</v>
      </c>
      <c r="F137" s="60" t="s">
        <v>52</v>
      </c>
      <c r="G137" s="60" t="s">
        <v>25</v>
      </c>
      <c r="H137" s="60" t="s">
        <v>36</v>
      </c>
      <c r="I137" s="67">
        <v>44470</v>
      </c>
      <c r="J137" s="68">
        <f>EFEITO!$J$137*EFEITO!$Y$137</f>
        <v>0</v>
      </c>
      <c r="K137" s="68">
        <f ca="1">EFEITO!$L$137*EFEITO!$Z$137</f>
        <v>26934.649405794265</v>
      </c>
      <c r="L137" s="68">
        <f>EFEITO!$N$137*EFEITO!$AA$137</f>
        <v>0</v>
      </c>
      <c r="M137" s="68">
        <f>$J$137-EFEITO!$K$137*EFEITO!$Y$137</f>
        <v>0</v>
      </c>
      <c r="N137" s="68">
        <f ca="1">$K$137-EFEITO!$M$137*EFEITO!$Z$137</f>
        <v>12272.786738421353</v>
      </c>
      <c r="O137" s="68">
        <f>$L$137-EFEITO!$O$137*EFEITO!$AA$137</f>
        <v>0</v>
      </c>
      <c r="P137" s="18"/>
      <c r="Q137" s="18"/>
      <c r="R137" s="18"/>
      <c r="S137" s="18"/>
      <c r="T137" s="18"/>
      <c r="U137" s="18"/>
      <c r="V137" s="18"/>
      <c r="W137" s="18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60" t="s">
        <v>21</v>
      </c>
      <c r="B138" s="60" t="s">
        <v>34</v>
      </c>
      <c r="C138" s="60" t="s">
        <v>35</v>
      </c>
      <c r="D138" s="60" t="s">
        <v>33</v>
      </c>
      <c r="E138" s="60" t="s">
        <v>25</v>
      </c>
      <c r="F138" s="60" t="s">
        <v>52</v>
      </c>
      <c r="G138" s="60" t="s">
        <v>25</v>
      </c>
      <c r="H138" s="60" t="s">
        <v>36</v>
      </c>
      <c r="I138" s="67">
        <v>44501</v>
      </c>
      <c r="J138" s="68">
        <f>EFEITO!$J$138*EFEITO!$Y$138</f>
        <v>0</v>
      </c>
      <c r="K138" s="68">
        <f ca="1">EFEITO!$L$138*EFEITO!$Z$138</f>
        <v>27163.711839739051</v>
      </c>
      <c r="L138" s="68">
        <f>EFEITO!$N$138*EFEITO!$AA$138</f>
        <v>0</v>
      </c>
      <c r="M138" s="68">
        <f>$J$138-EFEITO!$K$138*EFEITO!$Y$138</f>
        <v>0</v>
      </c>
      <c r="N138" s="68">
        <f ca="1">$K$138-EFEITO!$M$138*EFEITO!$Z$138</f>
        <v>13525.323346062898</v>
      </c>
      <c r="O138" s="68">
        <f>$L$138-EFEITO!$O$138*EFEITO!$AA$138</f>
        <v>0</v>
      </c>
      <c r="P138" s="18"/>
      <c r="Q138" s="18"/>
      <c r="R138" s="18"/>
      <c r="S138" s="18"/>
      <c r="T138" s="18"/>
      <c r="U138" s="18"/>
      <c r="V138" s="18"/>
      <c r="W138" s="18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60" t="s">
        <v>21</v>
      </c>
      <c r="B139" s="60" t="s">
        <v>34</v>
      </c>
      <c r="C139" s="60" t="s">
        <v>35</v>
      </c>
      <c r="D139" s="60" t="s">
        <v>33</v>
      </c>
      <c r="E139" s="60" t="s">
        <v>25</v>
      </c>
      <c r="F139" s="60" t="s">
        <v>52</v>
      </c>
      <c r="G139" s="60" t="s">
        <v>25</v>
      </c>
      <c r="H139" s="60" t="s">
        <v>36</v>
      </c>
      <c r="I139" s="67">
        <v>44531</v>
      </c>
      <c r="J139" s="68">
        <f>EFEITO!$J$139*EFEITO!$Y$139</f>
        <v>0</v>
      </c>
      <c r="K139" s="68">
        <f ca="1">EFEITO!$L$139*EFEITO!$Z$139</f>
        <v>17534.391040617178</v>
      </c>
      <c r="L139" s="68">
        <f>EFEITO!$N$139*EFEITO!$AA$139</f>
        <v>0</v>
      </c>
      <c r="M139" s="68">
        <f>$J$139-EFEITO!$K$139*EFEITO!$Y$139</f>
        <v>0</v>
      </c>
      <c r="N139" s="68">
        <f ca="1">$K$139-EFEITO!$M$139*EFEITO!$Z$139</f>
        <v>8014.3624026726447</v>
      </c>
      <c r="O139" s="68">
        <f>$L$139-EFEITO!$O$139*EFEITO!$AA$139</f>
        <v>0</v>
      </c>
      <c r="P139" s="18"/>
      <c r="Q139" s="18"/>
      <c r="R139" s="18"/>
      <c r="S139" s="18"/>
      <c r="T139" s="18"/>
      <c r="U139" s="18"/>
      <c r="V139" s="18"/>
      <c r="W139" s="18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60" t="s">
        <v>21</v>
      </c>
      <c r="B140" s="60" t="s">
        <v>34</v>
      </c>
      <c r="C140" s="60" t="s">
        <v>35</v>
      </c>
      <c r="D140" s="60" t="s">
        <v>33</v>
      </c>
      <c r="E140" s="60" t="s">
        <v>25</v>
      </c>
      <c r="F140" s="60" t="s">
        <v>52</v>
      </c>
      <c r="G140" s="60" t="s">
        <v>25</v>
      </c>
      <c r="H140" s="60" t="s">
        <v>36</v>
      </c>
      <c r="I140" s="67">
        <v>44562</v>
      </c>
      <c r="J140" s="68">
        <f>EFEITO!$J$140*EFEITO!$Y$140</f>
        <v>0</v>
      </c>
      <c r="K140" s="68">
        <f ca="1">EFEITO!$L$140*EFEITO!$Z$140</f>
        <v>44764.791943403448</v>
      </c>
      <c r="L140" s="68">
        <f>EFEITO!$N$140*EFEITO!$AA$140</f>
        <v>0</v>
      </c>
      <c r="M140" s="68">
        <f>$J$140-EFEITO!$K$140*EFEITO!$Y$140</f>
        <v>0</v>
      </c>
      <c r="N140" s="68">
        <f ca="1">$K$140-EFEITO!$M$140*EFEITO!$Z$140</f>
        <v>18200.541627311926</v>
      </c>
      <c r="O140" s="68">
        <f>$L$140-EFEITO!$O$140*EFEITO!$AA$140</f>
        <v>0</v>
      </c>
      <c r="P140" s="18"/>
      <c r="Q140" s="18"/>
      <c r="R140" s="18"/>
      <c r="S140" s="18"/>
      <c r="T140" s="18"/>
      <c r="U140" s="18"/>
      <c r="V140" s="18"/>
      <c r="W140" s="18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60" t="s">
        <v>21</v>
      </c>
      <c r="B141" s="60" t="s">
        <v>34</v>
      </c>
      <c r="C141" s="60" t="s">
        <v>35</v>
      </c>
      <c r="D141" s="60" t="s">
        <v>33</v>
      </c>
      <c r="E141" s="60" t="s">
        <v>25</v>
      </c>
      <c r="F141" s="60" t="s">
        <v>52</v>
      </c>
      <c r="G141" s="60" t="s">
        <v>25</v>
      </c>
      <c r="H141" s="60" t="s">
        <v>36</v>
      </c>
      <c r="I141" s="67">
        <v>44593</v>
      </c>
      <c r="J141" s="68">
        <f>EFEITO!$J$141*EFEITO!$Y$141</f>
        <v>0</v>
      </c>
      <c r="K141" s="68">
        <f ca="1">EFEITO!$L$141*EFEITO!$Z$141</f>
        <v>40008.605287528837</v>
      </c>
      <c r="L141" s="68">
        <f>EFEITO!$N$141*EFEITO!$AA$141</f>
        <v>0</v>
      </c>
      <c r="M141" s="68">
        <f>$J$141-EFEITO!$K$141*EFEITO!$Y$141</f>
        <v>0</v>
      </c>
      <c r="N141" s="68">
        <f ca="1">$K$141-EFEITO!$M$141*EFEITO!$Z$141</f>
        <v>16184.347025109888</v>
      </c>
      <c r="O141" s="68">
        <f>$L$141-EFEITO!$O$141*EFEITO!$AA$141</f>
        <v>0</v>
      </c>
      <c r="P141" s="18"/>
      <c r="Q141" s="18"/>
      <c r="R141" s="18"/>
      <c r="S141" s="18"/>
      <c r="T141" s="18"/>
      <c r="U141" s="18"/>
      <c r="V141" s="18"/>
      <c r="W141" s="18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60" t="s">
        <v>21</v>
      </c>
      <c r="B142" s="60" t="s">
        <v>34</v>
      </c>
      <c r="C142" s="60" t="s">
        <v>35</v>
      </c>
      <c r="D142" s="60" t="s">
        <v>33</v>
      </c>
      <c r="E142" s="60" t="s">
        <v>25</v>
      </c>
      <c r="F142" s="60" t="s">
        <v>52</v>
      </c>
      <c r="G142" s="60" t="s">
        <v>25</v>
      </c>
      <c r="H142" s="60" t="s">
        <v>36</v>
      </c>
      <c r="I142" s="67">
        <v>44621</v>
      </c>
      <c r="J142" s="68">
        <f>EFEITO!$J$142*EFEITO!$Y$142</f>
        <v>0</v>
      </c>
      <c r="K142" s="68">
        <f ca="1">EFEITO!$L$142*EFEITO!$Z$142</f>
        <v>44573.423327702738</v>
      </c>
      <c r="L142" s="68">
        <f>EFEITO!$N$142*EFEITO!$AA$142</f>
        <v>0</v>
      </c>
      <c r="M142" s="68">
        <f>$J$142-EFEITO!$K$142*EFEITO!$Y$142</f>
        <v>0</v>
      </c>
      <c r="N142" s="68">
        <f ca="1">$K$142-EFEITO!$M$142*EFEITO!$Z$142</f>
        <v>19155.246815513074</v>
      </c>
      <c r="O142" s="68">
        <f>$L$142-EFEITO!$O$142*EFEITO!$AA$142</f>
        <v>0</v>
      </c>
      <c r="P142" s="18"/>
      <c r="Q142" s="18"/>
      <c r="R142" s="18"/>
      <c r="S142" s="18"/>
      <c r="T142" s="18"/>
      <c r="U142" s="18"/>
      <c r="V142" s="18"/>
      <c r="W142" s="18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60" t="s">
        <v>21</v>
      </c>
      <c r="B143" s="60" t="s">
        <v>34</v>
      </c>
      <c r="C143" s="60" t="s">
        <v>35</v>
      </c>
      <c r="D143" s="60" t="s">
        <v>33</v>
      </c>
      <c r="E143" s="60" t="s">
        <v>25</v>
      </c>
      <c r="F143" s="60" t="s">
        <v>52</v>
      </c>
      <c r="G143" s="60" t="s">
        <v>25</v>
      </c>
      <c r="H143" s="60" t="s">
        <v>36</v>
      </c>
      <c r="I143" s="67">
        <v>44652</v>
      </c>
      <c r="J143" s="68">
        <f>EFEITO!$J$143*EFEITO!$Y$143</f>
        <v>0</v>
      </c>
      <c r="K143" s="68">
        <f ca="1">EFEITO!$L$143*EFEITO!$Z$143</f>
        <v>35756.935891228815</v>
      </c>
      <c r="L143" s="68">
        <f>EFEITO!$N$143*EFEITO!$AA$143</f>
        <v>0</v>
      </c>
      <c r="M143" s="68">
        <f>$J$143-EFEITO!$K$143*EFEITO!$Y$143</f>
        <v>0</v>
      </c>
      <c r="N143" s="68">
        <f ca="1">$K$143-EFEITO!$M$143*EFEITO!$Z$143</f>
        <v>15865.813719411221</v>
      </c>
      <c r="O143" s="68">
        <f>$L$143-EFEITO!$O$143*EFEITO!$AA$143</f>
        <v>0</v>
      </c>
      <c r="P143" s="18"/>
      <c r="Q143" s="18"/>
      <c r="R143" s="18"/>
      <c r="S143" s="18"/>
      <c r="T143" s="18"/>
      <c r="U143" s="18"/>
      <c r="V143" s="18"/>
      <c r="W143" s="18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60" t="s">
        <v>21</v>
      </c>
      <c r="B144" s="60" t="s">
        <v>34</v>
      </c>
      <c r="C144" s="60" t="s">
        <v>35</v>
      </c>
      <c r="D144" s="60" t="s">
        <v>33</v>
      </c>
      <c r="E144" s="60" t="s">
        <v>25</v>
      </c>
      <c r="F144" s="60" t="s">
        <v>52</v>
      </c>
      <c r="G144" s="60" t="s">
        <v>25</v>
      </c>
      <c r="H144" s="60" t="s">
        <v>36</v>
      </c>
      <c r="I144" s="67">
        <v>44682</v>
      </c>
      <c r="J144" s="68">
        <f>EFEITO!$J$144*EFEITO!$Y$144</f>
        <v>0</v>
      </c>
      <c r="K144" s="68">
        <f ca="1">EFEITO!$L$144*EFEITO!$Z$144</f>
        <v>41006.041708756755</v>
      </c>
      <c r="L144" s="68">
        <f>EFEITO!$N$144*EFEITO!$AA$144</f>
        <v>0</v>
      </c>
      <c r="M144" s="68">
        <f>$J$144-EFEITO!$K$144*EFEITO!$Y$144</f>
        <v>0</v>
      </c>
      <c r="N144" s="68">
        <f ca="1">$K$144-EFEITO!$M$144*EFEITO!$Z$144</f>
        <v>16910.006690311209</v>
      </c>
      <c r="O144" s="68">
        <f>$L$144-EFEITO!$O$144*EFEITO!$AA$144</f>
        <v>0</v>
      </c>
      <c r="P144" s="18"/>
      <c r="Q144" s="18"/>
      <c r="R144" s="18"/>
      <c r="S144" s="18"/>
      <c r="T144" s="18"/>
      <c r="U144" s="18"/>
      <c r="V144" s="18"/>
      <c r="W144" s="18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60" t="s">
        <v>21</v>
      </c>
      <c r="B145" s="60" t="s">
        <v>34</v>
      </c>
      <c r="C145" s="60" t="s">
        <v>35</v>
      </c>
      <c r="D145" s="60" t="s">
        <v>33</v>
      </c>
      <c r="E145" s="60" t="s">
        <v>25</v>
      </c>
      <c r="F145" s="60" t="s">
        <v>52</v>
      </c>
      <c r="G145" s="60" t="s">
        <v>25</v>
      </c>
      <c r="H145" s="60" t="s">
        <v>36</v>
      </c>
      <c r="I145" s="67">
        <v>44713</v>
      </c>
      <c r="J145" s="68">
        <f>EFEITO!$J$145*EFEITO!$Y$145</f>
        <v>0</v>
      </c>
      <c r="K145" s="68">
        <f ca="1">EFEITO!$L$145*EFEITO!$Z$145</f>
        <v>41008.94123323707</v>
      </c>
      <c r="L145" s="68">
        <f>EFEITO!$N$145*EFEITO!$AA$145</f>
        <v>0</v>
      </c>
      <c r="M145" s="68">
        <f>$J$145-EFEITO!$K$145*EFEITO!$Y$145</f>
        <v>0</v>
      </c>
      <c r="N145" s="68">
        <f ca="1">$K$145-EFEITO!$M$145*EFEITO!$Z$145</f>
        <v>16911.202391635154</v>
      </c>
      <c r="O145" s="68">
        <f>$L$145-EFEITO!$O$145*EFEITO!$AA$145</f>
        <v>0</v>
      </c>
      <c r="P145" s="18"/>
      <c r="Q145" s="18"/>
      <c r="R145" s="18"/>
      <c r="S145" s="18"/>
      <c r="T145" s="18"/>
      <c r="U145" s="18"/>
      <c r="V145" s="18"/>
      <c r="W145" s="18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60" t="s">
        <v>21</v>
      </c>
      <c r="B146" s="60" t="s">
        <v>34</v>
      </c>
      <c r="C146" s="60" t="s">
        <v>35</v>
      </c>
      <c r="D146" s="60" t="s">
        <v>33</v>
      </c>
      <c r="E146" s="60" t="s">
        <v>25</v>
      </c>
      <c r="F146" s="60" t="s">
        <v>25</v>
      </c>
      <c r="G146" s="60" t="s">
        <v>25</v>
      </c>
      <c r="H146" s="60" t="s">
        <v>37</v>
      </c>
      <c r="I146" s="67">
        <v>44378</v>
      </c>
      <c r="J146" s="68">
        <f>EFEITO!$J$146*EFEITO!$Y$146</f>
        <v>0</v>
      </c>
      <c r="K146" s="68">
        <f ca="1">EFEITO!$L$146*EFEITO!$Z$146</f>
        <v>209805.00815319296</v>
      </c>
      <c r="L146" s="68">
        <f>EFEITO!$N$146*EFEITO!$AA$146</f>
        <v>396959.9031906398</v>
      </c>
      <c r="M146" s="68">
        <f>$J$146-EFEITO!$K$146*EFEITO!$Y$146</f>
        <v>0</v>
      </c>
      <c r="N146" s="68">
        <f ca="1">$K$146-EFEITO!$M$146*EFEITO!$Z$146</f>
        <v>0</v>
      </c>
      <c r="O146" s="68">
        <f>$L$146-EFEITO!$O$146*EFEITO!$AA$146</f>
        <v>0</v>
      </c>
      <c r="P146" s="18"/>
      <c r="Q146" s="18"/>
      <c r="R146" s="18"/>
      <c r="S146" s="18"/>
      <c r="T146" s="18"/>
      <c r="U146" s="18"/>
      <c r="V146" s="18"/>
      <c r="W146" s="18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60" t="s">
        <v>21</v>
      </c>
      <c r="B147" s="60" t="s">
        <v>34</v>
      </c>
      <c r="C147" s="60" t="s">
        <v>35</v>
      </c>
      <c r="D147" s="60" t="s">
        <v>33</v>
      </c>
      <c r="E147" s="60" t="s">
        <v>25</v>
      </c>
      <c r="F147" s="60" t="s">
        <v>25</v>
      </c>
      <c r="G147" s="60" t="s">
        <v>25</v>
      </c>
      <c r="H147" s="60" t="s">
        <v>37</v>
      </c>
      <c r="I147" s="67">
        <v>44409</v>
      </c>
      <c r="J147" s="68">
        <f>EFEITO!$J$147*EFEITO!$Y$147</f>
        <v>0</v>
      </c>
      <c r="K147" s="68">
        <f ca="1">EFEITO!$L$147*EFEITO!$Z$147</f>
        <v>215442.59503535405</v>
      </c>
      <c r="L147" s="68">
        <f>EFEITO!$N$147*EFEITO!$AA$147</f>
        <v>407626.4547790435</v>
      </c>
      <c r="M147" s="68">
        <f>$J$147-EFEITO!$K$147*EFEITO!$Y$147</f>
        <v>0</v>
      </c>
      <c r="N147" s="68">
        <f ca="1">$K$147-EFEITO!$M$147*EFEITO!$Z$147</f>
        <v>0</v>
      </c>
      <c r="O147" s="68">
        <f>$L$147-EFEITO!$O$147*EFEITO!$AA$147</f>
        <v>0</v>
      </c>
      <c r="P147" s="18"/>
      <c r="Q147" s="18"/>
      <c r="R147" s="18"/>
      <c r="S147" s="18"/>
      <c r="T147" s="18"/>
      <c r="U147" s="18"/>
      <c r="V147" s="18"/>
      <c r="W147" s="18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60" t="s">
        <v>21</v>
      </c>
      <c r="B148" s="60" t="s">
        <v>34</v>
      </c>
      <c r="C148" s="60" t="s">
        <v>35</v>
      </c>
      <c r="D148" s="60" t="s">
        <v>33</v>
      </c>
      <c r="E148" s="60" t="s">
        <v>25</v>
      </c>
      <c r="F148" s="60" t="s">
        <v>25</v>
      </c>
      <c r="G148" s="60" t="s">
        <v>25</v>
      </c>
      <c r="H148" s="60" t="s">
        <v>37</v>
      </c>
      <c r="I148" s="67">
        <v>44440</v>
      </c>
      <c r="J148" s="68">
        <f>EFEITO!$J$148*EFEITO!$Y$148</f>
        <v>0</v>
      </c>
      <c r="K148" s="68">
        <f ca="1">EFEITO!$L$148*EFEITO!$Z$148</f>
        <v>208373.08741561408</v>
      </c>
      <c r="L148" s="68">
        <f>EFEITO!$N$148*EFEITO!$AA$148</f>
        <v>394250.64890558034</v>
      </c>
      <c r="M148" s="68">
        <f>$J$148-EFEITO!$K$148*EFEITO!$Y$148</f>
        <v>0</v>
      </c>
      <c r="N148" s="68">
        <f ca="1">$K$148-EFEITO!$M$148*EFEITO!$Z$148</f>
        <v>0</v>
      </c>
      <c r="O148" s="68">
        <f>$L$148-EFEITO!$O$148*EFEITO!$AA$148</f>
        <v>0</v>
      </c>
      <c r="P148" s="18"/>
      <c r="Q148" s="18"/>
      <c r="R148" s="18"/>
      <c r="S148" s="18"/>
      <c r="T148" s="18"/>
      <c r="U148" s="18"/>
      <c r="V148" s="18"/>
      <c r="W148" s="18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60" t="s">
        <v>21</v>
      </c>
      <c r="B149" s="60" t="s">
        <v>34</v>
      </c>
      <c r="C149" s="60" t="s">
        <v>35</v>
      </c>
      <c r="D149" s="60" t="s">
        <v>33</v>
      </c>
      <c r="E149" s="60" t="s">
        <v>25</v>
      </c>
      <c r="F149" s="60" t="s">
        <v>25</v>
      </c>
      <c r="G149" s="60" t="s">
        <v>25</v>
      </c>
      <c r="H149" s="60" t="s">
        <v>37</v>
      </c>
      <c r="I149" s="67">
        <v>44470</v>
      </c>
      <c r="J149" s="68">
        <f>EFEITO!$J$149*EFEITO!$Y$149</f>
        <v>0</v>
      </c>
      <c r="K149" s="68">
        <f ca="1">EFEITO!$L$149*EFEITO!$Z$149</f>
        <v>220096.45191287695</v>
      </c>
      <c r="L149" s="68">
        <f>EFEITO!$N$149*EFEITO!$AA$149</f>
        <v>416431.74780720455</v>
      </c>
      <c r="M149" s="68">
        <f>$J$149-EFEITO!$K$149*EFEITO!$Y$149</f>
        <v>0</v>
      </c>
      <c r="N149" s="68">
        <f ca="1">$K$149-EFEITO!$M$149*EFEITO!$Z$149</f>
        <v>0</v>
      </c>
      <c r="O149" s="68">
        <f>$L$149-EFEITO!$O$149*EFEITO!$AA$149</f>
        <v>0</v>
      </c>
      <c r="P149" s="18"/>
      <c r="Q149" s="18"/>
      <c r="R149" s="18"/>
      <c r="S149" s="18"/>
      <c r="T149" s="18"/>
      <c r="U149" s="18"/>
      <c r="V149" s="18"/>
      <c r="W149" s="18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60" t="s">
        <v>21</v>
      </c>
      <c r="B150" s="60" t="s">
        <v>34</v>
      </c>
      <c r="C150" s="60" t="s">
        <v>35</v>
      </c>
      <c r="D150" s="60" t="s">
        <v>33</v>
      </c>
      <c r="E150" s="60" t="s">
        <v>25</v>
      </c>
      <c r="F150" s="60" t="s">
        <v>25</v>
      </c>
      <c r="G150" s="60" t="s">
        <v>25</v>
      </c>
      <c r="H150" s="60" t="s">
        <v>37</v>
      </c>
      <c r="I150" s="67">
        <v>44501</v>
      </c>
      <c r="J150" s="68">
        <f>EFEITO!$J$150*EFEITO!$Y$150</f>
        <v>0</v>
      </c>
      <c r="K150" s="68">
        <f ca="1">EFEITO!$L$150*EFEITO!$Z$150</f>
        <v>214529.72839308882</v>
      </c>
      <c r="L150" s="68">
        <f>EFEITO!$N$150*EFEITO!$AA$150</f>
        <v>405899.27268206049</v>
      </c>
      <c r="M150" s="68">
        <f>$J$150-EFEITO!$K$150*EFEITO!$Y$150</f>
        <v>0</v>
      </c>
      <c r="N150" s="68">
        <f ca="1">$K$150-EFEITO!$M$150*EFEITO!$Z$150</f>
        <v>0</v>
      </c>
      <c r="O150" s="68">
        <f>$L$150-EFEITO!$O$150*EFEITO!$AA$150</f>
        <v>0</v>
      </c>
      <c r="P150" s="18"/>
      <c r="Q150" s="18"/>
      <c r="R150" s="18"/>
      <c r="S150" s="18"/>
      <c r="T150" s="18"/>
      <c r="U150" s="18"/>
      <c r="V150" s="18"/>
      <c r="W150" s="18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60" t="s">
        <v>21</v>
      </c>
      <c r="B151" s="60" t="s">
        <v>34</v>
      </c>
      <c r="C151" s="60" t="s">
        <v>35</v>
      </c>
      <c r="D151" s="60" t="s">
        <v>33</v>
      </c>
      <c r="E151" s="60" t="s">
        <v>25</v>
      </c>
      <c r="F151" s="60" t="s">
        <v>25</v>
      </c>
      <c r="G151" s="60" t="s">
        <v>25</v>
      </c>
      <c r="H151" s="60" t="s">
        <v>37</v>
      </c>
      <c r="I151" s="67">
        <v>44531</v>
      </c>
      <c r="J151" s="68">
        <f>EFEITO!$J$151*EFEITO!$Y$151</f>
        <v>0</v>
      </c>
      <c r="K151" s="68">
        <f ca="1">EFEITO!$L$151*EFEITO!$Z$151</f>
        <v>213556.9885060399</v>
      </c>
      <c r="L151" s="68">
        <f>EFEITO!$N$151*EFEITO!$AA$151</f>
        <v>404058.80788671743</v>
      </c>
      <c r="M151" s="68">
        <f>$J$151-EFEITO!$K$151*EFEITO!$Y$151</f>
        <v>0</v>
      </c>
      <c r="N151" s="68">
        <f ca="1">$K$151-EFEITO!$M$151*EFEITO!$Z$151</f>
        <v>0</v>
      </c>
      <c r="O151" s="68">
        <f>$L$151-EFEITO!$O$151*EFEITO!$AA$151</f>
        <v>0</v>
      </c>
      <c r="P151" s="18"/>
      <c r="Q151" s="18"/>
      <c r="R151" s="18"/>
      <c r="S151" s="18"/>
      <c r="T151" s="18"/>
      <c r="U151" s="18"/>
      <c r="V151" s="18"/>
      <c r="W151" s="18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60" t="s">
        <v>21</v>
      </c>
      <c r="B152" s="60" t="s">
        <v>34</v>
      </c>
      <c r="C152" s="60" t="s">
        <v>35</v>
      </c>
      <c r="D152" s="60" t="s">
        <v>33</v>
      </c>
      <c r="E152" s="60" t="s">
        <v>25</v>
      </c>
      <c r="F152" s="60" t="s">
        <v>25</v>
      </c>
      <c r="G152" s="60" t="s">
        <v>25</v>
      </c>
      <c r="H152" s="60" t="s">
        <v>37</v>
      </c>
      <c r="I152" s="67">
        <v>44562</v>
      </c>
      <c r="J152" s="68">
        <f>EFEITO!$J$152*EFEITO!$Y$152</f>
        <v>0</v>
      </c>
      <c r="K152" s="68">
        <f ca="1">EFEITO!$L$152*EFEITO!$Z$152</f>
        <v>206130.87446660388</v>
      </c>
      <c r="L152" s="68">
        <f>EFEITO!$N$152*EFEITO!$AA$152</f>
        <v>390008.28766260186</v>
      </c>
      <c r="M152" s="68">
        <f>$J$152-EFEITO!$K$152*EFEITO!$Y$152</f>
        <v>0</v>
      </c>
      <c r="N152" s="68">
        <f ca="1">$K$152-EFEITO!$M$152*EFEITO!$Z$152</f>
        <v>0</v>
      </c>
      <c r="O152" s="68">
        <f>$L$152-EFEITO!$O$152*EFEITO!$AA$152</f>
        <v>0</v>
      </c>
      <c r="P152" s="18"/>
      <c r="Q152" s="18"/>
      <c r="R152" s="18"/>
      <c r="S152" s="18"/>
      <c r="T152" s="18"/>
      <c r="U152" s="18"/>
      <c r="V152" s="18"/>
      <c r="W152" s="18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60" t="s">
        <v>21</v>
      </c>
      <c r="B153" s="60" t="s">
        <v>34</v>
      </c>
      <c r="C153" s="60" t="s">
        <v>35</v>
      </c>
      <c r="D153" s="60" t="s">
        <v>33</v>
      </c>
      <c r="E153" s="60" t="s">
        <v>25</v>
      </c>
      <c r="F153" s="60" t="s">
        <v>25</v>
      </c>
      <c r="G153" s="60" t="s">
        <v>25</v>
      </c>
      <c r="H153" s="60" t="s">
        <v>37</v>
      </c>
      <c r="I153" s="67">
        <v>44593</v>
      </c>
      <c r="J153" s="68">
        <f>EFEITO!$J$153*EFEITO!$Y$153</f>
        <v>0</v>
      </c>
      <c r="K153" s="68">
        <f ca="1">EFEITO!$L$153*EFEITO!$Z$153</f>
        <v>168077.01991152688</v>
      </c>
      <c r="L153" s="68">
        <f>EFEITO!$N$153*EFEITO!$AA$153</f>
        <v>318008.79368872946</v>
      </c>
      <c r="M153" s="68">
        <f>$J$153-EFEITO!$K$153*EFEITO!$Y$153</f>
        <v>0</v>
      </c>
      <c r="N153" s="68">
        <f ca="1">$K$153-EFEITO!$M$153*EFEITO!$Z$153</f>
        <v>0</v>
      </c>
      <c r="O153" s="68">
        <f>$L$153-EFEITO!$O$153*EFEITO!$AA$153</f>
        <v>0</v>
      </c>
      <c r="P153" s="18"/>
      <c r="Q153" s="18"/>
      <c r="R153" s="18"/>
      <c r="S153" s="18"/>
      <c r="T153" s="18"/>
      <c r="U153" s="18"/>
      <c r="V153" s="18"/>
      <c r="W153" s="18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60" t="s">
        <v>21</v>
      </c>
      <c r="B154" s="60" t="s">
        <v>34</v>
      </c>
      <c r="C154" s="60" t="s">
        <v>35</v>
      </c>
      <c r="D154" s="60" t="s">
        <v>33</v>
      </c>
      <c r="E154" s="60" t="s">
        <v>25</v>
      </c>
      <c r="F154" s="60" t="s">
        <v>25</v>
      </c>
      <c r="G154" s="60" t="s">
        <v>25</v>
      </c>
      <c r="H154" s="60" t="s">
        <v>37</v>
      </c>
      <c r="I154" s="67">
        <v>44621</v>
      </c>
      <c r="J154" s="68">
        <f>EFEITO!$J$154*EFEITO!$Y$154</f>
        <v>0</v>
      </c>
      <c r="K154" s="68">
        <f ca="1">EFEITO!$L$154*EFEITO!$Z$154</f>
        <v>174478.53444653924</v>
      </c>
      <c r="L154" s="68">
        <f>EFEITO!$N$154*EFEITO!$AA$154</f>
        <v>330120.72853938147</v>
      </c>
      <c r="M154" s="68">
        <f>$J$154-EFEITO!$K$154*EFEITO!$Y$154</f>
        <v>0</v>
      </c>
      <c r="N154" s="68">
        <f ca="1">$K$154-EFEITO!$M$154*EFEITO!$Z$154</f>
        <v>0</v>
      </c>
      <c r="O154" s="68">
        <f>$L$154-EFEITO!$O$154*EFEITO!$AA$154</f>
        <v>0</v>
      </c>
      <c r="P154" s="18"/>
      <c r="Q154" s="18"/>
      <c r="R154" s="18"/>
      <c r="S154" s="18"/>
      <c r="T154" s="18"/>
      <c r="U154" s="18"/>
      <c r="V154" s="18"/>
      <c r="W154" s="18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60" t="s">
        <v>21</v>
      </c>
      <c r="B155" s="60" t="s">
        <v>34</v>
      </c>
      <c r="C155" s="60" t="s">
        <v>35</v>
      </c>
      <c r="D155" s="60" t="s">
        <v>33</v>
      </c>
      <c r="E155" s="60" t="s">
        <v>25</v>
      </c>
      <c r="F155" s="60" t="s">
        <v>25</v>
      </c>
      <c r="G155" s="60" t="s">
        <v>25</v>
      </c>
      <c r="H155" s="60" t="s">
        <v>37</v>
      </c>
      <c r="I155" s="67">
        <v>44652</v>
      </c>
      <c r="J155" s="68">
        <f>EFEITO!$J$155*EFEITO!$Y$155</f>
        <v>0</v>
      </c>
      <c r="K155" s="68">
        <f ca="1">EFEITO!$L$155*EFEITO!$Z$155</f>
        <v>180814.68067797337</v>
      </c>
      <c r="L155" s="68">
        <f>EFEITO!$N$155*EFEITO!$AA$155</f>
        <v>342108.98380922381</v>
      </c>
      <c r="M155" s="68">
        <f>$J$155-EFEITO!$K$155*EFEITO!$Y$155</f>
        <v>0</v>
      </c>
      <c r="N155" s="68">
        <f ca="1">$K$155-EFEITO!$M$155*EFEITO!$Z$155</f>
        <v>0</v>
      </c>
      <c r="O155" s="68">
        <f>$L$155-EFEITO!$O$155*EFEITO!$AA$155</f>
        <v>0</v>
      </c>
      <c r="P155" s="18"/>
      <c r="Q155" s="18"/>
      <c r="R155" s="18"/>
      <c r="S155" s="18"/>
      <c r="T155" s="18"/>
      <c r="U155" s="18"/>
      <c r="V155" s="18"/>
      <c r="W155" s="18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60" t="s">
        <v>21</v>
      </c>
      <c r="B156" s="60" t="s">
        <v>34</v>
      </c>
      <c r="C156" s="60" t="s">
        <v>35</v>
      </c>
      <c r="D156" s="60" t="s">
        <v>33</v>
      </c>
      <c r="E156" s="60" t="s">
        <v>25</v>
      </c>
      <c r="F156" s="60" t="s">
        <v>25</v>
      </c>
      <c r="G156" s="60" t="s">
        <v>25</v>
      </c>
      <c r="H156" s="60" t="s">
        <v>37</v>
      </c>
      <c r="I156" s="67">
        <v>44682</v>
      </c>
      <c r="J156" s="68">
        <f>EFEITO!$J$156*EFEITO!$Y$156</f>
        <v>0</v>
      </c>
      <c r="K156" s="68">
        <f ca="1">EFEITO!$L$156*EFEITO!$Z$156</f>
        <v>168904.48418169157</v>
      </c>
      <c r="L156" s="68">
        <f>EFEITO!$N$156*EFEITO!$AA$156</f>
        <v>319574.39090430428</v>
      </c>
      <c r="M156" s="68">
        <f>$J$156-EFEITO!$K$156*EFEITO!$Y$156</f>
        <v>0</v>
      </c>
      <c r="N156" s="68">
        <f ca="1">$K$156-EFEITO!$M$156*EFEITO!$Z$156</f>
        <v>0</v>
      </c>
      <c r="O156" s="68">
        <f>$L$156-EFEITO!$O$156*EFEITO!$AA$156</f>
        <v>0</v>
      </c>
      <c r="P156" s="18"/>
      <c r="Q156" s="18"/>
      <c r="R156" s="18"/>
      <c r="S156" s="18"/>
      <c r="T156" s="18"/>
      <c r="U156" s="18"/>
      <c r="V156" s="18"/>
      <c r="W156" s="18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60" t="s">
        <v>21</v>
      </c>
      <c r="B157" s="60" t="s">
        <v>34</v>
      </c>
      <c r="C157" s="60" t="s">
        <v>35</v>
      </c>
      <c r="D157" s="60" t="s">
        <v>33</v>
      </c>
      <c r="E157" s="60" t="s">
        <v>25</v>
      </c>
      <c r="F157" s="60" t="s">
        <v>25</v>
      </c>
      <c r="G157" s="60" t="s">
        <v>25</v>
      </c>
      <c r="H157" s="60" t="s">
        <v>37</v>
      </c>
      <c r="I157" s="67">
        <v>44713</v>
      </c>
      <c r="J157" s="68">
        <f>EFEITO!$J$157*EFEITO!$Y$157</f>
        <v>0</v>
      </c>
      <c r="K157" s="68">
        <f ca="1">EFEITO!$L$157*EFEITO!$Z$157</f>
        <v>169087.30936700603</v>
      </c>
      <c r="L157" s="68">
        <f>EFEITO!$N$157*EFEITO!$AA$157</f>
        <v>319920.30384747987</v>
      </c>
      <c r="M157" s="68">
        <f>$J$157-EFEITO!$K$157*EFEITO!$Y$157</f>
        <v>0</v>
      </c>
      <c r="N157" s="68">
        <f ca="1">$K$157-EFEITO!$M$157*EFEITO!$Z$157</f>
        <v>0</v>
      </c>
      <c r="O157" s="68">
        <f>$L$157-EFEITO!$O$157*EFEITO!$AA$157</f>
        <v>0</v>
      </c>
      <c r="P157" s="18"/>
      <c r="Q157" s="18"/>
      <c r="R157" s="18"/>
      <c r="S157" s="18"/>
      <c r="T157" s="18"/>
      <c r="U157" s="18"/>
      <c r="V157" s="18"/>
      <c r="W157" s="18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60" t="s">
        <v>21</v>
      </c>
      <c r="B158" s="60" t="s">
        <v>34</v>
      </c>
      <c r="C158" s="60" t="s">
        <v>35</v>
      </c>
      <c r="D158" s="60" t="s">
        <v>33</v>
      </c>
      <c r="E158" s="60" t="s">
        <v>25</v>
      </c>
      <c r="F158" s="60" t="s">
        <v>25</v>
      </c>
      <c r="G158" s="60" t="s">
        <v>25</v>
      </c>
      <c r="H158" s="60" t="s">
        <v>25</v>
      </c>
      <c r="I158" s="67">
        <v>44378</v>
      </c>
      <c r="J158" s="68">
        <f ca="1">EFEITO!$J$158*EFEITO!$Y$158</f>
        <v>94224.961418681924</v>
      </c>
      <c r="K158" s="68">
        <f>EFEITO!$L$158*EFEITO!$Z$158</f>
        <v>0</v>
      </c>
      <c r="L158" s="68">
        <f>EFEITO!$N$158*EFEITO!$AA$158</f>
        <v>0</v>
      </c>
      <c r="M158" s="68">
        <f ca="1">$J$158-EFEITO!$K$158*EFEITO!$Y$158</f>
        <v>0</v>
      </c>
      <c r="N158" s="68">
        <f>$K$158-EFEITO!$M$158*EFEITO!$Z$158</f>
        <v>0</v>
      </c>
      <c r="O158" s="68">
        <f>$L$158-EFEITO!$O$158*EFEITO!$AA$158</f>
        <v>0</v>
      </c>
      <c r="P158" s="18"/>
      <c r="Q158" s="18"/>
      <c r="R158" s="18"/>
      <c r="S158" s="18"/>
      <c r="T158" s="18"/>
      <c r="U158" s="18"/>
      <c r="V158" s="18"/>
      <c r="W158" s="18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60" t="s">
        <v>21</v>
      </c>
      <c r="B159" s="60" t="s">
        <v>34</v>
      </c>
      <c r="C159" s="60" t="s">
        <v>35</v>
      </c>
      <c r="D159" s="60" t="s">
        <v>33</v>
      </c>
      <c r="E159" s="60" t="s">
        <v>25</v>
      </c>
      <c r="F159" s="60" t="s">
        <v>25</v>
      </c>
      <c r="G159" s="60" t="s">
        <v>25</v>
      </c>
      <c r="H159" s="60" t="s">
        <v>25</v>
      </c>
      <c r="I159" s="67">
        <v>44409</v>
      </c>
      <c r="J159" s="68">
        <f ca="1">EFEITO!$J$159*EFEITO!$Y$159</f>
        <v>91751.040781308751</v>
      </c>
      <c r="K159" s="68">
        <f>EFEITO!$L$159*EFEITO!$Z$159</f>
        <v>0</v>
      </c>
      <c r="L159" s="68">
        <f>EFEITO!$N$159*EFEITO!$AA$159</f>
        <v>0</v>
      </c>
      <c r="M159" s="68">
        <f ca="1">$J$159-EFEITO!$K$159*EFEITO!$Y$159</f>
        <v>0</v>
      </c>
      <c r="N159" s="68">
        <f>$K$159-EFEITO!$M$159*EFEITO!$Z$159</f>
        <v>0</v>
      </c>
      <c r="O159" s="68">
        <f>$L$159-EFEITO!$O$159*EFEITO!$AA$159</f>
        <v>0</v>
      </c>
      <c r="P159" s="18"/>
      <c r="Q159" s="18"/>
      <c r="R159" s="18"/>
      <c r="S159" s="18"/>
      <c r="T159" s="18"/>
      <c r="U159" s="18"/>
      <c r="V159" s="18"/>
      <c r="W159" s="18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60" t="s">
        <v>21</v>
      </c>
      <c r="B160" s="60" t="s">
        <v>34</v>
      </c>
      <c r="C160" s="60" t="s">
        <v>35</v>
      </c>
      <c r="D160" s="60" t="s">
        <v>33</v>
      </c>
      <c r="E160" s="60" t="s">
        <v>25</v>
      </c>
      <c r="F160" s="60" t="s">
        <v>25</v>
      </c>
      <c r="G160" s="60" t="s">
        <v>25</v>
      </c>
      <c r="H160" s="60" t="s">
        <v>25</v>
      </c>
      <c r="I160" s="67">
        <v>44440</v>
      </c>
      <c r="J160" s="68">
        <f ca="1">EFEITO!$J$160*EFEITO!$Y$160</f>
        <v>92438.240958356851</v>
      </c>
      <c r="K160" s="68">
        <f>EFEITO!$L$160*EFEITO!$Z$160</f>
        <v>0</v>
      </c>
      <c r="L160" s="68">
        <f>EFEITO!$N$160*EFEITO!$AA$160</f>
        <v>0</v>
      </c>
      <c r="M160" s="68">
        <f ca="1">$J$160-EFEITO!$K$160*EFEITO!$Y$160</f>
        <v>0</v>
      </c>
      <c r="N160" s="68">
        <f>$K$160-EFEITO!$M$160*EFEITO!$Z$160</f>
        <v>0</v>
      </c>
      <c r="O160" s="68">
        <f>$L$160-EFEITO!$O$160*EFEITO!$AA$160</f>
        <v>0</v>
      </c>
      <c r="P160" s="18"/>
      <c r="Q160" s="18"/>
      <c r="R160" s="18"/>
      <c r="S160" s="18"/>
      <c r="T160" s="18"/>
      <c r="U160" s="18"/>
      <c r="V160" s="18"/>
      <c r="W160" s="18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60" t="s">
        <v>21</v>
      </c>
      <c r="B161" s="60" t="s">
        <v>34</v>
      </c>
      <c r="C161" s="60" t="s">
        <v>35</v>
      </c>
      <c r="D161" s="60" t="s">
        <v>33</v>
      </c>
      <c r="E161" s="60" t="s">
        <v>25</v>
      </c>
      <c r="F161" s="60" t="s">
        <v>25</v>
      </c>
      <c r="G161" s="60" t="s">
        <v>25</v>
      </c>
      <c r="H161" s="60" t="s">
        <v>25</v>
      </c>
      <c r="I161" s="67">
        <v>44470</v>
      </c>
      <c r="J161" s="68">
        <f ca="1">EFEITO!$J$161*EFEITO!$Y$161</f>
        <v>92379.33808603845</v>
      </c>
      <c r="K161" s="68">
        <f>EFEITO!$L$161*EFEITO!$Z$161</f>
        <v>0</v>
      </c>
      <c r="L161" s="68">
        <f>EFEITO!$N$161*EFEITO!$AA$161</f>
        <v>0</v>
      </c>
      <c r="M161" s="68">
        <f ca="1">$J$161-EFEITO!$K$161*EFEITO!$Y$161</f>
        <v>0</v>
      </c>
      <c r="N161" s="68">
        <f>$K$161-EFEITO!$M$161*EFEITO!$Z$161</f>
        <v>0</v>
      </c>
      <c r="O161" s="68">
        <f>$L$161-EFEITO!$O$161*EFEITO!$AA$161</f>
        <v>0</v>
      </c>
      <c r="P161" s="18"/>
      <c r="Q161" s="18"/>
      <c r="R161" s="18"/>
      <c r="S161" s="18"/>
      <c r="T161" s="18"/>
      <c r="U161" s="18"/>
      <c r="V161" s="18"/>
      <c r="W161" s="18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60" t="s">
        <v>21</v>
      </c>
      <c r="B162" s="60" t="s">
        <v>34</v>
      </c>
      <c r="C162" s="60" t="s">
        <v>35</v>
      </c>
      <c r="D162" s="60" t="s">
        <v>33</v>
      </c>
      <c r="E162" s="60" t="s">
        <v>25</v>
      </c>
      <c r="F162" s="60" t="s">
        <v>25</v>
      </c>
      <c r="G162" s="60" t="s">
        <v>25</v>
      </c>
      <c r="H162" s="60" t="s">
        <v>25</v>
      </c>
      <c r="I162" s="67">
        <v>44501</v>
      </c>
      <c r="J162" s="68">
        <f ca="1">EFEITO!$J$162*EFEITO!$Y$162</f>
        <v>92340.069504492829</v>
      </c>
      <c r="K162" s="68">
        <f>EFEITO!$L$162*EFEITO!$Z$162</f>
        <v>0</v>
      </c>
      <c r="L162" s="68">
        <f>EFEITO!$N$162*EFEITO!$AA$162</f>
        <v>0</v>
      </c>
      <c r="M162" s="68">
        <f ca="1">$J$162-EFEITO!$K$162*EFEITO!$Y$162</f>
        <v>0</v>
      </c>
      <c r="N162" s="68">
        <f>$K$162-EFEITO!$M$162*EFEITO!$Z$162</f>
        <v>0</v>
      </c>
      <c r="O162" s="68">
        <f>$L$162-EFEITO!$O$162*EFEITO!$AA$162</f>
        <v>0</v>
      </c>
      <c r="P162" s="18"/>
      <c r="Q162" s="18"/>
      <c r="R162" s="18"/>
      <c r="S162" s="18"/>
      <c r="T162" s="18"/>
      <c r="U162" s="18"/>
      <c r="V162" s="18"/>
      <c r="W162" s="18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60" t="s">
        <v>21</v>
      </c>
      <c r="B163" s="60" t="s">
        <v>34</v>
      </c>
      <c r="C163" s="60" t="s">
        <v>35</v>
      </c>
      <c r="D163" s="60" t="s">
        <v>33</v>
      </c>
      <c r="E163" s="60" t="s">
        <v>25</v>
      </c>
      <c r="F163" s="60" t="s">
        <v>25</v>
      </c>
      <c r="G163" s="60" t="s">
        <v>25</v>
      </c>
      <c r="H163" s="60" t="s">
        <v>25</v>
      </c>
      <c r="I163" s="67">
        <v>44531</v>
      </c>
      <c r="J163" s="68">
        <f ca="1">EFEITO!$J$163*EFEITO!$Y$163</f>
        <v>92398.972376811245</v>
      </c>
      <c r="K163" s="68">
        <f>EFEITO!$L$163*EFEITO!$Z$163</f>
        <v>0</v>
      </c>
      <c r="L163" s="68">
        <f>EFEITO!$N$163*EFEITO!$AA$163</f>
        <v>0</v>
      </c>
      <c r="M163" s="68">
        <f ca="1">$J$163-EFEITO!$K$163*EFEITO!$Y$163</f>
        <v>0</v>
      </c>
      <c r="N163" s="68">
        <f>$K$163-EFEITO!$M$163*EFEITO!$Z$163</f>
        <v>0</v>
      </c>
      <c r="O163" s="68">
        <f>$L$163-EFEITO!$O$163*EFEITO!$AA$163</f>
        <v>0</v>
      </c>
      <c r="P163" s="18"/>
      <c r="Q163" s="18"/>
      <c r="R163" s="18"/>
      <c r="S163" s="18"/>
      <c r="T163" s="18"/>
      <c r="U163" s="18"/>
      <c r="V163" s="18"/>
      <c r="W163" s="18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60" t="s">
        <v>21</v>
      </c>
      <c r="B164" s="60" t="s">
        <v>34</v>
      </c>
      <c r="C164" s="60" t="s">
        <v>35</v>
      </c>
      <c r="D164" s="60" t="s">
        <v>33</v>
      </c>
      <c r="E164" s="60" t="s">
        <v>25</v>
      </c>
      <c r="F164" s="60" t="s">
        <v>25</v>
      </c>
      <c r="G164" s="60" t="s">
        <v>25</v>
      </c>
      <c r="H164" s="60" t="s">
        <v>25</v>
      </c>
      <c r="I164" s="67">
        <v>44562</v>
      </c>
      <c r="J164" s="68">
        <f ca="1">EFEITO!$J$164*EFEITO!$Y$164</f>
        <v>83622.444401368266</v>
      </c>
      <c r="K164" s="68">
        <f>EFEITO!$L$164*EFEITO!$Z$164</f>
        <v>0</v>
      </c>
      <c r="L164" s="68">
        <f>EFEITO!$N$164*EFEITO!$AA$164</f>
        <v>0</v>
      </c>
      <c r="M164" s="68">
        <f ca="1">$J$164-EFEITO!$K$164*EFEITO!$Y$164</f>
        <v>0</v>
      </c>
      <c r="N164" s="68">
        <f>$K$164-EFEITO!$M$164*EFEITO!$Z$164</f>
        <v>0</v>
      </c>
      <c r="O164" s="68">
        <f>$L$164-EFEITO!$O$164*EFEITO!$AA$164</f>
        <v>0</v>
      </c>
      <c r="P164" s="18"/>
      <c r="Q164" s="18"/>
      <c r="R164" s="18"/>
      <c r="S164" s="18"/>
      <c r="T164" s="18"/>
      <c r="U164" s="18"/>
      <c r="V164" s="18"/>
      <c r="W164" s="18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60" t="s">
        <v>21</v>
      </c>
      <c r="B165" s="60" t="s">
        <v>34</v>
      </c>
      <c r="C165" s="60" t="s">
        <v>35</v>
      </c>
      <c r="D165" s="60" t="s">
        <v>33</v>
      </c>
      <c r="E165" s="60" t="s">
        <v>25</v>
      </c>
      <c r="F165" s="60" t="s">
        <v>25</v>
      </c>
      <c r="G165" s="60" t="s">
        <v>25</v>
      </c>
      <c r="H165" s="60" t="s">
        <v>25</v>
      </c>
      <c r="I165" s="67">
        <v>44593</v>
      </c>
      <c r="J165" s="68">
        <f ca="1">EFEITO!$J$165*EFEITO!$Y$165</f>
        <v>83111.952841275401</v>
      </c>
      <c r="K165" s="68">
        <f>EFEITO!$L$165*EFEITO!$Z$165</f>
        <v>0</v>
      </c>
      <c r="L165" s="68">
        <f>EFEITO!$N$165*EFEITO!$AA$165</f>
        <v>0</v>
      </c>
      <c r="M165" s="68">
        <f ca="1">$J$165-EFEITO!$K$165*EFEITO!$Y$165</f>
        <v>0</v>
      </c>
      <c r="N165" s="68">
        <f>$K$165-EFEITO!$M$165*EFEITO!$Z$165</f>
        <v>0</v>
      </c>
      <c r="O165" s="68">
        <f>$L$165-EFEITO!$O$165*EFEITO!$AA$165</f>
        <v>0</v>
      </c>
      <c r="P165" s="18"/>
      <c r="Q165" s="18"/>
      <c r="R165" s="18"/>
      <c r="S165" s="18"/>
      <c r="T165" s="18"/>
      <c r="U165" s="18"/>
      <c r="V165" s="18"/>
      <c r="W165" s="18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60" t="s">
        <v>21</v>
      </c>
      <c r="B166" s="60" t="s">
        <v>34</v>
      </c>
      <c r="C166" s="60" t="s">
        <v>35</v>
      </c>
      <c r="D166" s="60" t="s">
        <v>33</v>
      </c>
      <c r="E166" s="60" t="s">
        <v>25</v>
      </c>
      <c r="F166" s="60" t="s">
        <v>25</v>
      </c>
      <c r="G166" s="60" t="s">
        <v>25</v>
      </c>
      <c r="H166" s="60" t="s">
        <v>25</v>
      </c>
      <c r="I166" s="67">
        <v>44621</v>
      </c>
      <c r="J166" s="68">
        <f ca="1">EFEITO!$J$166*EFEITO!$Y$166</f>
        <v>83092.31855050259</v>
      </c>
      <c r="K166" s="68">
        <f>EFEITO!$L$166*EFEITO!$Z$166</f>
        <v>0</v>
      </c>
      <c r="L166" s="68">
        <f>EFEITO!$N$166*EFEITO!$AA$166</f>
        <v>0</v>
      </c>
      <c r="M166" s="68">
        <f ca="1">$J$166-EFEITO!$K$166*EFEITO!$Y$166</f>
        <v>0</v>
      </c>
      <c r="N166" s="68">
        <f>$K$166-EFEITO!$M$166*EFEITO!$Z$166</f>
        <v>0</v>
      </c>
      <c r="O166" s="68">
        <f>$L$166-EFEITO!$O$166*EFEITO!$AA$166</f>
        <v>0</v>
      </c>
      <c r="P166" s="18"/>
      <c r="Q166" s="18"/>
      <c r="R166" s="18"/>
      <c r="S166" s="18"/>
      <c r="T166" s="18"/>
      <c r="U166" s="18"/>
      <c r="V166" s="18"/>
      <c r="W166" s="18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60" t="s">
        <v>21</v>
      </c>
      <c r="B167" s="60" t="s">
        <v>34</v>
      </c>
      <c r="C167" s="60" t="s">
        <v>35</v>
      </c>
      <c r="D167" s="60" t="s">
        <v>33</v>
      </c>
      <c r="E167" s="60" t="s">
        <v>25</v>
      </c>
      <c r="F167" s="60" t="s">
        <v>25</v>
      </c>
      <c r="G167" s="60" t="s">
        <v>25</v>
      </c>
      <c r="H167" s="60" t="s">
        <v>25</v>
      </c>
      <c r="I167" s="67">
        <v>44652</v>
      </c>
      <c r="J167" s="68">
        <f ca="1">EFEITO!$J$167*EFEITO!$Y$167</f>
        <v>84191.838833779562</v>
      </c>
      <c r="K167" s="68">
        <f>EFEITO!$L$167*EFEITO!$Z$167</f>
        <v>0</v>
      </c>
      <c r="L167" s="68">
        <f>EFEITO!$N$167*EFEITO!$AA$167</f>
        <v>0</v>
      </c>
      <c r="M167" s="68">
        <f ca="1">$J$167-EFEITO!$K$167*EFEITO!$Y$167</f>
        <v>0</v>
      </c>
      <c r="N167" s="68">
        <f>$K$167-EFEITO!$M$167*EFEITO!$Z$167</f>
        <v>0</v>
      </c>
      <c r="O167" s="68">
        <f>$L$167-EFEITO!$O$167*EFEITO!$AA$167</f>
        <v>0</v>
      </c>
      <c r="P167" s="18"/>
      <c r="Q167" s="18"/>
      <c r="R167" s="18"/>
      <c r="S167" s="18"/>
      <c r="T167" s="18"/>
      <c r="U167" s="18"/>
      <c r="V167" s="18"/>
      <c r="W167" s="18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60" t="s">
        <v>21</v>
      </c>
      <c r="B168" s="60" t="s">
        <v>34</v>
      </c>
      <c r="C168" s="60" t="s">
        <v>35</v>
      </c>
      <c r="D168" s="60" t="s">
        <v>33</v>
      </c>
      <c r="E168" s="60" t="s">
        <v>25</v>
      </c>
      <c r="F168" s="60" t="s">
        <v>25</v>
      </c>
      <c r="G168" s="60" t="s">
        <v>25</v>
      </c>
      <c r="H168" s="60" t="s">
        <v>25</v>
      </c>
      <c r="I168" s="67">
        <v>44682</v>
      </c>
      <c r="J168" s="68">
        <f ca="1">EFEITO!$J$168*EFEITO!$Y$168</f>
        <v>82895.97564277456</v>
      </c>
      <c r="K168" s="68">
        <f>EFEITO!$L$168*EFEITO!$Z$168</f>
        <v>0</v>
      </c>
      <c r="L168" s="68">
        <f>EFEITO!$N$168*EFEITO!$AA$168</f>
        <v>0</v>
      </c>
      <c r="M168" s="68">
        <f ca="1">$J$168-EFEITO!$K$168*EFEITO!$Y$168</f>
        <v>0</v>
      </c>
      <c r="N168" s="68">
        <f>$K$168-EFEITO!$M$168*EFEITO!$Z$168</f>
        <v>0</v>
      </c>
      <c r="O168" s="68">
        <f>$L$168-EFEITO!$O$168*EFEITO!$AA$168</f>
        <v>0</v>
      </c>
      <c r="P168" s="18"/>
      <c r="Q168" s="18"/>
      <c r="R168" s="18"/>
      <c r="S168" s="18"/>
      <c r="T168" s="18"/>
      <c r="U168" s="18"/>
      <c r="V168" s="18"/>
      <c r="W168" s="18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60" t="s">
        <v>21</v>
      </c>
      <c r="B169" s="60" t="s">
        <v>34</v>
      </c>
      <c r="C169" s="60" t="s">
        <v>35</v>
      </c>
      <c r="D169" s="60" t="s">
        <v>33</v>
      </c>
      <c r="E169" s="60" t="s">
        <v>25</v>
      </c>
      <c r="F169" s="60" t="s">
        <v>25</v>
      </c>
      <c r="G169" s="60" t="s">
        <v>25</v>
      </c>
      <c r="H169" s="60" t="s">
        <v>25</v>
      </c>
      <c r="I169" s="67">
        <v>44713</v>
      </c>
      <c r="J169" s="68">
        <f ca="1">EFEITO!$J$169*EFEITO!$Y$169</f>
        <v>83995.495926051532</v>
      </c>
      <c r="K169" s="68">
        <f>EFEITO!$L$169*EFEITO!$Z$169</f>
        <v>0</v>
      </c>
      <c r="L169" s="68">
        <f>EFEITO!$N$169*EFEITO!$AA$169</f>
        <v>0</v>
      </c>
      <c r="M169" s="68">
        <f ca="1">$J$169-EFEITO!$K$169*EFEITO!$Y$169</f>
        <v>0</v>
      </c>
      <c r="N169" s="68">
        <f>$K$169-EFEITO!$M$169*EFEITO!$Z$169</f>
        <v>0</v>
      </c>
      <c r="O169" s="68">
        <f>$L$169-EFEITO!$O$169*EFEITO!$AA$169</f>
        <v>0</v>
      </c>
      <c r="P169" s="18"/>
      <c r="Q169" s="18"/>
      <c r="R169" s="18"/>
      <c r="S169" s="18"/>
      <c r="T169" s="18"/>
      <c r="U169" s="18"/>
      <c r="V169" s="18"/>
      <c r="W169" s="18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60" t="s">
        <v>21</v>
      </c>
      <c r="B170" s="60" t="s">
        <v>34</v>
      </c>
      <c r="C170" s="60" t="s">
        <v>35</v>
      </c>
      <c r="D170" s="60" t="s">
        <v>33</v>
      </c>
      <c r="E170" s="60" t="s">
        <v>25</v>
      </c>
      <c r="F170" s="60" t="s">
        <v>25</v>
      </c>
      <c r="G170" s="60" t="s">
        <v>25</v>
      </c>
      <c r="H170" s="60" t="s">
        <v>36</v>
      </c>
      <c r="I170" s="67">
        <v>44378</v>
      </c>
      <c r="J170" s="68">
        <f>EFEITO!$J$170*EFEITO!$Y$170</f>
        <v>0</v>
      </c>
      <c r="K170" s="68">
        <f ca="1">EFEITO!$L$170*EFEITO!$Z$170</f>
        <v>164622.43538613175</v>
      </c>
      <c r="L170" s="68">
        <f>EFEITO!$N$170*EFEITO!$AA$170</f>
        <v>59271.810077119604</v>
      </c>
      <c r="M170" s="68">
        <f>$J$170-EFEITO!$K$170*EFEITO!$Y$170</f>
        <v>0</v>
      </c>
      <c r="N170" s="68">
        <f ca="1">$K$170-EFEITO!$M$170*EFEITO!$Z$170</f>
        <v>0</v>
      </c>
      <c r="O170" s="68">
        <f>$L$170-EFEITO!$O$170*EFEITO!$AA$170</f>
        <v>0</v>
      </c>
      <c r="P170" s="18"/>
      <c r="Q170" s="18"/>
      <c r="R170" s="18"/>
      <c r="S170" s="18"/>
      <c r="T170" s="18"/>
      <c r="U170" s="18"/>
      <c r="V170" s="18"/>
      <c r="W170" s="18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60" t="s">
        <v>21</v>
      </c>
      <c r="B171" s="60" t="s">
        <v>34</v>
      </c>
      <c r="C171" s="60" t="s">
        <v>35</v>
      </c>
      <c r="D171" s="60" t="s">
        <v>33</v>
      </c>
      <c r="E171" s="60" t="s">
        <v>25</v>
      </c>
      <c r="F171" s="60" t="s">
        <v>25</v>
      </c>
      <c r="G171" s="60" t="s">
        <v>25</v>
      </c>
      <c r="H171" s="60" t="s">
        <v>36</v>
      </c>
      <c r="I171" s="67">
        <v>44409</v>
      </c>
      <c r="J171" s="68">
        <f>EFEITO!$J$171*EFEITO!$Y$171</f>
        <v>0</v>
      </c>
      <c r="K171" s="68">
        <f ca="1">EFEITO!$L$171*EFEITO!$Z$171</f>
        <v>170876.70969016847</v>
      </c>
      <c r="L171" s="68">
        <f>EFEITO!$N$171*EFEITO!$AA$171</f>
        <v>61523.642628676556</v>
      </c>
      <c r="M171" s="68">
        <f>$J$171-EFEITO!$K$171*EFEITO!$Y$171</f>
        <v>0</v>
      </c>
      <c r="N171" s="68">
        <f ca="1">$K$171-EFEITO!$M$171*EFEITO!$Z$171</f>
        <v>0</v>
      </c>
      <c r="O171" s="68">
        <f>$L$171-EFEITO!$O$171*EFEITO!$AA$171</f>
        <v>0</v>
      </c>
      <c r="P171" s="18"/>
      <c r="Q171" s="18"/>
      <c r="R171" s="18"/>
      <c r="S171" s="18"/>
      <c r="T171" s="18"/>
      <c r="U171" s="18"/>
      <c r="V171" s="18"/>
      <c r="W171" s="18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60" t="s">
        <v>21</v>
      </c>
      <c r="B172" s="60" t="s">
        <v>34</v>
      </c>
      <c r="C172" s="60" t="s">
        <v>35</v>
      </c>
      <c r="D172" s="60" t="s">
        <v>33</v>
      </c>
      <c r="E172" s="60" t="s">
        <v>25</v>
      </c>
      <c r="F172" s="60" t="s">
        <v>25</v>
      </c>
      <c r="G172" s="60" t="s">
        <v>25</v>
      </c>
      <c r="H172" s="60" t="s">
        <v>36</v>
      </c>
      <c r="I172" s="67">
        <v>44440</v>
      </c>
      <c r="J172" s="68">
        <f>EFEITO!$J$172*EFEITO!$Y$172</f>
        <v>0</v>
      </c>
      <c r="K172" s="68">
        <f ca="1">EFEITO!$L$172*EFEITO!$Z$172</f>
        <v>160882.04880652705</v>
      </c>
      <c r="L172" s="68">
        <f>EFEITO!$N$172*EFEITO!$AA$172</f>
        <v>57925.095199276082</v>
      </c>
      <c r="M172" s="68">
        <f>$J$172-EFEITO!$K$172*EFEITO!$Y$172</f>
        <v>0</v>
      </c>
      <c r="N172" s="68">
        <f ca="1">$K$172-EFEITO!$M$172*EFEITO!$Z$172</f>
        <v>0</v>
      </c>
      <c r="O172" s="68">
        <f>$L$172-EFEITO!$O$172*EFEITO!$AA$172</f>
        <v>0</v>
      </c>
      <c r="P172" s="18"/>
      <c r="Q172" s="18"/>
      <c r="R172" s="18"/>
      <c r="S172" s="18"/>
      <c r="T172" s="18"/>
      <c r="U172" s="18"/>
      <c r="V172" s="18"/>
      <c r="W172" s="18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60" t="s">
        <v>21</v>
      </c>
      <c r="B173" s="60" t="s">
        <v>34</v>
      </c>
      <c r="C173" s="60" t="s">
        <v>35</v>
      </c>
      <c r="D173" s="60" t="s">
        <v>33</v>
      </c>
      <c r="E173" s="60" t="s">
        <v>25</v>
      </c>
      <c r="F173" s="60" t="s">
        <v>25</v>
      </c>
      <c r="G173" s="60" t="s">
        <v>25</v>
      </c>
      <c r="H173" s="60" t="s">
        <v>36</v>
      </c>
      <c r="I173" s="67">
        <v>44470</v>
      </c>
      <c r="J173" s="68">
        <f>EFEITO!$J$173*EFEITO!$Y$173</f>
        <v>0</v>
      </c>
      <c r="K173" s="68">
        <f ca="1">EFEITO!$L$173*EFEITO!$Z$173</f>
        <v>163241.29522534233</v>
      </c>
      <c r="L173" s="68">
        <f>EFEITO!$N$173*EFEITO!$AA$173</f>
        <v>58774.534738505034</v>
      </c>
      <c r="M173" s="68">
        <f>$J$173-EFEITO!$K$173*EFEITO!$Y$173</f>
        <v>0</v>
      </c>
      <c r="N173" s="68">
        <f ca="1">$K$173-EFEITO!$M$173*EFEITO!$Z$173</f>
        <v>0</v>
      </c>
      <c r="O173" s="68">
        <f>$L$173-EFEITO!$O$173*EFEITO!$AA$173</f>
        <v>0</v>
      </c>
      <c r="P173" s="18"/>
      <c r="Q173" s="18"/>
      <c r="R173" s="18"/>
      <c r="S173" s="18"/>
      <c r="T173" s="18"/>
      <c r="U173" s="18"/>
      <c r="V173" s="18"/>
      <c r="W173" s="18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60" t="s">
        <v>21</v>
      </c>
      <c r="B174" s="60" t="s">
        <v>34</v>
      </c>
      <c r="C174" s="60" t="s">
        <v>35</v>
      </c>
      <c r="D174" s="60" t="s">
        <v>33</v>
      </c>
      <c r="E174" s="60" t="s">
        <v>25</v>
      </c>
      <c r="F174" s="60" t="s">
        <v>25</v>
      </c>
      <c r="G174" s="60" t="s">
        <v>25</v>
      </c>
      <c r="H174" s="60" t="s">
        <v>36</v>
      </c>
      <c r="I174" s="67">
        <v>44501</v>
      </c>
      <c r="J174" s="68">
        <f>EFEITO!$J$174*EFEITO!$Y$174</f>
        <v>0</v>
      </c>
      <c r="K174" s="68">
        <f ca="1">EFEITO!$L$174*EFEITO!$Z$174</f>
        <v>161113.04425679205</v>
      </c>
      <c r="L174" s="68">
        <f>EFEITO!$N$174*EFEITO!$AA$174</f>
        <v>58008.264412662291</v>
      </c>
      <c r="M174" s="68">
        <f>$J$174-EFEITO!$K$174*EFEITO!$Y$174</f>
        <v>0</v>
      </c>
      <c r="N174" s="68">
        <f ca="1">$K$174-EFEITO!$M$174*EFEITO!$Z$174</f>
        <v>0</v>
      </c>
      <c r="O174" s="68">
        <f>$L$174-EFEITO!$O$174*EFEITO!$AA$174</f>
        <v>0</v>
      </c>
      <c r="P174" s="18"/>
      <c r="Q174" s="18"/>
      <c r="R174" s="18"/>
      <c r="S174" s="18"/>
      <c r="T174" s="18"/>
      <c r="U174" s="18"/>
      <c r="V174" s="18"/>
      <c r="W174" s="18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60" t="s">
        <v>21</v>
      </c>
      <c r="B175" s="60" t="s">
        <v>34</v>
      </c>
      <c r="C175" s="60" t="s">
        <v>35</v>
      </c>
      <c r="D175" s="60" t="s">
        <v>33</v>
      </c>
      <c r="E175" s="60" t="s">
        <v>25</v>
      </c>
      <c r="F175" s="60" t="s">
        <v>25</v>
      </c>
      <c r="G175" s="60" t="s">
        <v>25</v>
      </c>
      <c r="H175" s="60" t="s">
        <v>36</v>
      </c>
      <c r="I175" s="67">
        <v>44531</v>
      </c>
      <c r="J175" s="68">
        <f>EFEITO!$J$175*EFEITO!$Y$175</f>
        <v>0</v>
      </c>
      <c r="K175" s="68">
        <f ca="1">EFEITO!$L$175*EFEITO!$Z$175</f>
        <v>178858.13407631204</v>
      </c>
      <c r="L175" s="68">
        <f>EFEITO!$N$175*EFEITO!$AA$175</f>
        <v>64397.330344757123</v>
      </c>
      <c r="M175" s="68">
        <f>$J$175-EFEITO!$K$175*EFEITO!$Y$175</f>
        <v>0</v>
      </c>
      <c r="N175" s="68">
        <f ca="1">$K$175-EFEITO!$M$175*EFEITO!$Z$175</f>
        <v>0</v>
      </c>
      <c r="O175" s="68">
        <f>$L$175-EFEITO!$O$175*EFEITO!$AA$175</f>
        <v>0</v>
      </c>
      <c r="P175" s="18"/>
      <c r="Q175" s="18"/>
      <c r="R175" s="18"/>
      <c r="S175" s="18"/>
      <c r="T175" s="18"/>
      <c r="U175" s="18"/>
      <c r="V175" s="18"/>
      <c r="W175" s="18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60" t="s">
        <v>21</v>
      </c>
      <c r="B176" s="60" t="s">
        <v>34</v>
      </c>
      <c r="C176" s="60" t="s">
        <v>35</v>
      </c>
      <c r="D176" s="60" t="s">
        <v>33</v>
      </c>
      <c r="E176" s="60" t="s">
        <v>25</v>
      </c>
      <c r="F176" s="60" t="s">
        <v>25</v>
      </c>
      <c r="G176" s="60" t="s">
        <v>25</v>
      </c>
      <c r="H176" s="60" t="s">
        <v>36</v>
      </c>
      <c r="I176" s="67">
        <v>44562</v>
      </c>
      <c r="J176" s="68">
        <f>EFEITO!$J$176*EFEITO!$Y$176</f>
        <v>0</v>
      </c>
      <c r="K176" s="68">
        <f ca="1">EFEITO!$L$176*EFEITO!$Z$176</f>
        <v>159629.45423103153</v>
      </c>
      <c r="L176" s="68">
        <f>EFEITO!$N$176*EFEITO!$AA$176</f>
        <v>57474.102309951748</v>
      </c>
      <c r="M176" s="68">
        <f>$J$176-EFEITO!$K$176*EFEITO!$Y$176</f>
        <v>0</v>
      </c>
      <c r="N176" s="68">
        <f ca="1">$K$176-EFEITO!$M$176*EFEITO!$Z$176</f>
        <v>0</v>
      </c>
      <c r="O176" s="68">
        <f>$L$176-EFEITO!$O$176*EFEITO!$AA$176</f>
        <v>0</v>
      </c>
      <c r="P176" s="18"/>
      <c r="Q176" s="18"/>
      <c r="R176" s="18"/>
      <c r="S176" s="18"/>
      <c r="T176" s="18"/>
      <c r="U176" s="18"/>
      <c r="V176" s="18"/>
      <c r="W176" s="18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60" t="s">
        <v>21</v>
      </c>
      <c r="B177" s="60" t="s">
        <v>34</v>
      </c>
      <c r="C177" s="60" t="s">
        <v>35</v>
      </c>
      <c r="D177" s="60" t="s">
        <v>33</v>
      </c>
      <c r="E177" s="60" t="s">
        <v>25</v>
      </c>
      <c r="F177" s="60" t="s">
        <v>25</v>
      </c>
      <c r="G177" s="60" t="s">
        <v>25</v>
      </c>
      <c r="H177" s="60" t="s">
        <v>36</v>
      </c>
      <c r="I177" s="67">
        <v>44593</v>
      </c>
      <c r="J177" s="68">
        <f>EFEITO!$J$177*EFEITO!$Y$177</f>
        <v>0</v>
      </c>
      <c r="K177" s="68">
        <f ca="1">EFEITO!$L$177*EFEITO!$Z$177</f>
        <v>139348.24699939715</v>
      </c>
      <c r="L177" s="68">
        <f>EFEITO!$N$177*EFEITO!$AA$177</f>
        <v>50171.914972311337</v>
      </c>
      <c r="M177" s="68">
        <f>$J$177-EFEITO!$K$177*EFEITO!$Y$177</f>
        <v>0</v>
      </c>
      <c r="N177" s="68">
        <f ca="1">$K$177-EFEITO!$M$177*EFEITO!$Z$177</f>
        <v>0</v>
      </c>
      <c r="O177" s="68">
        <f>$L$177-EFEITO!$O$177*EFEITO!$AA$177</f>
        <v>0</v>
      </c>
      <c r="P177" s="18"/>
      <c r="Q177" s="18"/>
      <c r="R177" s="18"/>
      <c r="S177" s="18"/>
      <c r="T177" s="18"/>
      <c r="U177" s="18"/>
      <c r="V177" s="18"/>
      <c r="W177" s="18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60" t="s">
        <v>21</v>
      </c>
      <c r="B178" s="60" t="s">
        <v>34</v>
      </c>
      <c r="C178" s="60" t="s">
        <v>35</v>
      </c>
      <c r="D178" s="60" t="s">
        <v>33</v>
      </c>
      <c r="E178" s="60" t="s">
        <v>25</v>
      </c>
      <c r="F178" s="60" t="s">
        <v>25</v>
      </c>
      <c r="G178" s="60" t="s">
        <v>25</v>
      </c>
      <c r="H178" s="60" t="s">
        <v>36</v>
      </c>
      <c r="I178" s="67">
        <v>44621</v>
      </c>
      <c r="J178" s="68">
        <f>EFEITO!$J$178*EFEITO!$Y$178</f>
        <v>0</v>
      </c>
      <c r="K178" s="68">
        <f ca="1">EFEITO!$L$178*EFEITO!$Z$178</f>
        <v>140917.85625140698</v>
      </c>
      <c r="L178" s="68">
        <f>EFEITO!$N$178*EFEITO!$AA$178</f>
        <v>50737.048037328874</v>
      </c>
      <c r="M178" s="68">
        <f>$J$178-EFEITO!$K$178*EFEITO!$Y$178</f>
        <v>0</v>
      </c>
      <c r="N178" s="68">
        <f ca="1">$K$178-EFEITO!$M$178*EFEITO!$Z$178</f>
        <v>0</v>
      </c>
      <c r="O178" s="68">
        <f>$L$178-EFEITO!$O$178*EFEITO!$AA$178</f>
        <v>0</v>
      </c>
      <c r="P178" s="18"/>
      <c r="Q178" s="18"/>
      <c r="R178" s="18"/>
      <c r="S178" s="18"/>
      <c r="T178" s="18"/>
      <c r="U178" s="18"/>
      <c r="V178" s="18"/>
      <c r="W178" s="18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60" t="s">
        <v>21</v>
      </c>
      <c r="B179" s="60" t="s">
        <v>34</v>
      </c>
      <c r="C179" s="60" t="s">
        <v>35</v>
      </c>
      <c r="D179" s="60" t="s">
        <v>33</v>
      </c>
      <c r="E179" s="60" t="s">
        <v>25</v>
      </c>
      <c r="F179" s="60" t="s">
        <v>25</v>
      </c>
      <c r="G179" s="60" t="s">
        <v>25</v>
      </c>
      <c r="H179" s="60" t="s">
        <v>36</v>
      </c>
      <c r="I179" s="67">
        <v>44652</v>
      </c>
      <c r="J179" s="68">
        <f>EFEITO!$J$179*EFEITO!$Y$179</f>
        <v>0</v>
      </c>
      <c r="K179" s="68">
        <f ca="1">EFEITO!$L$179*EFEITO!$Z$179</f>
        <v>132011.48355604336</v>
      </c>
      <c r="L179" s="68">
        <f>EFEITO!$N$179*EFEITO!$AA$179</f>
        <v>47530.335479362984</v>
      </c>
      <c r="M179" s="68">
        <f>$J$179-EFEITO!$K$179*EFEITO!$Y$179</f>
        <v>0</v>
      </c>
      <c r="N179" s="68">
        <f ca="1">$K$179-EFEITO!$M$179*EFEITO!$Z$179</f>
        <v>0</v>
      </c>
      <c r="O179" s="68">
        <f>$L$179-EFEITO!$O$179*EFEITO!$AA$179</f>
        <v>0</v>
      </c>
      <c r="P179" s="18"/>
      <c r="Q179" s="18"/>
      <c r="R179" s="18"/>
      <c r="S179" s="18"/>
      <c r="T179" s="18"/>
      <c r="U179" s="18"/>
      <c r="V179" s="18"/>
      <c r="W179" s="18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60" t="s">
        <v>21</v>
      </c>
      <c r="B180" s="60" t="s">
        <v>34</v>
      </c>
      <c r="C180" s="60" t="s">
        <v>35</v>
      </c>
      <c r="D180" s="60" t="s">
        <v>33</v>
      </c>
      <c r="E180" s="60" t="s">
        <v>25</v>
      </c>
      <c r="F180" s="60" t="s">
        <v>25</v>
      </c>
      <c r="G180" s="60" t="s">
        <v>25</v>
      </c>
      <c r="H180" s="60" t="s">
        <v>36</v>
      </c>
      <c r="I180" s="67">
        <v>44682</v>
      </c>
      <c r="J180" s="68">
        <f>EFEITO!$J$180*EFEITO!$Y$180</f>
        <v>0</v>
      </c>
      <c r="K180" s="68">
        <f ca="1">EFEITO!$L$180*EFEITO!$Z$180</f>
        <v>137101.11552715403</v>
      </c>
      <c r="L180" s="68">
        <f>EFEITO!$N$180*EFEITO!$AA$180</f>
        <v>49362.842080583643</v>
      </c>
      <c r="M180" s="68">
        <f>$J$180-EFEITO!$K$180*EFEITO!$Y$180</f>
        <v>0</v>
      </c>
      <c r="N180" s="68">
        <f ca="1">$K$180-EFEITO!$M$180*EFEITO!$Z$180</f>
        <v>0</v>
      </c>
      <c r="O180" s="68">
        <f>$L$180-EFEITO!$O$180*EFEITO!$AA$180</f>
        <v>0</v>
      </c>
      <c r="P180" s="18"/>
      <c r="Q180" s="18"/>
      <c r="R180" s="18"/>
      <c r="S180" s="18"/>
      <c r="T180" s="18"/>
      <c r="U180" s="18"/>
      <c r="V180" s="18"/>
      <c r="W180" s="18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60" t="s">
        <v>21</v>
      </c>
      <c r="B181" s="60" t="s">
        <v>34</v>
      </c>
      <c r="C181" s="60" t="s">
        <v>35</v>
      </c>
      <c r="D181" s="60" t="s">
        <v>33</v>
      </c>
      <c r="E181" s="60" t="s">
        <v>25</v>
      </c>
      <c r="F181" s="60" t="s">
        <v>25</v>
      </c>
      <c r="G181" s="60" t="s">
        <v>25</v>
      </c>
      <c r="H181" s="60" t="s">
        <v>36</v>
      </c>
      <c r="I181" s="67">
        <v>44713</v>
      </c>
      <c r="J181" s="68">
        <f>EFEITO!$J$181*EFEITO!$Y$181</f>
        <v>0</v>
      </c>
      <c r="K181" s="68">
        <f ca="1">EFEITO!$L$181*EFEITO!$Z$181</f>
        <v>128732.12136880853</v>
      </c>
      <c r="L181" s="68">
        <f>EFEITO!$N$181*EFEITO!$AA$181</f>
        <v>46349.611039951342</v>
      </c>
      <c r="M181" s="68">
        <f>$J$181-EFEITO!$K$181*EFEITO!$Y$181</f>
        <v>0</v>
      </c>
      <c r="N181" s="68">
        <f ca="1">$K$181-EFEITO!$M$181*EFEITO!$Z$181</f>
        <v>0</v>
      </c>
      <c r="O181" s="68">
        <f>$L$181-EFEITO!$O$181*EFEITO!$AA$181</f>
        <v>0</v>
      </c>
      <c r="P181" s="18"/>
      <c r="Q181" s="18"/>
      <c r="R181" s="18"/>
      <c r="S181" s="18"/>
      <c r="T181" s="18"/>
      <c r="U181" s="18"/>
      <c r="V181" s="18"/>
      <c r="W181" s="18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60" t="s">
        <v>21</v>
      </c>
      <c r="B182" s="60" t="s">
        <v>34</v>
      </c>
      <c r="C182" s="60" t="s">
        <v>35</v>
      </c>
      <c r="D182" s="60" t="s">
        <v>41</v>
      </c>
      <c r="E182" s="60" t="s">
        <v>25</v>
      </c>
      <c r="F182" s="60" t="s">
        <v>25</v>
      </c>
      <c r="G182" s="60" t="s">
        <v>25</v>
      </c>
      <c r="H182" s="60" t="s">
        <v>37</v>
      </c>
      <c r="I182" s="67">
        <v>44378</v>
      </c>
      <c r="J182" s="68">
        <f>EFEITO!$J$182*EFEITO!$Y$182</f>
        <v>0</v>
      </c>
      <c r="K182" s="68">
        <f ca="1">EFEITO!$L$182*EFEITO!$Z$182</f>
        <v>2476.0963889585319</v>
      </c>
      <c r="L182" s="68">
        <f>EFEITO!$N$182*EFEITO!$AA$182</f>
        <v>4684.8785522506751</v>
      </c>
      <c r="M182" s="68">
        <f>$J$182-EFEITO!$K$182*EFEITO!$Y$182</f>
        <v>0</v>
      </c>
      <c r="N182" s="68">
        <f ca="1">$K$182-EFEITO!$M$182*EFEITO!$Z$182</f>
        <v>0</v>
      </c>
      <c r="O182" s="68">
        <f>$L$182-EFEITO!$O$182*EFEITO!$AA$182</f>
        <v>0</v>
      </c>
      <c r="P182" s="18"/>
      <c r="Q182" s="18"/>
      <c r="R182" s="18"/>
      <c r="S182" s="18"/>
      <c r="T182" s="18"/>
      <c r="U182" s="18"/>
      <c r="V182" s="18"/>
      <c r="W182" s="18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60" t="s">
        <v>21</v>
      </c>
      <c r="B183" s="60" t="s">
        <v>34</v>
      </c>
      <c r="C183" s="60" t="s">
        <v>35</v>
      </c>
      <c r="D183" s="60" t="s">
        <v>41</v>
      </c>
      <c r="E183" s="60" t="s">
        <v>25</v>
      </c>
      <c r="F183" s="60" t="s">
        <v>25</v>
      </c>
      <c r="G183" s="60" t="s">
        <v>25</v>
      </c>
      <c r="H183" s="60" t="s">
        <v>37</v>
      </c>
      <c r="I183" s="67">
        <v>44409</v>
      </c>
      <c r="J183" s="68">
        <f>EFEITO!$J$183*EFEITO!$Y$183</f>
        <v>0</v>
      </c>
      <c r="K183" s="68">
        <f ca="1">EFEITO!$L$183*EFEITO!$Z$183</f>
        <v>1882.0576371759335</v>
      </c>
      <c r="L183" s="68">
        <f>EFEITO!$N$183*EFEITO!$AA$183</f>
        <v>3560.9322390772154</v>
      </c>
      <c r="M183" s="68">
        <f>$J$183-EFEITO!$K$183*EFEITO!$Y$183</f>
        <v>0</v>
      </c>
      <c r="N183" s="68">
        <f ca="1">$K$183-EFEITO!$M$183*EFEITO!$Z$183</f>
        <v>0</v>
      </c>
      <c r="O183" s="68">
        <f>$L$183-EFEITO!$O$183*EFEITO!$AA$183</f>
        <v>0</v>
      </c>
      <c r="P183" s="18"/>
      <c r="Q183" s="18"/>
      <c r="R183" s="18"/>
      <c r="S183" s="18"/>
      <c r="T183" s="18"/>
      <c r="U183" s="18"/>
      <c r="V183" s="18"/>
      <c r="W183" s="18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60" t="s">
        <v>21</v>
      </c>
      <c r="B184" s="60" t="s">
        <v>34</v>
      </c>
      <c r="C184" s="60" t="s">
        <v>35</v>
      </c>
      <c r="D184" s="60" t="s">
        <v>41</v>
      </c>
      <c r="E184" s="60" t="s">
        <v>25</v>
      </c>
      <c r="F184" s="60" t="s">
        <v>25</v>
      </c>
      <c r="G184" s="60" t="s">
        <v>25</v>
      </c>
      <c r="H184" s="60" t="s">
        <v>37</v>
      </c>
      <c r="I184" s="67">
        <v>44440</v>
      </c>
      <c r="J184" s="68">
        <f>EFEITO!$J$184*EFEITO!$Y$184</f>
        <v>0</v>
      </c>
      <c r="K184" s="68">
        <f ca="1">EFEITO!$L$184*EFEITO!$Z$184</f>
        <v>1573.1895407586178</v>
      </c>
      <c r="L184" s="68">
        <f>EFEITO!$N$184*EFEITO!$AA$184</f>
        <v>2976.5408047079741</v>
      </c>
      <c r="M184" s="68">
        <f>$J$184-EFEITO!$K$184*EFEITO!$Y$184</f>
        <v>0</v>
      </c>
      <c r="N184" s="68">
        <f ca="1">$K$184-EFEITO!$M$184*EFEITO!$Z$184</f>
        <v>0</v>
      </c>
      <c r="O184" s="68">
        <f>$L$184-EFEITO!$O$184*EFEITO!$AA$184</f>
        <v>0</v>
      </c>
      <c r="P184" s="18"/>
      <c r="Q184" s="18"/>
      <c r="R184" s="18"/>
      <c r="S184" s="18"/>
      <c r="T184" s="18"/>
      <c r="U184" s="18"/>
      <c r="V184" s="18"/>
      <c r="W184" s="18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60" t="s">
        <v>21</v>
      </c>
      <c r="B185" s="60" t="s">
        <v>34</v>
      </c>
      <c r="C185" s="60" t="s">
        <v>35</v>
      </c>
      <c r="D185" s="60" t="s">
        <v>41</v>
      </c>
      <c r="E185" s="60" t="s">
        <v>25</v>
      </c>
      <c r="F185" s="60" t="s">
        <v>25</v>
      </c>
      <c r="G185" s="60" t="s">
        <v>25</v>
      </c>
      <c r="H185" s="60" t="s">
        <v>37</v>
      </c>
      <c r="I185" s="67">
        <v>44470</v>
      </c>
      <c r="J185" s="68">
        <f>EFEITO!$J$185*EFEITO!$Y$185</f>
        <v>0</v>
      </c>
      <c r="K185" s="68">
        <f ca="1">EFEITO!$L$185*EFEITO!$Z$185</f>
        <v>1561.6270212114907</v>
      </c>
      <c r="L185" s="68">
        <f>EFEITO!$N$185*EFEITO!$AA$185</f>
        <v>2954.664031219726</v>
      </c>
      <c r="M185" s="68">
        <f>$J$185-EFEITO!$K$185*EFEITO!$Y$185</f>
        <v>0</v>
      </c>
      <c r="N185" s="68">
        <f ca="1">$K$185-EFEITO!$M$185*EFEITO!$Z$185</f>
        <v>0</v>
      </c>
      <c r="O185" s="68">
        <f>$L$185-EFEITO!$O$185*EFEITO!$AA$185</f>
        <v>0</v>
      </c>
      <c r="P185" s="18"/>
      <c r="Q185" s="18"/>
      <c r="R185" s="18"/>
      <c r="S185" s="18"/>
      <c r="T185" s="18"/>
      <c r="U185" s="18"/>
      <c r="V185" s="18"/>
      <c r="W185" s="18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60" t="s">
        <v>21</v>
      </c>
      <c r="B186" s="60" t="s">
        <v>34</v>
      </c>
      <c r="C186" s="60" t="s">
        <v>35</v>
      </c>
      <c r="D186" s="60" t="s">
        <v>41</v>
      </c>
      <c r="E186" s="60" t="s">
        <v>25</v>
      </c>
      <c r="F186" s="60" t="s">
        <v>25</v>
      </c>
      <c r="G186" s="60" t="s">
        <v>25</v>
      </c>
      <c r="H186" s="60" t="s">
        <v>37</v>
      </c>
      <c r="I186" s="67">
        <v>44501</v>
      </c>
      <c r="J186" s="68">
        <f>EFEITO!$J$186*EFEITO!$Y$186</f>
        <v>0</v>
      </c>
      <c r="K186" s="68">
        <f ca="1">EFEITO!$L$186*EFEITO!$Z$186</f>
        <v>2191.0402139848047</v>
      </c>
      <c r="L186" s="68">
        <f>EFEITO!$N$186*EFEITO!$AA$186</f>
        <v>4145.5402751641623</v>
      </c>
      <c r="M186" s="68">
        <f>$J$186-EFEITO!$K$186*EFEITO!$Y$186</f>
        <v>0</v>
      </c>
      <c r="N186" s="68">
        <f ca="1">$K$186-EFEITO!$M$186*EFEITO!$Z$186</f>
        <v>0</v>
      </c>
      <c r="O186" s="68">
        <f>$L$186-EFEITO!$O$186*EFEITO!$AA$186</f>
        <v>0</v>
      </c>
      <c r="P186" s="18"/>
      <c r="Q186" s="18"/>
      <c r="R186" s="18"/>
      <c r="S186" s="18"/>
      <c r="T186" s="18"/>
      <c r="U186" s="18"/>
      <c r="V186" s="18"/>
      <c r="W186" s="18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60" t="s">
        <v>21</v>
      </c>
      <c r="B187" s="60" t="s">
        <v>34</v>
      </c>
      <c r="C187" s="60" t="s">
        <v>35</v>
      </c>
      <c r="D187" s="60" t="s">
        <v>41</v>
      </c>
      <c r="E187" s="60" t="s">
        <v>25</v>
      </c>
      <c r="F187" s="60" t="s">
        <v>25</v>
      </c>
      <c r="G187" s="60" t="s">
        <v>25</v>
      </c>
      <c r="H187" s="60" t="s">
        <v>37</v>
      </c>
      <c r="I187" s="67">
        <v>44531</v>
      </c>
      <c r="J187" s="68">
        <f>EFEITO!$J$187*EFEITO!$Y$187</f>
        <v>0</v>
      </c>
      <c r="K187" s="68">
        <f ca="1">EFEITO!$L$187*EFEITO!$Z$187</f>
        <v>2658.3491723152279</v>
      </c>
      <c r="L187" s="68">
        <f>EFEITO!$N$187*EFEITO!$AA$187</f>
        <v>5029.7084868377142</v>
      </c>
      <c r="M187" s="68">
        <f>$J$187-EFEITO!$K$187*EFEITO!$Y$187</f>
        <v>0</v>
      </c>
      <c r="N187" s="68">
        <f ca="1">$K$187-EFEITO!$M$187*EFEITO!$Z$187</f>
        <v>0</v>
      </c>
      <c r="O187" s="68">
        <f>$L$187-EFEITO!$O$187*EFEITO!$AA$187</f>
        <v>0</v>
      </c>
      <c r="P187" s="18"/>
      <c r="Q187" s="18"/>
      <c r="R187" s="18"/>
      <c r="S187" s="18"/>
      <c r="T187" s="18"/>
      <c r="U187" s="18"/>
      <c r="V187" s="18"/>
      <c r="W187" s="18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60" t="s">
        <v>21</v>
      </c>
      <c r="B188" s="60" t="s">
        <v>34</v>
      </c>
      <c r="C188" s="60" t="s">
        <v>35</v>
      </c>
      <c r="D188" s="60" t="s">
        <v>41</v>
      </c>
      <c r="E188" s="60" t="s">
        <v>25</v>
      </c>
      <c r="F188" s="60" t="s">
        <v>25</v>
      </c>
      <c r="G188" s="60" t="s">
        <v>25</v>
      </c>
      <c r="H188" s="60" t="s">
        <v>37</v>
      </c>
      <c r="I188" s="67">
        <v>44562</v>
      </c>
      <c r="J188" s="68">
        <f>EFEITO!$J$188*EFEITO!$Y$188</f>
        <v>0</v>
      </c>
      <c r="K188" s="68">
        <f ca="1">EFEITO!$L$188*EFEITO!$Z$188</f>
        <v>2451.7120655571648</v>
      </c>
      <c r="L188" s="68">
        <f>EFEITO!$N$188*EFEITO!$AA$188</f>
        <v>4638.7423863794183</v>
      </c>
      <c r="M188" s="68">
        <f>$J$188-EFEITO!$K$188*EFEITO!$Y$188</f>
        <v>0</v>
      </c>
      <c r="N188" s="68">
        <f ca="1">$K$188-EFEITO!$M$188*EFEITO!$Z$188</f>
        <v>0</v>
      </c>
      <c r="O188" s="68">
        <f>$L$188-EFEITO!$O$188*EFEITO!$AA$188</f>
        <v>0</v>
      </c>
      <c r="P188" s="18"/>
      <c r="Q188" s="18"/>
      <c r="R188" s="18"/>
      <c r="S188" s="18"/>
      <c r="T188" s="18"/>
      <c r="U188" s="18"/>
      <c r="V188" s="18"/>
      <c r="W188" s="18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60" t="s">
        <v>21</v>
      </c>
      <c r="B189" s="60" t="s">
        <v>34</v>
      </c>
      <c r="C189" s="60" t="s">
        <v>35</v>
      </c>
      <c r="D189" s="60" t="s">
        <v>41</v>
      </c>
      <c r="E189" s="60" t="s">
        <v>25</v>
      </c>
      <c r="F189" s="60" t="s">
        <v>25</v>
      </c>
      <c r="G189" s="60" t="s">
        <v>25</v>
      </c>
      <c r="H189" s="60" t="s">
        <v>37</v>
      </c>
      <c r="I189" s="67">
        <v>44593</v>
      </c>
      <c r="J189" s="68">
        <f>EFEITO!$J$189*EFEITO!$Y$189</f>
        <v>0</v>
      </c>
      <c r="K189" s="68">
        <f ca="1">EFEITO!$L$189*EFEITO!$Z$189</f>
        <v>2035.804803035257</v>
      </c>
      <c r="L189" s="68">
        <f>EFEITO!$N$189*EFEITO!$AA$189</f>
        <v>3851.8283459556037</v>
      </c>
      <c r="M189" s="68">
        <f>$J$189-EFEITO!$K$189*EFEITO!$Y$189</f>
        <v>0</v>
      </c>
      <c r="N189" s="68">
        <f ca="1">$K$189-EFEITO!$M$189*EFEITO!$Z$189</f>
        <v>0</v>
      </c>
      <c r="O189" s="68">
        <f>$L$189-EFEITO!$O$189*EFEITO!$AA$189</f>
        <v>0</v>
      </c>
      <c r="P189" s="18"/>
      <c r="Q189" s="18"/>
      <c r="R189" s="18"/>
      <c r="S189" s="18"/>
      <c r="T189" s="18"/>
      <c r="U189" s="18"/>
      <c r="V189" s="18"/>
      <c r="W189" s="18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60" t="s">
        <v>21</v>
      </c>
      <c r="B190" s="60" t="s">
        <v>34</v>
      </c>
      <c r="C190" s="60" t="s">
        <v>35</v>
      </c>
      <c r="D190" s="60" t="s">
        <v>41</v>
      </c>
      <c r="E190" s="60" t="s">
        <v>25</v>
      </c>
      <c r="F190" s="60" t="s">
        <v>25</v>
      </c>
      <c r="G190" s="60" t="s">
        <v>25</v>
      </c>
      <c r="H190" s="60" t="s">
        <v>37</v>
      </c>
      <c r="I190" s="67">
        <v>44621</v>
      </c>
      <c r="J190" s="68">
        <f>EFEITO!$J$190*EFEITO!$Y$190</f>
        <v>0</v>
      </c>
      <c r="K190" s="68">
        <f ca="1">EFEITO!$L$190*EFEITO!$Z$190</f>
        <v>2444.4998008891548</v>
      </c>
      <c r="L190" s="68">
        <f>EFEITO!$N$190*EFEITO!$AA$190</f>
        <v>4625.0964781639768</v>
      </c>
      <c r="M190" s="68">
        <f>$J$190-EFEITO!$K$190*EFEITO!$Y$190</f>
        <v>0</v>
      </c>
      <c r="N190" s="68">
        <f ca="1">$K$190-EFEITO!$M$190*EFEITO!$Z$190</f>
        <v>0</v>
      </c>
      <c r="O190" s="68">
        <f>$L$190-EFEITO!$O$190*EFEITO!$AA$190</f>
        <v>0</v>
      </c>
      <c r="P190" s="18"/>
      <c r="Q190" s="18"/>
      <c r="R190" s="18"/>
      <c r="S190" s="18"/>
      <c r="T190" s="18"/>
      <c r="U190" s="18"/>
      <c r="V190" s="18"/>
      <c r="W190" s="18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60" t="s">
        <v>21</v>
      </c>
      <c r="B191" s="60" t="s">
        <v>34</v>
      </c>
      <c r="C191" s="60" t="s">
        <v>35</v>
      </c>
      <c r="D191" s="60" t="s">
        <v>41</v>
      </c>
      <c r="E191" s="60" t="s">
        <v>25</v>
      </c>
      <c r="F191" s="60" t="s">
        <v>25</v>
      </c>
      <c r="G191" s="60" t="s">
        <v>25</v>
      </c>
      <c r="H191" s="60" t="s">
        <v>37</v>
      </c>
      <c r="I191" s="67">
        <v>44652</v>
      </c>
      <c r="J191" s="68">
        <f>EFEITO!$J$191*EFEITO!$Y$191</f>
        <v>0</v>
      </c>
      <c r="K191" s="68">
        <f ca="1">EFEITO!$L$191*EFEITO!$Z$191</f>
        <v>1598.2607465093192</v>
      </c>
      <c r="L191" s="68">
        <f>EFEITO!$N$191*EFEITO!$AA$191</f>
        <v>3023.9765808854627</v>
      </c>
      <c r="M191" s="68">
        <f>$J$191-EFEITO!$K$191*EFEITO!$Y$191</f>
        <v>0</v>
      </c>
      <c r="N191" s="68">
        <f ca="1">$K$191-EFEITO!$M$191*EFEITO!$Z$191</f>
        <v>0</v>
      </c>
      <c r="O191" s="68">
        <f>$L$191-EFEITO!$O$191*EFEITO!$AA$191</f>
        <v>0</v>
      </c>
      <c r="P191" s="18"/>
      <c r="Q191" s="18"/>
      <c r="R191" s="18"/>
      <c r="S191" s="18"/>
      <c r="T191" s="18"/>
      <c r="U191" s="18"/>
      <c r="V191" s="18"/>
      <c r="W191" s="18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60" t="s">
        <v>21</v>
      </c>
      <c r="B192" s="60" t="s">
        <v>34</v>
      </c>
      <c r="C192" s="60" t="s">
        <v>35</v>
      </c>
      <c r="D192" s="60" t="s">
        <v>41</v>
      </c>
      <c r="E192" s="60" t="s">
        <v>25</v>
      </c>
      <c r="F192" s="60" t="s">
        <v>25</v>
      </c>
      <c r="G192" s="60" t="s">
        <v>25</v>
      </c>
      <c r="H192" s="60" t="s">
        <v>37</v>
      </c>
      <c r="I192" s="67">
        <v>44682</v>
      </c>
      <c r="J192" s="68">
        <f>EFEITO!$J$192*EFEITO!$Y$192</f>
        <v>0</v>
      </c>
      <c r="K192" s="68">
        <f ca="1">EFEITO!$L$192*EFEITO!$Z$192</f>
        <v>2258.6981253942317</v>
      </c>
      <c r="L192" s="68">
        <f>EFEITO!$N$192*EFEITO!$AA$192</f>
        <v>4273.551890328069</v>
      </c>
      <c r="M192" s="68">
        <f>$J$192-EFEITO!$K$192*EFEITO!$Y$192</f>
        <v>0</v>
      </c>
      <c r="N192" s="68">
        <f ca="1">$K$192-EFEITO!$M$192*EFEITO!$Z$192</f>
        <v>0</v>
      </c>
      <c r="O192" s="68">
        <f>$L$192-EFEITO!$O$192*EFEITO!$AA$192</f>
        <v>0</v>
      </c>
      <c r="P192" s="18"/>
      <c r="Q192" s="18"/>
      <c r="R192" s="18"/>
      <c r="S192" s="18"/>
      <c r="T192" s="18"/>
      <c r="U192" s="18"/>
      <c r="V192" s="18"/>
      <c r="W192" s="18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60" t="s">
        <v>21</v>
      </c>
      <c r="B193" s="60" t="s">
        <v>34</v>
      </c>
      <c r="C193" s="60" t="s">
        <v>35</v>
      </c>
      <c r="D193" s="60" t="s">
        <v>41</v>
      </c>
      <c r="E193" s="60" t="s">
        <v>25</v>
      </c>
      <c r="F193" s="60" t="s">
        <v>25</v>
      </c>
      <c r="G193" s="60" t="s">
        <v>25</v>
      </c>
      <c r="H193" s="60" t="s">
        <v>37</v>
      </c>
      <c r="I193" s="67">
        <v>44713</v>
      </c>
      <c r="J193" s="68">
        <f>EFEITO!$J$193*EFEITO!$Y$193</f>
        <v>0</v>
      </c>
      <c r="K193" s="68">
        <f ca="1">EFEITO!$L$193*EFEITO!$Z$193</f>
        <v>2523.4912710625972</v>
      </c>
      <c r="L193" s="68">
        <f>EFEITO!$N$193*EFEITO!$AA$193</f>
        <v>4774.551663380721</v>
      </c>
      <c r="M193" s="68">
        <f>$J$193-EFEITO!$K$193*EFEITO!$Y$193</f>
        <v>0</v>
      </c>
      <c r="N193" s="68">
        <f ca="1">$K$193-EFEITO!$M$193*EFEITO!$Z$193</f>
        <v>0</v>
      </c>
      <c r="O193" s="68">
        <f>$L$193-EFEITO!$O$193*EFEITO!$AA$193</f>
        <v>0</v>
      </c>
      <c r="P193" s="18"/>
      <c r="Q193" s="18"/>
      <c r="R193" s="18"/>
      <c r="S193" s="18"/>
      <c r="T193" s="18"/>
      <c r="U193" s="18"/>
      <c r="V193" s="18"/>
      <c r="W193" s="18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60" t="s">
        <v>21</v>
      </c>
      <c r="B194" s="60" t="s">
        <v>34</v>
      </c>
      <c r="C194" s="60" t="s">
        <v>35</v>
      </c>
      <c r="D194" s="60" t="s">
        <v>41</v>
      </c>
      <c r="E194" s="60" t="s">
        <v>25</v>
      </c>
      <c r="F194" s="60" t="s">
        <v>25</v>
      </c>
      <c r="G194" s="60" t="s">
        <v>25</v>
      </c>
      <c r="H194" s="60" t="s">
        <v>25</v>
      </c>
      <c r="I194" s="67">
        <v>44378</v>
      </c>
      <c r="J194" s="68">
        <f ca="1">EFEITO!$J$194*EFEITO!$Y$194</f>
        <v>7225.4190043915296</v>
      </c>
      <c r="K194" s="68">
        <f>EFEITO!$L$194*EFEITO!$Z$194</f>
        <v>0</v>
      </c>
      <c r="L194" s="68">
        <f>EFEITO!$N$194*EFEITO!$AA$194</f>
        <v>0</v>
      </c>
      <c r="M194" s="68">
        <f ca="1">$J$194-EFEITO!$K$194*EFEITO!$Y$194</f>
        <v>0</v>
      </c>
      <c r="N194" s="68">
        <f>$K$194-EFEITO!$M$194*EFEITO!$Z$194</f>
        <v>0</v>
      </c>
      <c r="O194" s="68">
        <f>$L$194-EFEITO!$O$194*EFEITO!$AA$194</f>
        <v>0</v>
      </c>
      <c r="P194" s="18"/>
      <c r="Q194" s="18"/>
      <c r="R194" s="18"/>
      <c r="S194" s="18"/>
      <c r="T194" s="18"/>
      <c r="U194" s="18"/>
      <c r="V194" s="18"/>
      <c r="W194" s="18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60" t="s">
        <v>21</v>
      </c>
      <c r="B195" s="60" t="s">
        <v>34</v>
      </c>
      <c r="C195" s="60" t="s">
        <v>35</v>
      </c>
      <c r="D195" s="60" t="s">
        <v>41</v>
      </c>
      <c r="E195" s="60" t="s">
        <v>25</v>
      </c>
      <c r="F195" s="60" t="s">
        <v>25</v>
      </c>
      <c r="G195" s="60" t="s">
        <v>25</v>
      </c>
      <c r="H195" s="60" t="s">
        <v>25</v>
      </c>
      <c r="I195" s="67">
        <v>44409</v>
      </c>
      <c r="J195" s="68">
        <f ca="1">EFEITO!$J$195*EFEITO!$Y$195</f>
        <v>7087.9789689819081</v>
      </c>
      <c r="K195" s="68">
        <f>EFEITO!$L$195*EFEITO!$Z$195</f>
        <v>0</v>
      </c>
      <c r="L195" s="68">
        <f>EFEITO!$N$195*EFEITO!$AA$195</f>
        <v>0</v>
      </c>
      <c r="M195" s="68">
        <f ca="1">$J$195-EFEITO!$K$195*EFEITO!$Y$195</f>
        <v>0</v>
      </c>
      <c r="N195" s="68">
        <f>$K$195-EFEITO!$M$195*EFEITO!$Z$195</f>
        <v>0</v>
      </c>
      <c r="O195" s="68">
        <f>$L$195-EFEITO!$O$195*EFEITO!$AA$195</f>
        <v>0</v>
      </c>
      <c r="P195" s="18"/>
      <c r="Q195" s="18"/>
      <c r="R195" s="18"/>
      <c r="S195" s="18"/>
      <c r="T195" s="18"/>
      <c r="U195" s="18"/>
      <c r="V195" s="18"/>
      <c r="W195" s="18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60" t="s">
        <v>21</v>
      </c>
      <c r="B196" s="60" t="s">
        <v>34</v>
      </c>
      <c r="C196" s="60" t="s">
        <v>35</v>
      </c>
      <c r="D196" s="60" t="s">
        <v>41</v>
      </c>
      <c r="E196" s="60" t="s">
        <v>25</v>
      </c>
      <c r="F196" s="60" t="s">
        <v>25</v>
      </c>
      <c r="G196" s="60" t="s">
        <v>25</v>
      </c>
      <c r="H196" s="60" t="s">
        <v>25</v>
      </c>
      <c r="I196" s="67">
        <v>44440</v>
      </c>
      <c r="J196" s="68">
        <f ca="1">EFEITO!$J$196*EFEITO!$Y$196</f>
        <v>6930.9046427994836</v>
      </c>
      <c r="K196" s="68">
        <f>EFEITO!$L$196*EFEITO!$Z$196</f>
        <v>0</v>
      </c>
      <c r="L196" s="68">
        <f>EFEITO!$N$196*EFEITO!$AA$196</f>
        <v>0</v>
      </c>
      <c r="M196" s="68">
        <f ca="1">$J$196-EFEITO!$K$196*EFEITO!$Y$196</f>
        <v>0</v>
      </c>
      <c r="N196" s="68">
        <f>$K$196-EFEITO!$M$196*EFEITO!$Z$196</f>
        <v>0</v>
      </c>
      <c r="O196" s="68">
        <f>$L$196-EFEITO!$O$196*EFEITO!$AA$196</f>
        <v>0</v>
      </c>
      <c r="P196" s="18"/>
      <c r="Q196" s="18"/>
      <c r="R196" s="18"/>
      <c r="S196" s="18"/>
      <c r="T196" s="18"/>
      <c r="U196" s="18"/>
      <c r="V196" s="18"/>
      <c r="W196" s="18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60" t="s">
        <v>21</v>
      </c>
      <c r="B197" s="60" t="s">
        <v>34</v>
      </c>
      <c r="C197" s="60" t="s">
        <v>35</v>
      </c>
      <c r="D197" s="60" t="s">
        <v>41</v>
      </c>
      <c r="E197" s="60" t="s">
        <v>25</v>
      </c>
      <c r="F197" s="60" t="s">
        <v>25</v>
      </c>
      <c r="G197" s="60" t="s">
        <v>25</v>
      </c>
      <c r="H197" s="60" t="s">
        <v>25</v>
      </c>
      <c r="I197" s="67">
        <v>44470</v>
      </c>
      <c r="J197" s="68">
        <f ca="1">EFEITO!$J$197*EFEITO!$Y$197</f>
        <v>6930.9046427994836</v>
      </c>
      <c r="K197" s="68">
        <f>EFEITO!$L$197*EFEITO!$Z$197</f>
        <v>0</v>
      </c>
      <c r="L197" s="68">
        <f>EFEITO!$N$197*EFEITO!$AA$197</f>
        <v>0</v>
      </c>
      <c r="M197" s="68">
        <f ca="1">$J$197-EFEITO!$K$197*EFEITO!$Y$197</f>
        <v>0</v>
      </c>
      <c r="N197" s="68">
        <f>$K$197-EFEITO!$M$197*EFEITO!$Z$197</f>
        <v>0</v>
      </c>
      <c r="O197" s="68">
        <f>$L$197-EFEITO!$O$197*EFEITO!$AA$197</f>
        <v>0</v>
      </c>
      <c r="P197" s="18"/>
      <c r="Q197" s="18"/>
      <c r="R197" s="18"/>
      <c r="S197" s="18"/>
      <c r="T197" s="18"/>
      <c r="U197" s="18"/>
      <c r="V197" s="18"/>
      <c r="W197" s="18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60" t="s">
        <v>21</v>
      </c>
      <c r="B198" s="60" t="s">
        <v>34</v>
      </c>
      <c r="C198" s="60" t="s">
        <v>35</v>
      </c>
      <c r="D198" s="60" t="s">
        <v>41</v>
      </c>
      <c r="E198" s="60" t="s">
        <v>25</v>
      </c>
      <c r="F198" s="60" t="s">
        <v>25</v>
      </c>
      <c r="G198" s="60" t="s">
        <v>25</v>
      </c>
      <c r="H198" s="60" t="s">
        <v>25</v>
      </c>
      <c r="I198" s="67">
        <v>44501</v>
      </c>
      <c r="J198" s="68">
        <f ca="1">EFEITO!$J$198*EFEITO!$Y$198</f>
        <v>6950.5389335722866</v>
      </c>
      <c r="K198" s="68">
        <f>EFEITO!$L$198*EFEITO!$Z$198</f>
        <v>0</v>
      </c>
      <c r="L198" s="68">
        <f>EFEITO!$N$198*EFEITO!$AA$198</f>
        <v>0</v>
      </c>
      <c r="M198" s="68">
        <f ca="1">$J$198-EFEITO!$K$198*EFEITO!$Y$198</f>
        <v>0</v>
      </c>
      <c r="N198" s="68">
        <f>$K$198-EFEITO!$M$198*EFEITO!$Z$198</f>
        <v>0</v>
      </c>
      <c r="O198" s="68">
        <f>$L$198-EFEITO!$O$198*EFEITO!$AA$198</f>
        <v>0</v>
      </c>
      <c r="P198" s="18"/>
      <c r="Q198" s="18"/>
      <c r="R198" s="18"/>
      <c r="S198" s="18"/>
      <c r="T198" s="18"/>
      <c r="U198" s="18"/>
      <c r="V198" s="18"/>
      <c r="W198" s="18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60" t="s">
        <v>21</v>
      </c>
      <c r="B199" s="60" t="s">
        <v>34</v>
      </c>
      <c r="C199" s="60" t="s">
        <v>35</v>
      </c>
      <c r="D199" s="60" t="s">
        <v>41</v>
      </c>
      <c r="E199" s="60" t="s">
        <v>25</v>
      </c>
      <c r="F199" s="60" t="s">
        <v>25</v>
      </c>
      <c r="G199" s="60" t="s">
        <v>25</v>
      </c>
      <c r="H199" s="60" t="s">
        <v>25</v>
      </c>
      <c r="I199" s="67">
        <v>44531</v>
      </c>
      <c r="J199" s="68">
        <f ca="1">EFEITO!$J$199*EFEITO!$Y$199</f>
        <v>7068.344678209105</v>
      </c>
      <c r="K199" s="68">
        <f>EFEITO!$L$199*EFEITO!$Z$199</f>
        <v>0</v>
      </c>
      <c r="L199" s="68">
        <f>EFEITO!$N$199*EFEITO!$AA$199</f>
        <v>0</v>
      </c>
      <c r="M199" s="68">
        <f ca="1">$J$199-EFEITO!$K$199*EFEITO!$Y$199</f>
        <v>0</v>
      </c>
      <c r="N199" s="68">
        <f>$K$199-EFEITO!$M$199*EFEITO!$Z$199</f>
        <v>0</v>
      </c>
      <c r="O199" s="68">
        <f>$L$199-EFEITO!$O$199*EFEITO!$AA$199</f>
        <v>0</v>
      </c>
      <c r="P199" s="18"/>
      <c r="Q199" s="18"/>
      <c r="R199" s="18"/>
      <c r="S199" s="18"/>
      <c r="T199" s="18"/>
      <c r="U199" s="18"/>
      <c r="V199" s="18"/>
      <c r="W199" s="18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60" t="s">
        <v>21</v>
      </c>
      <c r="B200" s="60" t="s">
        <v>34</v>
      </c>
      <c r="C200" s="60" t="s">
        <v>35</v>
      </c>
      <c r="D200" s="60" t="s">
        <v>41</v>
      </c>
      <c r="E200" s="60" t="s">
        <v>25</v>
      </c>
      <c r="F200" s="60" t="s">
        <v>25</v>
      </c>
      <c r="G200" s="60" t="s">
        <v>25</v>
      </c>
      <c r="H200" s="60" t="s">
        <v>25</v>
      </c>
      <c r="I200" s="67">
        <v>44562</v>
      </c>
      <c r="J200" s="68">
        <f ca="1">EFEITO!$J$200*EFEITO!$Y$200</f>
        <v>7146.8818413003173</v>
      </c>
      <c r="K200" s="68">
        <f>EFEITO!$L$200*EFEITO!$Z$200</f>
        <v>0</v>
      </c>
      <c r="L200" s="68">
        <f>EFEITO!$N$200*EFEITO!$AA$200</f>
        <v>0</v>
      </c>
      <c r="M200" s="68">
        <f ca="1">$J$200-EFEITO!$K$200*EFEITO!$Y$200</f>
        <v>0</v>
      </c>
      <c r="N200" s="68">
        <f>$K$200-EFEITO!$M$200*EFEITO!$Z$200</f>
        <v>0</v>
      </c>
      <c r="O200" s="68">
        <f>$L$200-EFEITO!$O$200*EFEITO!$AA$200</f>
        <v>0</v>
      </c>
      <c r="P200" s="18"/>
      <c r="Q200" s="18"/>
      <c r="R200" s="18"/>
      <c r="S200" s="18"/>
      <c r="T200" s="18"/>
      <c r="U200" s="18"/>
      <c r="V200" s="18"/>
      <c r="W200" s="18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60" t="s">
        <v>21</v>
      </c>
      <c r="B201" s="60" t="s">
        <v>34</v>
      </c>
      <c r="C201" s="60" t="s">
        <v>35</v>
      </c>
      <c r="D201" s="60" t="s">
        <v>41</v>
      </c>
      <c r="E201" s="60" t="s">
        <v>25</v>
      </c>
      <c r="F201" s="60" t="s">
        <v>25</v>
      </c>
      <c r="G201" s="60" t="s">
        <v>25</v>
      </c>
      <c r="H201" s="60" t="s">
        <v>25</v>
      </c>
      <c r="I201" s="67">
        <v>44593</v>
      </c>
      <c r="J201" s="68">
        <f ca="1">EFEITO!$J$201*EFEITO!$Y$201</f>
        <v>6930.9046427994836</v>
      </c>
      <c r="K201" s="68">
        <f>EFEITO!$L$201*EFEITO!$Z$201</f>
        <v>0</v>
      </c>
      <c r="L201" s="68">
        <f>EFEITO!$N$201*EFEITO!$AA$201</f>
        <v>0</v>
      </c>
      <c r="M201" s="68">
        <f ca="1">$J$201-EFEITO!$K$201*EFEITO!$Y$201</f>
        <v>0</v>
      </c>
      <c r="N201" s="68">
        <f>$K$201-EFEITO!$M$201*EFEITO!$Z$201</f>
        <v>0</v>
      </c>
      <c r="O201" s="68">
        <f>$L$201-EFEITO!$O$201*EFEITO!$AA$201</f>
        <v>0</v>
      </c>
      <c r="P201" s="18"/>
      <c r="Q201" s="18"/>
      <c r="R201" s="18"/>
      <c r="S201" s="18"/>
      <c r="T201" s="18"/>
      <c r="U201" s="18"/>
      <c r="V201" s="18"/>
      <c r="W201" s="18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60" t="s">
        <v>21</v>
      </c>
      <c r="B202" s="60" t="s">
        <v>34</v>
      </c>
      <c r="C202" s="60" t="s">
        <v>35</v>
      </c>
      <c r="D202" s="60" t="s">
        <v>41</v>
      </c>
      <c r="E202" s="60" t="s">
        <v>25</v>
      </c>
      <c r="F202" s="60" t="s">
        <v>25</v>
      </c>
      <c r="G202" s="60" t="s">
        <v>25</v>
      </c>
      <c r="H202" s="60" t="s">
        <v>25</v>
      </c>
      <c r="I202" s="67">
        <v>44621</v>
      </c>
      <c r="J202" s="68">
        <f ca="1">EFEITO!$J$202*EFEITO!$Y$202</f>
        <v>6989.8075151178928</v>
      </c>
      <c r="K202" s="68">
        <f>EFEITO!$L$202*EFEITO!$Z$202</f>
        <v>0</v>
      </c>
      <c r="L202" s="68">
        <f>EFEITO!$N$202*EFEITO!$AA$202</f>
        <v>0</v>
      </c>
      <c r="M202" s="68">
        <f ca="1">$J$202-EFEITO!$K$202*EFEITO!$Y$202</f>
        <v>0</v>
      </c>
      <c r="N202" s="68">
        <f>$K$202-EFEITO!$M$202*EFEITO!$Z$202</f>
        <v>0</v>
      </c>
      <c r="O202" s="68">
        <f>$L$202-EFEITO!$O$202*EFEITO!$AA$202</f>
        <v>0</v>
      </c>
      <c r="P202" s="18"/>
      <c r="Q202" s="18"/>
      <c r="R202" s="18"/>
      <c r="S202" s="18"/>
      <c r="T202" s="18"/>
      <c r="U202" s="18"/>
      <c r="V202" s="18"/>
      <c r="W202" s="18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60" t="s">
        <v>21</v>
      </c>
      <c r="B203" s="60" t="s">
        <v>34</v>
      </c>
      <c r="C203" s="60" t="s">
        <v>35</v>
      </c>
      <c r="D203" s="60" t="s">
        <v>41</v>
      </c>
      <c r="E203" s="60" t="s">
        <v>25</v>
      </c>
      <c r="F203" s="60" t="s">
        <v>25</v>
      </c>
      <c r="G203" s="60" t="s">
        <v>25</v>
      </c>
      <c r="H203" s="60" t="s">
        <v>25</v>
      </c>
      <c r="I203" s="67">
        <v>44652</v>
      </c>
      <c r="J203" s="68">
        <f ca="1">EFEITO!$J$203*EFEITO!$Y$203</f>
        <v>6930.9046427994836</v>
      </c>
      <c r="K203" s="68">
        <f>EFEITO!$L$203*EFEITO!$Z$203</f>
        <v>0</v>
      </c>
      <c r="L203" s="68">
        <f>EFEITO!$N$203*EFEITO!$AA$203</f>
        <v>0</v>
      </c>
      <c r="M203" s="68">
        <f ca="1">$J$203-EFEITO!$K$203*EFEITO!$Y$203</f>
        <v>0</v>
      </c>
      <c r="N203" s="68">
        <f>$K$203-EFEITO!$M$203*EFEITO!$Z$203</f>
        <v>0</v>
      </c>
      <c r="O203" s="68">
        <f>$L$203-EFEITO!$O$203*EFEITO!$AA$203</f>
        <v>0</v>
      </c>
      <c r="P203" s="18"/>
      <c r="Q203" s="18"/>
      <c r="R203" s="18"/>
      <c r="S203" s="18"/>
      <c r="T203" s="18"/>
      <c r="U203" s="18"/>
      <c r="V203" s="18"/>
      <c r="W203" s="18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60" t="s">
        <v>21</v>
      </c>
      <c r="B204" s="60" t="s">
        <v>34</v>
      </c>
      <c r="C204" s="60" t="s">
        <v>35</v>
      </c>
      <c r="D204" s="60" t="s">
        <v>41</v>
      </c>
      <c r="E204" s="60" t="s">
        <v>25</v>
      </c>
      <c r="F204" s="60" t="s">
        <v>25</v>
      </c>
      <c r="G204" s="60" t="s">
        <v>25</v>
      </c>
      <c r="H204" s="60" t="s">
        <v>25</v>
      </c>
      <c r="I204" s="67">
        <v>44682</v>
      </c>
      <c r="J204" s="68">
        <f ca="1">EFEITO!$J$204*EFEITO!$Y$204</f>
        <v>6950.5389335722866</v>
      </c>
      <c r="K204" s="68">
        <f>EFEITO!$L$204*EFEITO!$Z$204</f>
        <v>0</v>
      </c>
      <c r="L204" s="68">
        <f>EFEITO!$N$204*EFEITO!$AA$204</f>
        <v>0</v>
      </c>
      <c r="M204" s="68">
        <f ca="1">$J$204-EFEITO!$K$204*EFEITO!$Y$204</f>
        <v>0</v>
      </c>
      <c r="N204" s="68">
        <f>$K$204-EFEITO!$M$204*EFEITO!$Z$204</f>
        <v>0</v>
      </c>
      <c r="O204" s="68">
        <f>$L$204-EFEITO!$O$204*EFEITO!$AA$204</f>
        <v>0</v>
      </c>
      <c r="P204" s="18"/>
      <c r="Q204" s="18"/>
      <c r="R204" s="18"/>
      <c r="S204" s="18"/>
      <c r="T204" s="18"/>
      <c r="U204" s="18"/>
      <c r="V204" s="18"/>
      <c r="W204" s="18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60" t="s">
        <v>21</v>
      </c>
      <c r="B205" s="60" t="s">
        <v>34</v>
      </c>
      <c r="C205" s="60" t="s">
        <v>35</v>
      </c>
      <c r="D205" s="60" t="s">
        <v>41</v>
      </c>
      <c r="E205" s="60" t="s">
        <v>25</v>
      </c>
      <c r="F205" s="60" t="s">
        <v>25</v>
      </c>
      <c r="G205" s="60" t="s">
        <v>25</v>
      </c>
      <c r="H205" s="60" t="s">
        <v>25</v>
      </c>
      <c r="I205" s="67">
        <v>44713</v>
      </c>
      <c r="J205" s="68">
        <f ca="1">EFEITO!$J$205*EFEITO!$Y$205</f>
        <v>7087.9789689819081</v>
      </c>
      <c r="K205" s="68">
        <f>EFEITO!$L$205*EFEITO!$Z$205</f>
        <v>0</v>
      </c>
      <c r="L205" s="68">
        <f>EFEITO!$N$205*EFEITO!$AA$205</f>
        <v>0</v>
      </c>
      <c r="M205" s="68">
        <f ca="1">$J$205-EFEITO!$K$205*EFEITO!$Y$205</f>
        <v>0</v>
      </c>
      <c r="N205" s="68">
        <f>$K$205-EFEITO!$M$205*EFEITO!$Z$205</f>
        <v>0</v>
      </c>
      <c r="O205" s="68">
        <f>$L$205-EFEITO!$O$205*EFEITO!$AA$205</f>
        <v>0</v>
      </c>
      <c r="P205" s="18"/>
      <c r="Q205" s="18"/>
      <c r="R205" s="18"/>
      <c r="S205" s="18"/>
      <c r="T205" s="18"/>
      <c r="U205" s="18"/>
      <c r="V205" s="18"/>
      <c r="W205" s="18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60" t="s">
        <v>21</v>
      </c>
      <c r="B206" s="60" t="s">
        <v>34</v>
      </c>
      <c r="C206" s="60" t="s">
        <v>35</v>
      </c>
      <c r="D206" s="60" t="s">
        <v>41</v>
      </c>
      <c r="E206" s="60" t="s">
        <v>25</v>
      </c>
      <c r="F206" s="60" t="s">
        <v>25</v>
      </c>
      <c r="G206" s="60" t="s">
        <v>25</v>
      </c>
      <c r="H206" s="60" t="s">
        <v>36</v>
      </c>
      <c r="I206" s="67">
        <v>44378</v>
      </c>
      <c r="J206" s="68">
        <f>EFEITO!$J$206*EFEITO!$Y$206</f>
        <v>0</v>
      </c>
      <c r="K206" s="68">
        <f ca="1">EFEITO!$L$206*EFEITO!$Z$206</f>
        <v>906.58465417809032</v>
      </c>
      <c r="L206" s="68">
        <f>EFEITO!$N$206*EFEITO!$AA$206</f>
        <v>326.41306341530225</v>
      </c>
      <c r="M206" s="68">
        <f>$J$206-EFEITO!$K$206*EFEITO!$Y$206</f>
        <v>0</v>
      </c>
      <c r="N206" s="68">
        <f ca="1">$K$206-EFEITO!$M$206*EFEITO!$Z$206</f>
        <v>0</v>
      </c>
      <c r="O206" s="68">
        <f>$L$206-EFEITO!$O$206*EFEITO!$AA$206</f>
        <v>0</v>
      </c>
      <c r="P206" s="18"/>
      <c r="Q206" s="18"/>
      <c r="R206" s="18"/>
      <c r="S206" s="18"/>
      <c r="T206" s="18"/>
      <c r="U206" s="18"/>
      <c r="V206" s="18"/>
      <c r="W206" s="18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60" t="s">
        <v>21</v>
      </c>
      <c r="B207" s="60" t="s">
        <v>34</v>
      </c>
      <c r="C207" s="60" t="s">
        <v>35</v>
      </c>
      <c r="D207" s="60" t="s">
        <v>41</v>
      </c>
      <c r="E207" s="60" t="s">
        <v>25</v>
      </c>
      <c r="F207" s="60" t="s">
        <v>25</v>
      </c>
      <c r="G207" s="60" t="s">
        <v>25</v>
      </c>
      <c r="H207" s="60" t="s">
        <v>36</v>
      </c>
      <c r="I207" s="67">
        <v>44409</v>
      </c>
      <c r="J207" s="68">
        <f>EFEITO!$J$207*EFEITO!$Y$207</f>
        <v>0</v>
      </c>
      <c r="K207" s="68">
        <f ca="1">EFEITO!$L$207*EFEITO!$Z$207</f>
        <v>723.91461191832582</v>
      </c>
      <c r="L207" s="68">
        <f>EFEITO!$N$207*EFEITO!$AA$207</f>
        <v>260.64326705550258</v>
      </c>
      <c r="M207" s="68">
        <f>$J$207-EFEITO!$K$207*EFEITO!$Y$207</f>
        <v>0</v>
      </c>
      <c r="N207" s="68">
        <f ca="1">$K$207-EFEITO!$M$207*EFEITO!$Z$207</f>
        <v>0</v>
      </c>
      <c r="O207" s="68">
        <f>$L$207-EFEITO!$O$207*EFEITO!$AA$207</f>
        <v>0</v>
      </c>
      <c r="P207" s="18"/>
      <c r="Q207" s="18"/>
      <c r="R207" s="18"/>
      <c r="S207" s="18"/>
      <c r="T207" s="18"/>
      <c r="U207" s="18"/>
      <c r="V207" s="18"/>
      <c r="W207" s="18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60" t="s">
        <v>21</v>
      </c>
      <c r="B208" s="60" t="s">
        <v>34</v>
      </c>
      <c r="C208" s="60" t="s">
        <v>35</v>
      </c>
      <c r="D208" s="60" t="s">
        <v>41</v>
      </c>
      <c r="E208" s="60" t="s">
        <v>25</v>
      </c>
      <c r="F208" s="60" t="s">
        <v>25</v>
      </c>
      <c r="G208" s="60" t="s">
        <v>25</v>
      </c>
      <c r="H208" s="60" t="s">
        <v>36</v>
      </c>
      <c r="I208" s="67">
        <v>44440</v>
      </c>
      <c r="J208" s="68">
        <f>EFEITO!$J$208*EFEITO!$Y$208</f>
        <v>0</v>
      </c>
      <c r="K208" s="68">
        <f ca="1">EFEITO!$L$208*EFEITO!$Z$208</f>
        <v>714.24953031728012</v>
      </c>
      <c r="L208" s="68">
        <f>EFEITO!$N$208*EFEITO!$AA$208</f>
        <v>257.16338365022216</v>
      </c>
      <c r="M208" s="68">
        <f>$J$208-EFEITO!$K$208*EFEITO!$Y$208</f>
        <v>0</v>
      </c>
      <c r="N208" s="68">
        <f ca="1">$K$208-EFEITO!$M$208*EFEITO!$Z$208</f>
        <v>0</v>
      </c>
      <c r="O208" s="68">
        <f>$L$208-EFEITO!$O$208*EFEITO!$AA$208</f>
        <v>0</v>
      </c>
      <c r="P208" s="18"/>
      <c r="Q208" s="18"/>
      <c r="R208" s="18"/>
      <c r="S208" s="18"/>
      <c r="T208" s="18"/>
      <c r="U208" s="18"/>
      <c r="V208" s="18"/>
      <c r="W208" s="18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60" t="s">
        <v>21</v>
      </c>
      <c r="B209" s="60" t="s">
        <v>34</v>
      </c>
      <c r="C209" s="60" t="s">
        <v>35</v>
      </c>
      <c r="D209" s="60" t="s">
        <v>41</v>
      </c>
      <c r="E209" s="60" t="s">
        <v>25</v>
      </c>
      <c r="F209" s="60" t="s">
        <v>25</v>
      </c>
      <c r="G209" s="60" t="s">
        <v>25</v>
      </c>
      <c r="H209" s="60" t="s">
        <v>36</v>
      </c>
      <c r="I209" s="67">
        <v>44470</v>
      </c>
      <c r="J209" s="68">
        <f>EFEITO!$J$209*EFEITO!$Y$209</f>
        <v>0</v>
      </c>
      <c r="K209" s="68">
        <f ca="1">EFEITO!$L$209*EFEITO!$Z$209</f>
        <v>685.25428551414291</v>
      </c>
      <c r="L209" s="68">
        <f>EFEITO!$N$209*EFEITO!$AA$209</f>
        <v>246.7237334343809</v>
      </c>
      <c r="M209" s="68">
        <f>$J$209-EFEITO!$K$209*EFEITO!$Y$209</f>
        <v>0</v>
      </c>
      <c r="N209" s="68">
        <f ca="1">$K$209-EFEITO!$M$209*EFEITO!$Z$209</f>
        <v>0</v>
      </c>
      <c r="O209" s="68">
        <f>$L$209-EFEITO!$O$209*EFEITO!$AA$209</f>
        <v>0</v>
      </c>
      <c r="P209" s="18"/>
      <c r="Q209" s="18"/>
      <c r="R209" s="18"/>
      <c r="S209" s="18"/>
      <c r="T209" s="18"/>
      <c r="U209" s="18"/>
      <c r="V209" s="18"/>
      <c r="W209" s="18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60" t="s">
        <v>21</v>
      </c>
      <c r="B210" s="60" t="s">
        <v>34</v>
      </c>
      <c r="C210" s="60" t="s">
        <v>35</v>
      </c>
      <c r="D210" s="60" t="s">
        <v>41</v>
      </c>
      <c r="E210" s="60" t="s">
        <v>25</v>
      </c>
      <c r="F210" s="60" t="s">
        <v>25</v>
      </c>
      <c r="G210" s="60" t="s">
        <v>25</v>
      </c>
      <c r="H210" s="60" t="s">
        <v>36</v>
      </c>
      <c r="I210" s="67">
        <v>44501</v>
      </c>
      <c r="J210" s="68">
        <f>EFEITO!$J$210*EFEITO!$Y$210</f>
        <v>0</v>
      </c>
      <c r="K210" s="68">
        <f ca="1">EFEITO!$L$210*EFEITO!$Z$210</f>
        <v>783.83811784480952</v>
      </c>
      <c r="L210" s="68">
        <f>EFEITO!$N$210*EFEITO!$AA$210</f>
        <v>282.21854416824112</v>
      </c>
      <c r="M210" s="68">
        <f>$J$210-EFEITO!$K$210*EFEITO!$Y$210</f>
        <v>0</v>
      </c>
      <c r="N210" s="68">
        <f ca="1">$K$210-EFEITO!$M$210*EFEITO!$Z$210</f>
        <v>0</v>
      </c>
      <c r="O210" s="68">
        <f>$L$210-EFEITO!$O$210*EFEITO!$AA$210</f>
        <v>0</v>
      </c>
      <c r="P210" s="18"/>
      <c r="Q210" s="18"/>
      <c r="R210" s="18"/>
      <c r="S210" s="18"/>
      <c r="T210" s="18"/>
      <c r="U210" s="18"/>
      <c r="V210" s="18"/>
      <c r="W210" s="18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60" t="s">
        <v>21</v>
      </c>
      <c r="B211" s="60" t="s">
        <v>34</v>
      </c>
      <c r="C211" s="60" t="s">
        <v>35</v>
      </c>
      <c r="D211" s="60" t="s">
        <v>41</v>
      </c>
      <c r="E211" s="60" t="s">
        <v>25</v>
      </c>
      <c r="F211" s="60" t="s">
        <v>25</v>
      </c>
      <c r="G211" s="60" t="s">
        <v>25</v>
      </c>
      <c r="H211" s="60" t="s">
        <v>36</v>
      </c>
      <c r="I211" s="67">
        <v>44531</v>
      </c>
      <c r="J211" s="68">
        <f>EFEITO!$J$211*EFEITO!$Y$211</f>
        <v>0</v>
      </c>
      <c r="K211" s="68">
        <f ca="1">EFEITO!$L$211*EFEITO!$Z$211</f>
        <v>896.91957257704462</v>
      </c>
      <c r="L211" s="68">
        <f>EFEITO!$N$211*EFEITO!$AA$211</f>
        <v>322.93318001002189</v>
      </c>
      <c r="M211" s="68">
        <f>$J$211-EFEITO!$K$211*EFEITO!$Y$211</f>
        <v>0</v>
      </c>
      <c r="N211" s="68">
        <f ca="1">$K$211-EFEITO!$M$211*EFEITO!$Z$211</f>
        <v>0</v>
      </c>
      <c r="O211" s="68">
        <f>$L$211-EFEITO!$O$211*EFEITO!$AA$211</f>
        <v>0</v>
      </c>
      <c r="P211" s="18"/>
      <c r="Q211" s="18"/>
      <c r="R211" s="18"/>
      <c r="S211" s="18"/>
      <c r="T211" s="18"/>
      <c r="U211" s="18"/>
      <c r="V211" s="18"/>
      <c r="W211" s="18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60" t="s">
        <v>21</v>
      </c>
      <c r="B212" s="60" t="s">
        <v>34</v>
      </c>
      <c r="C212" s="60" t="s">
        <v>35</v>
      </c>
      <c r="D212" s="60" t="s">
        <v>41</v>
      </c>
      <c r="E212" s="60" t="s">
        <v>25</v>
      </c>
      <c r="F212" s="60" t="s">
        <v>25</v>
      </c>
      <c r="G212" s="60" t="s">
        <v>25</v>
      </c>
      <c r="H212" s="60" t="s">
        <v>36</v>
      </c>
      <c r="I212" s="67">
        <v>44562</v>
      </c>
      <c r="J212" s="68">
        <f>EFEITO!$J$212*EFEITO!$Y$212</f>
        <v>0</v>
      </c>
      <c r="K212" s="68">
        <f ca="1">EFEITO!$L$212*EFEITO!$Z$212</f>
        <v>894.02004809673087</v>
      </c>
      <c r="L212" s="68">
        <f>EFEITO!$N$212*EFEITO!$AA$212</f>
        <v>321.88921498843774</v>
      </c>
      <c r="M212" s="68">
        <f>$J$212-EFEITO!$K$212*EFEITO!$Y$212</f>
        <v>0</v>
      </c>
      <c r="N212" s="68">
        <f ca="1">$K$212-EFEITO!$M$212*EFEITO!$Z$212</f>
        <v>0</v>
      </c>
      <c r="O212" s="68">
        <f>$L$212-EFEITO!$O$212*EFEITO!$AA$212</f>
        <v>0</v>
      </c>
      <c r="P212" s="18"/>
      <c r="Q212" s="18"/>
      <c r="R212" s="18"/>
      <c r="S212" s="18"/>
      <c r="T212" s="18"/>
      <c r="U212" s="18"/>
      <c r="V212" s="18"/>
      <c r="W212" s="18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60" t="s">
        <v>21</v>
      </c>
      <c r="B213" s="60" t="s">
        <v>34</v>
      </c>
      <c r="C213" s="60" t="s">
        <v>35</v>
      </c>
      <c r="D213" s="60" t="s">
        <v>41</v>
      </c>
      <c r="E213" s="60" t="s">
        <v>25</v>
      </c>
      <c r="F213" s="60" t="s">
        <v>25</v>
      </c>
      <c r="G213" s="60" t="s">
        <v>25</v>
      </c>
      <c r="H213" s="60" t="s">
        <v>36</v>
      </c>
      <c r="I213" s="67">
        <v>44593</v>
      </c>
      <c r="J213" s="68">
        <f>EFEITO!$J$213*EFEITO!$Y$213</f>
        <v>0</v>
      </c>
      <c r="K213" s="68">
        <f ca="1">EFEITO!$L$213*EFEITO!$Z$213</f>
        <v>836.02955849045645</v>
      </c>
      <c r="L213" s="68">
        <f>EFEITO!$N$213*EFEITO!$AA$213</f>
        <v>301.00991455675529</v>
      </c>
      <c r="M213" s="68">
        <f>$J$213-EFEITO!$K$213*EFEITO!$Y$213</f>
        <v>0</v>
      </c>
      <c r="N213" s="68">
        <f ca="1">$K$213-EFEITO!$M$213*EFEITO!$Z$213</f>
        <v>0</v>
      </c>
      <c r="O213" s="68">
        <f>$L$213-EFEITO!$O$213*EFEITO!$AA$213</f>
        <v>0</v>
      </c>
      <c r="P213" s="18"/>
      <c r="Q213" s="18"/>
      <c r="R213" s="18"/>
      <c r="S213" s="18"/>
      <c r="T213" s="18"/>
      <c r="U213" s="18"/>
      <c r="V213" s="18"/>
      <c r="W213" s="18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60" t="s">
        <v>21</v>
      </c>
      <c r="B214" s="60" t="s">
        <v>34</v>
      </c>
      <c r="C214" s="60" t="s">
        <v>35</v>
      </c>
      <c r="D214" s="60" t="s">
        <v>41</v>
      </c>
      <c r="E214" s="60" t="s">
        <v>25</v>
      </c>
      <c r="F214" s="60" t="s">
        <v>25</v>
      </c>
      <c r="G214" s="60" t="s">
        <v>25</v>
      </c>
      <c r="H214" s="60" t="s">
        <v>36</v>
      </c>
      <c r="I214" s="67">
        <v>44621</v>
      </c>
      <c r="J214" s="68">
        <f>EFEITO!$J$214*EFEITO!$Y$214</f>
        <v>0</v>
      </c>
      <c r="K214" s="68">
        <f ca="1">EFEITO!$L$214*EFEITO!$Z$214</f>
        <v>848.5941645718159</v>
      </c>
      <c r="L214" s="68">
        <f>EFEITO!$N$214*EFEITO!$AA$214</f>
        <v>305.53376298361979</v>
      </c>
      <c r="M214" s="68">
        <f>$J$214-EFEITO!$K$214*EFEITO!$Y$214</f>
        <v>0</v>
      </c>
      <c r="N214" s="68">
        <f ca="1">$K$214-EFEITO!$M$214*EFEITO!$Z$214</f>
        <v>0</v>
      </c>
      <c r="O214" s="68">
        <f>$L$214-EFEITO!$O$214*EFEITO!$AA$214</f>
        <v>0</v>
      </c>
      <c r="P214" s="18"/>
      <c r="Q214" s="18"/>
      <c r="R214" s="18"/>
      <c r="S214" s="18"/>
      <c r="T214" s="18"/>
      <c r="U214" s="18"/>
      <c r="V214" s="18"/>
      <c r="W214" s="18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60" t="s">
        <v>21</v>
      </c>
      <c r="B215" s="60" t="s">
        <v>34</v>
      </c>
      <c r="C215" s="60" t="s">
        <v>35</v>
      </c>
      <c r="D215" s="60" t="s">
        <v>41</v>
      </c>
      <c r="E215" s="60" t="s">
        <v>25</v>
      </c>
      <c r="F215" s="60" t="s">
        <v>25</v>
      </c>
      <c r="G215" s="60" t="s">
        <v>25</v>
      </c>
      <c r="H215" s="60" t="s">
        <v>36</v>
      </c>
      <c r="I215" s="67">
        <v>44652</v>
      </c>
      <c r="J215" s="68">
        <f>EFEITO!$J$215*EFEITO!$Y$215</f>
        <v>0</v>
      </c>
      <c r="K215" s="68">
        <f ca="1">EFEITO!$L$215*EFEITO!$Z$215</f>
        <v>652.39300807058748</v>
      </c>
      <c r="L215" s="68">
        <f>EFEITO!$N$215*EFEITO!$AA$215</f>
        <v>234.89212985642754</v>
      </c>
      <c r="M215" s="68">
        <f>$J$215-EFEITO!$K$215*EFEITO!$Y$215</f>
        <v>0</v>
      </c>
      <c r="N215" s="68">
        <f ca="1">$K$215-EFEITO!$M$215*EFEITO!$Z$215</f>
        <v>0</v>
      </c>
      <c r="O215" s="68">
        <f>$L$215-EFEITO!$O$215*EFEITO!$AA$215</f>
        <v>0</v>
      </c>
      <c r="P215" s="18"/>
      <c r="Q215" s="18"/>
      <c r="R215" s="18"/>
      <c r="S215" s="18"/>
      <c r="T215" s="18"/>
      <c r="U215" s="18"/>
      <c r="V215" s="18"/>
      <c r="W215" s="18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60" t="s">
        <v>21</v>
      </c>
      <c r="B216" s="60" t="s">
        <v>34</v>
      </c>
      <c r="C216" s="60" t="s">
        <v>35</v>
      </c>
      <c r="D216" s="60" t="s">
        <v>41</v>
      </c>
      <c r="E216" s="60" t="s">
        <v>25</v>
      </c>
      <c r="F216" s="60" t="s">
        <v>25</v>
      </c>
      <c r="G216" s="60" t="s">
        <v>25</v>
      </c>
      <c r="H216" s="60" t="s">
        <v>36</v>
      </c>
      <c r="I216" s="67">
        <v>44682</v>
      </c>
      <c r="J216" s="68">
        <f>EFEITO!$J$216*EFEITO!$Y$216</f>
        <v>0</v>
      </c>
      <c r="K216" s="68">
        <f ca="1">EFEITO!$L$216*EFEITO!$Z$216</f>
        <v>801.23526472669175</v>
      </c>
      <c r="L216" s="68">
        <f>EFEITO!$N$216*EFEITO!$AA$216</f>
        <v>288.48233429774581</v>
      </c>
      <c r="M216" s="68">
        <f>$J$216-EFEITO!$K$216*EFEITO!$Y$216</f>
        <v>0</v>
      </c>
      <c r="N216" s="68">
        <f ca="1">$K$216-EFEITO!$M$216*EFEITO!$Z$216</f>
        <v>0</v>
      </c>
      <c r="O216" s="68">
        <f>$L$216-EFEITO!$O$216*EFEITO!$AA$216</f>
        <v>0</v>
      </c>
      <c r="P216" s="18"/>
      <c r="Q216" s="18"/>
      <c r="R216" s="18"/>
      <c r="S216" s="18"/>
      <c r="T216" s="18"/>
      <c r="U216" s="18"/>
      <c r="V216" s="18"/>
      <c r="W216" s="18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60" t="s">
        <v>21</v>
      </c>
      <c r="B217" s="60" t="s">
        <v>34</v>
      </c>
      <c r="C217" s="60" t="s">
        <v>35</v>
      </c>
      <c r="D217" s="60" t="s">
        <v>41</v>
      </c>
      <c r="E217" s="60" t="s">
        <v>25</v>
      </c>
      <c r="F217" s="60" t="s">
        <v>25</v>
      </c>
      <c r="G217" s="60" t="s">
        <v>25</v>
      </c>
      <c r="H217" s="60" t="s">
        <v>36</v>
      </c>
      <c r="I217" s="67">
        <v>44713</v>
      </c>
      <c r="J217" s="68">
        <f>EFEITO!$J$217*EFEITO!$Y$217</f>
        <v>0</v>
      </c>
      <c r="K217" s="68">
        <f ca="1">EFEITO!$L$217*EFEITO!$Z$217</f>
        <v>884.35496649568518</v>
      </c>
      <c r="L217" s="68">
        <f>EFEITO!$N$217*EFEITO!$AA$217</f>
        <v>318.40933158315732</v>
      </c>
      <c r="M217" s="68">
        <f>$J$217-EFEITO!$K$217*EFEITO!$Y$217</f>
        <v>0</v>
      </c>
      <c r="N217" s="68">
        <f ca="1">$K$217-EFEITO!$M$217*EFEITO!$Z$217</f>
        <v>0</v>
      </c>
      <c r="O217" s="68">
        <f>$L$217-EFEITO!$O$217*EFEITO!$AA$217</f>
        <v>0</v>
      </c>
      <c r="P217" s="18"/>
      <c r="Q217" s="18"/>
      <c r="R217" s="18"/>
      <c r="S217" s="18"/>
      <c r="T217" s="18"/>
      <c r="U217" s="18"/>
      <c r="V217" s="18"/>
      <c r="W217" s="18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60" t="s">
        <v>27</v>
      </c>
      <c r="B218" s="60" t="s">
        <v>34</v>
      </c>
      <c r="C218" s="60" t="s">
        <v>35</v>
      </c>
      <c r="D218" s="60" t="s">
        <v>40</v>
      </c>
      <c r="E218" s="60" t="s">
        <v>25</v>
      </c>
      <c r="F218" s="60" t="s">
        <v>25</v>
      </c>
      <c r="G218" s="60" t="s">
        <v>25</v>
      </c>
      <c r="H218" s="60" t="s">
        <v>37</v>
      </c>
      <c r="I218" s="67">
        <v>44652</v>
      </c>
      <c r="J218" s="68">
        <f>EFEITO!$J$218*EFEITO!$Y$193</f>
        <v>0</v>
      </c>
      <c r="K218" s="68">
        <f ca="1">EFEITO!$L$218*EFEITO!$Z$193</f>
        <v>1170.4475232656171</v>
      </c>
      <c r="L218" s="68">
        <f>EFEITO!$N$218*EFEITO!$AA$193</f>
        <v>2214.5359618202829</v>
      </c>
      <c r="M218" s="68">
        <f>$J$218-EFEITO!$K$218*EFEITO!$Y$218</f>
        <v>0</v>
      </c>
      <c r="N218" s="68">
        <f ca="1">$K$218-EFEITO!$M$218*EFEITO!$Z$218</f>
        <v>23.4089504653125</v>
      </c>
      <c r="O218" s="68">
        <f>$L$218-EFEITO!$O$218*EFEITO!$AA$218</f>
        <v>44.290719236405948</v>
      </c>
      <c r="P218" s="18"/>
      <c r="Q218" s="18"/>
      <c r="R218" s="18"/>
      <c r="S218" s="18"/>
      <c r="T218" s="18"/>
      <c r="U218" s="18"/>
      <c r="V218" s="18"/>
      <c r="W218" s="18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60" t="s">
        <v>27</v>
      </c>
      <c r="B219" s="60" t="s">
        <v>34</v>
      </c>
      <c r="C219" s="60" t="s">
        <v>35</v>
      </c>
      <c r="D219" s="60" t="s">
        <v>40</v>
      </c>
      <c r="E219" s="60" t="s">
        <v>25</v>
      </c>
      <c r="F219" s="60" t="s">
        <v>25</v>
      </c>
      <c r="G219" s="60" t="s">
        <v>25</v>
      </c>
      <c r="H219" s="60" t="s">
        <v>37</v>
      </c>
      <c r="I219" s="67">
        <v>44682</v>
      </c>
      <c r="J219" s="68">
        <f>EFEITO!$J$219*EFEITO!$Y$193</f>
        <v>0</v>
      </c>
      <c r="K219" s="68">
        <f ca="1">EFEITO!$L$219*EFEITO!$Z$193</f>
        <v>768.16342733883903</v>
      </c>
      <c r="L219" s="68">
        <f>EFEITO!$N$219*EFEITO!$AA$193</f>
        <v>1453.3975258034134</v>
      </c>
      <c r="M219" s="68">
        <f>$J$219-EFEITO!$K$219*EFEITO!$Y$219</f>
        <v>0</v>
      </c>
      <c r="N219" s="68">
        <f ca="1">$K$219-EFEITO!$M$219*EFEITO!$Z$219</f>
        <v>15.363268546776908</v>
      </c>
      <c r="O219" s="68">
        <f>$L$219-EFEITO!$O$219*EFEITO!$AA$219</f>
        <v>29.067950516068322</v>
      </c>
      <c r="P219" s="18"/>
      <c r="Q219" s="18"/>
      <c r="R219" s="18"/>
      <c r="S219" s="18"/>
      <c r="T219" s="18"/>
      <c r="U219" s="18"/>
      <c r="V219" s="18"/>
      <c r="W219" s="18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60" t="s">
        <v>27</v>
      </c>
      <c r="B220" s="60" t="s">
        <v>34</v>
      </c>
      <c r="C220" s="60" t="s">
        <v>35</v>
      </c>
      <c r="D220" s="60" t="s">
        <v>40</v>
      </c>
      <c r="E220" s="60" t="s">
        <v>25</v>
      </c>
      <c r="F220" s="60" t="s">
        <v>25</v>
      </c>
      <c r="G220" s="60" t="s">
        <v>25</v>
      </c>
      <c r="H220" s="60" t="s">
        <v>37</v>
      </c>
      <c r="I220" s="67">
        <v>44713</v>
      </c>
      <c r="J220" s="68">
        <f>EFEITO!$J$220*EFEITO!$Y$193</f>
        <v>0</v>
      </c>
      <c r="K220" s="68">
        <f ca="1">EFEITO!$L$220*EFEITO!$Z$193</f>
        <v>287.23130241328568</v>
      </c>
      <c r="L220" s="68">
        <f>EFEITO!$N$220*EFEITO!$AA$193</f>
        <v>543.45370972291562</v>
      </c>
      <c r="M220" s="68">
        <f>$J$220-EFEITO!$K$220*EFEITO!$Y$220</f>
        <v>0</v>
      </c>
      <c r="N220" s="68">
        <f ca="1">$K$220-EFEITO!$M$220*EFEITO!$Z$220</f>
        <v>5.7446260482657294</v>
      </c>
      <c r="O220" s="68">
        <f>$L$220-EFEITO!$O$220*EFEITO!$AA$220</f>
        <v>10.869074194458335</v>
      </c>
      <c r="P220" s="18"/>
      <c r="Q220" s="18"/>
      <c r="R220" s="18"/>
      <c r="S220" s="18"/>
      <c r="T220" s="18"/>
      <c r="U220" s="18"/>
      <c r="V220" s="18"/>
      <c r="W220" s="18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60" t="s">
        <v>27</v>
      </c>
      <c r="B221" s="60" t="s">
        <v>34</v>
      </c>
      <c r="C221" s="60" t="s">
        <v>35</v>
      </c>
      <c r="D221" s="60" t="s">
        <v>40</v>
      </c>
      <c r="E221" s="60" t="s">
        <v>25</v>
      </c>
      <c r="F221" s="60" t="s">
        <v>25</v>
      </c>
      <c r="G221" s="60" t="s">
        <v>25</v>
      </c>
      <c r="H221" s="60" t="s">
        <v>25</v>
      </c>
      <c r="I221" s="67">
        <v>44378</v>
      </c>
      <c r="J221" s="68">
        <f ca="1">EFEITO!$J$221*EFEITO!$Y$205</f>
        <v>1963.429077280307</v>
      </c>
      <c r="K221" s="68">
        <f>EFEITO!$L$221*EFEITO!$Z$205</f>
        <v>0</v>
      </c>
      <c r="L221" s="68">
        <f>EFEITO!$N$221*EFEITO!$AA$205</f>
        <v>0</v>
      </c>
      <c r="M221" s="68">
        <f ca="1">$J$221-EFEITO!$K$221*EFEITO!$Y$221</f>
        <v>39.268581545606139</v>
      </c>
      <c r="N221" s="68">
        <f>$K$221-EFEITO!$M$221*EFEITO!$Z$221</f>
        <v>0</v>
      </c>
      <c r="O221" s="68">
        <f>$L$221-EFEITO!$O$221*EFEITO!$AA$221</f>
        <v>0</v>
      </c>
      <c r="P221" s="18"/>
      <c r="Q221" s="18"/>
      <c r="R221" s="18"/>
      <c r="S221" s="18"/>
      <c r="T221" s="18"/>
      <c r="U221" s="18"/>
      <c r="V221" s="18"/>
      <c r="W221" s="18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60" t="s">
        <v>27</v>
      </c>
      <c r="B222" s="60" t="s">
        <v>34</v>
      </c>
      <c r="C222" s="60" t="s">
        <v>35</v>
      </c>
      <c r="D222" s="60" t="s">
        <v>40</v>
      </c>
      <c r="E222" s="60" t="s">
        <v>25</v>
      </c>
      <c r="F222" s="60" t="s">
        <v>25</v>
      </c>
      <c r="G222" s="60" t="s">
        <v>25</v>
      </c>
      <c r="H222" s="60" t="s">
        <v>25</v>
      </c>
      <c r="I222" s="67">
        <v>44409</v>
      </c>
      <c r="J222" s="68">
        <f ca="1">EFEITO!$J$222*EFEITO!$Y$205</f>
        <v>1963.429077280307</v>
      </c>
      <c r="K222" s="68">
        <f>EFEITO!$L$222*EFEITO!$Z$205</f>
        <v>0</v>
      </c>
      <c r="L222" s="68">
        <f>EFEITO!$N$222*EFEITO!$AA$205</f>
        <v>0</v>
      </c>
      <c r="M222" s="68">
        <f ca="1">$J$222-EFEITO!$K$222*EFEITO!$Y$222</f>
        <v>39.268581545606139</v>
      </c>
      <c r="N222" s="68">
        <f>$K$222-EFEITO!$M$222*EFEITO!$Z$222</f>
        <v>0</v>
      </c>
      <c r="O222" s="68">
        <f>$L$222-EFEITO!$O$222*EFEITO!$AA$222</f>
        <v>0</v>
      </c>
      <c r="P222" s="18"/>
      <c r="Q222" s="18"/>
      <c r="R222" s="18"/>
      <c r="S222" s="18"/>
      <c r="T222" s="18"/>
      <c r="U222" s="18"/>
      <c r="V222" s="18"/>
      <c r="W222" s="18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60" t="s">
        <v>27</v>
      </c>
      <c r="B223" s="60" t="s">
        <v>34</v>
      </c>
      <c r="C223" s="60" t="s">
        <v>35</v>
      </c>
      <c r="D223" s="60" t="s">
        <v>40</v>
      </c>
      <c r="E223" s="60" t="s">
        <v>25</v>
      </c>
      <c r="F223" s="60" t="s">
        <v>25</v>
      </c>
      <c r="G223" s="60" t="s">
        <v>25</v>
      </c>
      <c r="H223" s="60" t="s">
        <v>25</v>
      </c>
      <c r="I223" s="67">
        <v>44440</v>
      </c>
      <c r="J223" s="68">
        <f ca="1">EFEITO!$J$223*EFEITO!$Y$205</f>
        <v>1963.429077280307</v>
      </c>
      <c r="K223" s="68">
        <f>EFEITO!$L$223*EFEITO!$Z$205</f>
        <v>0</v>
      </c>
      <c r="L223" s="68">
        <f>EFEITO!$N$223*EFEITO!$AA$205</f>
        <v>0</v>
      </c>
      <c r="M223" s="68">
        <f ca="1">$J$223-EFEITO!$K$223*EFEITO!$Y$223</f>
        <v>39.268581545606139</v>
      </c>
      <c r="N223" s="68">
        <f>$K$223-EFEITO!$M$223*EFEITO!$Z$223</f>
        <v>0</v>
      </c>
      <c r="O223" s="68">
        <f>$L$223-EFEITO!$O$223*EFEITO!$AA$223</f>
        <v>0</v>
      </c>
      <c r="P223" s="18"/>
      <c r="Q223" s="18"/>
      <c r="R223" s="18"/>
      <c r="S223" s="18"/>
      <c r="T223" s="18"/>
      <c r="U223" s="18"/>
      <c r="V223" s="18"/>
      <c r="W223" s="18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60" t="s">
        <v>27</v>
      </c>
      <c r="B224" s="60" t="s">
        <v>34</v>
      </c>
      <c r="C224" s="60" t="s">
        <v>35</v>
      </c>
      <c r="D224" s="60" t="s">
        <v>40</v>
      </c>
      <c r="E224" s="60" t="s">
        <v>25</v>
      </c>
      <c r="F224" s="60" t="s">
        <v>25</v>
      </c>
      <c r="G224" s="60" t="s">
        <v>25</v>
      </c>
      <c r="H224" s="60" t="s">
        <v>25</v>
      </c>
      <c r="I224" s="67">
        <v>44470</v>
      </c>
      <c r="J224" s="68">
        <f ca="1">EFEITO!$J$224*EFEITO!$Y$205</f>
        <v>1963.429077280307</v>
      </c>
      <c r="K224" s="68">
        <f>EFEITO!$L$224*EFEITO!$Z$205</f>
        <v>0</v>
      </c>
      <c r="L224" s="68">
        <f>EFEITO!$N$224*EFEITO!$AA$205</f>
        <v>0</v>
      </c>
      <c r="M224" s="68">
        <f ca="1">$J$224-EFEITO!$K$224*EFEITO!$Y$224</f>
        <v>39.268581545606139</v>
      </c>
      <c r="N224" s="68">
        <f>$K$224-EFEITO!$M$224*EFEITO!$Z$224</f>
        <v>0</v>
      </c>
      <c r="O224" s="68">
        <f>$L$224-EFEITO!$O$224*EFEITO!$AA$224</f>
        <v>0</v>
      </c>
      <c r="P224" s="18"/>
      <c r="Q224" s="18"/>
      <c r="R224" s="18"/>
      <c r="S224" s="18"/>
      <c r="T224" s="18"/>
      <c r="U224" s="18"/>
      <c r="V224" s="18"/>
      <c r="W224" s="18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60" t="s">
        <v>27</v>
      </c>
      <c r="B225" s="60" t="s">
        <v>34</v>
      </c>
      <c r="C225" s="60" t="s">
        <v>35</v>
      </c>
      <c r="D225" s="60" t="s">
        <v>40</v>
      </c>
      <c r="E225" s="60" t="s">
        <v>25</v>
      </c>
      <c r="F225" s="60" t="s">
        <v>25</v>
      </c>
      <c r="G225" s="60" t="s">
        <v>25</v>
      </c>
      <c r="H225" s="60" t="s">
        <v>25</v>
      </c>
      <c r="I225" s="67">
        <v>44501</v>
      </c>
      <c r="J225" s="68">
        <f ca="1">EFEITO!$J$225*EFEITO!$Y$205</f>
        <v>1963.429077280307</v>
      </c>
      <c r="K225" s="68">
        <f>EFEITO!$L$225*EFEITO!$Z$205</f>
        <v>0</v>
      </c>
      <c r="L225" s="68">
        <f>EFEITO!$N$225*EFEITO!$AA$205</f>
        <v>0</v>
      </c>
      <c r="M225" s="68">
        <f ca="1">$J$225-EFEITO!$K$225*EFEITO!$Y$225</f>
        <v>39.268581545606139</v>
      </c>
      <c r="N225" s="68">
        <f>$K$225-EFEITO!$M$225*EFEITO!$Z$225</f>
        <v>0</v>
      </c>
      <c r="O225" s="68">
        <f>$L$225-EFEITO!$O$225*EFEITO!$AA$225</f>
        <v>0</v>
      </c>
      <c r="P225" s="18"/>
      <c r="Q225" s="18"/>
      <c r="R225" s="18"/>
      <c r="S225" s="18"/>
      <c r="T225" s="18"/>
      <c r="U225" s="18"/>
      <c r="V225" s="18"/>
      <c r="W225" s="18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60" t="s">
        <v>27</v>
      </c>
      <c r="B226" s="60" t="s">
        <v>34</v>
      </c>
      <c r="C226" s="60" t="s">
        <v>35</v>
      </c>
      <c r="D226" s="60" t="s">
        <v>40</v>
      </c>
      <c r="E226" s="60" t="s">
        <v>25</v>
      </c>
      <c r="F226" s="60" t="s">
        <v>25</v>
      </c>
      <c r="G226" s="60" t="s">
        <v>25</v>
      </c>
      <c r="H226" s="60" t="s">
        <v>25</v>
      </c>
      <c r="I226" s="67">
        <v>44531</v>
      </c>
      <c r="J226" s="68">
        <f ca="1">EFEITO!$J$226*EFEITO!$Y$205</f>
        <v>2473.9206373731868</v>
      </c>
      <c r="K226" s="68">
        <f>EFEITO!$L$226*EFEITO!$Z$205</f>
        <v>0</v>
      </c>
      <c r="L226" s="68">
        <f>EFEITO!$N$226*EFEITO!$AA$205</f>
        <v>0</v>
      </c>
      <c r="M226" s="68">
        <f ca="1">$J$226-EFEITO!$K$226*EFEITO!$Y$226</f>
        <v>49.478412747463608</v>
      </c>
      <c r="N226" s="68">
        <f>$K$226-EFEITO!$M$226*EFEITO!$Z$226</f>
        <v>0</v>
      </c>
      <c r="O226" s="68">
        <f>$L$226-EFEITO!$O$226*EFEITO!$AA$226</f>
        <v>0</v>
      </c>
      <c r="P226" s="18"/>
      <c r="Q226" s="18"/>
      <c r="R226" s="18"/>
      <c r="S226" s="18"/>
      <c r="T226" s="18"/>
      <c r="U226" s="18"/>
      <c r="V226" s="18"/>
      <c r="W226" s="18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60" t="s">
        <v>27</v>
      </c>
      <c r="B227" s="60" t="s">
        <v>34</v>
      </c>
      <c r="C227" s="60" t="s">
        <v>35</v>
      </c>
      <c r="D227" s="60" t="s">
        <v>40</v>
      </c>
      <c r="E227" s="60" t="s">
        <v>25</v>
      </c>
      <c r="F227" s="60" t="s">
        <v>25</v>
      </c>
      <c r="G227" s="60" t="s">
        <v>25</v>
      </c>
      <c r="H227" s="60" t="s">
        <v>25</v>
      </c>
      <c r="I227" s="67">
        <v>44562</v>
      </c>
      <c r="J227" s="68">
        <f ca="1">EFEITO!$J$227*EFEITO!$Y$205</f>
        <v>1963.429077280307</v>
      </c>
      <c r="K227" s="68">
        <f>EFEITO!$L$227*EFEITO!$Z$205</f>
        <v>0</v>
      </c>
      <c r="L227" s="68">
        <f>EFEITO!$N$227*EFEITO!$AA$205</f>
        <v>0</v>
      </c>
      <c r="M227" s="68">
        <f ca="1">$J$227-EFEITO!$K$227*EFEITO!$Y$227</f>
        <v>39.268581545606139</v>
      </c>
      <c r="N227" s="68">
        <f>$K$227-EFEITO!$M$227*EFEITO!$Z$227</f>
        <v>0</v>
      </c>
      <c r="O227" s="68">
        <f>$L$227-EFEITO!$O$227*EFEITO!$AA$227</f>
        <v>0</v>
      </c>
      <c r="P227" s="18"/>
      <c r="Q227" s="18"/>
      <c r="R227" s="18"/>
      <c r="S227" s="18"/>
      <c r="T227" s="18"/>
      <c r="U227" s="18"/>
      <c r="V227" s="18"/>
      <c r="W227" s="18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60" t="s">
        <v>27</v>
      </c>
      <c r="B228" s="60" t="s">
        <v>34</v>
      </c>
      <c r="C228" s="60" t="s">
        <v>35</v>
      </c>
      <c r="D228" s="60" t="s">
        <v>40</v>
      </c>
      <c r="E228" s="60" t="s">
        <v>25</v>
      </c>
      <c r="F228" s="60" t="s">
        <v>25</v>
      </c>
      <c r="G228" s="60" t="s">
        <v>25</v>
      </c>
      <c r="H228" s="60" t="s">
        <v>25</v>
      </c>
      <c r="I228" s="67">
        <v>44593</v>
      </c>
      <c r="J228" s="68">
        <f ca="1">EFEITO!$J$228*EFEITO!$Y$205</f>
        <v>2729.1664174196267</v>
      </c>
      <c r="K228" s="68">
        <f>EFEITO!$L$228*EFEITO!$Z$205</f>
        <v>0</v>
      </c>
      <c r="L228" s="68">
        <f>EFEITO!$N$228*EFEITO!$AA$205</f>
        <v>0</v>
      </c>
      <c r="M228" s="68">
        <f ca="1">$J$228-EFEITO!$K$228*EFEITO!$Y$228</f>
        <v>54.58332834839257</v>
      </c>
      <c r="N228" s="68">
        <f>$K$228-EFEITO!$M$228*EFEITO!$Z$228</f>
        <v>0</v>
      </c>
      <c r="O228" s="68">
        <f>$L$228-EFEITO!$O$228*EFEITO!$AA$228</f>
        <v>0</v>
      </c>
      <c r="P228" s="18"/>
      <c r="Q228" s="18"/>
      <c r="R228" s="18"/>
      <c r="S228" s="18"/>
      <c r="T228" s="18"/>
      <c r="U228" s="18"/>
      <c r="V228" s="18"/>
      <c r="W228" s="18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60" t="s">
        <v>27</v>
      </c>
      <c r="B229" s="60" t="s">
        <v>34</v>
      </c>
      <c r="C229" s="60" t="s">
        <v>35</v>
      </c>
      <c r="D229" s="60" t="s">
        <v>40</v>
      </c>
      <c r="E229" s="60" t="s">
        <v>25</v>
      </c>
      <c r="F229" s="60" t="s">
        <v>25</v>
      </c>
      <c r="G229" s="60" t="s">
        <v>25</v>
      </c>
      <c r="H229" s="60" t="s">
        <v>25</v>
      </c>
      <c r="I229" s="67">
        <v>44621</v>
      </c>
      <c r="J229" s="68">
        <f ca="1">EFEITO!$J$229*EFEITO!$Y$205</f>
        <v>3710.8809560597801</v>
      </c>
      <c r="K229" s="68">
        <f>EFEITO!$L$229*EFEITO!$Z$205</f>
        <v>0</v>
      </c>
      <c r="L229" s="68">
        <f>EFEITO!$N$229*EFEITO!$AA$205</f>
        <v>0</v>
      </c>
      <c r="M229" s="68">
        <f ca="1">$J$229-EFEITO!$K$229*EFEITO!$Y$229</f>
        <v>74.217619121195639</v>
      </c>
      <c r="N229" s="68">
        <f>$K$229-EFEITO!$M$229*EFEITO!$Z$229</f>
        <v>0</v>
      </c>
      <c r="O229" s="68">
        <f>$L$229-EFEITO!$O$229*EFEITO!$AA$229</f>
        <v>0</v>
      </c>
      <c r="P229" s="18"/>
      <c r="Q229" s="18"/>
      <c r="R229" s="18"/>
      <c r="S229" s="18"/>
      <c r="T229" s="18"/>
      <c r="U229" s="18"/>
      <c r="V229" s="18"/>
      <c r="W229" s="18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60" t="s">
        <v>27</v>
      </c>
      <c r="B230" s="60" t="s">
        <v>34</v>
      </c>
      <c r="C230" s="60" t="s">
        <v>35</v>
      </c>
      <c r="D230" s="60" t="s">
        <v>40</v>
      </c>
      <c r="E230" s="60" t="s">
        <v>25</v>
      </c>
      <c r="F230" s="60" t="s">
        <v>25</v>
      </c>
      <c r="G230" s="60" t="s">
        <v>25</v>
      </c>
      <c r="H230" s="60" t="s">
        <v>25</v>
      </c>
      <c r="I230" s="67">
        <v>44652</v>
      </c>
      <c r="J230" s="68">
        <f ca="1">EFEITO!$J$230*EFEITO!$Y$205</f>
        <v>4142.8353530614477</v>
      </c>
      <c r="K230" s="68">
        <f>EFEITO!$L$230*EFEITO!$Z$205</f>
        <v>0</v>
      </c>
      <c r="L230" s="68">
        <f>EFEITO!$N$230*EFEITO!$AA$205</f>
        <v>0</v>
      </c>
      <c r="M230" s="68">
        <f ca="1">$J$230-EFEITO!$K$230*EFEITO!$Y$230</f>
        <v>82.856707061228917</v>
      </c>
      <c r="N230" s="68">
        <f>$K$230-EFEITO!$M$230*EFEITO!$Z$230</f>
        <v>0</v>
      </c>
      <c r="O230" s="68">
        <f>$L$230-EFEITO!$O$230*EFEITO!$AA$230</f>
        <v>0</v>
      </c>
      <c r="P230" s="18"/>
      <c r="Q230" s="18"/>
      <c r="R230" s="18"/>
      <c r="S230" s="18"/>
      <c r="T230" s="18"/>
      <c r="U230" s="18"/>
      <c r="V230" s="18"/>
      <c r="W230" s="18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60" t="s">
        <v>27</v>
      </c>
      <c r="B231" s="60" t="s">
        <v>34</v>
      </c>
      <c r="C231" s="60" t="s">
        <v>35</v>
      </c>
      <c r="D231" s="60" t="s">
        <v>40</v>
      </c>
      <c r="E231" s="60" t="s">
        <v>25</v>
      </c>
      <c r="F231" s="60" t="s">
        <v>25</v>
      </c>
      <c r="G231" s="60" t="s">
        <v>25</v>
      </c>
      <c r="H231" s="60" t="s">
        <v>25</v>
      </c>
      <c r="I231" s="67">
        <v>44682</v>
      </c>
      <c r="J231" s="68">
        <f ca="1">EFEITO!$J$231*EFEITO!$Y$205</f>
        <v>3651.9780837413709</v>
      </c>
      <c r="K231" s="68">
        <f>EFEITO!$L$231*EFEITO!$Z$205</f>
        <v>0</v>
      </c>
      <c r="L231" s="68">
        <f>EFEITO!$N$231*EFEITO!$AA$205</f>
        <v>0</v>
      </c>
      <c r="M231" s="68">
        <f ca="1">$J$231-EFEITO!$K$231*EFEITO!$Y$231</f>
        <v>73.039561674827382</v>
      </c>
      <c r="N231" s="68">
        <f>$K$231-EFEITO!$M$231*EFEITO!$Z$231</f>
        <v>0</v>
      </c>
      <c r="O231" s="68">
        <f>$L$231-EFEITO!$O$231*EFEITO!$AA$231</f>
        <v>0</v>
      </c>
      <c r="P231" s="18"/>
      <c r="Q231" s="18"/>
      <c r="R231" s="18"/>
      <c r="S231" s="18"/>
      <c r="T231" s="18"/>
      <c r="U231" s="18"/>
      <c r="V231" s="18"/>
      <c r="W231" s="18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60" t="s">
        <v>27</v>
      </c>
      <c r="B232" s="60" t="s">
        <v>34</v>
      </c>
      <c r="C232" s="60" t="s">
        <v>35</v>
      </c>
      <c r="D232" s="60" t="s">
        <v>40</v>
      </c>
      <c r="E232" s="60" t="s">
        <v>25</v>
      </c>
      <c r="F232" s="60" t="s">
        <v>25</v>
      </c>
      <c r="G232" s="60" t="s">
        <v>25</v>
      </c>
      <c r="H232" s="60" t="s">
        <v>25</v>
      </c>
      <c r="I232" s="67">
        <v>44713</v>
      </c>
      <c r="J232" s="68">
        <f ca="1">EFEITO!$J$232*EFEITO!$Y$205</f>
        <v>3043.3150697844758</v>
      </c>
      <c r="K232" s="68">
        <f>EFEITO!$L$232*EFEITO!$Z$205</f>
        <v>0</v>
      </c>
      <c r="L232" s="68">
        <f>EFEITO!$N$232*EFEITO!$AA$205</f>
        <v>0</v>
      </c>
      <c r="M232" s="68">
        <f ca="1">$J$232-EFEITO!$K$232*EFEITO!$Y$232</f>
        <v>60.866301395689788</v>
      </c>
      <c r="N232" s="68">
        <f>$K$232-EFEITO!$M$232*EFEITO!$Z$232</f>
        <v>0</v>
      </c>
      <c r="O232" s="68">
        <f>$L$232-EFEITO!$O$232*EFEITO!$AA$232</f>
        <v>0</v>
      </c>
      <c r="P232" s="18"/>
      <c r="Q232" s="18"/>
      <c r="R232" s="18"/>
      <c r="S232" s="18"/>
      <c r="T232" s="18"/>
      <c r="U232" s="18"/>
      <c r="V232" s="18"/>
      <c r="W232" s="18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60" t="s">
        <v>27</v>
      </c>
      <c r="B233" s="60" t="s">
        <v>34</v>
      </c>
      <c r="C233" s="60" t="s">
        <v>35</v>
      </c>
      <c r="D233" s="60" t="s">
        <v>40</v>
      </c>
      <c r="E233" s="60" t="s">
        <v>25</v>
      </c>
      <c r="F233" s="60" t="s">
        <v>25</v>
      </c>
      <c r="G233" s="60" t="s">
        <v>25</v>
      </c>
      <c r="H233" s="60" t="s">
        <v>36</v>
      </c>
      <c r="I233" s="67">
        <v>44652</v>
      </c>
      <c r="J233" s="68">
        <f>EFEITO!$J$233*EFEITO!$Y$217</f>
        <v>0</v>
      </c>
      <c r="K233" s="68">
        <f ca="1">EFEITO!$L$233*EFEITO!$Z$217</f>
        <v>1480.6905012802072</v>
      </c>
      <c r="L233" s="68">
        <f>EFEITO!$N$233*EFEITO!$AA$217</f>
        <v>533.11813768895854</v>
      </c>
      <c r="M233" s="68">
        <f>$J$233-EFEITO!$K$233*EFEITO!$Y$233</f>
        <v>0</v>
      </c>
      <c r="N233" s="68">
        <f ca="1">$K$233-EFEITO!$M$233*EFEITO!$Z$233</f>
        <v>29.613810025604153</v>
      </c>
      <c r="O233" s="68">
        <f>$L$233-EFEITO!$O$233*EFEITO!$AA$233</f>
        <v>10.662362753779234</v>
      </c>
      <c r="P233" s="18"/>
      <c r="Q233" s="18"/>
      <c r="R233" s="18"/>
      <c r="S233" s="18"/>
      <c r="T233" s="18"/>
      <c r="U233" s="18"/>
      <c r="V233" s="18"/>
      <c r="W233" s="18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60" t="s">
        <v>27</v>
      </c>
      <c r="B234" s="60" t="s">
        <v>34</v>
      </c>
      <c r="C234" s="60" t="s">
        <v>35</v>
      </c>
      <c r="D234" s="60" t="s">
        <v>40</v>
      </c>
      <c r="E234" s="60" t="s">
        <v>25</v>
      </c>
      <c r="F234" s="60" t="s">
        <v>25</v>
      </c>
      <c r="G234" s="60" t="s">
        <v>25</v>
      </c>
      <c r="H234" s="60" t="s">
        <v>36</v>
      </c>
      <c r="I234" s="67">
        <v>44682</v>
      </c>
      <c r="J234" s="68">
        <f>EFEITO!$J$234*EFEITO!$Y$217</f>
        <v>0</v>
      </c>
      <c r="K234" s="68">
        <f ca="1">EFEITO!$L$234*EFEITO!$Z$217</f>
        <v>474.55550661134578</v>
      </c>
      <c r="L234" s="68">
        <f>EFEITO!$N$234*EFEITO!$AA$217</f>
        <v>170.86227519926803</v>
      </c>
      <c r="M234" s="68">
        <f>$J$234-EFEITO!$K$234*EFEITO!$Y$234</f>
        <v>0</v>
      </c>
      <c r="N234" s="68">
        <f ca="1">$K$234-EFEITO!$M$234*EFEITO!$Z$234</f>
        <v>9.491110132226936</v>
      </c>
      <c r="O234" s="68">
        <f>$L$234-EFEITO!$O$234*EFEITO!$AA$234</f>
        <v>3.417245503985356</v>
      </c>
      <c r="P234" s="18"/>
      <c r="Q234" s="18"/>
      <c r="R234" s="18"/>
      <c r="S234" s="18"/>
      <c r="T234" s="18"/>
      <c r="U234" s="18"/>
      <c r="V234" s="18"/>
      <c r="W234" s="18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60" t="s">
        <v>27</v>
      </c>
      <c r="B235" s="60" t="s">
        <v>34</v>
      </c>
      <c r="C235" s="60" t="s">
        <v>35</v>
      </c>
      <c r="D235" s="60" t="s">
        <v>40</v>
      </c>
      <c r="E235" s="60" t="s">
        <v>25</v>
      </c>
      <c r="F235" s="60" t="s">
        <v>25</v>
      </c>
      <c r="G235" s="60" t="s">
        <v>25</v>
      </c>
      <c r="H235" s="60" t="s">
        <v>36</v>
      </c>
      <c r="I235" s="67">
        <v>44713</v>
      </c>
      <c r="J235" s="68">
        <f>EFEITO!$J$235*EFEITO!$Y$217</f>
        <v>0</v>
      </c>
      <c r="K235" s="68">
        <f ca="1">EFEITO!$L$235*EFEITO!$Z$217</f>
        <v>408.83295172423476</v>
      </c>
      <c r="L235" s="68">
        <f>EFEITO!$N$235*EFEITO!$AA$217</f>
        <v>147.19906804336125</v>
      </c>
      <c r="M235" s="68">
        <f>$J$235-EFEITO!$K$235*EFEITO!$Y$235</f>
        <v>0</v>
      </c>
      <c r="N235" s="68">
        <f ca="1">$K$235-EFEITO!$M$235*EFEITO!$Z$235</f>
        <v>8.1766590344847145</v>
      </c>
      <c r="O235" s="68">
        <f>$L$235-EFEITO!$O$235*EFEITO!$AA$235</f>
        <v>2.9439813608672409</v>
      </c>
      <c r="P235" s="18"/>
      <c r="Q235" s="18"/>
      <c r="R235" s="18"/>
      <c r="S235" s="18"/>
      <c r="T235" s="18"/>
      <c r="U235" s="18"/>
      <c r="V235" s="18"/>
      <c r="W235" s="18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60" t="s">
        <v>21</v>
      </c>
      <c r="B236" s="60" t="s">
        <v>22</v>
      </c>
      <c r="C236" s="60" t="s">
        <v>23</v>
      </c>
      <c r="D236" s="60" t="s">
        <v>24</v>
      </c>
      <c r="E236" s="60" t="s">
        <v>24</v>
      </c>
      <c r="F236" s="60" t="s">
        <v>25</v>
      </c>
      <c r="G236" s="60" t="s">
        <v>25</v>
      </c>
      <c r="H236" s="60" t="s">
        <v>25</v>
      </c>
      <c r="I236" s="67">
        <v>44378</v>
      </c>
      <c r="J236" s="68">
        <f>EFEITO!$J$236*EFEITO!$Y$236</f>
        <v>0</v>
      </c>
      <c r="K236" s="68">
        <f ca="1">EFEITO!$L$236*EFEITO!$Z$236</f>
        <v>711672.29468856484</v>
      </c>
      <c r="L236" s="68">
        <f>EFEITO!$N$236*EFEITO!$AA$236</f>
        <v>430542.57950831705</v>
      </c>
      <c r="M236" s="68">
        <f>$J$236-EFEITO!$K$236*EFEITO!$Y$236</f>
        <v>0</v>
      </c>
      <c r="N236" s="68">
        <f ca="1">$K$236-EFEITO!$M$236*EFEITO!$Z$236</f>
        <v>0</v>
      </c>
      <c r="O236" s="68">
        <f>$L$236-EFEITO!$O$236*EFEITO!$AA$236</f>
        <v>0</v>
      </c>
      <c r="P236" s="18"/>
      <c r="Q236" s="18"/>
      <c r="R236" s="18"/>
      <c r="S236" s="18"/>
      <c r="T236" s="18"/>
      <c r="U236" s="18"/>
      <c r="V236" s="18"/>
      <c r="W236" s="18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60" t="s">
        <v>27</v>
      </c>
      <c r="B237" s="60" t="s">
        <v>22</v>
      </c>
      <c r="C237" s="60" t="s">
        <v>23</v>
      </c>
      <c r="D237" s="60" t="s">
        <v>24</v>
      </c>
      <c r="E237" s="60" t="s">
        <v>24</v>
      </c>
      <c r="F237" s="60" t="s">
        <v>25</v>
      </c>
      <c r="G237" s="60" t="s">
        <v>25</v>
      </c>
      <c r="H237" s="60" t="s">
        <v>25</v>
      </c>
      <c r="I237" s="67">
        <v>44378</v>
      </c>
      <c r="J237" s="68">
        <f>EFEITO!$J$237*EFEITO!$Y$237</f>
        <v>0</v>
      </c>
      <c r="K237" s="68">
        <f ca="1">EFEITO!$L$237*EFEITO!$Z$237</f>
        <v>7534.7049889176269</v>
      </c>
      <c r="L237" s="68">
        <f>EFEITO!$N$237*EFEITO!$AA$237</f>
        <v>4558.2936781069911</v>
      </c>
      <c r="M237" s="68">
        <f>$J$237-EFEITO!$K$237*EFEITO!$Y$237</f>
        <v>0</v>
      </c>
      <c r="N237" s="68">
        <f ca="1">$K$237-EFEITO!$M$237*EFEITO!$Z$237</f>
        <v>0</v>
      </c>
      <c r="O237" s="68">
        <f>$L$237-EFEITO!$O$237*EFEITO!$AA$237</f>
        <v>0</v>
      </c>
      <c r="P237" s="18"/>
      <c r="Q237" s="18"/>
      <c r="R237" s="18"/>
      <c r="S237" s="18"/>
      <c r="T237" s="18"/>
      <c r="U237" s="18"/>
      <c r="V237" s="18"/>
      <c r="W237" s="18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60" t="s">
        <v>21</v>
      </c>
      <c r="B238" s="60" t="s">
        <v>22</v>
      </c>
      <c r="C238" s="60" t="s">
        <v>23</v>
      </c>
      <c r="D238" s="60" t="s">
        <v>24</v>
      </c>
      <c r="E238" s="60" t="s">
        <v>24</v>
      </c>
      <c r="F238" s="60" t="s">
        <v>25</v>
      </c>
      <c r="G238" s="60" t="s">
        <v>25</v>
      </c>
      <c r="H238" s="60" t="s">
        <v>25</v>
      </c>
      <c r="I238" s="67">
        <v>44409</v>
      </c>
      <c r="J238" s="68">
        <f>EFEITO!$J$238*EFEITO!$Y$238</f>
        <v>0</v>
      </c>
      <c r="K238" s="68">
        <f ca="1">EFEITO!$L$238*EFEITO!$Z$238</f>
        <v>675340.43771000451</v>
      </c>
      <c r="L238" s="68">
        <f>EFEITO!$N$238*EFEITO!$AA$238</f>
        <v>408562.78411847138</v>
      </c>
      <c r="M238" s="68">
        <f>$J$238-EFEITO!$K$238*EFEITO!$Y$238</f>
        <v>0</v>
      </c>
      <c r="N238" s="68">
        <f ca="1">$K$238-EFEITO!$M$238*EFEITO!$Z$238</f>
        <v>0</v>
      </c>
      <c r="O238" s="68">
        <f>$L$238-EFEITO!$O$238*EFEITO!$AA$238</f>
        <v>0</v>
      </c>
      <c r="P238" s="18"/>
      <c r="Q238" s="18"/>
      <c r="R238" s="18"/>
      <c r="S238" s="18"/>
      <c r="T238" s="18"/>
      <c r="U238" s="18"/>
      <c r="V238" s="18"/>
      <c r="W238" s="18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60" t="s">
        <v>27</v>
      </c>
      <c r="B239" s="60" t="s">
        <v>22</v>
      </c>
      <c r="C239" s="60" t="s">
        <v>23</v>
      </c>
      <c r="D239" s="60" t="s">
        <v>24</v>
      </c>
      <c r="E239" s="60" t="s">
        <v>24</v>
      </c>
      <c r="F239" s="60" t="s">
        <v>25</v>
      </c>
      <c r="G239" s="60" t="s">
        <v>25</v>
      </c>
      <c r="H239" s="60" t="s">
        <v>25</v>
      </c>
      <c r="I239" s="67">
        <v>44409</v>
      </c>
      <c r="J239" s="68">
        <f>EFEITO!$J$239*EFEITO!$Y$239</f>
        <v>0</v>
      </c>
      <c r="K239" s="68">
        <f ca="1">EFEITO!$L$239*EFEITO!$Z$239</f>
        <v>6615.4348714598254</v>
      </c>
      <c r="L239" s="68">
        <f>EFEITO!$N$239*EFEITO!$AA$239</f>
        <v>4002.1600045200562</v>
      </c>
      <c r="M239" s="68">
        <f>$J$239-EFEITO!$K$239*EFEITO!$Y$239</f>
        <v>0</v>
      </c>
      <c r="N239" s="68">
        <f ca="1">$K$239-EFEITO!$M$239*EFEITO!$Z$239</f>
        <v>0</v>
      </c>
      <c r="O239" s="68">
        <f>$L$239-EFEITO!$O$239*EFEITO!$AA$239</f>
        <v>0</v>
      </c>
      <c r="P239" s="18"/>
      <c r="Q239" s="18"/>
      <c r="R239" s="18"/>
      <c r="S239" s="18"/>
      <c r="T239" s="18"/>
      <c r="U239" s="18"/>
      <c r="V239" s="18"/>
      <c r="W239" s="18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60" t="s">
        <v>21</v>
      </c>
      <c r="B240" s="60" t="s">
        <v>22</v>
      </c>
      <c r="C240" s="60" t="s">
        <v>23</v>
      </c>
      <c r="D240" s="60" t="s">
        <v>24</v>
      </c>
      <c r="E240" s="60" t="s">
        <v>24</v>
      </c>
      <c r="F240" s="60" t="s">
        <v>25</v>
      </c>
      <c r="G240" s="60" t="s">
        <v>25</v>
      </c>
      <c r="H240" s="60" t="s">
        <v>25</v>
      </c>
      <c r="I240" s="67">
        <v>44440</v>
      </c>
      <c r="J240" s="68">
        <f>EFEITO!$J$240*EFEITO!$Y$240</f>
        <v>0</v>
      </c>
      <c r="K240" s="68">
        <f ca="1">EFEITO!$L$240*EFEITO!$Z$240</f>
        <v>604048.85852722346</v>
      </c>
      <c r="L240" s="68">
        <f>EFEITO!$N$240*EFEITO!$AA$240</f>
        <v>365433.29793830746</v>
      </c>
      <c r="M240" s="68">
        <f>$J$240-EFEITO!$K$240*EFEITO!$Y$240</f>
        <v>0</v>
      </c>
      <c r="N240" s="68">
        <f ca="1">$K$240-EFEITO!$M$240*EFEITO!$Z$240</f>
        <v>0</v>
      </c>
      <c r="O240" s="68">
        <f>$L$240-EFEITO!$O$240*EFEITO!$AA$240</f>
        <v>0</v>
      </c>
      <c r="P240" s="18"/>
      <c r="Q240" s="18"/>
      <c r="R240" s="18"/>
      <c r="S240" s="18"/>
      <c r="T240" s="18"/>
      <c r="U240" s="18"/>
      <c r="V240" s="18"/>
      <c r="W240" s="18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60" t="s">
        <v>27</v>
      </c>
      <c r="B241" s="60" t="s">
        <v>22</v>
      </c>
      <c r="C241" s="60" t="s">
        <v>23</v>
      </c>
      <c r="D241" s="60" t="s">
        <v>24</v>
      </c>
      <c r="E241" s="60" t="s">
        <v>24</v>
      </c>
      <c r="F241" s="60" t="s">
        <v>25</v>
      </c>
      <c r="G241" s="60" t="s">
        <v>25</v>
      </c>
      <c r="H241" s="60" t="s">
        <v>25</v>
      </c>
      <c r="I241" s="67">
        <v>44440</v>
      </c>
      <c r="J241" s="68">
        <f>EFEITO!$J$241*EFEITO!$Y$241</f>
        <v>0</v>
      </c>
      <c r="K241" s="68">
        <f ca="1">EFEITO!$L$241*EFEITO!$Z$241</f>
        <v>6402.5433467130506</v>
      </c>
      <c r="L241" s="68">
        <f>EFEITO!$N$241*EFEITO!$AA$241</f>
        <v>3873.3663632556509</v>
      </c>
      <c r="M241" s="68">
        <f>$J$241-EFEITO!$K$241*EFEITO!$Y$241</f>
        <v>0</v>
      </c>
      <c r="N241" s="68">
        <f ca="1">$K$241-EFEITO!$M$241*EFEITO!$Z$241</f>
        <v>0</v>
      </c>
      <c r="O241" s="68">
        <f>$L$241-EFEITO!$O$241*EFEITO!$AA$241</f>
        <v>0</v>
      </c>
      <c r="P241" s="18"/>
      <c r="Q241" s="18"/>
      <c r="R241" s="18"/>
      <c r="S241" s="18"/>
      <c r="T241" s="18"/>
      <c r="U241" s="18"/>
      <c r="V241" s="18"/>
      <c r="W241" s="18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60" t="s">
        <v>21</v>
      </c>
      <c r="B242" s="60" t="s">
        <v>22</v>
      </c>
      <c r="C242" s="60" t="s">
        <v>23</v>
      </c>
      <c r="D242" s="60" t="s">
        <v>24</v>
      </c>
      <c r="E242" s="60" t="s">
        <v>24</v>
      </c>
      <c r="F242" s="60" t="s">
        <v>25</v>
      </c>
      <c r="G242" s="60" t="s">
        <v>25</v>
      </c>
      <c r="H242" s="60" t="s">
        <v>25</v>
      </c>
      <c r="I242" s="67">
        <v>44470</v>
      </c>
      <c r="J242" s="68">
        <f>EFEITO!$J$242*EFEITO!$Y$242</f>
        <v>0</v>
      </c>
      <c r="K242" s="68">
        <f ca="1">EFEITO!$L$242*EFEITO!$Z$242</f>
        <v>580699.24709042092</v>
      </c>
      <c r="L242" s="68">
        <f>EFEITO!$N$242*EFEITO!$AA$242</f>
        <v>351307.41160895815</v>
      </c>
      <c r="M242" s="68">
        <f>$J$242-EFEITO!$K$242*EFEITO!$Y$242</f>
        <v>0</v>
      </c>
      <c r="N242" s="68">
        <f ca="1">$K$242-EFEITO!$M$242*EFEITO!$Z$242</f>
        <v>0</v>
      </c>
      <c r="O242" s="68">
        <f>$L$242-EFEITO!$O$242*EFEITO!$AA$242</f>
        <v>0</v>
      </c>
      <c r="P242" s="18"/>
      <c r="Q242" s="18"/>
      <c r="R242" s="18"/>
      <c r="S242" s="18"/>
      <c r="T242" s="18"/>
      <c r="U242" s="18"/>
      <c r="V242" s="18"/>
      <c r="W242" s="18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60" t="s">
        <v>27</v>
      </c>
      <c r="B243" s="60" t="s">
        <v>22</v>
      </c>
      <c r="C243" s="60" t="s">
        <v>23</v>
      </c>
      <c r="D243" s="60" t="s">
        <v>24</v>
      </c>
      <c r="E243" s="60" t="s">
        <v>24</v>
      </c>
      <c r="F243" s="60" t="s">
        <v>25</v>
      </c>
      <c r="G243" s="60" t="s">
        <v>25</v>
      </c>
      <c r="H243" s="60" t="s">
        <v>25</v>
      </c>
      <c r="I243" s="67">
        <v>44470</v>
      </c>
      <c r="J243" s="68">
        <f>EFEITO!$J$243*EFEITO!$Y$243</f>
        <v>0</v>
      </c>
      <c r="K243" s="68">
        <f ca="1">EFEITO!$L$243*EFEITO!$Z$243</f>
        <v>6236.2923680238737</v>
      </c>
      <c r="L243" s="68">
        <f>EFEITO!$N$243*EFEITO!$AA$243</f>
        <v>3772.7889967558858</v>
      </c>
      <c r="M243" s="68">
        <f>$J$243-EFEITO!$K$243*EFEITO!$Y$243</f>
        <v>0</v>
      </c>
      <c r="N243" s="68">
        <f ca="1">$K$243-EFEITO!$M$243*EFEITO!$Z$243</f>
        <v>0</v>
      </c>
      <c r="O243" s="68">
        <f>$L$243-EFEITO!$O$243*EFEITO!$AA$243</f>
        <v>0</v>
      </c>
      <c r="P243" s="18"/>
      <c r="Q243" s="18"/>
      <c r="R243" s="18"/>
      <c r="S243" s="18"/>
      <c r="T243" s="18"/>
      <c r="U243" s="18"/>
      <c r="V243" s="18"/>
      <c r="W243" s="18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60" t="s">
        <v>21</v>
      </c>
      <c r="B244" s="60" t="s">
        <v>22</v>
      </c>
      <c r="C244" s="60" t="s">
        <v>23</v>
      </c>
      <c r="D244" s="60" t="s">
        <v>24</v>
      </c>
      <c r="E244" s="60" t="s">
        <v>24</v>
      </c>
      <c r="F244" s="60" t="s">
        <v>25</v>
      </c>
      <c r="G244" s="60" t="s">
        <v>25</v>
      </c>
      <c r="H244" s="60" t="s">
        <v>25</v>
      </c>
      <c r="I244" s="67">
        <v>44501</v>
      </c>
      <c r="J244" s="68">
        <f>EFEITO!$J$244*EFEITO!$Y$244</f>
        <v>0</v>
      </c>
      <c r="K244" s="68">
        <f ca="1">EFEITO!$L$244*EFEITO!$Z$244</f>
        <v>616842.28508413513</v>
      </c>
      <c r="L244" s="68">
        <f>EFEITO!$N$244*EFEITO!$AA$244</f>
        <v>373172.97659612761</v>
      </c>
      <c r="M244" s="68">
        <f>$J$244-EFEITO!$K$244*EFEITO!$Y$244</f>
        <v>0</v>
      </c>
      <c r="N244" s="68">
        <f ca="1">$K$244-EFEITO!$M$244*EFEITO!$Z$244</f>
        <v>0</v>
      </c>
      <c r="O244" s="68">
        <f>$L$244-EFEITO!$O$244*EFEITO!$AA$244</f>
        <v>0</v>
      </c>
      <c r="P244" s="18"/>
      <c r="Q244" s="18"/>
      <c r="R244" s="18"/>
      <c r="S244" s="18"/>
      <c r="T244" s="18"/>
      <c r="U244" s="18"/>
      <c r="V244" s="18"/>
      <c r="W244" s="18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60" t="s">
        <v>48</v>
      </c>
      <c r="B245" s="60" t="s">
        <v>22</v>
      </c>
      <c r="C245" s="60" t="s">
        <v>23</v>
      </c>
      <c r="D245" s="60" t="s">
        <v>24</v>
      </c>
      <c r="E245" s="60" t="s">
        <v>24</v>
      </c>
      <c r="F245" s="60" t="s">
        <v>25</v>
      </c>
      <c r="G245" s="60" t="s">
        <v>25</v>
      </c>
      <c r="H245" s="60" t="s">
        <v>25</v>
      </c>
      <c r="I245" s="67">
        <v>44501</v>
      </c>
      <c r="J245" s="68">
        <f>EFEITO!$J$245*EFEITO!$Y$245</f>
        <v>0</v>
      </c>
      <c r="K245" s="68">
        <f ca="1">EFEITO!$L$245*EFEITO!$Z$245</f>
        <v>-62.814283803376789</v>
      </c>
      <c r="L245" s="68">
        <f>EFEITO!$N$245*EFEITO!$AA$245</f>
        <v>-38.000950691087638</v>
      </c>
      <c r="M245" s="68">
        <f>$J$245-EFEITO!$K$245*EFEITO!$Y$245</f>
        <v>0</v>
      </c>
      <c r="N245" s="68">
        <f ca="1">$K$245-EFEITO!$M$245*EFEITO!$Z$245</f>
        <v>0</v>
      </c>
      <c r="O245" s="68">
        <f>$L$245-EFEITO!$O$245*EFEITO!$AA$245</f>
        <v>0</v>
      </c>
      <c r="P245" s="18"/>
      <c r="Q245" s="18"/>
      <c r="R245" s="18"/>
      <c r="S245" s="18"/>
      <c r="T245" s="18"/>
      <c r="U245" s="18"/>
      <c r="V245" s="18"/>
      <c r="W245" s="18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60" t="s">
        <v>27</v>
      </c>
      <c r="B246" s="60" t="s">
        <v>22</v>
      </c>
      <c r="C246" s="60" t="s">
        <v>23</v>
      </c>
      <c r="D246" s="60" t="s">
        <v>24</v>
      </c>
      <c r="E246" s="60" t="s">
        <v>24</v>
      </c>
      <c r="F246" s="60" t="s">
        <v>25</v>
      </c>
      <c r="G246" s="60" t="s">
        <v>25</v>
      </c>
      <c r="H246" s="60" t="s">
        <v>25</v>
      </c>
      <c r="I246" s="67">
        <v>44501</v>
      </c>
      <c r="J246" s="68">
        <f>EFEITO!$J$246*EFEITO!$Y$246</f>
        <v>0</v>
      </c>
      <c r="K246" s="68">
        <f ca="1">EFEITO!$L$246*EFEITO!$Z$246</f>
        <v>5067.6457825323077</v>
      </c>
      <c r="L246" s="68">
        <f>EFEITO!$N$246*EFEITO!$AA$246</f>
        <v>3065.7892734193038</v>
      </c>
      <c r="M246" s="68">
        <f>$J$246-EFEITO!$K$246*EFEITO!$Y$246</f>
        <v>0</v>
      </c>
      <c r="N246" s="68">
        <f ca="1">$K$246-EFEITO!$M$246*EFEITO!$Z$246</f>
        <v>0</v>
      </c>
      <c r="O246" s="68">
        <f>$L$246-EFEITO!$O$246*EFEITO!$AA$246</f>
        <v>0</v>
      </c>
      <c r="P246" s="18"/>
      <c r="Q246" s="18"/>
      <c r="R246" s="18"/>
      <c r="S246" s="18"/>
      <c r="T246" s="18"/>
      <c r="U246" s="18"/>
      <c r="V246" s="18"/>
      <c r="W246" s="18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60" t="s">
        <v>27</v>
      </c>
      <c r="B247" s="60" t="s">
        <v>22</v>
      </c>
      <c r="C247" s="60" t="s">
        <v>23</v>
      </c>
      <c r="D247" s="60" t="s">
        <v>24</v>
      </c>
      <c r="E247" s="60" t="s">
        <v>24</v>
      </c>
      <c r="F247" s="60" t="s">
        <v>25</v>
      </c>
      <c r="G247" s="60" t="s">
        <v>25</v>
      </c>
      <c r="H247" s="60" t="s">
        <v>25</v>
      </c>
      <c r="I247" s="67">
        <v>44501</v>
      </c>
      <c r="J247" s="68">
        <f>EFEITO!$J$247*EFEITO!$Y$247</f>
        <v>0</v>
      </c>
      <c r="K247" s="68">
        <f ca="1">EFEITO!$L$247*EFEITO!$Z$247</f>
        <v>44.007612005958585</v>
      </c>
      <c r="L247" s="68">
        <f>EFEITO!$N$247*EFEITO!$AA$247</f>
        <v>26.62342054405541</v>
      </c>
      <c r="M247" s="68">
        <f>$J$247-EFEITO!$K$247*EFEITO!$Y$247</f>
        <v>0</v>
      </c>
      <c r="N247" s="68">
        <f ca="1">$K$247-EFEITO!$M$247*EFEITO!$Z$247</f>
        <v>0</v>
      </c>
      <c r="O247" s="68">
        <f>$L$247-EFEITO!$O$247*EFEITO!$AA$247</f>
        <v>0</v>
      </c>
      <c r="P247" s="18"/>
      <c r="Q247" s="18"/>
      <c r="R247" s="18"/>
      <c r="S247" s="18"/>
      <c r="T247" s="18"/>
      <c r="U247" s="18"/>
      <c r="V247" s="18"/>
      <c r="W247" s="18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60" t="s">
        <v>21</v>
      </c>
      <c r="B248" s="60" t="s">
        <v>22</v>
      </c>
      <c r="C248" s="60" t="s">
        <v>23</v>
      </c>
      <c r="D248" s="60" t="s">
        <v>24</v>
      </c>
      <c r="E248" s="60" t="s">
        <v>24</v>
      </c>
      <c r="F248" s="60" t="s">
        <v>25</v>
      </c>
      <c r="G248" s="60" t="s">
        <v>25</v>
      </c>
      <c r="H248" s="60" t="s">
        <v>25</v>
      </c>
      <c r="I248" s="67">
        <v>44531</v>
      </c>
      <c r="J248" s="68">
        <f>EFEITO!$J$248*EFEITO!$Y$248</f>
        <v>0</v>
      </c>
      <c r="K248" s="68">
        <f ca="1">EFEITO!$L$248*EFEITO!$Z$248</f>
        <v>618460.41112558509</v>
      </c>
      <c r="L248" s="68">
        <f>EFEITO!$N$248*EFEITO!$AA$248</f>
        <v>374151.89928997832</v>
      </c>
      <c r="M248" s="68">
        <f>$J$248-EFEITO!$K$248*EFEITO!$Y$248</f>
        <v>0</v>
      </c>
      <c r="N248" s="68">
        <f ca="1">$K$248-EFEITO!$M$248*EFEITO!$Z$248</f>
        <v>0</v>
      </c>
      <c r="O248" s="68">
        <f>$L$248-EFEITO!$O$248*EFEITO!$AA$248</f>
        <v>0</v>
      </c>
      <c r="P248" s="18"/>
      <c r="Q248" s="18"/>
      <c r="R248" s="18"/>
      <c r="S248" s="18"/>
      <c r="T248" s="18"/>
      <c r="U248" s="18"/>
      <c r="V248" s="18"/>
      <c r="W248" s="18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60" t="s">
        <v>27</v>
      </c>
      <c r="B249" s="60" t="s">
        <v>22</v>
      </c>
      <c r="C249" s="60" t="s">
        <v>23</v>
      </c>
      <c r="D249" s="60" t="s">
        <v>24</v>
      </c>
      <c r="E249" s="60" t="s">
        <v>24</v>
      </c>
      <c r="F249" s="60" t="s">
        <v>25</v>
      </c>
      <c r="G249" s="60" t="s">
        <v>25</v>
      </c>
      <c r="H249" s="60" t="s">
        <v>25</v>
      </c>
      <c r="I249" s="67">
        <v>44531</v>
      </c>
      <c r="J249" s="68">
        <f>EFEITO!$J$249*EFEITO!$Y$249</f>
        <v>0</v>
      </c>
      <c r="K249" s="68">
        <f ca="1">EFEITO!$L$249*EFEITO!$Z$249</f>
        <v>6094.4900626713415</v>
      </c>
      <c r="L249" s="68">
        <f>EFEITO!$N$249*EFEITO!$AA$249</f>
        <v>3687.002419447263</v>
      </c>
      <c r="M249" s="68">
        <f>$J$249-EFEITO!$K$249*EFEITO!$Y$249</f>
        <v>0</v>
      </c>
      <c r="N249" s="68">
        <f ca="1">$K$249-EFEITO!$M$249*EFEITO!$Z$249</f>
        <v>0</v>
      </c>
      <c r="O249" s="68">
        <f>$L$249-EFEITO!$O$249*EFEITO!$AA$249</f>
        <v>0</v>
      </c>
      <c r="P249" s="18"/>
      <c r="Q249" s="18"/>
      <c r="R249" s="18"/>
      <c r="S249" s="18"/>
      <c r="T249" s="18"/>
      <c r="U249" s="18"/>
      <c r="V249" s="18"/>
      <c r="W249" s="18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60" t="s">
        <v>21</v>
      </c>
      <c r="B250" s="60" t="s">
        <v>22</v>
      </c>
      <c r="C250" s="60" t="s">
        <v>23</v>
      </c>
      <c r="D250" s="60" t="s">
        <v>24</v>
      </c>
      <c r="E250" s="60" t="s">
        <v>24</v>
      </c>
      <c r="F250" s="60" t="s">
        <v>25</v>
      </c>
      <c r="G250" s="60" t="s">
        <v>25</v>
      </c>
      <c r="H250" s="60" t="s">
        <v>25</v>
      </c>
      <c r="I250" s="67">
        <v>44562</v>
      </c>
      <c r="J250" s="68">
        <f>EFEITO!$J$250*EFEITO!$Y$250</f>
        <v>0</v>
      </c>
      <c r="K250" s="68">
        <f ca="1">EFEITO!$L$250*EFEITO!$Z$250</f>
        <v>689242.705636092</v>
      </c>
      <c r="L250" s="68">
        <f>EFEITO!$N$250*EFEITO!$AA$250</f>
        <v>416973.28195376054</v>
      </c>
      <c r="M250" s="68">
        <f>$J$250-EFEITO!$K$250*EFEITO!$Y$250</f>
        <v>0</v>
      </c>
      <c r="N250" s="68">
        <f ca="1">$K$250-EFEITO!$M$250*EFEITO!$Z$250</f>
        <v>0</v>
      </c>
      <c r="O250" s="68">
        <f>$L$250-EFEITO!$O$250*EFEITO!$AA$250</f>
        <v>0</v>
      </c>
      <c r="P250" s="18"/>
      <c r="Q250" s="18"/>
      <c r="R250" s="18"/>
      <c r="S250" s="18"/>
      <c r="T250" s="18"/>
      <c r="U250" s="18"/>
      <c r="V250" s="18"/>
      <c r="W250" s="18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60" t="s">
        <v>27</v>
      </c>
      <c r="B251" s="60" t="s">
        <v>22</v>
      </c>
      <c r="C251" s="60" t="s">
        <v>23</v>
      </c>
      <c r="D251" s="60" t="s">
        <v>24</v>
      </c>
      <c r="E251" s="60" t="s">
        <v>24</v>
      </c>
      <c r="F251" s="60" t="s">
        <v>25</v>
      </c>
      <c r="G251" s="60" t="s">
        <v>25</v>
      </c>
      <c r="H251" s="60" t="s">
        <v>25</v>
      </c>
      <c r="I251" s="67">
        <v>44562</v>
      </c>
      <c r="J251" s="68">
        <f>EFEITO!$J$251*EFEITO!$Y$251</f>
        <v>0</v>
      </c>
      <c r="K251" s="68">
        <f ca="1">EFEITO!$L$251*EFEITO!$Z$251</f>
        <v>7963.1209724628134</v>
      </c>
      <c r="L251" s="68">
        <f>EFEITO!$N$251*EFEITO!$AA$251</f>
        <v>4817.4738148563847</v>
      </c>
      <c r="M251" s="68">
        <f>$J$251-EFEITO!$K$251*EFEITO!$Y$251</f>
        <v>0</v>
      </c>
      <c r="N251" s="68">
        <f ca="1">$K$251-EFEITO!$M$251*EFEITO!$Z$251</f>
        <v>0</v>
      </c>
      <c r="O251" s="68">
        <f>$L$251-EFEITO!$O$251*EFEITO!$AA$251</f>
        <v>0</v>
      </c>
      <c r="P251" s="18"/>
      <c r="Q251" s="18"/>
      <c r="R251" s="18"/>
      <c r="S251" s="18"/>
      <c r="T251" s="18"/>
      <c r="U251" s="18"/>
      <c r="V251" s="18"/>
      <c r="W251" s="18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60" t="s">
        <v>27</v>
      </c>
      <c r="B252" s="60" t="s">
        <v>22</v>
      </c>
      <c r="C252" s="60" t="s">
        <v>23</v>
      </c>
      <c r="D252" s="60" t="s">
        <v>24</v>
      </c>
      <c r="E252" s="60" t="s">
        <v>24</v>
      </c>
      <c r="F252" s="60" t="s">
        <v>25</v>
      </c>
      <c r="G252" s="60" t="s">
        <v>25</v>
      </c>
      <c r="H252" s="60" t="s">
        <v>25</v>
      </c>
      <c r="I252" s="67">
        <v>44562</v>
      </c>
      <c r="J252" s="68">
        <f>EFEITO!$J$252*EFEITO!$Y$252</f>
        <v>0</v>
      </c>
      <c r="K252" s="68">
        <f ca="1">EFEITO!$L$252*EFEITO!$Z$252</f>
        <v>-75.226687189672802</v>
      </c>
      <c r="L252" s="68">
        <f>EFEITO!$N$252*EFEITO!$AA$252</f>
        <v>-45.510120588128906</v>
      </c>
      <c r="M252" s="68">
        <f>$J$252-EFEITO!$K$252*EFEITO!$Y$252</f>
        <v>0</v>
      </c>
      <c r="N252" s="68">
        <f ca="1">$K$252-EFEITO!$M$252*EFEITO!$Z$252</f>
        <v>0</v>
      </c>
      <c r="O252" s="68">
        <f>$L$252-EFEITO!$O$252*EFEITO!$AA$252</f>
        <v>0</v>
      </c>
      <c r="P252" s="18"/>
      <c r="Q252" s="18"/>
      <c r="R252" s="18"/>
      <c r="S252" s="18"/>
      <c r="T252" s="18"/>
      <c r="U252" s="18"/>
      <c r="V252" s="18"/>
      <c r="W252" s="18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60" t="s">
        <v>21</v>
      </c>
      <c r="B253" s="60" t="s">
        <v>22</v>
      </c>
      <c r="C253" s="60" t="s">
        <v>23</v>
      </c>
      <c r="D253" s="60" t="s">
        <v>24</v>
      </c>
      <c r="E253" s="60" t="s">
        <v>24</v>
      </c>
      <c r="F253" s="60" t="s">
        <v>25</v>
      </c>
      <c r="G253" s="60" t="s">
        <v>25</v>
      </c>
      <c r="H253" s="60" t="s">
        <v>25</v>
      </c>
      <c r="I253" s="67">
        <v>44593</v>
      </c>
      <c r="J253" s="68">
        <f>EFEITO!$J$253*EFEITO!$Y$253</f>
        <v>0</v>
      </c>
      <c r="K253" s="68">
        <f ca="1">EFEITO!$L$253*EFEITO!$Z$253</f>
        <v>684504.92887688638</v>
      </c>
      <c r="L253" s="68">
        <f>EFEITO!$N$253*EFEITO!$AA$253</f>
        <v>414107.05455912015</v>
      </c>
      <c r="M253" s="68">
        <f>$J$253-EFEITO!$K$253*EFEITO!$Y$253</f>
        <v>0</v>
      </c>
      <c r="N253" s="68">
        <f ca="1">$K$253-EFEITO!$M$253*EFEITO!$Z$253</f>
        <v>0</v>
      </c>
      <c r="O253" s="68">
        <f>$L$253-EFEITO!$O$253*EFEITO!$AA$253</f>
        <v>0</v>
      </c>
      <c r="P253" s="18"/>
      <c r="Q253" s="18"/>
      <c r="R253" s="18"/>
      <c r="S253" s="18"/>
      <c r="T253" s="18"/>
      <c r="U253" s="18"/>
      <c r="V253" s="18"/>
      <c r="W253" s="18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60" t="s">
        <v>27</v>
      </c>
      <c r="B254" s="60" t="s">
        <v>22</v>
      </c>
      <c r="C254" s="60" t="s">
        <v>23</v>
      </c>
      <c r="D254" s="60" t="s">
        <v>24</v>
      </c>
      <c r="E254" s="60" t="s">
        <v>24</v>
      </c>
      <c r="F254" s="60" t="s">
        <v>25</v>
      </c>
      <c r="G254" s="60" t="s">
        <v>25</v>
      </c>
      <c r="H254" s="60" t="s">
        <v>25</v>
      </c>
      <c r="I254" s="67">
        <v>44593</v>
      </c>
      <c r="J254" s="68">
        <f>EFEITO!$J$254*EFEITO!$Y$254</f>
        <v>0</v>
      </c>
      <c r="K254" s="68">
        <f ca="1">EFEITO!$L$254*EFEITO!$Z$254</f>
        <v>7518.1551177358988</v>
      </c>
      <c r="L254" s="68">
        <f>EFEITO!$N$254*EFEITO!$AA$254</f>
        <v>4548.2814515776026</v>
      </c>
      <c r="M254" s="68">
        <f>$J$254-EFEITO!$K$254*EFEITO!$Y$254</f>
        <v>0</v>
      </c>
      <c r="N254" s="68">
        <f ca="1">$K$254-EFEITO!$M$254*EFEITO!$Z$254</f>
        <v>0</v>
      </c>
      <c r="O254" s="68">
        <f>$L$254-EFEITO!$O$254*EFEITO!$AA$254</f>
        <v>0</v>
      </c>
      <c r="P254" s="18"/>
      <c r="Q254" s="18"/>
      <c r="R254" s="18"/>
      <c r="S254" s="18"/>
      <c r="T254" s="18"/>
      <c r="U254" s="18"/>
      <c r="V254" s="18"/>
      <c r="W254" s="18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60" t="s">
        <v>21</v>
      </c>
      <c r="B255" s="60" t="s">
        <v>22</v>
      </c>
      <c r="C255" s="60" t="s">
        <v>23</v>
      </c>
      <c r="D255" s="60" t="s">
        <v>24</v>
      </c>
      <c r="E255" s="60" t="s">
        <v>24</v>
      </c>
      <c r="F255" s="60" t="s">
        <v>25</v>
      </c>
      <c r="G255" s="60" t="s">
        <v>25</v>
      </c>
      <c r="H255" s="60" t="s">
        <v>25</v>
      </c>
      <c r="I255" s="67">
        <v>44621</v>
      </c>
      <c r="J255" s="68">
        <f>EFEITO!$J$255*EFEITO!$Y$255</f>
        <v>0</v>
      </c>
      <c r="K255" s="68">
        <f ca="1">EFEITO!$L$255*EFEITO!$Z$255</f>
        <v>613371.3257372037</v>
      </c>
      <c r="L255" s="68">
        <f>EFEITO!$N$255*EFEITO!$AA$255</f>
        <v>371073.13963219139</v>
      </c>
      <c r="M255" s="68">
        <f>$J$255-EFEITO!$K$255*EFEITO!$Y$255</f>
        <v>0</v>
      </c>
      <c r="N255" s="68">
        <f ca="1">$K$255-EFEITO!$M$255*EFEITO!$Z$255</f>
        <v>0</v>
      </c>
      <c r="O255" s="68">
        <f>$L$255-EFEITO!$O$255*EFEITO!$AA$255</f>
        <v>0</v>
      </c>
      <c r="P255" s="18"/>
      <c r="Q255" s="18"/>
      <c r="R255" s="18"/>
      <c r="S255" s="18"/>
      <c r="T255" s="18"/>
      <c r="U255" s="18"/>
      <c r="V255" s="18"/>
      <c r="W255" s="18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60" t="s">
        <v>48</v>
      </c>
      <c r="B256" s="60" t="s">
        <v>22</v>
      </c>
      <c r="C256" s="60" t="s">
        <v>23</v>
      </c>
      <c r="D256" s="60" t="s">
        <v>24</v>
      </c>
      <c r="E256" s="60" t="s">
        <v>24</v>
      </c>
      <c r="F256" s="60" t="s">
        <v>25</v>
      </c>
      <c r="G256" s="60" t="s">
        <v>25</v>
      </c>
      <c r="H256" s="60" t="s">
        <v>25</v>
      </c>
      <c r="I256" s="67">
        <v>44621</v>
      </c>
      <c r="J256" s="68">
        <f>EFEITO!$J$256*EFEITO!$Y$256</f>
        <v>0</v>
      </c>
      <c r="K256" s="68">
        <f ca="1">EFEITO!$L$256*EFEITO!$Z$256</f>
        <v>-573.97962325720346</v>
      </c>
      <c r="L256" s="68">
        <f>EFEITO!$N$256*EFEITO!$AA$256</f>
        <v>-347.24222008742356</v>
      </c>
      <c r="M256" s="68">
        <f>$J$256-EFEITO!$K$256*EFEITO!$Y$256</f>
        <v>0</v>
      </c>
      <c r="N256" s="68">
        <f ca="1">$K$256-EFEITO!$M$256*EFEITO!$Z$256</f>
        <v>0</v>
      </c>
      <c r="O256" s="68">
        <f>$L$256-EFEITO!$O$256*EFEITO!$AA$256</f>
        <v>0</v>
      </c>
      <c r="P256" s="18"/>
      <c r="Q256" s="18"/>
      <c r="R256" s="18"/>
      <c r="S256" s="18"/>
      <c r="T256" s="18"/>
      <c r="U256" s="18"/>
      <c r="V256" s="18"/>
      <c r="W256" s="18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60" t="s">
        <v>27</v>
      </c>
      <c r="B257" s="60" t="s">
        <v>22</v>
      </c>
      <c r="C257" s="60" t="s">
        <v>23</v>
      </c>
      <c r="D257" s="60" t="s">
        <v>24</v>
      </c>
      <c r="E257" s="60" t="s">
        <v>24</v>
      </c>
      <c r="F257" s="60" t="s">
        <v>25</v>
      </c>
      <c r="G257" s="60" t="s">
        <v>25</v>
      </c>
      <c r="H257" s="60" t="s">
        <v>25</v>
      </c>
      <c r="I257" s="67">
        <v>44621</v>
      </c>
      <c r="J257" s="68">
        <f>EFEITO!$J$257*EFEITO!$Y$257</f>
        <v>0</v>
      </c>
      <c r="K257" s="68">
        <f ca="1">EFEITO!$L$257*EFEITO!$Z$257</f>
        <v>8920.0044335154507</v>
      </c>
      <c r="L257" s="68">
        <f>EFEITO!$N$257*EFEITO!$AA$257</f>
        <v>5396.3625487373847</v>
      </c>
      <c r="M257" s="68">
        <f>$J$257-EFEITO!$K$257*EFEITO!$Y$257</f>
        <v>0</v>
      </c>
      <c r="N257" s="68">
        <f ca="1">$K$257-EFEITO!$M$257*EFEITO!$Z$257</f>
        <v>0</v>
      </c>
      <c r="O257" s="68">
        <f>$L$257-EFEITO!$O$257*EFEITO!$AA$257</f>
        <v>0</v>
      </c>
      <c r="P257" s="18"/>
      <c r="Q257" s="18"/>
      <c r="R257" s="18"/>
      <c r="S257" s="18"/>
      <c r="T257" s="18"/>
      <c r="U257" s="18"/>
      <c r="V257" s="18"/>
      <c r="W257" s="18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60" t="s">
        <v>21</v>
      </c>
      <c r="B258" s="60" t="s">
        <v>22</v>
      </c>
      <c r="C258" s="60" t="s">
        <v>23</v>
      </c>
      <c r="D258" s="60" t="s">
        <v>24</v>
      </c>
      <c r="E258" s="60" t="s">
        <v>24</v>
      </c>
      <c r="F258" s="60" t="s">
        <v>25</v>
      </c>
      <c r="G258" s="60" t="s">
        <v>25</v>
      </c>
      <c r="H258" s="60" t="s">
        <v>25</v>
      </c>
      <c r="I258" s="67">
        <v>44652</v>
      </c>
      <c r="J258" s="68">
        <f>EFEITO!$J$258*EFEITO!$Y$258</f>
        <v>0</v>
      </c>
      <c r="K258" s="68">
        <f ca="1">EFEITO!$L$258*EFEITO!$Z$258</f>
        <v>568132.25286195008</v>
      </c>
      <c r="L258" s="68">
        <f>EFEITO!$N$258*EFEITO!$AA$258</f>
        <v>343704.71841410827</v>
      </c>
      <c r="M258" s="68">
        <f>$J$258-EFEITO!$K$258*EFEITO!$Y$258</f>
        <v>0</v>
      </c>
      <c r="N258" s="68">
        <f ca="1">$K$258-EFEITO!$M$258*EFEITO!$Z$258</f>
        <v>0</v>
      </c>
      <c r="O258" s="68">
        <f>$L$258-EFEITO!$O$258*EFEITO!$AA$258</f>
        <v>0</v>
      </c>
      <c r="P258" s="18"/>
      <c r="Q258" s="18"/>
      <c r="R258" s="18"/>
      <c r="S258" s="18"/>
      <c r="T258" s="18"/>
      <c r="U258" s="18"/>
      <c r="V258" s="18"/>
      <c r="W258" s="18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60" t="s">
        <v>27</v>
      </c>
      <c r="B259" s="60" t="s">
        <v>22</v>
      </c>
      <c r="C259" s="60" t="s">
        <v>23</v>
      </c>
      <c r="D259" s="60" t="s">
        <v>24</v>
      </c>
      <c r="E259" s="60" t="s">
        <v>24</v>
      </c>
      <c r="F259" s="60" t="s">
        <v>25</v>
      </c>
      <c r="G259" s="60" t="s">
        <v>25</v>
      </c>
      <c r="H259" s="60" t="s">
        <v>25</v>
      </c>
      <c r="I259" s="67">
        <v>44652</v>
      </c>
      <c r="J259" s="68">
        <f>EFEITO!$J$259*EFEITO!$Y$259</f>
        <v>0</v>
      </c>
      <c r="K259" s="68">
        <f ca="1">EFEITO!$L$259*EFEITO!$Z$259</f>
        <v>9543.2575368818907</v>
      </c>
      <c r="L259" s="68">
        <f>EFEITO!$N$259*EFEITO!$AA$259</f>
        <v>5773.4138978100327</v>
      </c>
      <c r="M259" s="68">
        <f>$J$259-EFEITO!$K$259*EFEITO!$Y$259</f>
        <v>0</v>
      </c>
      <c r="N259" s="68">
        <f ca="1">$K$259-EFEITO!$M$259*EFEITO!$Z$259</f>
        <v>0</v>
      </c>
      <c r="O259" s="68">
        <f>$L$259-EFEITO!$O$259*EFEITO!$AA$259</f>
        <v>0</v>
      </c>
      <c r="P259" s="18"/>
      <c r="Q259" s="18"/>
      <c r="R259" s="18"/>
      <c r="S259" s="18"/>
      <c r="T259" s="18"/>
      <c r="U259" s="18"/>
      <c r="V259" s="18"/>
      <c r="W259" s="18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60" t="s">
        <v>21</v>
      </c>
      <c r="B260" s="60" t="s">
        <v>22</v>
      </c>
      <c r="C260" s="60" t="s">
        <v>23</v>
      </c>
      <c r="D260" s="60" t="s">
        <v>24</v>
      </c>
      <c r="E260" s="60" t="s">
        <v>24</v>
      </c>
      <c r="F260" s="60" t="s">
        <v>25</v>
      </c>
      <c r="G260" s="60" t="s">
        <v>25</v>
      </c>
      <c r="H260" s="60" t="s">
        <v>25</v>
      </c>
      <c r="I260" s="67">
        <v>44682</v>
      </c>
      <c r="J260" s="68">
        <f>EFEITO!$J$260*EFEITO!$Y$260</f>
        <v>0</v>
      </c>
      <c r="K260" s="68">
        <f ca="1">EFEITO!$L$260*EFEITO!$Z$260</f>
        <v>583826.42047689564</v>
      </c>
      <c r="L260" s="68">
        <f>EFEITO!$N$260*EFEITO!$AA$260</f>
        <v>353199.26732180669</v>
      </c>
      <c r="M260" s="68">
        <f>$J$260-EFEITO!$K$260*EFEITO!$Y$260</f>
        <v>0</v>
      </c>
      <c r="N260" s="68">
        <f ca="1">$K$260-EFEITO!$M$260*EFEITO!$Z$260</f>
        <v>0</v>
      </c>
      <c r="O260" s="68">
        <f>$L$260-EFEITO!$O$260*EFEITO!$AA$260</f>
        <v>0</v>
      </c>
      <c r="P260" s="18"/>
      <c r="Q260" s="18"/>
      <c r="R260" s="18"/>
      <c r="S260" s="18"/>
      <c r="T260" s="18"/>
      <c r="U260" s="18"/>
      <c r="V260" s="18"/>
      <c r="W260" s="18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60" t="s">
        <v>27</v>
      </c>
      <c r="B261" s="60" t="s">
        <v>22</v>
      </c>
      <c r="C261" s="60" t="s">
        <v>23</v>
      </c>
      <c r="D261" s="60" t="s">
        <v>24</v>
      </c>
      <c r="E261" s="60" t="s">
        <v>24</v>
      </c>
      <c r="F261" s="60" t="s">
        <v>25</v>
      </c>
      <c r="G261" s="60" t="s">
        <v>25</v>
      </c>
      <c r="H261" s="60" t="s">
        <v>25</v>
      </c>
      <c r="I261" s="67">
        <v>44682</v>
      </c>
      <c r="J261" s="68">
        <f>EFEITO!$J$261*EFEITO!$Y$261</f>
        <v>0</v>
      </c>
      <c r="K261" s="68">
        <f ca="1">EFEITO!$L$261*EFEITO!$Z$261</f>
        <v>11206.519590645556</v>
      </c>
      <c r="L261" s="68">
        <f>EFEITO!$N$261*EFEITO!$AA$261</f>
        <v>6779.6426640135633</v>
      </c>
      <c r="M261" s="68">
        <f>$J$261-EFEITO!$K$261*EFEITO!$Y$261</f>
        <v>0</v>
      </c>
      <c r="N261" s="68">
        <f ca="1">$K$261-EFEITO!$M$261*EFEITO!$Z$261</f>
        <v>0</v>
      </c>
      <c r="O261" s="68">
        <f>$L$261-EFEITO!$O$261*EFEITO!$AA$261</f>
        <v>0</v>
      </c>
      <c r="P261" s="18"/>
      <c r="Q261" s="18"/>
      <c r="R261" s="18"/>
      <c r="S261" s="18"/>
      <c r="T261" s="18"/>
      <c r="U261" s="18"/>
      <c r="V261" s="18"/>
      <c r="W261" s="18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60" t="s">
        <v>21</v>
      </c>
      <c r="B262" s="60" t="s">
        <v>22</v>
      </c>
      <c r="C262" s="60" t="s">
        <v>23</v>
      </c>
      <c r="D262" s="60" t="s">
        <v>24</v>
      </c>
      <c r="E262" s="60" t="s">
        <v>24</v>
      </c>
      <c r="F262" s="60" t="s">
        <v>25</v>
      </c>
      <c r="G262" s="60" t="s">
        <v>25</v>
      </c>
      <c r="H262" s="60" t="s">
        <v>25</v>
      </c>
      <c r="I262" s="67">
        <v>44713</v>
      </c>
      <c r="J262" s="68">
        <f>EFEITO!$J$262*EFEITO!$Y$262</f>
        <v>0</v>
      </c>
      <c r="K262" s="68">
        <f ca="1">EFEITO!$L$262*EFEITO!$Z$262</f>
        <v>673763.31021307304</v>
      </c>
      <c r="L262" s="68">
        <f>EFEITO!$N$262*EFEITO!$AA$262</f>
        <v>407608.66444034124</v>
      </c>
      <c r="M262" s="68">
        <f>$J$262-EFEITO!$K$262*EFEITO!$Y$262</f>
        <v>0</v>
      </c>
      <c r="N262" s="68">
        <f ca="1">$K$262-EFEITO!$M$262*EFEITO!$Z$262</f>
        <v>0</v>
      </c>
      <c r="O262" s="68">
        <f>$L$262-EFEITO!$O$262*EFEITO!$AA$262</f>
        <v>0</v>
      </c>
      <c r="P262" s="18"/>
      <c r="Q262" s="18"/>
      <c r="R262" s="18"/>
      <c r="S262" s="18"/>
      <c r="T262" s="18"/>
      <c r="U262" s="18"/>
      <c r="V262" s="18"/>
      <c r="W262" s="18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60" t="s">
        <v>27</v>
      </c>
      <c r="B263" s="60" t="s">
        <v>22</v>
      </c>
      <c r="C263" s="60" t="s">
        <v>23</v>
      </c>
      <c r="D263" s="60" t="s">
        <v>24</v>
      </c>
      <c r="E263" s="60" t="s">
        <v>24</v>
      </c>
      <c r="F263" s="60" t="s">
        <v>25</v>
      </c>
      <c r="G263" s="60" t="s">
        <v>25</v>
      </c>
      <c r="H263" s="60" t="s">
        <v>25</v>
      </c>
      <c r="I263" s="67">
        <v>44713</v>
      </c>
      <c r="J263" s="68">
        <f>EFEITO!$J$263*EFEITO!$Y$263</f>
        <v>0</v>
      </c>
      <c r="K263" s="68">
        <f ca="1">EFEITO!$L$263*EFEITO!$Z$263</f>
        <v>20010.298792452963</v>
      </c>
      <c r="L263" s="68">
        <f>EFEITO!$N$263*EFEITO!$AA$263</f>
        <v>12105.692076442288</v>
      </c>
      <c r="M263" s="68">
        <f>$J$263-EFEITO!$K$263*EFEITO!$Y$263</f>
        <v>0</v>
      </c>
      <c r="N263" s="68">
        <f ca="1">$K$263-EFEITO!$M$263*EFEITO!$Z$263</f>
        <v>0</v>
      </c>
      <c r="O263" s="68">
        <f>$L$263-EFEITO!$O$263*EFEITO!$AA$263</f>
        <v>0</v>
      </c>
      <c r="P263" s="18"/>
      <c r="Q263" s="18"/>
      <c r="R263" s="18"/>
      <c r="S263" s="18"/>
      <c r="T263" s="18"/>
      <c r="U263" s="18"/>
      <c r="V263" s="18"/>
      <c r="W263" s="18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60" t="s">
        <v>21</v>
      </c>
      <c r="B264" s="60" t="s">
        <v>22</v>
      </c>
      <c r="C264" s="60" t="s">
        <v>23</v>
      </c>
      <c r="D264" s="60" t="s">
        <v>24</v>
      </c>
      <c r="E264" s="60" t="s">
        <v>28</v>
      </c>
      <c r="F264" s="60" t="s">
        <v>25</v>
      </c>
      <c r="G264" s="60" t="s">
        <v>25</v>
      </c>
      <c r="H264" s="60" t="s">
        <v>25</v>
      </c>
      <c r="I264" s="67">
        <v>44378</v>
      </c>
      <c r="J264" s="68">
        <f>EFEITO!$J$264*EFEITO!$Y$236</f>
        <v>0</v>
      </c>
      <c r="K264" s="68">
        <f ca="1">EFEITO!$L$264*EFEITO!$Z$306</f>
        <v>2167.896067296309</v>
      </c>
      <c r="L264" s="68">
        <f>EFEITO!$N$264*EFEITO!$AA$306</f>
        <v>1918.2515827896332</v>
      </c>
      <c r="M264" s="68">
        <f>$J$264-EFEITO!$K$264*EFEITO!$Y$264</f>
        <v>0</v>
      </c>
      <c r="N264" s="68">
        <f ca="1">$K$264-EFEITO!$M$264*EFEITO!$Z$264</f>
        <v>1409.1324437426008</v>
      </c>
      <c r="O264" s="68">
        <f>$L$264-EFEITO!$O$264*EFEITO!$AA$264</f>
        <v>1246.8635288132616</v>
      </c>
      <c r="P264" s="18"/>
      <c r="Q264" s="18"/>
      <c r="R264" s="18"/>
      <c r="S264" s="18"/>
      <c r="T264" s="18"/>
      <c r="U264" s="18"/>
      <c r="V264" s="18"/>
      <c r="W264" s="18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60" t="s">
        <v>21</v>
      </c>
      <c r="B265" s="60" t="s">
        <v>22</v>
      </c>
      <c r="C265" s="60" t="s">
        <v>23</v>
      </c>
      <c r="D265" s="60" t="s">
        <v>24</v>
      </c>
      <c r="E265" s="60" t="s">
        <v>28</v>
      </c>
      <c r="F265" s="60" t="s">
        <v>25</v>
      </c>
      <c r="G265" s="60" t="s">
        <v>25</v>
      </c>
      <c r="H265" s="60" t="s">
        <v>25</v>
      </c>
      <c r="I265" s="67">
        <v>44409</v>
      </c>
      <c r="J265" s="68">
        <f>EFEITO!$J$265*EFEITO!$Y$236</f>
        <v>0</v>
      </c>
      <c r="K265" s="68">
        <f ca="1">EFEITO!$L$265*EFEITO!$Z$306</f>
        <v>2237.3304609107818</v>
      </c>
      <c r="L265" s="68">
        <f>EFEITO!$N$265*EFEITO!$AA$306</f>
        <v>1979.6902455836073</v>
      </c>
      <c r="M265" s="68">
        <f>$J$265-EFEITO!$K$265*EFEITO!$Y$265</f>
        <v>0</v>
      </c>
      <c r="N265" s="68">
        <f ca="1">$K$265-EFEITO!$M$265*EFEITO!$Z$265</f>
        <v>1454.2647995920083</v>
      </c>
      <c r="O265" s="68">
        <f>$L$265-EFEITO!$O$265*EFEITO!$AA$265</f>
        <v>1286.7986596293449</v>
      </c>
      <c r="P265" s="18"/>
      <c r="Q265" s="18"/>
      <c r="R265" s="18"/>
      <c r="S265" s="18"/>
      <c r="T265" s="18"/>
      <c r="U265" s="18"/>
      <c r="V265" s="18"/>
      <c r="W265" s="18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60" t="s">
        <v>21</v>
      </c>
      <c r="B266" s="60" t="s">
        <v>22</v>
      </c>
      <c r="C266" s="60" t="s">
        <v>23</v>
      </c>
      <c r="D266" s="60" t="s">
        <v>24</v>
      </c>
      <c r="E266" s="60" t="s">
        <v>28</v>
      </c>
      <c r="F266" s="60" t="s">
        <v>25</v>
      </c>
      <c r="G266" s="60" t="s">
        <v>25</v>
      </c>
      <c r="H266" s="60" t="s">
        <v>25</v>
      </c>
      <c r="I266" s="67">
        <v>44440</v>
      </c>
      <c r="J266" s="68">
        <f>EFEITO!$J$266*EFEITO!$Y$236</f>
        <v>0</v>
      </c>
      <c r="K266" s="68">
        <f ca="1">EFEITO!$L$266*EFEITO!$Z$306</f>
        <v>2252.7603261584422</v>
      </c>
      <c r="L266" s="68">
        <f>EFEITO!$N$266*EFEITO!$AA$306</f>
        <v>1993.343281760046</v>
      </c>
      <c r="M266" s="68">
        <f>$J$266-EFEITO!$K$266*EFEITO!$Y$266</f>
        <v>0</v>
      </c>
      <c r="N266" s="68">
        <f ca="1">$K$266-EFEITO!$M$266*EFEITO!$Z$266</f>
        <v>1464.2942120029875</v>
      </c>
      <c r="O266" s="68">
        <f>$L$266-EFEITO!$O$266*EFEITO!$AA$266</f>
        <v>1295.6731331440301</v>
      </c>
      <c r="P266" s="18"/>
      <c r="Q266" s="18"/>
      <c r="R266" s="18"/>
      <c r="S266" s="18"/>
      <c r="T266" s="18"/>
      <c r="U266" s="18"/>
      <c r="V266" s="18"/>
      <c r="W266" s="18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60" t="s">
        <v>21</v>
      </c>
      <c r="B267" s="60" t="s">
        <v>22</v>
      </c>
      <c r="C267" s="60" t="s">
        <v>23</v>
      </c>
      <c r="D267" s="60" t="s">
        <v>24</v>
      </c>
      <c r="E267" s="60" t="s">
        <v>28</v>
      </c>
      <c r="F267" s="60" t="s">
        <v>25</v>
      </c>
      <c r="G267" s="60" t="s">
        <v>25</v>
      </c>
      <c r="H267" s="60" t="s">
        <v>25</v>
      </c>
      <c r="I267" s="67">
        <v>44470</v>
      </c>
      <c r="J267" s="68">
        <f>EFEITO!$J$267*EFEITO!$Y$236</f>
        <v>0</v>
      </c>
      <c r="K267" s="68">
        <f ca="1">EFEITO!$L$267*EFEITO!$Z$306</f>
        <v>2268.1901914061032</v>
      </c>
      <c r="L267" s="68">
        <f>EFEITO!$N$267*EFEITO!$AA$306</f>
        <v>2006.9963179364847</v>
      </c>
      <c r="M267" s="68">
        <f>$J$267-EFEITO!$K$267*EFEITO!$Y$267</f>
        <v>0</v>
      </c>
      <c r="N267" s="68">
        <f ca="1">$K$267-EFEITO!$M$267*EFEITO!$Z$267</f>
        <v>1474.3236244139671</v>
      </c>
      <c r="O267" s="68">
        <f>$L$267-EFEITO!$O$267*EFEITO!$AA$267</f>
        <v>1304.547606658715</v>
      </c>
      <c r="P267" s="18"/>
      <c r="Q267" s="18"/>
      <c r="R267" s="18"/>
      <c r="S267" s="18"/>
      <c r="T267" s="18"/>
      <c r="U267" s="18"/>
      <c r="V267" s="18"/>
      <c r="W267" s="18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60" t="s">
        <v>21</v>
      </c>
      <c r="B268" s="60" t="s">
        <v>22</v>
      </c>
      <c r="C268" s="60" t="s">
        <v>23</v>
      </c>
      <c r="D268" s="60" t="s">
        <v>24</v>
      </c>
      <c r="E268" s="60" t="s">
        <v>28</v>
      </c>
      <c r="F268" s="60" t="s">
        <v>25</v>
      </c>
      <c r="G268" s="60" t="s">
        <v>25</v>
      </c>
      <c r="H268" s="60" t="s">
        <v>25</v>
      </c>
      <c r="I268" s="67">
        <v>44501</v>
      </c>
      <c r="J268" s="68">
        <f>EFEITO!$J$268*EFEITO!$Y$236</f>
        <v>0</v>
      </c>
      <c r="K268" s="68">
        <f ca="1">EFEITO!$L$268*EFEITO!$Z$306</f>
        <v>2275.9051240299332</v>
      </c>
      <c r="L268" s="68">
        <f>EFEITO!$N$268*EFEITO!$AA$306</f>
        <v>2013.822836024704</v>
      </c>
      <c r="M268" s="68">
        <f>$J$268-EFEITO!$K$268*EFEITO!$Y$268</f>
        <v>0</v>
      </c>
      <c r="N268" s="68">
        <f ca="1">$K$268-EFEITO!$M$268*EFEITO!$Z$268</f>
        <v>1479.3383306194564</v>
      </c>
      <c r="O268" s="68">
        <f>$L$268-EFEITO!$O$268*EFEITO!$AA$268</f>
        <v>1308.9848434160576</v>
      </c>
      <c r="P268" s="18"/>
      <c r="Q268" s="18"/>
      <c r="R268" s="18"/>
      <c r="S268" s="18"/>
      <c r="T268" s="18"/>
      <c r="U268" s="18"/>
      <c r="V268" s="18"/>
      <c r="W268" s="18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60" t="s">
        <v>21</v>
      </c>
      <c r="B269" s="60" t="s">
        <v>22</v>
      </c>
      <c r="C269" s="60" t="s">
        <v>23</v>
      </c>
      <c r="D269" s="60" t="s">
        <v>24</v>
      </c>
      <c r="E269" s="60" t="s">
        <v>28</v>
      </c>
      <c r="F269" s="60" t="s">
        <v>25</v>
      </c>
      <c r="G269" s="60" t="s">
        <v>25</v>
      </c>
      <c r="H269" s="60" t="s">
        <v>25</v>
      </c>
      <c r="I269" s="67">
        <v>44531</v>
      </c>
      <c r="J269" s="68">
        <f>EFEITO!$J$269*EFEITO!$Y$236</f>
        <v>0</v>
      </c>
      <c r="K269" s="68">
        <f ca="1">EFEITO!$L$269*EFEITO!$Z$306</f>
        <v>3193.9821062657365</v>
      </c>
      <c r="L269" s="68">
        <f>EFEITO!$N$269*EFEITO!$AA$306</f>
        <v>2826.1784885228049</v>
      </c>
      <c r="M269" s="68">
        <f>$J$269-EFEITO!$K$269*EFEITO!$Y$269</f>
        <v>0</v>
      </c>
      <c r="N269" s="68">
        <f ca="1">$K$269-EFEITO!$M$269*EFEITO!$Z$269</f>
        <v>2076.0883690727287</v>
      </c>
      <c r="O269" s="68">
        <f>$L$269-EFEITO!$O$269*EFEITO!$AA$269</f>
        <v>1837.0160175398232</v>
      </c>
      <c r="P269" s="18"/>
      <c r="Q269" s="18"/>
      <c r="R269" s="18"/>
      <c r="S269" s="18"/>
      <c r="T269" s="18"/>
      <c r="U269" s="18"/>
      <c r="V269" s="18"/>
      <c r="W269" s="18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60" t="s">
        <v>21</v>
      </c>
      <c r="B270" s="60" t="s">
        <v>22</v>
      </c>
      <c r="C270" s="60" t="s">
        <v>23</v>
      </c>
      <c r="D270" s="60" t="s">
        <v>24</v>
      </c>
      <c r="E270" s="60" t="s">
        <v>28</v>
      </c>
      <c r="F270" s="60" t="s">
        <v>25</v>
      </c>
      <c r="G270" s="60" t="s">
        <v>25</v>
      </c>
      <c r="H270" s="60" t="s">
        <v>25</v>
      </c>
      <c r="I270" s="67">
        <v>44562</v>
      </c>
      <c r="J270" s="68">
        <f>EFEITO!$J$270*EFEITO!$Y$236</f>
        <v>0</v>
      </c>
      <c r="K270" s="68">
        <f ca="1">EFEITO!$L$270*EFEITO!$Z$306</f>
        <v>3811.1767161721596</v>
      </c>
      <c r="L270" s="68">
        <f>EFEITO!$N$270*EFEITO!$AA$306</f>
        <v>3372.2999355803518</v>
      </c>
      <c r="M270" s="68">
        <f>$J$270-EFEITO!$K$270*EFEITO!$Y$270</f>
        <v>0</v>
      </c>
      <c r="N270" s="68">
        <f ca="1">$K$270-EFEITO!$M$270*EFEITO!$Z$270</f>
        <v>2477.2648655119037</v>
      </c>
      <c r="O270" s="68">
        <f>$L$270-EFEITO!$O$270*EFEITO!$AA$270</f>
        <v>2191.9949581272285</v>
      </c>
      <c r="P270" s="18"/>
      <c r="Q270" s="18"/>
      <c r="R270" s="18"/>
      <c r="S270" s="18"/>
      <c r="T270" s="18"/>
      <c r="U270" s="18"/>
      <c r="V270" s="18"/>
      <c r="W270" s="18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60" t="s">
        <v>21</v>
      </c>
      <c r="B271" s="60" t="s">
        <v>22</v>
      </c>
      <c r="C271" s="60" t="s">
        <v>23</v>
      </c>
      <c r="D271" s="60" t="s">
        <v>24</v>
      </c>
      <c r="E271" s="60" t="s">
        <v>28</v>
      </c>
      <c r="F271" s="60" t="s">
        <v>25</v>
      </c>
      <c r="G271" s="60" t="s">
        <v>25</v>
      </c>
      <c r="H271" s="60" t="s">
        <v>25</v>
      </c>
      <c r="I271" s="67">
        <v>44593</v>
      </c>
      <c r="J271" s="68">
        <f>EFEITO!$J$271*EFEITO!$Y$236</f>
        <v>0</v>
      </c>
      <c r="K271" s="68">
        <f ca="1">EFEITO!$L$271*EFEITO!$Z$306</f>
        <v>4189.2084147398427</v>
      </c>
      <c r="L271" s="68">
        <f>EFEITO!$N$271*EFEITO!$AA$306</f>
        <v>3706.7993219030991</v>
      </c>
      <c r="M271" s="68">
        <f>$J$271-EFEITO!$K$271*EFEITO!$Y$271</f>
        <v>0</v>
      </c>
      <c r="N271" s="68">
        <f ca="1">$K$271-EFEITO!$M$271*EFEITO!$Z$271</f>
        <v>2722.9854695808976</v>
      </c>
      <c r="O271" s="68">
        <f>$L$271-EFEITO!$O$271*EFEITO!$AA$271</f>
        <v>2409.4195592370143</v>
      </c>
      <c r="P271" s="18"/>
      <c r="Q271" s="18"/>
      <c r="R271" s="18"/>
      <c r="S271" s="18"/>
      <c r="T271" s="18"/>
      <c r="U271" s="18"/>
      <c r="V271" s="18"/>
      <c r="W271" s="18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60" t="s">
        <v>21</v>
      </c>
      <c r="B272" s="60" t="s">
        <v>22</v>
      </c>
      <c r="C272" s="60" t="s">
        <v>23</v>
      </c>
      <c r="D272" s="60" t="s">
        <v>24</v>
      </c>
      <c r="E272" s="60" t="s">
        <v>28</v>
      </c>
      <c r="F272" s="60" t="s">
        <v>25</v>
      </c>
      <c r="G272" s="60" t="s">
        <v>25</v>
      </c>
      <c r="H272" s="60" t="s">
        <v>25</v>
      </c>
      <c r="I272" s="67">
        <v>44621</v>
      </c>
      <c r="J272" s="68">
        <f>EFEITO!$J$272*EFEITO!$Y$236</f>
        <v>0</v>
      </c>
      <c r="K272" s="68">
        <f ca="1">EFEITO!$L$272*EFEITO!$Z$306</f>
        <v>4451.5161239500721</v>
      </c>
      <c r="L272" s="68">
        <f>EFEITO!$N$272*EFEITO!$AA$306</f>
        <v>3938.9009369025566</v>
      </c>
      <c r="M272" s="68">
        <f>$J$272-EFEITO!$K$272*EFEITO!$Y$272</f>
        <v>0</v>
      </c>
      <c r="N272" s="68">
        <f ca="1">$K$272-EFEITO!$M$272*EFEITO!$Z$272</f>
        <v>2893.4854805675468</v>
      </c>
      <c r="O272" s="68">
        <f>$L$272-EFEITO!$O$272*EFEITO!$AA$272</f>
        <v>2560.2856089866618</v>
      </c>
      <c r="P272" s="18"/>
      <c r="Q272" s="18"/>
      <c r="R272" s="18"/>
      <c r="S272" s="18"/>
      <c r="T272" s="18"/>
      <c r="U272" s="18"/>
      <c r="V272" s="18"/>
      <c r="W272" s="18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60" t="s">
        <v>21</v>
      </c>
      <c r="B273" s="60" t="s">
        <v>22</v>
      </c>
      <c r="C273" s="60" t="s">
        <v>23</v>
      </c>
      <c r="D273" s="60" t="s">
        <v>24</v>
      </c>
      <c r="E273" s="60" t="s">
        <v>28</v>
      </c>
      <c r="F273" s="60" t="s">
        <v>25</v>
      </c>
      <c r="G273" s="60" t="s">
        <v>25</v>
      </c>
      <c r="H273" s="60" t="s">
        <v>25</v>
      </c>
      <c r="I273" s="67">
        <v>44652</v>
      </c>
      <c r="J273" s="68">
        <f>EFEITO!$J$273*EFEITO!$Y$236</f>
        <v>0</v>
      </c>
      <c r="K273" s="68">
        <f ca="1">EFEITO!$L$273*EFEITO!$Z$306</f>
        <v>4883.5523508845681</v>
      </c>
      <c r="L273" s="68">
        <f>EFEITO!$N$273*EFEITO!$AA$306</f>
        <v>4321.1859498428394</v>
      </c>
      <c r="M273" s="68">
        <f>$J$273-EFEITO!$K$273*EFEITO!$Y$273</f>
        <v>0</v>
      </c>
      <c r="N273" s="68">
        <f ca="1">$K$273-EFEITO!$M$273*EFEITO!$Z$273</f>
        <v>3174.3090280749693</v>
      </c>
      <c r="O273" s="68">
        <f>$L$273-EFEITO!$O$273*EFEITO!$AA$273</f>
        <v>2808.7708673978459</v>
      </c>
      <c r="P273" s="18"/>
      <c r="Q273" s="18"/>
      <c r="R273" s="18"/>
      <c r="S273" s="18"/>
      <c r="T273" s="18"/>
      <c r="U273" s="18"/>
      <c r="V273" s="18"/>
      <c r="W273" s="18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60" t="s">
        <v>21</v>
      </c>
      <c r="B274" s="60" t="s">
        <v>22</v>
      </c>
      <c r="C274" s="60" t="s">
        <v>23</v>
      </c>
      <c r="D274" s="60" t="s">
        <v>24</v>
      </c>
      <c r="E274" s="60" t="s">
        <v>28</v>
      </c>
      <c r="F274" s="60" t="s">
        <v>25</v>
      </c>
      <c r="G274" s="60" t="s">
        <v>25</v>
      </c>
      <c r="H274" s="60" t="s">
        <v>25</v>
      </c>
      <c r="I274" s="67">
        <v>44682</v>
      </c>
      <c r="J274" s="68">
        <f>EFEITO!$J$274*EFEITO!$Y$236</f>
        <v>0</v>
      </c>
      <c r="K274" s="68">
        <f ca="1">EFEITO!$L$274*EFEITO!$Z$306</f>
        <v>5077.9686530050913</v>
      </c>
      <c r="L274" s="68">
        <f>EFEITO!$N$274*EFEITO!$AA$306</f>
        <v>4493.2142056659668</v>
      </c>
      <c r="M274" s="68">
        <f>$J$274-EFEITO!$K$274*EFEITO!$Y$274</f>
        <v>0</v>
      </c>
      <c r="N274" s="68">
        <f ca="1">$K$274-EFEITO!$M$274*EFEITO!$Z$274</f>
        <v>3300.6796244533093</v>
      </c>
      <c r="O274" s="68">
        <f>$L$274-EFEITO!$O$274*EFEITO!$AA$274</f>
        <v>2920.5892336828783</v>
      </c>
      <c r="P274" s="18"/>
      <c r="Q274" s="18"/>
      <c r="R274" s="18"/>
      <c r="S274" s="18"/>
      <c r="T274" s="18"/>
      <c r="U274" s="18"/>
      <c r="V274" s="18"/>
      <c r="W274" s="18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60" t="s">
        <v>27</v>
      </c>
      <c r="B275" s="60" t="s">
        <v>22</v>
      </c>
      <c r="C275" s="60" t="s">
        <v>23</v>
      </c>
      <c r="D275" s="60" t="s">
        <v>24</v>
      </c>
      <c r="E275" s="60" t="s">
        <v>28</v>
      </c>
      <c r="F275" s="60" t="s">
        <v>25</v>
      </c>
      <c r="G275" s="60" t="s">
        <v>25</v>
      </c>
      <c r="H275" s="60" t="s">
        <v>25</v>
      </c>
      <c r="I275" s="67">
        <v>44682</v>
      </c>
      <c r="J275" s="68">
        <f>EFEITO!$J$275*EFEITO!$Y$236</f>
        <v>0</v>
      </c>
      <c r="K275" s="68">
        <f ca="1">EFEITO!$L$275*EFEITO!$Z$306</f>
        <v>7.7149326238302818</v>
      </c>
      <c r="L275" s="68">
        <f>EFEITO!$N$275*EFEITO!$AA$306</f>
        <v>6.826518088219335</v>
      </c>
      <c r="M275" s="68">
        <f>$J$275-EFEITO!$K$275*EFEITO!$Y$275</f>
        <v>0</v>
      </c>
      <c r="N275" s="68">
        <f ca="1">$K$275-EFEITO!$M$275*EFEITO!$Z$275</f>
        <v>8.5250005493324608</v>
      </c>
      <c r="O275" s="68">
        <f>$L$275-EFEITO!$O$275*EFEITO!$AA$275</f>
        <v>7.5433024874823653</v>
      </c>
      <c r="P275" s="18"/>
      <c r="Q275" s="18"/>
      <c r="R275" s="18"/>
      <c r="S275" s="18"/>
      <c r="T275" s="18"/>
      <c r="U275" s="18"/>
      <c r="V275" s="18"/>
      <c r="W275" s="18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60" t="s">
        <v>21</v>
      </c>
      <c r="B276" s="60" t="s">
        <v>22</v>
      </c>
      <c r="C276" s="60" t="s">
        <v>23</v>
      </c>
      <c r="D276" s="60" t="s">
        <v>24</v>
      </c>
      <c r="E276" s="60" t="s">
        <v>28</v>
      </c>
      <c r="F276" s="60" t="s">
        <v>25</v>
      </c>
      <c r="G276" s="60" t="s">
        <v>25</v>
      </c>
      <c r="H276" s="60" t="s">
        <v>25</v>
      </c>
      <c r="I276" s="67">
        <v>44713</v>
      </c>
      <c r="J276" s="68">
        <f>EFEITO!$J$276*EFEITO!$Y$236</f>
        <v>0</v>
      </c>
      <c r="K276" s="68">
        <f ca="1">EFEITO!$L$276*EFEITO!$Z$306</f>
        <v>5601.0410849007849</v>
      </c>
      <c r="L276" s="68">
        <f>EFEITO!$N$276*EFEITO!$AA$306</f>
        <v>4956.052132047238</v>
      </c>
      <c r="M276" s="68">
        <f>$J$276-EFEITO!$K$276*EFEITO!$Y$276</f>
        <v>0</v>
      </c>
      <c r="N276" s="68">
        <f ca="1">$K$276-EFEITO!$M$276*EFEITO!$Z$276</f>
        <v>3640.6767051855104</v>
      </c>
      <c r="O276" s="68">
        <f>$L$276-EFEITO!$O$276*EFEITO!$AA$276</f>
        <v>3221.4338858307046</v>
      </c>
      <c r="P276" s="18"/>
      <c r="Q276" s="18"/>
      <c r="R276" s="18"/>
      <c r="S276" s="18"/>
      <c r="T276" s="18"/>
      <c r="U276" s="18"/>
      <c r="V276" s="18"/>
      <c r="W276" s="18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60" t="s">
        <v>27</v>
      </c>
      <c r="B277" s="60" t="s">
        <v>22</v>
      </c>
      <c r="C277" s="60" t="s">
        <v>23</v>
      </c>
      <c r="D277" s="60" t="s">
        <v>24</v>
      </c>
      <c r="E277" s="60" t="s">
        <v>28</v>
      </c>
      <c r="F277" s="60" t="s">
        <v>25</v>
      </c>
      <c r="G277" s="60" t="s">
        <v>25</v>
      </c>
      <c r="H277" s="60" t="s">
        <v>25</v>
      </c>
      <c r="I277" s="67">
        <v>44713</v>
      </c>
      <c r="J277" s="68">
        <f>EFEITO!$J$277*EFEITO!$Y$236</f>
        <v>0</v>
      </c>
      <c r="K277" s="68">
        <f ca="1">EFEITO!$L$277*EFEITO!$Z$306</f>
        <v>15.429865247660564</v>
      </c>
      <c r="L277" s="68">
        <f>EFEITO!$N$277*EFEITO!$AA$306</f>
        <v>13.65303617643867</v>
      </c>
      <c r="M277" s="68">
        <f>$J$277-EFEITO!$K$277*EFEITO!$Y$277</f>
        <v>0</v>
      </c>
      <c r="N277" s="68">
        <f ca="1">$K$277-EFEITO!$M$277*EFEITO!$Z$277</f>
        <v>20.560295442507702</v>
      </c>
      <c r="O277" s="68">
        <f>$L$277-EFEITO!$O$277*EFEITO!$AA$277</f>
        <v>18.192670705104529</v>
      </c>
      <c r="P277" s="18"/>
      <c r="Q277" s="18"/>
      <c r="R277" s="18"/>
      <c r="S277" s="18"/>
      <c r="T277" s="18"/>
      <c r="U277" s="18"/>
      <c r="V277" s="18"/>
      <c r="W277" s="18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60" t="s">
        <v>21</v>
      </c>
      <c r="B278" s="60" t="s">
        <v>22</v>
      </c>
      <c r="C278" s="60" t="s">
        <v>23</v>
      </c>
      <c r="D278" s="60" t="s">
        <v>24</v>
      </c>
      <c r="E278" s="60" t="s">
        <v>29</v>
      </c>
      <c r="F278" s="60" t="s">
        <v>25</v>
      </c>
      <c r="G278" s="60" t="s">
        <v>25</v>
      </c>
      <c r="H278" s="60" t="s">
        <v>25</v>
      </c>
      <c r="I278" s="67">
        <v>44378</v>
      </c>
      <c r="J278" s="68">
        <f>EFEITO!$J$278*EFEITO!$Y$236</f>
        <v>0</v>
      </c>
      <c r="K278" s="68">
        <f ca="1">EFEITO!$L$278*EFEITO!$Z$306</f>
        <v>4652.3615365904543</v>
      </c>
      <c r="L278" s="68">
        <f>EFEITO!$N$278*EFEITO!$AA$306</f>
        <v>4116.6179577992007</v>
      </c>
      <c r="M278" s="68">
        <f>$J$278-EFEITO!$K$278*EFEITO!$Y$278</f>
        <v>0</v>
      </c>
      <c r="N278" s="68">
        <f ca="1">$K$278-EFEITO!$M$278*EFEITO!$Z$278</f>
        <v>1860.9446146361815</v>
      </c>
      <c r="O278" s="68">
        <f>$L$278-EFEITO!$O$278*EFEITO!$AA$278</f>
        <v>1646.6471831196809</v>
      </c>
      <c r="P278" s="18"/>
      <c r="Q278" s="18"/>
      <c r="R278" s="18"/>
      <c r="S278" s="18"/>
      <c r="T278" s="18"/>
      <c r="U278" s="18"/>
      <c r="V278" s="18"/>
      <c r="W278" s="18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60" t="s">
        <v>21</v>
      </c>
      <c r="B279" s="60" t="s">
        <v>22</v>
      </c>
      <c r="C279" s="60" t="s">
        <v>23</v>
      </c>
      <c r="D279" s="60" t="s">
        <v>24</v>
      </c>
      <c r="E279" s="60" t="s">
        <v>29</v>
      </c>
      <c r="F279" s="60" t="s">
        <v>25</v>
      </c>
      <c r="G279" s="60" t="s">
        <v>25</v>
      </c>
      <c r="H279" s="60" t="s">
        <v>25</v>
      </c>
      <c r="I279" s="67">
        <v>44409</v>
      </c>
      <c r="J279" s="68">
        <f>EFEITO!$J$279*EFEITO!$Y$236</f>
        <v>0</v>
      </c>
      <c r="K279" s="68">
        <f ca="1">EFEITO!$L$279*EFEITO!$Z$306</f>
        <v>4809.4889976957984</v>
      </c>
      <c r="L279" s="68">
        <f>EFEITO!$N$279*EFEITO!$AA$306</f>
        <v>4255.6513761959341</v>
      </c>
      <c r="M279" s="68">
        <f>$J$279-EFEITO!$K$279*EFEITO!$Y$279</f>
        <v>0</v>
      </c>
      <c r="N279" s="68">
        <f ca="1">$K$279-EFEITO!$M$279*EFEITO!$Z$279</f>
        <v>1923.7955990783194</v>
      </c>
      <c r="O279" s="68">
        <f>$L$279-EFEITO!$O$279*EFEITO!$AA$279</f>
        <v>1702.2605504783737</v>
      </c>
      <c r="P279" s="18"/>
      <c r="Q279" s="18"/>
      <c r="R279" s="18"/>
      <c r="S279" s="18"/>
      <c r="T279" s="18"/>
      <c r="U279" s="18"/>
      <c r="V279" s="18"/>
      <c r="W279" s="18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60" t="s">
        <v>21</v>
      </c>
      <c r="B280" s="60" t="s">
        <v>22</v>
      </c>
      <c r="C280" s="60" t="s">
        <v>23</v>
      </c>
      <c r="D280" s="60" t="s">
        <v>24</v>
      </c>
      <c r="E280" s="60" t="s">
        <v>29</v>
      </c>
      <c r="F280" s="60" t="s">
        <v>25</v>
      </c>
      <c r="G280" s="60" t="s">
        <v>25</v>
      </c>
      <c r="H280" s="60" t="s">
        <v>25</v>
      </c>
      <c r="I280" s="67">
        <v>44440</v>
      </c>
      <c r="J280" s="68">
        <f>EFEITO!$J$280*EFEITO!$Y$236</f>
        <v>0</v>
      </c>
      <c r="K280" s="68">
        <f ca="1">EFEITO!$L$280*EFEITO!$Z$306</f>
        <v>4871.7227875280287</v>
      </c>
      <c r="L280" s="68">
        <f>EFEITO!$N$280*EFEITO!$AA$306</f>
        <v>4310.7186221075699</v>
      </c>
      <c r="M280" s="68">
        <f>$J$280-EFEITO!$K$280*EFEITO!$Y$280</f>
        <v>0</v>
      </c>
      <c r="N280" s="68">
        <f ca="1">$K$280-EFEITO!$M$280*EFEITO!$Z$280</f>
        <v>1948.6891150112115</v>
      </c>
      <c r="O280" s="68">
        <f>$L$280-EFEITO!$O$280*EFEITO!$AA$280</f>
        <v>1724.2874488430284</v>
      </c>
      <c r="P280" s="18"/>
      <c r="Q280" s="18"/>
      <c r="R280" s="18"/>
      <c r="S280" s="18"/>
      <c r="T280" s="18"/>
      <c r="U280" s="18"/>
      <c r="V280" s="18"/>
      <c r="W280" s="18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60" t="s">
        <v>21</v>
      </c>
      <c r="B281" s="60" t="s">
        <v>22</v>
      </c>
      <c r="C281" s="60" t="s">
        <v>23</v>
      </c>
      <c r="D281" s="60" t="s">
        <v>24</v>
      </c>
      <c r="E281" s="60" t="s">
        <v>29</v>
      </c>
      <c r="F281" s="60" t="s">
        <v>25</v>
      </c>
      <c r="G281" s="60" t="s">
        <v>25</v>
      </c>
      <c r="H281" s="60" t="s">
        <v>25</v>
      </c>
      <c r="I281" s="67">
        <v>44470</v>
      </c>
      <c r="J281" s="68">
        <f>EFEITO!$J$281*EFEITO!$Y$236</f>
        <v>0</v>
      </c>
      <c r="K281" s="68">
        <f ca="1">EFEITO!$L$281*EFEITO!$Z$306</f>
        <v>4836.2340974584095</v>
      </c>
      <c r="L281" s="68">
        <f>EFEITO!$N$281*EFEITO!$AA$306</f>
        <v>4279.3166389017615</v>
      </c>
      <c r="M281" s="68">
        <f>$J$281-EFEITO!$K$281*EFEITO!$Y$281</f>
        <v>0</v>
      </c>
      <c r="N281" s="68">
        <f ca="1">$K$281-EFEITO!$M$281*EFEITO!$Z$281</f>
        <v>1934.4936389833638</v>
      </c>
      <c r="O281" s="68">
        <f>$L$281-EFEITO!$O$281*EFEITO!$AA$281</f>
        <v>1711.7266555607052</v>
      </c>
      <c r="P281" s="18"/>
      <c r="Q281" s="18"/>
      <c r="R281" s="18"/>
      <c r="S281" s="18"/>
      <c r="T281" s="18"/>
      <c r="U281" s="18"/>
      <c r="V281" s="18"/>
      <c r="W281" s="18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60" t="s">
        <v>21</v>
      </c>
      <c r="B282" s="60" t="s">
        <v>22</v>
      </c>
      <c r="C282" s="60" t="s">
        <v>23</v>
      </c>
      <c r="D282" s="60" t="s">
        <v>24</v>
      </c>
      <c r="E282" s="60" t="s">
        <v>29</v>
      </c>
      <c r="F282" s="60" t="s">
        <v>25</v>
      </c>
      <c r="G282" s="60" t="s">
        <v>25</v>
      </c>
      <c r="H282" s="60" t="s">
        <v>25</v>
      </c>
      <c r="I282" s="67">
        <v>44501</v>
      </c>
      <c r="J282" s="68">
        <f>EFEITO!$J$282*EFEITO!$Y$236</f>
        <v>0</v>
      </c>
      <c r="K282" s="68">
        <f ca="1">EFEITO!$L$282*EFEITO!$Z$306</f>
        <v>4923.1556716868972</v>
      </c>
      <c r="L282" s="68">
        <f>EFEITO!$N$282*EFEITO!$AA$306</f>
        <v>4356.2287426956982</v>
      </c>
      <c r="M282" s="68">
        <f>$J$282-EFEITO!$K$282*EFEITO!$Y$282</f>
        <v>0</v>
      </c>
      <c r="N282" s="68">
        <f ca="1">$K$282-EFEITO!$M$282*EFEITO!$Z$282</f>
        <v>1969.2622686747591</v>
      </c>
      <c r="O282" s="68">
        <f>$L$282-EFEITO!$O$282*EFEITO!$AA$282</f>
        <v>1742.4914970782793</v>
      </c>
      <c r="P282" s="18"/>
      <c r="Q282" s="18"/>
      <c r="R282" s="18"/>
      <c r="S282" s="18"/>
      <c r="T282" s="18"/>
      <c r="U282" s="18"/>
      <c r="V282" s="18"/>
      <c r="W282" s="18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60" t="s">
        <v>21</v>
      </c>
      <c r="B283" s="60" t="s">
        <v>22</v>
      </c>
      <c r="C283" s="60" t="s">
        <v>23</v>
      </c>
      <c r="D283" s="60" t="s">
        <v>24</v>
      </c>
      <c r="E283" s="60" t="s">
        <v>29</v>
      </c>
      <c r="F283" s="60" t="s">
        <v>25</v>
      </c>
      <c r="G283" s="60" t="s">
        <v>25</v>
      </c>
      <c r="H283" s="60" t="s">
        <v>25</v>
      </c>
      <c r="I283" s="67">
        <v>44531</v>
      </c>
      <c r="J283" s="68">
        <f>EFEITO!$J$283*EFEITO!$Y$236</f>
        <v>0</v>
      </c>
      <c r="K283" s="68">
        <f ca="1">EFEITO!$L$283*EFEITO!$Z$306</f>
        <v>6839.544935446339</v>
      </c>
      <c r="L283" s="68">
        <f>EFEITO!$N$283*EFEITO!$AA$306</f>
        <v>6051.9358358093814</v>
      </c>
      <c r="M283" s="68">
        <f>$J$283-EFEITO!$K$283*EFEITO!$Y$283</f>
        <v>0</v>
      </c>
      <c r="N283" s="68">
        <f ca="1">$K$283-EFEITO!$M$283*EFEITO!$Z$283</f>
        <v>2735.8179741785352</v>
      </c>
      <c r="O283" s="68">
        <f>$L$283-EFEITO!$O$283*EFEITO!$AA$283</f>
        <v>2420.7743343237526</v>
      </c>
      <c r="P283" s="18"/>
      <c r="Q283" s="18"/>
      <c r="R283" s="18"/>
      <c r="S283" s="18"/>
      <c r="T283" s="18"/>
      <c r="U283" s="18"/>
      <c r="V283" s="18"/>
      <c r="W283" s="18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60" t="s">
        <v>21</v>
      </c>
      <c r="B284" s="60" t="s">
        <v>22</v>
      </c>
      <c r="C284" s="60" t="s">
        <v>23</v>
      </c>
      <c r="D284" s="60" t="s">
        <v>24</v>
      </c>
      <c r="E284" s="60" t="s">
        <v>29</v>
      </c>
      <c r="F284" s="60" t="s">
        <v>25</v>
      </c>
      <c r="G284" s="60" t="s">
        <v>25</v>
      </c>
      <c r="H284" s="60" t="s">
        <v>25</v>
      </c>
      <c r="I284" s="67">
        <v>44562</v>
      </c>
      <c r="J284" s="68">
        <f>EFEITO!$J$284*EFEITO!$Y$236</f>
        <v>0</v>
      </c>
      <c r="K284" s="68">
        <f ca="1">EFEITO!$L$284*EFEITO!$Z$306</f>
        <v>8211.5171203841583</v>
      </c>
      <c r="L284" s="68">
        <f>EFEITO!$N$284*EFEITO!$AA$306</f>
        <v>7265.9183024977201</v>
      </c>
      <c r="M284" s="68">
        <f>$J$284-EFEITO!$K$284*EFEITO!$Y$284</f>
        <v>0</v>
      </c>
      <c r="N284" s="68">
        <f ca="1">$K$284-EFEITO!$M$284*EFEITO!$Z$284</f>
        <v>3284.6068481536631</v>
      </c>
      <c r="O284" s="68">
        <f>$L$284-EFEITO!$O$284*EFEITO!$AA$284</f>
        <v>2906.3673209990884</v>
      </c>
      <c r="P284" s="18"/>
      <c r="Q284" s="18"/>
      <c r="R284" s="18"/>
      <c r="S284" s="18"/>
      <c r="T284" s="18"/>
      <c r="U284" s="18"/>
      <c r="V284" s="18"/>
      <c r="W284" s="18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60" t="s">
        <v>21</v>
      </c>
      <c r="B285" s="60" t="s">
        <v>22</v>
      </c>
      <c r="C285" s="60" t="s">
        <v>23</v>
      </c>
      <c r="D285" s="60" t="s">
        <v>24</v>
      </c>
      <c r="E285" s="60" t="s">
        <v>29</v>
      </c>
      <c r="F285" s="60" t="s">
        <v>25</v>
      </c>
      <c r="G285" s="60" t="s">
        <v>25</v>
      </c>
      <c r="H285" s="60" t="s">
        <v>25</v>
      </c>
      <c r="I285" s="67">
        <v>44593</v>
      </c>
      <c r="J285" s="68">
        <f>EFEITO!$J$285*EFEITO!$Y$236</f>
        <v>0</v>
      </c>
      <c r="K285" s="68">
        <f ca="1">EFEITO!$L$285*EFEITO!$Z$306</f>
        <v>9116.4787171594508</v>
      </c>
      <c r="L285" s="68">
        <f>EFEITO!$N$285*EFEITO!$AA$306</f>
        <v>8066.6688742458491</v>
      </c>
      <c r="M285" s="68">
        <f>$J$285-EFEITO!$K$285*EFEITO!$Y$285</f>
        <v>0</v>
      </c>
      <c r="N285" s="68">
        <f ca="1">$K$285-EFEITO!$M$285*EFEITO!$Z$285</f>
        <v>3646.5914868637801</v>
      </c>
      <c r="O285" s="68">
        <f>$L$285-EFEITO!$O$285*EFEITO!$AA$285</f>
        <v>3226.6675496983407</v>
      </c>
      <c r="P285" s="18"/>
      <c r="Q285" s="18"/>
      <c r="R285" s="18"/>
      <c r="S285" s="18"/>
      <c r="T285" s="18"/>
      <c r="U285" s="18"/>
      <c r="V285" s="18"/>
      <c r="W285" s="18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60" t="s">
        <v>21</v>
      </c>
      <c r="B286" s="60" t="s">
        <v>22</v>
      </c>
      <c r="C286" s="60" t="s">
        <v>23</v>
      </c>
      <c r="D286" s="60" t="s">
        <v>24</v>
      </c>
      <c r="E286" s="60" t="s">
        <v>29</v>
      </c>
      <c r="F286" s="60" t="s">
        <v>25</v>
      </c>
      <c r="G286" s="60" t="s">
        <v>25</v>
      </c>
      <c r="H286" s="60" t="s">
        <v>25</v>
      </c>
      <c r="I286" s="67">
        <v>44621</v>
      </c>
      <c r="J286" s="68">
        <f>EFEITO!$J$286*EFEITO!$Y$236</f>
        <v>0</v>
      </c>
      <c r="K286" s="68">
        <f ca="1">EFEITO!$L$286*EFEITO!$Z$306</f>
        <v>9498.1107176182541</v>
      </c>
      <c r="L286" s="68">
        <f>EFEITO!$N$286*EFEITO!$AA$306</f>
        <v>8404.3539690097641</v>
      </c>
      <c r="M286" s="68">
        <f>$J$286-EFEITO!$K$286*EFEITO!$Y$286</f>
        <v>0</v>
      </c>
      <c r="N286" s="68">
        <f ca="1">$K$286-EFEITO!$M$286*EFEITO!$Z$286</f>
        <v>3799.2442870473014</v>
      </c>
      <c r="O286" s="68">
        <f>$L$286-EFEITO!$O$286*EFEITO!$AA$286</f>
        <v>3361.7415876039058</v>
      </c>
      <c r="P286" s="18"/>
      <c r="Q286" s="18"/>
      <c r="R286" s="18"/>
      <c r="S286" s="18"/>
      <c r="T286" s="18"/>
      <c r="U286" s="18"/>
      <c r="V286" s="18"/>
      <c r="W286" s="18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60" t="s">
        <v>21</v>
      </c>
      <c r="B287" s="60" t="s">
        <v>22</v>
      </c>
      <c r="C287" s="60" t="s">
        <v>23</v>
      </c>
      <c r="D287" s="60" t="s">
        <v>24</v>
      </c>
      <c r="E287" s="60" t="s">
        <v>29</v>
      </c>
      <c r="F287" s="60" t="s">
        <v>25</v>
      </c>
      <c r="G287" s="60" t="s">
        <v>25</v>
      </c>
      <c r="H287" s="60" t="s">
        <v>25</v>
      </c>
      <c r="I287" s="67">
        <v>44652</v>
      </c>
      <c r="J287" s="68">
        <f>EFEITO!$J$287*EFEITO!$Y$236</f>
        <v>0</v>
      </c>
      <c r="K287" s="68">
        <f ca="1">EFEITO!$L$287*EFEITO!$Z$306</f>
        <v>10226.143192887039</v>
      </c>
      <c r="L287" s="68">
        <f>EFEITO!$N$287*EFEITO!$AA$306</f>
        <v>9048.5497259347303</v>
      </c>
      <c r="M287" s="68">
        <f>$J$287-EFEITO!$K$287*EFEITO!$Y$287</f>
        <v>0</v>
      </c>
      <c r="N287" s="68">
        <f ca="1">$K$287-EFEITO!$M$287*EFEITO!$Z$287</f>
        <v>4090.4572771548155</v>
      </c>
      <c r="O287" s="68">
        <f>$L$287-EFEITO!$O$287*EFEITO!$AA$287</f>
        <v>3619.4198903738934</v>
      </c>
      <c r="P287" s="18"/>
      <c r="Q287" s="18"/>
      <c r="R287" s="18"/>
      <c r="S287" s="18"/>
      <c r="T287" s="18"/>
      <c r="U287" s="18"/>
      <c r="V287" s="18"/>
      <c r="W287" s="18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60" t="s">
        <v>21</v>
      </c>
      <c r="B288" s="60" t="s">
        <v>22</v>
      </c>
      <c r="C288" s="60" t="s">
        <v>23</v>
      </c>
      <c r="D288" s="60" t="s">
        <v>24</v>
      </c>
      <c r="E288" s="60" t="s">
        <v>29</v>
      </c>
      <c r="F288" s="60" t="s">
        <v>25</v>
      </c>
      <c r="G288" s="60" t="s">
        <v>25</v>
      </c>
      <c r="H288" s="60" t="s">
        <v>25</v>
      </c>
      <c r="I288" s="67">
        <v>44682</v>
      </c>
      <c r="J288" s="68">
        <f>EFEITO!$J$288*EFEITO!$Y$236</f>
        <v>0</v>
      </c>
      <c r="K288" s="68">
        <f ca="1">EFEITO!$L$288*EFEITO!$Z$306</f>
        <v>10475.849845478344</v>
      </c>
      <c r="L288" s="68">
        <f>EFEITO!$N$288*EFEITO!$AA$306</f>
        <v>9269.5013613900956</v>
      </c>
      <c r="M288" s="68">
        <f>$J$288-EFEITO!$K$288*EFEITO!$Y$288</f>
        <v>0</v>
      </c>
      <c r="N288" s="68">
        <f ca="1">$K$288-EFEITO!$M$288*EFEITO!$Z$288</f>
        <v>4190.3399381913368</v>
      </c>
      <c r="O288" s="68">
        <f>$L$288-EFEITO!$O$288*EFEITO!$AA$288</f>
        <v>3707.8005445560393</v>
      </c>
      <c r="P288" s="18"/>
      <c r="Q288" s="18"/>
      <c r="R288" s="18"/>
      <c r="S288" s="18"/>
      <c r="T288" s="18"/>
      <c r="U288" s="18"/>
      <c r="V288" s="18"/>
      <c r="W288" s="18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60" t="s">
        <v>27</v>
      </c>
      <c r="B289" s="60" t="s">
        <v>22</v>
      </c>
      <c r="C289" s="60" t="s">
        <v>23</v>
      </c>
      <c r="D289" s="60" t="s">
        <v>24</v>
      </c>
      <c r="E289" s="60" t="s">
        <v>29</v>
      </c>
      <c r="F289" s="60" t="s">
        <v>25</v>
      </c>
      <c r="G289" s="60" t="s">
        <v>25</v>
      </c>
      <c r="H289" s="60" t="s">
        <v>25</v>
      </c>
      <c r="I289" s="67">
        <v>44682</v>
      </c>
      <c r="J289" s="68">
        <f>EFEITO!$J$289*EFEITO!$Y$236</f>
        <v>0</v>
      </c>
      <c r="K289" s="68">
        <f ca="1">EFEITO!$L$289*EFEITO!$Z$306</f>
        <v>18.001509455603994</v>
      </c>
      <c r="L289" s="68">
        <f>EFEITO!$N$289*EFEITO!$AA$306</f>
        <v>15.928542205845119</v>
      </c>
      <c r="M289" s="68">
        <f>$J$289-EFEITO!$K$289*EFEITO!$Y$289</f>
        <v>0</v>
      </c>
      <c r="N289" s="68">
        <f ca="1">$K$289-EFEITO!$M$289*EFEITO!$Z$289</f>
        <v>15.841328320931515</v>
      </c>
      <c r="O289" s="68">
        <f>$L$289-EFEITO!$O$289*EFEITO!$AA$289</f>
        <v>14.017117141143705</v>
      </c>
      <c r="P289" s="18"/>
      <c r="Q289" s="18"/>
      <c r="R289" s="18"/>
      <c r="S289" s="18"/>
      <c r="T289" s="18"/>
      <c r="U289" s="18"/>
      <c r="V289" s="18"/>
      <c r="W289" s="18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60" t="s">
        <v>21</v>
      </c>
      <c r="B290" s="60" t="s">
        <v>22</v>
      </c>
      <c r="C290" s="60" t="s">
        <v>23</v>
      </c>
      <c r="D290" s="60" t="s">
        <v>24</v>
      </c>
      <c r="E290" s="60" t="s">
        <v>29</v>
      </c>
      <c r="F290" s="60" t="s">
        <v>25</v>
      </c>
      <c r="G290" s="60" t="s">
        <v>25</v>
      </c>
      <c r="H290" s="60" t="s">
        <v>25</v>
      </c>
      <c r="I290" s="67">
        <v>44713</v>
      </c>
      <c r="J290" s="68">
        <f>EFEITO!$J$290*EFEITO!$Y$236</f>
        <v>0</v>
      </c>
      <c r="K290" s="68">
        <f ca="1">EFEITO!$L$290*EFEITO!$Z$306</f>
        <v>11656.491701345172</v>
      </c>
      <c r="L290" s="68">
        <f>EFEITO!$N$290*EFEITO!$AA$306</f>
        <v>10314.186179490594</v>
      </c>
      <c r="M290" s="68">
        <f>$J$290-EFEITO!$K$290*EFEITO!$Y$290</f>
        <v>0</v>
      </c>
      <c r="N290" s="68">
        <f ca="1">$K$290-EFEITO!$M$290*EFEITO!$Z$290</f>
        <v>4662.5966805380685</v>
      </c>
      <c r="O290" s="68">
        <f>$L$290-EFEITO!$O$290*EFEITO!$AA$290</f>
        <v>4125.6744717962392</v>
      </c>
      <c r="P290" s="18"/>
      <c r="Q290" s="18"/>
      <c r="R290" s="18"/>
      <c r="S290" s="18"/>
      <c r="T290" s="18"/>
      <c r="U290" s="18"/>
      <c r="V290" s="18"/>
      <c r="W290" s="18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60" t="s">
        <v>27</v>
      </c>
      <c r="B291" s="60" t="s">
        <v>22</v>
      </c>
      <c r="C291" s="60" t="s">
        <v>23</v>
      </c>
      <c r="D291" s="60" t="s">
        <v>24</v>
      </c>
      <c r="E291" s="60" t="s">
        <v>29</v>
      </c>
      <c r="F291" s="60" t="s">
        <v>25</v>
      </c>
      <c r="G291" s="60" t="s">
        <v>25</v>
      </c>
      <c r="H291" s="60" t="s">
        <v>25</v>
      </c>
      <c r="I291" s="67">
        <v>44713</v>
      </c>
      <c r="J291" s="68">
        <f>EFEITO!$J$291*EFEITO!$Y$236</f>
        <v>0</v>
      </c>
      <c r="K291" s="68">
        <f ca="1">EFEITO!$L$291*EFEITO!$Z$306</f>
        <v>18.001509455603994</v>
      </c>
      <c r="L291" s="68">
        <f>EFEITO!$N$291*EFEITO!$AA$306</f>
        <v>15.928542205845119</v>
      </c>
      <c r="M291" s="68">
        <f>$J$291-EFEITO!$K$291*EFEITO!$Y$291</f>
        <v>0</v>
      </c>
      <c r="N291" s="68">
        <f ca="1">$K$291-EFEITO!$M$291*EFEITO!$Z$291</f>
        <v>20.161690590276471</v>
      </c>
      <c r="O291" s="68">
        <f>$L$291-EFEITO!$O$291*EFEITO!$AA$291</f>
        <v>17.839967270546534</v>
      </c>
      <c r="P291" s="18"/>
      <c r="Q291" s="18"/>
      <c r="R291" s="18"/>
      <c r="S291" s="18"/>
      <c r="T291" s="18"/>
      <c r="U291" s="18"/>
      <c r="V291" s="18"/>
      <c r="W291" s="18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60" t="s">
        <v>21</v>
      </c>
      <c r="B292" s="60" t="s">
        <v>22</v>
      </c>
      <c r="C292" s="60" t="s">
        <v>23</v>
      </c>
      <c r="D292" s="60" t="s">
        <v>24</v>
      </c>
      <c r="E292" s="60" t="s">
        <v>30</v>
      </c>
      <c r="F292" s="60" t="s">
        <v>25</v>
      </c>
      <c r="G292" s="60" t="s">
        <v>25</v>
      </c>
      <c r="H292" s="60" t="s">
        <v>25</v>
      </c>
      <c r="I292" s="67">
        <v>44378</v>
      </c>
      <c r="J292" s="68">
        <f>EFEITO!$J$292*EFEITO!$Y$236</f>
        <v>0</v>
      </c>
      <c r="K292" s="68">
        <f ca="1">EFEITO!$L$292*EFEITO!$Z$306</f>
        <v>4707.9090514820318</v>
      </c>
      <c r="L292" s="68">
        <f>EFEITO!$N$292*EFEITO!$AA$306</f>
        <v>4165.7688880343794</v>
      </c>
      <c r="M292" s="68">
        <f>$J$292-EFEITO!$K$292*EFEITO!$Y$292</f>
        <v>0</v>
      </c>
      <c r="N292" s="68">
        <f ca="1">$K$292-EFEITO!$M$292*EFEITO!$Z$292</f>
        <v>470.79090514820291</v>
      </c>
      <c r="O292" s="68">
        <f>$L$292-EFEITO!$O$292*EFEITO!$AA$292</f>
        <v>416.57688880343812</v>
      </c>
      <c r="P292" s="18"/>
      <c r="Q292" s="18"/>
      <c r="R292" s="18"/>
      <c r="S292" s="18"/>
      <c r="T292" s="18"/>
      <c r="U292" s="18"/>
      <c r="V292" s="18"/>
      <c r="W292" s="18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60" t="s">
        <v>21</v>
      </c>
      <c r="B293" s="60" t="s">
        <v>22</v>
      </c>
      <c r="C293" s="60" t="s">
        <v>23</v>
      </c>
      <c r="D293" s="60" t="s">
        <v>24</v>
      </c>
      <c r="E293" s="60" t="s">
        <v>30</v>
      </c>
      <c r="F293" s="60" t="s">
        <v>25</v>
      </c>
      <c r="G293" s="60" t="s">
        <v>25</v>
      </c>
      <c r="H293" s="60" t="s">
        <v>25</v>
      </c>
      <c r="I293" s="67">
        <v>44409</v>
      </c>
      <c r="J293" s="68">
        <f>EFEITO!$J$293*EFEITO!$Y$236</f>
        <v>0</v>
      </c>
      <c r="K293" s="68">
        <f ca="1">EFEITO!$L$293*EFEITO!$Z$306</f>
        <v>4886.6383239341003</v>
      </c>
      <c r="L293" s="68">
        <f>EFEITO!$N$293*EFEITO!$AA$306</f>
        <v>4323.916557078127</v>
      </c>
      <c r="M293" s="68">
        <f>$J$293-EFEITO!$K$293*EFEITO!$Y$293</f>
        <v>0</v>
      </c>
      <c r="N293" s="68">
        <f ca="1">$K$293-EFEITO!$M$293*EFEITO!$Z$293</f>
        <v>488.6638323934103</v>
      </c>
      <c r="O293" s="68">
        <f>$L$293-EFEITO!$O$293*EFEITO!$AA$293</f>
        <v>432.39165570781233</v>
      </c>
      <c r="P293" s="18"/>
      <c r="Q293" s="18"/>
      <c r="R293" s="18"/>
      <c r="S293" s="18"/>
      <c r="T293" s="18"/>
      <c r="U293" s="18"/>
      <c r="V293" s="18"/>
      <c r="W293" s="18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60" t="s">
        <v>21</v>
      </c>
      <c r="B294" s="60" t="s">
        <v>22</v>
      </c>
      <c r="C294" s="60" t="s">
        <v>23</v>
      </c>
      <c r="D294" s="60" t="s">
        <v>24</v>
      </c>
      <c r="E294" s="60" t="s">
        <v>30</v>
      </c>
      <c r="F294" s="60" t="s">
        <v>25</v>
      </c>
      <c r="G294" s="60" t="s">
        <v>25</v>
      </c>
      <c r="H294" s="60" t="s">
        <v>25</v>
      </c>
      <c r="I294" s="67">
        <v>44440</v>
      </c>
      <c r="J294" s="68">
        <f>EFEITO!$J$294*EFEITO!$Y$236</f>
        <v>0</v>
      </c>
      <c r="K294" s="68">
        <f ca="1">EFEITO!$L$294*EFEITO!$Z$306</f>
        <v>4839.062906087147</v>
      </c>
      <c r="L294" s="68">
        <f>EFEITO!$N$294*EFEITO!$AA$306</f>
        <v>4281.8196955341082</v>
      </c>
      <c r="M294" s="68">
        <f>$J$294-EFEITO!$K$294*EFEITO!$Y$294</f>
        <v>0</v>
      </c>
      <c r="N294" s="68">
        <f ca="1">$K$294-EFEITO!$M$294*EFEITO!$Z$294</f>
        <v>483.9062906087147</v>
      </c>
      <c r="O294" s="68">
        <f>$L$294-EFEITO!$O$294*EFEITO!$AA$294</f>
        <v>428.18196955341045</v>
      </c>
      <c r="P294" s="18"/>
      <c r="Q294" s="18"/>
      <c r="R294" s="18"/>
      <c r="S294" s="18"/>
      <c r="T294" s="18"/>
      <c r="U294" s="18"/>
      <c r="V294" s="18"/>
      <c r="W294" s="18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60" t="s">
        <v>21</v>
      </c>
      <c r="B295" s="60" t="s">
        <v>22</v>
      </c>
      <c r="C295" s="60" t="s">
        <v>23</v>
      </c>
      <c r="D295" s="60" t="s">
        <v>24</v>
      </c>
      <c r="E295" s="60" t="s">
        <v>30</v>
      </c>
      <c r="F295" s="60" t="s">
        <v>25</v>
      </c>
      <c r="G295" s="60" t="s">
        <v>25</v>
      </c>
      <c r="H295" s="60" t="s">
        <v>25</v>
      </c>
      <c r="I295" s="67">
        <v>44470</v>
      </c>
      <c r="J295" s="68">
        <f>EFEITO!$J$295*EFEITO!$Y$236</f>
        <v>0</v>
      </c>
      <c r="K295" s="68">
        <f ca="1">EFEITO!$L$295*EFEITO!$Z$306</f>
        <v>4538.6948625993555</v>
      </c>
      <c r="L295" s="68">
        <f>EFEITO!$N$295*EFEITO!$AA$306</f>
        <v>4016.0405912994356</v>
      </c>
      <c r="M295" s="68">
        <f>$J$295-EFEITO!$K$295*EFEITO!$Y$295</f>
        <v>0</v>
      </c>
      <c r="N295" s="68">
        <f ca="1">$K$295-EFEITO!$M$295*EFEITO!$Z$295</f>
        <v>453.86948625993591</v>
      </c>
      <c r="O295" s="68">
        <f>$L$295-EFEITO!$O$295*EFEITO!$AA$295</f>
        <v>401.60405912994338</v>
      </c>
      <c r="P295" s="18"/>
      <c r="Q295" s="18"/>
      <c r="R295" s="18"/>
      <c r="S295" s="18"/>
      <c r="T295" s="18"/>
      <c r="U295" s="18"/>
      <c r="V295" s="18"/>
      <c r="W295" s="18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60" t="s">
        <v>21</v>
      </c>
      <c r="B296" s="60" t="s">
        <v>22</v>
      </c>
      <c r="C296" s="60" t="s">
        <v>23</v>
      </c>
      <c r="D296" s="60" t="s">
        <v>24</v>
      </c>
      <c r="E296" s="60" t="s">
        <v>30</v>
      </c>
      <c r="F296" s="60" t="s">
        <v>25</v>
      </c>
      <c r="G296" s="60" t="s">
        <v>25</v>
      </c>
      <c r="H296" s="60" t="s">
        <v>25</v>
      </c>
      <c r="I296" s="67">
        <v>44501</v>
      </c>
      <c r="J296" s="68">
        <f>EFEITO!$J$296*EFEITO!$Y$236</f>
        <v>0</v>
      </c>
      <c r="K296" s="68">
        <f ca="1">EFEITO!$L$296*EFEITO!$Z$306</f>
        <v>4947.5862916623601</v>
      </c>
      <c r="L296" s="68">
        <f>EFEITO!$N$296*EFEITO!$AA$306</f>
        <v>4377.8460499750599</v>
      </c>
      <c r="M296" s="68">
        <f>$J$296-EFEITO!$K$296*EFEITO!$Y$296</f>
        <v>0</v>
      </c>
      <c r="N296" s="68">
        <f ca="1">$K$296-EFEITO!$M$296*EFEITO!$Z$296</f>
        <v>494.75862916623646</v>
      </c>
      <c r="O296" s="68">
        <f>$L$296-EFEITO!$O$296*EFEITO!$AA$296</f>
        <v>437.78460499750554</v>
      </c>
      <c r="P296" s="18"/>
      <c r="Q296" s="18"/>
      <c r="R296" s="18"/>
      <c r="S296" s="18"/>
      <c r="T296" s="18"/>
      <c r="U296" s="18"/>
      <c r="V296" s="18"/>
      <c r="W296" s="18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60" t="s">
        <v>21</v>
      </c>
      <c r="B297" s="60" t="s">
        <v>22</v>
      </c>
      <c r="C297" s="60" t="s">
        <v>23</v>
      </c>
      <c r="D297" s="60" t="s">
        <v>24</v>
      </c>
      <c r="E297" s="60" t="s">
        <v>30</v>
      </c>
      <c r="F297" s="60" t="s">
        <v>25</v>
      </c>
      <c r="G297" s="60" t="s">
        <v>25</v>
      </c>
      <c r="H297" s="60" t="s">
        <v>25</v>
      </c>
      <c r="I297" s="67">
        <v>44531</v>
      </c>
      <c r="J297" s="68">
        <f>EFEITO!$J$297*EFEITO!$Y$236</f>
        <v>0</v>
      </c>
      <c r="K297" s="68">
        <f ca="1">EFEITO!$L$297*EFEITO!$Z$306</f>
        <v>6815.114315470877</v>
      </c>
      <c r="L297" s="68">
        <f>EFEITO!$N$297*EFEITO!$AA$306</f>
        <v>6030.3185285300206</v>
      </c>
      <c r="M297" s="68">
        <f>$J$297-EFEITO!$K$297*EFEITO!$Y$297</f>
        <v>0</v>
      </c>
      <c r="N297" s="68">
        <f ca="1">$K$297-EFEITO!$M$297*EFEITO!$Z$297</f>
        <v>681.51143154708734</v>
      </c>
      <c r="O297" s="68">
        <f>$L$297-EFEITO!$O$297*EFEITO!$AA$297</f>
        <v>603.03185285300151</v>
      </c>
      <c r="P297" s="18"/>
      <c r="Q297" s="18"/>
      <c r="R297" s="18"/>
      <c r="S297" s="18"/>
      <c r="T297" s="18"/>
      <c r="U297" s="18"/>
      <c r="V297" s="18"/>
      <c r="W297" s="18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60" t="s">
        <v>21</v>
      </c>
      <c r="B298" s="60" t="s">
        <v>22</v>
      </c>
      <c r="C298" s="60" t="s">
        <v>23</v>
      </c>
      <c r="D298" s="60" t="s">
        <v>24</v>
      </c>
      <c r="E298" s="60" t="s">
        <v>30</v>
      </c>
      <c r="F298" s="60" t="s">
        <v>25</v>
      </c>
      <c r="G298" s="60" t="s">
        <v>25</v>
      </c>
      <c r="H298" s="60" t="s">
        <v>25</v>
      </c>
      <c r="I298" s="67">
        <v>44562</v>
      </c>
      <c r="J298" s="68">
        <f>EFEITO!$J$298*EFEITO!$Y$236</f>
        <v>0</v>
      </c>
      <c r="K298" s="68">
        <f ca="1">EFEITO!$L$298*EFEITO!$Z$306</f>
        <v>8348.0714278259547</v>
      </c>
      <c r="L298" s="68">
        <f>EFEITO!$N$298*EFEITO!$AA$306</f>
        <v>7386.7476726592031</v>
      </c>
      <c r="M298" s="68">
        <f>$J$298-EFEITO!$K$298*EFEITO!$Y$298</f>
        <v>0</v>
      </c>
      <c r="N298" s="68">
        <f ca="1">$K$298-EFEITO!$M$298*EFEITO!$Z$298</f>
        <v>834.80714278259529</v>
      </c>
      <c r="O298" s="68">
        <f>$L$298-EFEITO!$O$298*EFEITO!$AA$298</f>
        <v>738.6747672659194</v>
      </c>
      <c r="P298" s="18"/>
      <c r="Q298" s="18"/>
      <c r="R298" s="18"/>
      <c r="S298" s="18"/>
      <c r="T298" s="18"/>
      <c r="U298" s="18"/>
      <c r="V298" s="18"/>
      <c r="W298" s="18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60" t="s">
        <v>21</v>
      </c>
      <c r="B299" s="60" t="s">
        <v>22</v>
      </c>
      <c r="C299" s="60" t="s">
        <v>23</v>
      </c>
      <c r="D299" s="60" t="s">
        <v>24</v>
      </c>
      <c r="E299" s="60" t="s">
        <v>30</v>
      </c>
      <c r="F299" s="60" t="s">
        <v>25</v>
      </c>
      <c r="G299" s="60" t="s">
        <v>25</v>
      </c>
      <c r="H299" s="60" t="s">
        <v>25</v>
      </c>
      <c r="I299" s="67">
        <v>44593</v>
      </c>
      <c r="J299" s="68">
        <f>EFEITO!$J$299*EFEITO!$Y$236</f>
        <v>0</v>
      </c>
      <c r="K299" s="68">
        <f ca="1">EFEITO!$L$299*EFEITO!$Z$306</f>
        <v>9214.4583614820949</v>
      </c>
      <c r="L299" s="68">
        <f>EFEITO!$N$299*EFEITO!$AA$306</f>
        <v>8153.3656539662343</v>
      </c>
      <c r="M299" s="68">
        <f>$J$299-EFEITO!$K$299*EFEITO!$Y$299</f>
        <v>0</v>
      </c>
      <c r="N299" s="68">
        <f ca="1">$K$299-EFEITO!$M$299*EFEITO!$Z$299</f>
        <v>921.4458361482084</v>
      </c>
      <c r="O299" s="68">
        <f>$L$299-EFEITO!$O$299*EFEITO!$AA$299</f>
        <v>815.33656539662206</v>
      </c>
      <c r="P299" s="18"/>
      <c r="Q299" s="18"/>
      <c r="R299" s="18"/>
      <c r="S299" s="18"/>
      <c r="T299" s="18"/>
      <c r="U299" s="18"/>
      <c r="V299" s="18"/>
      <c r="W299" s="18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60" t="s">
        <v>21</v>
      </c>
      <c r="B300" s="60" t="s">
        <v>22</v>
      </c>
      <c r="C300" s="60" t="s">
        <v>23</v>
      </c>
      <c r="D300" s="60" t="s">
        <v>24</v>
      </c>
      <c r="E300" s="60" t="s">
        <v>30</v>
      </c>
      <c r="F300" s="60" t="s">
        <v>25</v>
      </c>
      <c r="G300" s="60" t="s">
        <v>25</v>
      </c>
      <c r="H300" s="60" t="s">
        <v>25</v>
      </c>
      <c r="I300" s="67">
        <v>44621</v>
      </c>
      <c r="J300" s="68">
        <f>EFEITO!$J$300*EFEITO!$Y$236</f>
        <v>0</v>
      </c>
      <c r="K300" s="68">
        <f ca="1">EFEITO!$L$300*EFEITO!$Z$306</f>
        <v>8917.9477843062159</v>
      </c>
      <c r="L300" s="68">
        <f>EFEITO!$N$300*EFEITO!$AA$306</f>
        <v>7890.9998087756703</v>
      </c>
      <c r="M300" s="68">
        <f>$J$300-EFEITO!$K$300*EFEITO!$Y$300</f>
        <v>0</v>
      </c>
      <c r="N300" s="68">
        <f ca="1">$K$300-EFEITO!$M$300*EFEITO!$Z$300</f>
        <v>891.79477843062068</v>
      </c>
      <c r="O300" s="68">
        <f>$L$300-EFEITO!$O$300*EFEITO!$AA$300</f>
        <v>789.09998087756685</v>
      </c>
      <c r="P300" s="18"/>
      <c r="Q300" s="18"/>
      <c r="R300" s="18"/>
      <c r="S300" s="18"/>
      <c r="T300" s="18"/>
      <c r="U300" s="18"/>
      <c r="V300" s="18"/>
      <c r="W300" s="18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60" t="s">
        <v>21</v>
      </c>
      <c r="B301" s="60" t="s">
        <v>22</v>
      </c>
      <c r="C301" s="60" t="s">
        <v>23</v>
      </c>
      <c r="D301" s="60" t="s">
        <v>24</v>
      </c>
      <c r="E301" s="60" t="s">
        <v>30</v>
      </c>
      <c r="F301" s="60" t="s">
        <v>25</v>
      </c>
      <c r="G301" s="60" t="s">
        <v>25</v>
      </c>
      <c r="H301" s="60" t="s">
        <v>25</v>
      </c>
      <c r="I301" s="67">
        <v>44652</v>
      </c>
      <c r="J301" s="68">
        <f>EFEITO!$J$301*EFEITO!$Y$236</f>
        <v>0</v>
      </c>
      <c r="K301" s="68">
        <f ca="1">EFEITO!$L$301*EFEITO!$Z$306</f>
        <v>8854.4281723700133</v>
      </c>
      <c r="L301" s="68">
        <f>EFEITO!$N$301*EFEITO!$AA$306</f>
        <v>7834.7948098493307</v>
      </c>
      <c r="M301" s="68">
        <f>$J$301-EFEITO!$K$301*EFEITO!$Y$301</f>
        <v>0</v>
      </c>
      <c r="N301" s="68">
        <f ca="1">$K$301-EFEITO!$M$301*EFEITO!$Z$301</f>
        <v>885.44281723700078</v>
      </c>
      <c r="O301" s="68">
        <f>$L$301-EFEITO!$O$301*EFEITO!$AA$301</f>
        <v>783.4794809849318</v>
      </c>
      <c r="P301" s="18"/>
      <c r="Q301" s="18"/>
      <c r="R301" s="18"/>
      <c r="S301" s="18"/>
      <c r="T301" s="18"/>
      <c r="U301" s="18"/>
      <c r="V301" s="18"/>
      <c r="W301" s="18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60" t="s">
        <v>21</v>
      </c>
      <c r="B302" s="60" t="s">
        <v>22</v>
      </c>
      <c r="C302" s="60" t="s">
        <v>23</v>
      </c>
      <c r="D302" s="60" t="s">
        <v>24</v>
      </c>
      <c r="E302" s="60" t="s">
        <v>30</v>
      </c>
      <c r="F302" s="60" t="s">
        <v>25</v>
      </c>
      <c r="G302" s="60" t="s">
        <v>25</v>
      </c>
      <c r="H302" s="60" t="s">
        <v>25</v>
      </c>
      <c r="I302" s="67">
        <v>44682</v>
      </c>
      <c r="J302" s="68">
        <f>EFEITO!$J$302*EFEITO!$Y$236</f>
        <v>0</v>
      </c>
      <c r="K302" s="68">
        <f ca="1">EFEITO!$L$302*EFEITO!$Z$306</f>
        <v>9615.8920223420646</v>
      </c>
      <c r="L302" s="68">
        <f>EFEITO!$N$302*EFEITO!$AA$306</f>
        <v>8508.5721451565805</v>
      </c>
      <c r="M302" s="68">
        <f>$J$302-EFEITO!$K$302*EFEITO!$Y$302</f>
        <v>0</v>
      </c>
      <c r="N302" s="68">
        <f ca="1">$K$302-EFEITO!$M$302*EFEITO!$Z$302</f>
        <v>961.58920223420682</v>
      </c>
      <c r="O302" s="68">
        <f>$L$302-EFEITO!$O$302*EFEITO!$AA$302</f>
        <v>850.85721451565769</v>
      </c>
      <c r="P302" s="18"/>
      <c r="Q302" s="18"/>
      <c r="R302" s="18"/>
      <c r="S302" s="18"/>
      <c r="T302" s="18"/>
      <c r="U302" s="18"/>
      <c r="V302" s="18"/>
      <c r="W302" s="18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60" t="s">
        <v>27</v>
      </c>
      <c r="B303" s="60" t="s">
        <v>22</v>
      </c>
      <c r="C303" s="60" t="s">
        <v>23</v>
      </c>
      <c r="D303" s="60" t="s">
        <v>24</v>
      </c>
      <c r="E303" s="60" t="s">
        <v>30</v>
      </c>
      <c r="F303" s="60" t="s">
        <v>25</v>
      </c>
      <c r="G303" s="60" t="s">
        <v>25</v>
      </c>
      <c r="H303" s="60" t="s">
        <v>25</v>
      </c>
      <c r="I303" s="67">
        <v>44682</v>
      </c>
      <c r="J303" s="68">
        <f>EFEITO!$J$303*EFEITO!$Y$236</f>
        <v>0</v>
      </c>
      <c r="K303" s="68">
        <f ca="1">EFEITO!$L$303*EFEITO!$Z$306</f>
        <v>30.859730495321127</v>
      </c>
      <c r="L303" s="68">
        <f>EFEITO!$N$303*EFEITO!$AA$306</f>
        <v>27.30607235287734</v>
      </c>
      <c r="M303" s="68">
        <f>$J$303-EFEITO!$K$303*EFEITO!$Y$303</f>
        <v>0</v>
      </c>
      <c r="N303" s="68">
        <f ca="1">$K$303-EFEITO!$M$303*EFEITO!$Z$303</f>
        <v>8.6407245386899163</v>
      </c>
      <c r="O303" s="68">
        <f>$L$303-EFEITO!$O$303*EFEITO!$AA$303</f>
        <v>7.6457002588056504</v>
      </c>
      <c r="P303" s="18"/>
      <c r="Q303" s="18"/>
      <c r="R303" s="18"/>
      <c r="S303" s="18"/>
      <c r="T303" s="18"/>
      <c r="U303" s="18"/>
      <c r="V303" s="18"/>
      <c r="W303" s="18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60" t="s">
        <v>21</v>
      </c>
      <c r="B304" s="60" t="s">
        <v>22</v>
      </c>
      <c r="C304" s="60" t="s">
        <v>23</v>
      </c>
      <c r="D304" s="60" t="s">
        <v>24</v>
      </c>
      <c r="E304" s="60" t="s">
        <v>30</v>
      </c>
      <c r="F304" s="60" t="s">
        <v>25</v>
      </c>
      <c r="G304" s="60" t="s">
        <v>25</v>
      </c>
      <c r="H304" s="60" t="s">
        <v>25</v>
      </c>
      <c r="I304" s="67">
        <v>44713</v>
      </c>
      <c r="J304" s="68">
        <f>EFEITO!$J$304*EFEITO!$Y$236</f>
        <v>0</v>
      </c>
      <c r="K304" s="68">
        <f ca="1">EFEITO!$L$304*EFEITO!$Z$306</f>
        <v>11337.607819560189</v>
      </c>
      <c r="L304" s="68">
        <f>EFEITO!$N$304*EFEITO!$AA$306</f>
        <v>10032.023431844196</v>
      </c>
      <c r="M304" s="68">
        <f>$J$304-EFEITO!$K$304*EFEITO!$Y$304</f>
        <v>0</v>
      </c>
      <c r="N304" s="68">
        <f ca="1">$K$304-EFEITO!$M$304*EFEITO!$Z$304</f>
        <v>1133.7607819560199</v>
      </c>
      <c r="O304" s="68">
        <f>$L$304-EFEITO!$O$304*EFEITO!$AA$304</f>
        <v>1003.2023431844191</v>
      </c>
      <c r="P304" s="18"/>
      <c r="Q304" s="18"/>
      <c r="R304" s="18"/>
      <c r="S304" s="18"/>
      <c r="T304" s="18"/>
      <c r="U304" s="18"/>
      <c r="V304" s="18"/>
      <c r="W304" s="18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60" t="s">
        <v>27</v>
      </c>
      <c r="B305" s="60" t="s">
        <v>22</v>
      </c>
      <c r="C305" s="60" t="s">
        <v>23</v>
      </c>
      <c r="D305" s="60" t="s">
        <v>24</v>
      </c>
      <c r="E305" s="60" t="s">
        <v>30</v>
      </c>
      <c r="F305" s="60" t="s">
        <v>25</v>
      </c>
      <c r="G305" s="60" t="s">
        <v>25</v>
      </c>
      <c r="H305" s="60" t="s">
        <v>25</v>
      </c>
      <c r="I305" s="67">
        <v>44713</v>
      </c>
      <c r="J305" s="68">
        <f>EFEITO!$J$305*EFEITO!$Y$236</f>
        <v>0</v>
      </c>
      <c r="K305" s="68">
        <f ca="1">EFEITO!$L$305*EFEITO!$Z$306</f>
        <v>30.859730495321127</v>
      </c>
      <c r="L305" s="68">
        <f>EFEITO!$N$305*EFEITO!$AA$306</f>
        <v>27.30607235287734</v>
      </c>
      <c r="M305" s="68">
        <f>$J$305-EFEITO!$K$305*EFEITO!$Y$305</f>
        <v>0</v>
      </c>
      <c r="N305" s="68">
        <f ca="1">$K$305-EFEITO!$M$305*EFEITO!$Z$305</f>
        <v>11.418100283268814</v>
      </c>
      <c r="O305" s="68">
        <f>$L$305-EFEITO!$O$305*EFEITO!$AA$305</f>
        <v>10.103246770564613</v>
      </c>
      <c r="P305" s="18"/>
      <c r="Q305" s="18"/>
      <c r="R305" s="18"/>
      <c r="S305" s="18"/>
      <c r="T305" s="18"/>
      <c r="U305" s="18"/>
      <c r="V305" s="18"/>
      <c r="W305" s="18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60" t="s">
        <v>21</v>
      </c>
      <c r="B306" s="60" t="s">
        <v>22</v>
      </c>
      <c r="C306" s="60" t="s">
        <v>23</v>
      </c>
      <c r="D306" s="60" t="s">
        <v>24</v>
      </c>
      <c r="E306" s="60" t="s">
        <v>31</v>
      </c>
      <c r="F306" s="60" t="s">
        <v>25</v>
      </c>
      <c r="G306" s="60" t="s">
        <v>25</v>
      </c>
      <c r="H306" s="60" t="s">
        <v>25</v>
      </c>
      <c r="I306" s="67">
        <v>44378</v>
      </c>
      <c r="J306" s="68">
        <f>EFEITO!$J$306*EFEITO!$Y$236</f>
        <v>0</v>
      </c>
      <c r="K306" s="68">
        <f ca="1">EFEITO!$L$306*EFEITO!$Z$306</f>
        <v>1745.8892527727928</v>
      </c>
      <c r="L306" s="68">
        <f>EFEITO!$N$306*EFEITO!$AA$306</f>
        <v>1544.8410433640356</v>
      </c>
      <c r="M306" s="68">
        <f>$J$306-EFEITO!$K$306*EFEITO!$Y$306</f>
        <v>0</v>
      </c>
      <c r="N306" s="68">
        <f ca="1">$K$306-EFEITO!$M$306*EFEITO!$Z$306</f>
        <v>0</v>
      </c>
      <c r="O306" s="68">
        <f>$L$306-EFEITO!$O$306*EFEITO!$AA$306</f>
        <v>0</v>
      </c>
      <c r="P306" s="18"/>
      <c r="Q306" s="18"/>
      <c r="R306" s="18"/>
      <c r="S306" s="18"/>
      <c r="T306" s="18"/>
      <c r="U306" s="18"/>
      <c r="V306" s="18"/>
      <c r="W306" s="18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60" t="s">
        <v>21</v>
      </c>
      <c r="B307" s="60" t="s">
        <v>22</v>
      </c>
      <c r="C307" s="60" t="s">
        <v>23</v>
      </c>
      <c r="D307" s="60" t="s">
        <v>24</v>
      </c>
      <c r="E307" s="60" t="s">
        <v>31</v>
      </c>
      <c r="F307" s="60" t="s">
        <v>25</v>
      </c>
      <c r="G307" s="60" t="s">
        <v>25</v>
      </c>
      <c r="H307" s="60" t="s">
        <v>25</v>
      </c>
      <c r="I307" s="67">
        <v>44409</v>
      </c>
      <c r="J307" s="68">
        <f>EFEITO!$J$307*EFEITO!$Y$236</f>
        <v>0</v>
      </c>
      <c r="K307" s="68">
        <f ca="1">EFEITO!$L$307*EFEITO!$Z$306</f>
        <v>1524.2135220480693</v>
      </c>
      <c r="L307" s="68">
        <f>EFEITO!$N$307*EFEITO!$AA$306</f>
        <v>1348.6924236292</v>
      </c>
      <c r="M307" s="68">
        <f>$J$307-EFEITO!$K$307*EFEITO!$Y$307</f>
        <v>0</v>
      </c>
      <c r="N307" s="68">
        <f ca="1">$K$307-EFEITO!$M$307*EFEITO!$Z$307</f>
        <v>0</v>
      </c>
      <c r="O307" s="68">
        <f>$L$307-EFEITO!$O$307*EFEITO!$AA$307</f>
        <v>0</v>
      </c>
      <c r="P307" s="18"/>
      <c r="Q307" s="18"/>
      <c r="R307" s="18"/>
      <c r="S307" s="18"/>
      <c r="T307" s="18"/>
      <c r="U307" s="18"/>
      <c r="V307" s="18"/>
      <c r="W307" s="18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60" t="s">
        <v>21</v>
      </c>
      <c r="B308" s="60" t="s">
        <v>22</v>
      </c>
      <c r="C308" s="60" t="s">
        <v>23</v>
      </c>
      <c r="D308" s="60" t="s">
        <v>24</v>
      </c>
      <c r="E308" s="60" t="s">
        <v>31</v>
      </c>
      <c r="F308" s="60" t="s">
        <v>25</v>
      </c>
      <c r="G308" s="60" t="s">
        <v>25</v>
      </c>
      <c r="H308" s="60" t="s">
        <v>25</v>
      </c>
      <c r="I308" s="67">
        <v>44440</v>
      </c>
      <c r="J308" s="68">
        <f>EFEITO!$J$308*EFEITO!$Y$236</f>
        <v>0</v>
      </c>
      <c r="K308" s="68">
        <f ca="1">EFEITO!$L$308*EFEITO!$Z$306</f>
        <v>1245.7044543277964</v>
      </c>
      <c r="L308" s="68">
        <f>EFEITO!$N$308*EFEITO!$AA$306</f>
        <v>1102.2551206444821</v>
      </c>
      <c r="M308" s="68">
        <f>$J$308-EFEITO!$K$308*EFEITO!$Y$308</f>
        <v>0</v>
      </c>
      <c r="N308" s="68">
        <f ca="1">$K$308-EFEITO!$M$308*EFEITO!$Z$308</f>
        <v>0</v>
      </c>
      <c r="O308" s="68">
        <f>$L$308-EFEITO!$O$308*EFEITO!$AA$308</f>
        <v>0</v>
      </c>
      <c r="P308" s="18"/>
      <c r="Q308" s="18"/>
      <c r="R308" s="18"/>
      <c r="S308" s="18"/>
      <c r="T308" s="18"/>
      <c r="U308" s="18"/>
      <c r="V308" s="18"/>
      <c r="W308" s="18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60" t="s">
        <v>21</v>
      </c>
      <c r="B309" s="60" t="s">
        <v>22</v>
      </c>
      <c r="C309" s="60" t="s">
        <v>23</v>
      </c>
      <c r="D309" s="60" t="s">
        <v>24</v>
      </c>
      <c r="E309" s="60" t="s">
        <v>31</v>
      </c>
      <c r="F309" s="60" t="s">
        <v>25</v>
      </c>
      <c r="G309" s="60" t="s">
        <v>25</v>
      </c>
      <c r="H309" s="60" t="s">
        <v>25</v>
      </c>
      <c r="I309" s="67">
        <v>44470</v>
      </c>
      <c r="J309" s="68">
        <f>EFEITO!$J$309*EFEITO!$Y$236</f>
        <v>0</v>
      </c>
      <c r="K309" s="68">
        <f ca="1">EFEITO!$L$309*EFEITO!$Z$306</f>
        <v>1052.8311387320393</v>
      </c>
      <c r="L309" s="68">
        <f>EFEITO!$N$309*EFEITO!$AA$306</f>
        <v>931.59216843899878</v>
      </c>
      <c r="M309" s="68">
        <f>$J$309-EFEITO!$K$309*EFEITO!$Y$309</f>
        <v>0</v>
      </c>
      <c r="N309" s="68">
        <f ca="1">$K$309-EFEITO!$M$309*EFEITO!$Z$309</f>
        <v>0</v>
      </c>
      <c r="O309" s="68">
        <f>$L$309-EFEITO!$O$309*EFEITO!$AA$309</f>
        <v>0</v>
      </c>
      <c r="P309" s="18"/>
      <c r="Q309" s="18"/>
      <c r="R309" s="18"/>
      <c r="S309" s="18"/>
      <c r="T309" s="18"/>
      <c r="U309" s="18"/>
      <c r="V309" s="18"/>
      <c r="W309" s="18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60" t="s">
        <v>21</v>
      </c>
      <c r="B310" s="60" t="s">
        <v>22</v>
      </c>
      <c r="C310" s="60" t="s">
        <v>23</v>
      </c>
      <c r="D310" s="60" t="s">
        <v>24</v>
      </c>
      <c r="E310" s="60" t="s">
        <v>31</v>
      </c>
      <c r="F310" s="60" t="s">
        <v>25</v>
      </c>
      <c r="G310" s="60" t="s">
        <v>25</v>
      </c>
      <c r="H310" s="60" t="s">
        <v>25</v>
      </c>
      <c r="I310" s="67">
        <v>44501</v>
      </c>
      <c r="J310" s="68">
        <f>EFEITO!$J$310*EFEITO!$Y$236</f>
        <v>0</v>
      </c>
      <c r="K310" s="68">
        <f ca="1">EFEITO!$L$310*EFEITO!$Z$306</f>
        <v>1339.5694679177311</v>
      </c>
      <c r="L310" s="68">
        <f>EFEITO!$N$310*EFEITO!$AA$306</f>
        <v>1185.3110907178173</v>
      </c>
      <c r="M310" s="68">
        <f>$J$310-EFEITO!$K$310*EFEITO!$Y$310</f>
        <v>0</v>
      </c>
      <c r="N310" s="68">
        <f ca="1">$K$310-EFEITO!$M$310*EFEITO!$Z$310</f>
        <v>0</v>
      </c>
      <c r="O310" s="68">
        <f>$L$310-EFEITO!$O$310*EFEITO!$AA$310</f>
        <v>0</v>
      </c>
      <c r="P310" s="18"/>
      <c r="Q310" s="18"/>
      <c r="R310" s="18"/>
      <c r="S310" s="18"/>
      <c r="T310" s="18"/>
      <c r="U310" s="18"/>
      <c r="V310" s="18"/>
      <c r="W310" s="18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60" t="s">
        <v>21</v>
      </c>
      <c r="B311" s="60" t="s">
        <v>22</v>
      </c>
      <c r="C311" s="60" t="s">
        <v>23</v>
      </c>
      <c r="D311" s="60" t="s">
        <v>24</v>
      </c>
      <c r="E311" s="60" t="s">
        <v>31</v>
      </c>
      <c r="F311" s="60" t="s">
        <v>25</v>
      </c>
      <c r="G311" s="60" t="s">
        <v>25</v>
      </c>
      <c r="H311" s="60" t="s">
        <v>25</v>
      </c>
      <c r="I311" s="67">
        <v>44531</v>
      </c>
      <c r="J311" s="68">
        <f>EFEITO!$J$311*EFEITO!$Y$236</f>
        <v>0</v>
      </c>
      <c r="K311" s="68">
        <f ca="1">EFEITO!$L$311*EFEITO!$Z$306</f>
        <v>2223.4435821878874</v>
      </c>
      <c r="L311" s="68">
        <f>EFEITO!$N$311*EFEITO!$AA$306</f>
        <v>1967.4025130248128</v>
      </c>
      <c r="M311" s="68">
        <f>$J$311-EFEITO!$K$311*EFEITO!$Y$311</f>
        <v>0</v>
      </c>
      <c r="N311" s="68">
        <f ca="1">$K$311-EFEITO!$M$311*EFEITO!$Z$311</f>
        <v>0</v>
      </c>
      <c r="O311" s="68">
        <f>$L$311-EFEITO!$O$311*EFEITO!$AA$311</f>
        <v>0</v>
      </c>
      <c r="P311" s="18"/>
      <c r="Q311" s="18"/>
      <c r="R311" s="18"/>
      <c r="S311" s="18"/>
      <c r="T311" s="18"/>
      <c r="U311" s="18"/>
      <c r="V311" s="18"/>
      <c r="W311" s="18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60" t="s">
        <v>21</v>
      </c>
      <c r="B312" s="60" t="s">
        <v>22</v>
      </c>
      <c r="C312" s="60" t="s">
        <v>23</v>
      </c>
      <c r="D312" s="60" t="s">
        <v>24</v>
      </c>
      <c r="E312" s="60" t="s">
        <v>31</v>
      </c>
      <c r="F312" s="60" t="s">
        <v>25</v>
      </c>
      <c r="G312" s="60" t="s">
        <v>25</v>
      </c>
      <c r="H312" s="60" t="s">
        <v>25</v>
      </c>
      <c r="I312" s="67">
        <v>44562</v>
      </c>
      <c r="J312" s="68">
        <f>EFEITO!$J$312*EFEITO!$Y$236</f>
        <v>0</v>
      </c>
      <c r="K312" s="68">
        <f ca="1">EFEITO!$L$312*EFEITO!$Z$306</f>
        <v>3140.2347423197193</v>
      </c>
      <c r="L312" s="68">
        <f>EFEITO!$N$312*EFEITO!$AA$306</f>
        <v>2778.6204125082104</v>
      </c>
      <c r="M312" s="68">
        <f>$J$312-EFEITO!$K$312*EFEITO!$Y$312</f>
        <v>0</v>
      </c>
      <c r="N312" s="68">
        <f ca="1">$K$312-EFEITO!$M$312*EFEITO!$Z$312</f>
        <v>0</v>
      </c>
      <c r="O312" s="68">
        <f>$L$312-EFEITO!$O$312*EFEITO!$AA$312</f>
        <v>0</v>
      </c>
      <c r="P312" s="18"/>
      <c r="Q312" s="18"/>
      <c r="R312" s="18"/>
      <c r="S312" s="18"/>
      <c r="T312" s="18"/>
      <c r="U312" s="18"/>
      <c r="V312" s="18"/>
      <c r="W312" s="18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60" t="s">
        <v>21</v>
      </c>
      <c r="B313" s="60" t="s">
        <v>22</v>
      </c>
      <c r="C313" s="60" t="s">
        <v>23</v>
      </c>
      <c r="D313" s="60" t="s">
        <v>24</v>
      </c>
      <c r="E313" s="60" t="s">
        <v>31</v>
      </c>
      <c r="F313" s="60" t="s">
        <v>25</v>
      </c>
      <c r="G313" s="60" t="s">
        <v>25</v>
      </c>
      <c r="H313" s="60" t="s">
        <v>25</v>
      </c>
      <c r="I313" s="67">
        <v>44593</v>
      </c>
      <c r="J313" s="68">
        <f>EFEITO!$J$313*EFEITO!$Y$236</f>
        <v>0</v>
      </c>
      <c r="K313" s="68">
        <f ca="1">EFEITO!$L$313*EFEITO!$Z$306</f>
        <v>3373.4828719801881</v>
      </c>
      <c r="L313" s="68">
        <f>EFEITO!$N$313*EFEITO!$AA$306</f>
        <v>2985.0088093753748</v>
      </c>
      <c r="M313" s="68">
        <f>$J$313-EFEITO!$K$313*EFEITO!$Y$313</f>
        <v>0</v>
      </c>
      <c r="N313" s="68">
        <f ca="1">$K$313-EFEITO!$M$313*EFEITO!$Z$313</f>
        <v>0</v>
      </c>
      <c r="O313" s="68">
        <f>$L$313-EFEITO!$O$313*EFEITO!$AA$313</f>
        <v>0</v>
      </c>
      <c r="P313" s="18"/>
      <c r="Q313" s="18"/>
      <c r="R313" s="18"/>
      <c r="S313" s="18"/>
      <c r="T313" s="18"/>
      <c r="U313" s="18"/>
      <c r="V313" s="18"/>
      <c r="W313" s="18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60" t="s">
        <v>21</v>
      </c>
      <c r="B314" s="60" t="s">
        <v>22</v>
      </c>
      <c r="C314" s="60" t="s">
        <v>23</v>
      </c>
      <c r="D314" s="60" t="s">
        <v>24</v>
      </c>
      <c r="E314" s="60" t="s">
        <v>31</v>
      </c>
      <c r="F314" s="60" t="s">
        <v>25</v>
      </c>
      <c r="G314" s="60" t="s">
        <v>25</v>
      </c>
      <c r="H314" s="60" t="s">
        <v>25</v>
      </c>
      <c r="I314" s="67">
        <v>44621</v>
      </c>
      <c r="J314" s="68">
        <f>EFEITO!$J$314*EFEITO!$Y$236</f>
        <v>0</v>
      </c>
      <c r="K314" s="68">
        <f ca="1">EFEITO!$L$314*EFEITO!$Z$306</f>
        <v>2899.5288444562143</v>
      </c>
      <c r="L314" s="68">
        <f>EFEITO!$N$314*EFEITO!$AA$306</f>
        <v>2565.633048155767</v>
      </c>
      <c r="M314" s="68">
        <f>$J$314-EFEITO!$K$314*EFEITO!$Y$314</f>
        <v>0</v>
      </c>
      <c r="N314" s="68">
        <f ca="1">$K$314-EFEITO!$M$314*EFEITO!$Z$314</f>
        <v>0</v>
      </c>
      <c r="O314" s="68">
        <f>$L$314-EFEITO!$O$314*EFEITO!$AA$314</f>
        <v>0</v>
      </c>
      <c r="P314" s="18"/>
      <c r="Q314" s="18"/>
      <c r="R314" s="18"/>
      <c r="S314" s="18"/>
      <c r="T314" s="18"/>
      <c r="U314" s="18"/>
      <c r="V314" s="18"/>
      <c r="W314" s="18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60" t="s">
        <v>21</v>
      </c>
      <c r="B315" s="60" t="s">
        <v>22</v>
      </c>
      <c r="C315" s="60" t="s">
        <v>23</v>
      </c>
      <c r="D315" s="60" t="s">
        <v>24</v>
      </c>
      <c r="E315" s="60" t="s">
        <v>31</v>
      </c>
      <c r="F315" s="60" t="s">
        <v>25</v>
      </c>
      <c r="G315" s="60" t="s">
        <v>25</v>
      </c>
      <c r="H315" s="60" t="s">
        <v>25</v>
      </c>
      <c r="I315" s="67">
        <v>44652</v>
      </c>
      <c r="J315" s="68">
        <f>EFEITO!$J$315*EFEITO!$Y$236</f>
        <v>0</v>
      </c>
      <c r="K315" s="68">
        <f ca="1">EFEITO!$L$315*EFEITO!$Z$306</f>
        <v>2275.1336307675501</v>
      </c>
      <c r="L315" s="68">
        <f>EFEITO!$N$315*EFEITO!$AA$306</f>
        <v>2013.1401842158821</v>
      </c>
      <c r="M315" s="68">
        <f>$J$315-EFEITO!$K$315*EFEITO!$Y$315</f>
        <v>0</v>
      </c>
      <c r="N315" s="68">
        <f ca="1">$K$315-EFEITO!$M$315*EFEITO!$Z$315</f>
        <v>0</v>
      </c>
      <c r="O315" s="68">
        <f>$L$315-EFEITO!$O$315*EFEITO!$AA$315</f>
        <v>0</v>
      </c>
      <c r="P315" s="18"/>
      <c r="Q315" s="18"/>
      <c r="R315" s="18"/>
      <c r="S315" s="18"/>
      <c r="T315" s="18"/>
      <c r="U315" s="18"/>
      <c r="V315" s="18"/>
      <c r="W315" s="18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60" t="s">
        <v>21</v>
      </c>
      <c r="B316" s="60" t="s">
        <v>22</v>
      </c>
      <c r="C316" s="60" t="s">
        <v>23</v>
      </c>
      <c r="D316" s="60" t="s">
        <v>24</v>
      </c>
      <c r="E316" s="60" t="s">
        <v>31</v>
      </c>
      <c r="F316" s="60" t="s">
        <v>25</v>
      </c>
      <c r="G316" s="60" t="s">
        <v>25</v>
      </c>
      <c r="H316" s="60" t="s">
        <v>25</v>
      </c>
      <c r="I316" s="67">
        <v>44682</v>
      </c>
      <c r="J316" s="68">
        <f>EFEITO!$J$316*EFEITO!$Y$236</f>
        <v>0</v>
      </c>
      <c r="K316" s="68">
        <f ca="1">EFEITO!$L$316*EFEITO!$Z$306</f>
        <v>3123.0047261264981</v>
      </c>
      <c r="L316" s="68">
        <f>EFEITO!$N$316*EFEITO!$AA$306</f>
        <v>2763.3745221111872</v>
      </c>
      <c r="M316" s="68">
        <f>$J$316-EFEITO!$K$316*EFEITO!$Y$316</f>
        <v>0</v>
      </c>
      <c r="N316" s="68">
        <f ca="1">$K$316-EFEITO!$M$316*EFEITO!$Z$316</f>
        <v>0</v>
      </c>
      <c r="O316" s="68">
        <f>$L$316-EFEITO!$O$316*EFEITO!$AA$316</f>
        <v>0</v>
      </c>
      <c r="P316" s="18"/>
      <c r="Q316" s="18"/>
      <c r="R316" s="18"/>
      <c r="S316" s="18"/>
      <c r="T316" s="18"/>
      <c r="U316" s="18"/>
      <c r="V316" s="18"/>
      <c r="W316" s="18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60" t="s">
        <v>27</v>
      </c>
      <c r="B317" s="60" t="s">
        <v>22</v>
      </c>
      <c r="C317" s="60" t="s">
        <v>23</v>
      </c>
      <c r="D317" s="60" t="s">
        <v>24</v>
      </c>
      <c r="E317" s="60" t="s">
        <v>31</v>
      </c>
      <c r="F317" s="60" t="s">
        <v>25</v>
      </c>
      <c r="G317" s="60" t="s">
        <v>25</v>
      </c>
      <c r="H317" s="60" t="s">
        <v>25</v>
      </c>
      <c r="I317" s="67">
        <v>44682</v>
      </c>
      <c r="J317" s="68">
        <f>EFEITO!$J$317*EFEITO!$Y$236</f>
        <v>0</v>
      </c>
      <c r="K317" s="68">
        <f ca="1">EFEITO!$L$317*EFEITO!$Z$306</f>
        <v>15.687029668454906</v>
      </c>
      <c r="L317" s="68">
        <f>EFEITO!$N$317*EFEITO!$AA$306</f>
        <v>13.880586779379316</v>
      </c>
      <c r="M317" s="68">
        <f>$J$317-EFEITO!$K$317*EFEITO!$Y$317</f>
        <v>0</v>
      </c>
      <c r="N317" s="68">
        <f ca="1">$K$317-EFEITO!$M$317*EFEITO!$Z$317</f>
        <v>0</v>
      </c>
      <c r="O317" s="68">
        <f>$L$317-EFEITO!$O$317*EFEITO!$AA$317</f>
        <v>0</v>
      </c>
      <c r="P317" s="18"/>
      <c r="Q317" s="18"/>
      <c r="R317" s="18"/>
      <c r="S317" s="18"/>
      <c r="T317" s="18"/>
      <c r="U317" s="18"/>
      <c r="V317" s="18"/>
      <c r="W317" s="18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60" t="s">
        <v>21</v>
      </c>
      <c r="B318" s="60" t="s">
        <v>22</v>
      </c>
      <c r="C318" s="60" t="s">
        <v>23</v>
      </c>
      <c r="D318" s="60" t="s">
        <v>24</v>
      </c>
      <c r="E318" s="60" t="s">
        <v>31</v>
      </c>
      <c r="F318" s="60" t="s">
        <v>25</v>
      </c>
      <c r="G318" s="60" t="s">
        <v>25</v>
      </c>
      <c r="H318" s="60" t="s">
        <v>25</v>
      </c>
      <c r="I318" s="67">
        <v>44713</v>
      </c>
      <c r="J318" s="68">
        <f>EFEITO!$J$318*EFEITO!$Y$236</f>
        <v>0</v>
      </c>
      <c r="K318" s="68">
        <f ca="1">EFEITO!$L$318*EFEITO!$Z$306</f>
        <v>5255.9264321947767</v>
      </c>
      <c r="L318" s="68">
        <f>EFEITO!$N$318*EFEITO!$AA$306</f>
        <v>4650.6792229008925</v>
      </c>
      <c r="M318" s="68">
        <f>$J$318-EFEITO!$K$318*EFEITO!$Y$318</f>
        <v>0</v>
      </c>
      <c r="N318" s="68">
        <f ca="1">$K$318-EFEITO!$M$318*EFEITO!$Z$318</f>
        <v>0</v>
      </c>
      <c r="O318" s="68">
        <f>$L$318-EFEITO!$O$318*EFEITO!$AA$318</f>
        <v>0</v>
      </c>
      <c r="P318" s="18"/>
      <c r="Q318" s="18"/>
      <c r="R318" s="18"/>
      <c r="S318" s="18"/>
      <c r="T318" s="18"/>
      <c r="U318" s="18"/>
      <c r="V318" s="18"/>
      <c r="W318" s="18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60" t="s">
        <v>27</v>
      </c>
      <c r="B319" s="60" t="s">
        <v>22</v>
      </c>
      <c r="C319" s="60" t="s">
        <v>23</v>
      </c>
      <c r="D319" s="60" t="s">
        <v>24</v>
      </c>
      <c r="E319" s="60" t="s">
        <v>31</v>
      </c>
      <c r="F319" s="60" t="s">
        <v>25</v>
      </c>
      <c r="G319" s="60" t="s">
        <v>25</v>
      </c>
      <c r="H319" s="60" t="s">
        <v>25</v>
      </c>
      <c r="I319" s="67">
        <v>44713</v>
      </c>
      <c r="J319" s="68">
        <f>EFEITO!$J$319*EFEITO!$Y$236</f>
        <v>0</v>
      </c>
      <c r="K319" s="68">
        <f ca="1">EFEITO!$L$319*EFEITO!$Z$306</f>
        <v>16.458522930837937</v>
      </c>
      <c r="L319" s="68">
        <f>EFEITO!$N$319*EFEITO!$AA$306</f>
        <v>14.56323858820125</v>
      </c>
      <c r="M319" s="68">
        <f>$J$319-EFEITO!$K$319*EFEITO!$Y$319</f>
        <v>0</v>
      </c>
      <c r="N319" s="68">
        <f ca="1">$K$319-EFEITO!$M$319*EFEITO!$Z$319</f>
        <v>0</v>
      </c>
      <c r="O319" s="68">
        <f>$L$319-EFEITO!$O$319*EFEITO!$AA$319</f>
        <v>0</v>
      </c>
      <c r="P319" s="18"/>
      <c r="Q319" s="18"/>
      <c r="R319" s="18"/>
      <c r="S319" s="18"/>
      <c r="T319" s="18"/>
      <c r="U319" s="18"/>
      <c r="V319" s="18"/>
      <c r="W319" s="18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60" t="s">
        <v>21</v>
      </c>
      <c r="B320" s="60" t="s">
        <v>39</v>
      </c>
      <c r="C320" s="60" t="s">
        <v>23</v>
      </c>
      <c r="D320" s="60" t="s">
        <v>40</v>
      </c>
      <c r="E320" s="60" t="s">
        <v>25</v>
      </c>
      <c r="F320" s="60" t="s">
        <v>25</v>
      </c>
      <c r="G320" s="60" t="s">
        <v>25</v>
      </c>
      <c r="H320" s="60" t="s">
        <v>25</v>
      </c>
      <c r="I320" s="67">
        <v>44378</v>
      </c>
      <c r="J320" s="68">
        <f>EFEITO!$J$320*EFEITO!$Y$236</f>
        <v>0</v>
      </c>
      <c r="K320" s="68">
        <f ca="1">EFEITO!$L$320*EFEITO!$Z$236</f>
        <v>1490.6168066633663</v>
      </c>
      <c r="L320" s="68">
        <f>EFEITO!$N$320*EFEITO!$AA$236</f>
        <v>901.78303945377422</v>
      </c>
      <c r="M320" s="68">
        <f>$J$320-EFEITO!$K$320*EFEITO!$Y$320</f>
        <v>0</v>
      </c>
      <c r="N320" s="68">
        <f ca="1">$K$320-EFEITO!$M$320*EFEITO!$Z$320</f>
        <v>89.437008399801925</v>
      </c>
      <c r="O320" s="68">
        <f>$L$320-EFEITO!$O$320*EFEITO!$AA$320</f>
        <v>54.106982367226465</v>
      </c>
      <c r="P320" s="18"/>
      <c r="Q320" s="18"/>
      <c r="R320" s="18"/>
      <c r="S320" s="18"/>
      <c r="T320" s="18"/>
      <c r="U320" s="18"/>
      <c r="V320" s="18"/>
      <c r="W320" s="18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60" t="s">
        <v>21</v>
      </c>
      <c r="B321" s="60" t="s">
        <v>39</v>
      </c>
      <c r="C321" s="60" t="s">
        <v>23</v>
      </c>
      <c r="D321" s="60" t="s">
        <v>40</v>
      </c>
      <c r="E321" s="60" t="s">
        <v>25</v>
      </c>
      <c r="F321" s="60" t="s">
        <v>25</v>
      </c>
      <c r="G321" s="60" t="s">
        <v>25</v>
      </c>
      <c r="H321" s="60" t="s">
        <v>25</v>
      </c>
      <c r="I321" s="67">
        <v>44409</v>
      </c>
      <c r="J321" s="68">
        <f>EFEITO!$J$321*EFEITO!$Y$236</f>
        <v>0</v>
      </c>
      <c r="K321" s="68">
        <f ca="1">EFEITO!$L$321*EFEITO!$Z$236</f>
        <v>1560.2014923138136</v>
      </c>
      <c r="L321" s="68">
        <f>EFEITO!$N$321*EFEITO!$AA$236</f>
        <v>943.87990099779336</v>
      </c>
      <c r="M321" s="68">
        <f>$J$321-EFEITO!$K$321*EFEITO!$Y$321</f>
        <v>0</v>
      </c>
      <c r="N321" s="68">
        <f ca="1">$K$321-EFEITO!$M$321*EFEITO!$Z$321</f>
        <v>93.612089538828741</v>
      </c>
      <c r="O321" s="68">
        <f>$L$321-EFEITO!$O$321*EFEITO!$AA$321</f>
        <v>56.632794059867592</v>
      </c>
      <c r="P321" s="18"/>
      <c r="Q321" s="18"/>
      <c r="R321" s="18"/>
      <c r="S321" s="18"/>
      <c r="T321" s="18"/>
      <c r="U321" s="18"/>
      <c r="V321" s="18"/>
      <c r="W321" s="18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60" t="s">
        <v>21</v>
      </c>
      <c r="B322" s="60" t="s">
        <v>39</v>
      </c>
      <c r="C322" s="60" t="s">
        <v>23</v>
      </c>
      <c r="D322" s="60" t="s">
        <v>40</v>
      </c>
      <c r="E322" s="60" t="s">
        <v>25</v>
      </c>
      <c r="F322" s="60" t="s">
        <v>25</v>
      </c>
      <c r="G322" s="60" t="s">
        <v>25</v>
      </c>
      <c r="H322" s="60" t="s">
        <v>25</v>
      </c>
      <c r="I322" s="67">
        <v>44440</v>
      </c>
      <c r="J322" s="68">
        <f>EFEITO!$J$322*EFEITO!$Y$236</f>
        <v>0</v>
      </c>
      <c r="K322" s="68">
        <f ca="1">EFEITO!$L$322*EFEITO!$Z$236</f>
        <v>1562.0821594935553</v>
      </c>
      <c r="L322" s="68">
        <f>EFEITO!$N$322*EFEITO!$AA$236</f>
        <v>945.01765401249656</v>
      </c>
      <c r="M322" s="68">
        <f>$J$322-EFEITO!$K$322*EFEITO!$Y$322</f>
        <v>0</v>
      </c>
      <c r="N322" s="68">
        <f ca="1">$K$322-EFEITO!$M$322*EFEITO!$Z$322</f>
        <v>93.724929569613323</v>
      </c>
      <c r="O322" s="68">
        <f>$L$322-EFEITO!$O$322*EFEITO!$AA$322</f>
        <v>56.701059240749828</v>
      </c>
      <c r="P322" s="18"/>
      <c r="Q322" s="18"/>
      <c r="R322" s="18"/>
      <c r="S322" s="18"/>
      <c r="T322" s="18"/>
      <c r="U322" s="18"/>
      <c r="V322" s="18"/>
      <c r="W322" s="18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60" t="s">
        <v>21</v>
      </c>
      <c r="B323" s="60" t="s">
        <v>39</v>
      </c>
      <c r="C323" s="60" t="s">
        <v>23</v>
      </c>
      <c r="D323" s="60" t="s">
        <v>40</v>
      </c>
      <c r="E323" s="60" t="s">
        <v>25</v>
      </c>
      <c r="F323" s="60" t="s">
        <v>25</v>
      </c>
      <c r="G323" s="60" t="s">
        <v>25</v>
      </c>
      <c r="H323" s="60" t="s">
        <v>25</v>
      </c>
      <c r="I323" s="67">
        <v>44470</v>
      </c>
      <c r="J323" s="68">
        <f>EFEITO!$J$323*EFEITO!$Y$236</f>
        <v>0</v>
      </c>
      <c r="K323" s="68">
        <f ca="1">EFEITO!$L$323*EFEITO!$Z$236</f>
        <v>1534.2482852333765</v>
      </c>
      <c r="L323" s="68">
        <f>EFEITO!$N$323*EFEITO!$AA$236</f>
        <v>928.17890939488893</v>
      </c>
      <c r="M323" s="68">
        <f>$J$323-EFEITO!$K$323*EFEITO!$Y$323</f>
        <v>0</v>
      </c>
      <c r="N323" s="68">
        <f ca="1">$K$323-EFEITO!$M$323*EFEITO!$Z$323</f>
        <v>92.054897114002642</v>
      </c>
      <c r="O323" s="68">
        <f>$L$323-EFEITO!$O$323*EFEITO!$AA$323</f>
        <v>55.690734563693354</v>
      </c>
      <c r="P323" s="18"/>
      <c r="Q323" s="18"/>
      <c r="R323" s="18"/>
      <c r="S323" s="18"/>
      <c r="T323" s="18"/>
      <c r="U323" s="18"/>
      <c r="V323" s="18"/>
      <c r="W323" s="18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60" t="s">
        <v>21</v>
      </c>
      <c r="B324" s="60" t="s">
        <v>39</v>
      </c>
      <c r="C324" s="60" t="s">
        <v>23</v>
      </c>
      <c r="D324" s="60" t="s">
        <v>40</v>
      </c>
      <c r="E324" s="60" t="s">
        <v>25</v>
      </c>
      <c r="F324" s="60" t="s">
        <v>25</v>
      </c>
      <c r="G324" s="60" t="s">
        <v>25</v>
      </c>
      <c r="H324" s="60" t="s">
        <v>25</v>
      </c>
      <c r="I324" s="67">
        <v>44501</v>
      </c>
      <c r="J324" s="68">
        <f>EFEITO!$J$324*EFEITO!$Y$236</f>
        <v>0</v>
      </c>
      <c r="K324" s="68">
        <f ca="1">EFEITO!$L$324*EFEITO!$Z$236</f>
        <v>1636.1804463753831</v>
      </c>
      <c r="L324" s="68">
        <f>EFEITO!$N$324*EFEITO!$AA$236</f>
        <v>989.84512279180365</v>
      </c>
      <c r="M324" s="68">
        <f>$J$324-EFEITO!$K$324*EFEITO!$Y$324</f>
        <v>0</v>
      </c>
      <c r="N324" s="68">
        <f ca="1">$K$324-EFEITO!$M$324*EFEITO!$Z$324</f>
        <v>98.170826782522909</v>
      </c>
      <c r="O324" s="68">
        <f>$L$324-EFEITO!$O$324*EFEITO!$AA$324</f>
        <v>59.390707367508298</v>
      </c>
      <c r="P324" s="18"/>
      <c r="Q324" s="18"/>
      <c r="R324" s="18"/>
      <c r="S324" s="18"/>
      <c r="T324" s="18"/>
      <c r="U324" s="18"/>
      <c r="V324" s="18"/>
      <c r="W324" s="18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60" t="s">
        <v>21</v>
      </c>
      <c r="B325" s="60" t="s">
        <v>39</v>
      </c>
      <c r="C325" s="60" t="s">
        <v>23</v>
      </c>
      <c r="D325" s="60" t="s">
        <v>40</v>
      </c>
      <c r="E325" s="60" t="s">
        <v>25</v>
      </c>
      <c r="F325" s="60" t="s">
        <v>25</v>
      </c>
      <c r="G325" s="60" t="s">
        <v>25</v>
      </c>
      <c r="H325" s="60" t="s">
        <v>25</v>
      </c>
      <c r="I325" s="67">
        <v>44531</v>
      </c>
      <c r="J325" s="68">
        <f>EFEITO!$J$325*EFEITO!$Y$236</f>
        <v>0</v>
      </c>
      <c r="K325" s="68">
        <f ca="1">EFEITO!$L$325*EFEITO!$Z$236</f>
        <v>1640.6940476067637</v>
      </c>
      <c r="L325" s="68">
        <f>EFEITO!$N$325*EFEITO!$AA$236</f>
        <v>992.57573002709148</v>
      </c>
      <c r="M325" s="68">
        <f>$J$325-EFEITO!$K$325*EFEITO!$Y$325</f>
        <v>0</v>
      </c>
      <c r="N325" s="68">
        <f ca="1">$K$325-EFEITO!$M$325*EFEITO!$Z$325</f>
        <v>98.441642856405906</v>
      </c>
      <c r="O325" s="68">
        <f>$L$325-EFEITO!$O$325*EFEITO!$AA$325</f>
        <v>59.554543801625641</v>
      </c>
      <c r="P325" s="18"/>
      <c r="Q325" s="18"/>
      <c r="R325" s="18"/>
      <c r="S325" s="18"/>
      <c r="T325" s="18"/>
      <c r="U325" s="18"/>
      <c r="V325" s="18"/>
      <c r="W325" s="18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60" t="s">
        <v>21</v>
      </c>
      <c r="B326" s="60" t="s">
        <v>39</v>
      </c>
      <c r="C326" s="60" t="s">
        <v>23</v>
      </c>
      <c r="D326" s="60" t="s">
        <v>40</v>
      </c>
      <c r="E326" s="60" t="s">
        <v>25</v>
      </c>
      <c r="F326" s="60" t="s">
        <v>25</v>
      </c>
      <c r="G326" s="60" t="s">
        <v>25</v>
      </c>
      <c r="H326" s="60" t="s">
        <v>25</v>
      </c>
      <c r="I326" s="67">
        <v>44562</v>
      </c>
      <c r="J326" s="68">
        <f>EFEITO!$J$326*EFEITO!$Y$236</f>
        <v>0</v>
      </c>
      <c r="K326" s="68">
        <f ca="1">EFEITO!$L$326*EFEITO!$Z$236</f>
        <v>1087.7778967626687</v>
      </c>
      <c r="L326" s="68">
        <f>EFEITO!$N$326*EFEITO!$AA$236</f>
        <v>658.07634370434391</v>
      </c>
      <c r="M326" s="68">
        <f>$J$326-EFEITO!$K$326*EFEITO!$Y$326</f>
        <v>0</v>
      </c>
      <c r="N326" s="68">
        <f ca="1">$K$326-EFEITO!$M$326*EFEITO!$Z$326</f>
        <v>65.266673805760206</v>
      </c>
      <c r="O326" s="68">
        <f>$L$326-EFEITO!$O$326*EFEITO!$AA$326</f>
        <v>39.484580622260637</v>
      </c>
      <c r="P326" s="18"/>
      <c r="Q326" s="18"/>
      <c r="R326" s="18"/>
      <c r="S326" s="18"/>
      <c r="T326" s="18"/>
      <c r="U326" s="18"/>
      <c r="V326" s="18"/>
      <c r="W326" s="18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60" t="s">
        <v>27</v>
      </c>
      <c r="B327" s="60" t="s">
        <v>39</v>
      </c>
      <c r="C327" s="60" t="s">
        <v>23</v>
      </c>
      <c r="D327" s="60" t="s">
        <v>40</v>
      </c>
      <c r="E327" s="60" t="s">
        <v>25</v>
      </c>
      <c r="F327" s="60" t="s">
        <v>25</v>
      </c>
      <c r="G327" s="60" t="s">
        <v>25</v>
      </c>
      <c r="H327" s="60" t="s">
        <v>25</v>
      </c>
      <c r="I327" s="67">
        <v>44562</v>
      </c>
      <c r="J327" s="68">
        <f>EFEITO!$J$327*EFEITO!$Y$236</f>
        <v>0</v>
      </c>
      <c r="K327" s="68">
        <f ca="1">EFEITO!$L$327*EFEITO!$Z$236</f>
        <v>136.53643724925612</v>
      </c>
      <c r="L327" s="68">
        <f>EFEITO!$N$327*EFEITO!$AA$236</f>
        <v>82.600868867453954</v>
      </c>
      <c r="M327" s="68">
        <f>$J$327-EFEITO!$K$327*EFEITO!$Y$327</f>
        <v>0</v>
      </c>
      <c r="N327" s="68">
        <f ca="1">$K$327-EFEITO!$M$327*EFEITO!$Z$327</f>
        <v>8.1921862349553862</v>
      </c>
      <c r="O327" s="68">
        <f>$L$327-EFEITO!$O$327*EFEITO!$AA$327</f>
        <v>4.9560521320472333</v>
      </c>
      <c r="P327" s="18"/>
      <c r="Q327" s="18"/>
      <c r="R327" s="18"/>
      <c r="S327" s="18"/>
      <c r="T327" s="18"/>
      <c r="U327" s="18"/>
      <c r="V327" s="18"/>
      <c r="W327" s="18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60" t="s">
        <v>21</v>
      </c>
      <c r="B328" s="60" t="s">
        <v>39</v>
      </c>
      <c r="C328" s="60" t="s">
        <v>23</v>
      </c>
      <c r="D328" s="60" t="s">
        <v>40</v>
      </c>
      <c r="E328" s="60" t="s">
        <v>25</v>
      </c>
      <c r="F328" s="60" t="s">
        <v>25</v>
      </c>
      <c r="G328" s="60" t="s">
        <v>25</v>
      </c>
      <c r="H328" s="60" t="s">
        <v>25</v>
      </c>
      <c r="I328" s="67">
        <v>44593</v>
      </c>
      <c r="J328" s="68">
        <f>EFEITO!$J$328*EFEITO!$Y$236</f>
        <v>0</v>
      </c>
      <c r="K328" s="68">
        <f ca="1">EFEITO!$L$328*EFEITO!$Z$236</f>
        <v>1393.5743801886886</v>
      </c>
      <c r="L328" s="68">
        <f>EFEITO!$N$328*EFEITO!$AA$236</f>
        <v>843.07498389508794</v>
      </c>
      <c r="M328" s="68">
        <f>$J$328-EFEITO!$K$328*EFEITO!$Y$328</f>
        <v>0</v>
      </c>
      <c r="N328" s="68">
        <f ca="1">$K$328-EFEITO!$M$328*EFEITO!$Z$328</f>
        <v>83.614462811321346</v>
      </c>
      <c r="O328" s="68">
        <f>$L$328-EFEITO!$O$328*EFEITO!$AA$328</f>
        <v>50.584499033705356</v>
      </c>
      <c r="P328" s="18"/>
      <c r="Q328" s="18"/>
      <c r="R328" s="18"/>
      <c r="S328" s="18"/>
      <c r="T328" s="18"/>
      <c r="U328" s="18"/>
      <c r="V328" s="18"/>
      <c r="W328" s="18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60" t="s">
        <v>27</v>
      </c>
      <c r="B329" s="60" t="s">
        <v>39</v>
      </c>
      <c r="C329" s="60" t="s">
        <v>23</v>
      </c>
      <c r="D329" s="60" t="s">
        <v>40</v>
      </c>
      <c r="E329" s="60" t="s">
        <v>25</v>
      </c>
      <c r="F329" s="60" t="s">
        <v>25</v>
      </c>
      <c r="G329" s="60" t="s">
        <v>25</v>
      </c>
      <c r="H329" s="60" t="s">
        <v>25</v>
      </c>
      <c r="I329" s="67">
        <v>44593</v>
      </c>
      <c r="J329" s="68">
        <f>EFEITO!$J$329*EFEITO!$Y$236</f>
        <v>0</v>
      </c>
      <c r="K329" s="68">
        <f ca="1">EFEITO!$L$329*EFEITO!$Z$236</f>
        <v>37.613343594836401</v>
      </c>
      <c r="L329" s="68">
        <f>EFEITO!$N$329*EFEITO!$AA$236</f>
        <v>22.755060294064453</v>
      </c>
      <c r="M329" s="68">
        <f>$J$329-EFEITO!$K$329*EFEITO!$Y$329</f>
        <v>0</v>
      </c>
      <c r="N329" s="68">
        <f ca="1">$K$329-EFEITO!$M$329*EFEITO!$Z$329</f>
        <v>2.2568006156901887</v>
      </c>
      <c r="O329" s="68">
        <f>$L$329-EFEITO!$O$329*EFEITO!$AA$329</f>
        <v>1.3653036176438675</v>
      </c>
      <c r="P329" s="18"/>
      <c r="Q329" s="18"/>
      <c r="R329" s="18"/>
      <c r="S329" s="18"/>
      <c r="T329" s="18"/>
      <c r="U329" s="18"/>
      <c r="V329" s="18"/>
      <c r="W329" s="18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60" t="s">
        <v>21</v>
      </c>
      <c r="B330" s="60" t="s">
        <v>39</v>
      </c>
      <c r="C330" s="60" t="s">
        <v>23</v>
      </c>
      <c r="D330" s="60" t="s">
        <v>40</v>
      </c>
      <c r="E330" s="60" t="s">
        <v>25</v>
      </c>
      <c r="F330" s="60" t="s">
        <v>25</v>
      </c>
      <c r="G330" s="60" t="s">
        <v>25</v>
      </c>
      <c r="H330" s="60" t="s">
        <v>25</v>
      </c>
      <c r="I330" s="67">
        <v>44621</v>
      </c>
      <c r="J330" s="68">
        <f>EFEITO!$J$330*EFEITO!$Y$236</f>
        <v>0</v>
      </c>
      <c r="K330" s="68">
        <f ca="1">EFEITO!$L$330*EFEITO!$Z$236</f>
        <v>1210.3973968818352</v>
      </c>
      <c r="L330" s="68">
        <f>EFEITO!$N$330*EFEITO!$AA$236</f>
        <v>732.25784026299402</v>
      </c>
      <c r="M330" s="68">
        <f>$J$330-EFEITO!$K$330*EFEITO!$Y$330</f>
        <v>0</v>
      </c>
      <c r="N330" s="68">
        <f ca="1">$K$330-EFEITO!$M$330*EFEITO!$Z$330</f>
        <v>72.623843812910081</v>
      </c>
      <c r="O330" s="68">
        <f>$L$330-EFEITO!$O$330*EFEITO!$AA$330</f>
        <v>43.935470415779605</v>
      </c>
      <c r="P330" s="18"/>
      <c r="Q330" s="18"/>
      <c r="R330" s="18"/>
      <c r="S330" s="18"/>
      <c r="T330" s="18"/>
      <c r="U330" s="18"/>
      <c r="V330" s="18"/>
      <c r="W330" s="18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60" t="s">
        <v>27</v>
      </c>
      <c r="B331" s="60" t="s">
        <v>39</v>
      </c>
      <c r="C331" s="60" t="s">
        <v>23</v>
      </c>
      <c r="D331" s="60" t="s">
        <v>40</v>
      </c>
      <c r="E331" s="60" t="s">
        <v>25</v>
      </c>
      <c r="F331" s="60" t="s">
        <v>25</v>
      </c>
      <c r="G331" s="60" t="s">
        <v>25</v>
      </c>
      <c r="H331" s="60" t="s">
        <v>25</v>
      </c>
      <c r="I331" s="67">
        <v>44621</v>
      </c>
      <c r="J331" s="68">
        <f>EFEITO!$J$331*EFEITO!$Y$236</f>
        <v>0</v>
      </c>
      <c r="K331" s="68">
        <f ca="1">EFEITO!$L$331*EFEITO!$Z$236</f>
        <v>37.613343594836401</v>
      </c>
      <c r="L331" s="68">
        <f>EFEITO!$N$331*EFEITO!$AA$236</f>
        <v>22.755060294064453</v>
      </c>
      <c r="M331" s="68">
        <f>$J$331-EFEITO!$K$331*EFEITO!$Y$331</f>
        <v>0</v>
      </c>
      <c r="N331" s="68">
        <f ca="1">$K$331-EFEITO!$M$331*EFEITO!$Z$331</f>
        <v>2.2568006156901887</v>
      </c>
      <c r="O331" s="68">
        <f>$L$331-EFEITO!$O$331*EFEITO!$AA$331</f>
        <v>1.3653036176438675</v>
      </c>
      <c r="P331" s="18"/>
      <c r="Q331" s="18"/>
      <c r="R331" s="18"/>
      <c r="S331" s="18"/>
      <c r="T331" s="18"/>
      <c r="U331" s="18"/>
      <c r="V331" s="18"/>
      <c r="W331" s="18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60" t="s">
        <v>21</v>
      </c>
      <c r="B332" s="60" t="s">
        <v>39</v>
      </c>
      <c r="C332" s="60" t="s">
        <v>23</v>
      </c>
      <c r="D332" s="60" t="s">
        <v>40</v>
      </c>
      <c r="E332" s="60" t="s">
        <v>25</v>
      </c>
      <c r="F332" s="60" t="s">
        <v>25</v>
      </c>
      <c r="G332" s="60" t="s">
        <v>25</v>
      </c>
      <c r="H332" s="60" t="s">
        <v>25</v>
      </c>
      <c r="I332" s="67">
        <v>44652</v>
      </c>
      <c r="J332" s="68">
        <f>EFEITO!$J$332*EFEITO!$Y$236</f>
        <v>0</v>
      </c>
      <c r="K332" s="68">
        <f ca="1">EFEITO!$L$332*EFEITO!$Z$236</f>
        <v>1164.8852511320831</v>
      </c>
      <c r="L332" s="68">
        <f>EFEITO!$N$332*EFEITO!$AA$236</f>
        <v>704.7242173071761</v>
      </c>
      <c r="M332" s="68">
        <f>$J$332-EFEITO!$K$332*EFEITO!$Y$332</f>
        <v>0</v>
      </c>
      <c r="N332" s="68">
        <f ca="1">$K$332-EFEITO!$M$332*EFEITO!$Z$332</f>
        <v>69.893115067925009</v>
      </c>
      <c r="O332" s="68">
        <f>$L$332-EFEITO!$O$332*EFEITO!$AA$332</f>
        <v>42.283453038430594</v>
      </c>
      <c r="P332" s="18"/>
      <c r="Q332" s="18"/>
      <c r="R332" s="18"/>
      <c r="S332" s="18"/>
      <c r="T332" s="18"/>
      <c r="U332" s="18"/>
      <c r="V332" s="18"/>
      <c r="W332" s="18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60" t="s">
        <v>27</v>
      </c>
      <c r="B333" s="60" t="s">
        <v>39</v>
      </c>
      <c r="C333" s="60" t="s">
        <v>23</v>
      </c>
      <c r="D333" s="60" t="s">
        <v>40</v>
      </c>
      <c r="E333" s="60" t="s">
        <v>25</v>
      </c>
      <c r="F333" s="60" t="s">
        <v>25</v>
      </c>
      <c r="G333" s="60" t="s">
        <v>25</v>
      </c>
      <c r="H333" s="60" t="s">
        <v>25</v>
      </c>
      <c r="I333" s="67">
        <v>44652</v>
      </c>
      <c r="J333" s="68">
        <f>EFEITO!$J$333*EFEITO!$Y$236</f>
        <v>0</v>
      </c>
      <c r="K333" s="68">
        <f ca="1">EFEITO!$L$333*EFEITO!$Z$236</f>
        <v>37.613343594836401</v>
      </c>
      <c r="L333" s="68">
        <f>EFEITO!$N$333*EFEITO!$AA$236</f>
        <v>22.755060294064453</v>
      </c>
      <c r="M333" s="68">
        <f>$J$333-EFEITO!$K$333*EFEITO!$Y$333</f>
        <v>0</v>
      </c>
      <c r="N333" s="68">
        <f ca="1">$K$333-EFEITO!$M$333*EFEITO!$Z$333</f>
        <v>2.2568006156901887</v>
      </c>
      <c r="O333" s="68">
        <f>$L$333-EFEITO!$O$333*EFEITO!$AA$333</f>
        <v>1.3653036176438675</v>
      </c>
      <c r="P333" s="18"/>
      <c r="Q333" s="18"/>
      <c r="R333" s="18"/>
      <c r="S333" s="18"/>
      <c r="T333" s="18"/>
      <c r="U333" s="18"/>
      <c r="V333" s="18"/>
      <c r="W333" s="18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60" t="s">
        <v>21</v>
      </c>
      <c r="B334" s="60" t="s">
        <v>39</v>
      </c>
      <c r="C334" s="60" t="s">
        <v>23</v>
      </c>
      <c r="D334" s="60" t="s">
        <v>40</v>
      </c>
      <c r="E334" s="60" t="s">
        <v>25</v>
      </c>
      <c r="F334" s="60" t="s">
        <v>25</v>
      </c>
      <c r="G334" s="60" t="s">
        <v>25</v>
      </c>
      <c r="H334" s="60" t="s">
        <v>25</v>
      </c>
      <c r="I334" s="67">
        <v>44682</v>
      </c>
      <c r="J334" s="68">
        <f>EFEITO!$J$334*EFEITO!$Y$236</f>
        <v>0</v>
      </c>
      <c r="K334" s="68">
        <f ca="1">EFEITO!$L$334*EFEITO!$Z$236</f>
        <v>1176.1692542105341</v>
      </c>
      <c r="L334" s="68">
        <f>EFEITO!$N$334*EFEITO!$AA$236</f>
        <v>711.55073539539535</v>
      </c>
      <c r="M334" s="68">
        <f>$J$334-EFEITO!$K$334*EFEITO!$Y$334</f>
        <v>0</v>
      </c>
      <c r="N334" s="68">
        <f ca="1">$K$334-EFEITO!$M$334*EFEITO!$Z$334</f>
        <v>70.570155252632048</v>
      </c>
      <c r="O334" s="68">
        <f>$L$334-EFEITO!$O$334*EFEITO!$AA$334</f>
        <v>42.69304412372378</v>
      </c>
      <c r="P334" s="18"/>
      <c r="Q334" s="18"/>
      <c r="R334" s="18"/>
      <c r="S334" s="18"/>
      <c r="T334" s="18"/>
      <c r="U334" s="18"/>
      <c r="V334" s="18"/>
      <c r="W334" s="18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60" t="s">
        <v>27</v>
      </c>
      <c r="B335" s="60" t="s">
        <v>39</v>
      </c>
      <c r="C335" s="60" t="s">
        <v>23</v>
      </c>
      <c r="D335" s="60" t="s">
        <v>40</v>
      </c>
      <c r="E335" s="60" t="s">
        <v>25</v>
      </c>
      <c r="F335" s="60" t="s">
        <v>25</v>
      </c>
      <c r="G335" s="60" t="s">
        <v>25</v>
      </c>
      <c r="H335" s="60" t="s">
        <v>25</v>
      </c>
      <c r="I335" s="67">
        <v>44682</v>
      </c>
      <c r="J335" s="68">
        <f>EFEITO!$J$335*EFEITO!$Y$236</f>
        <v>0</v>
      </c>
      <c r="K335" s="68">
        <f ca="1">EFEITO!$L$335*EFEITO!$Z$236</f>
        <v>37.613343594836401</v>
      </c>
      <c r="L335" s="68">
        <f>EFEITO!$N$335*EFEITO!$AA$236</f>
        <v>22.755060294064453</v>
      </c>
      <c r="M335" s="68">
        <f>$J$335-EFEITO!$K$335*EFEITO!$Y$335</f>
        <v>0</v>
      </c>
      <c r="N335" s="68">
        <f ca="1">$K$335-EFEITO!$M$335*EFEITO!$Z$335</f>
        <v>2.2568006156901887</v>
      </c>
      <c r="O335" s="68">
        <f>$L$335-EFEITO!$O$335*EFEITO!$AA$335</f>
        <v>1.3653036176438675</v>
      </c>
      <c r="P335" s="18"/>
      <c r="Q335" s="18"/>
      <c r="R335" s="18"/>
      <c r="S335" s="18"/>
      <c r="T335" s="18"/>
      <c r="U335" s="18"/>
      <c r="V335" s="18"/>
      <c r="W335" s="18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60" t="s">
        <v>21</v>
      </c>
      <c r="B336" s="60" t="s">
        <v>39</v>
      </c>
      <c r="C336" s="60" t="s">
        <v>23</v>
      </c>
      <c r="D336" s="60" t="s">
        <v>40</v>
      </c>
      <c r="E336" s="60" t="s">
        <v>25</v>
      </c>
      <c r="F336" s="60" t="s">
        <v>25</v>
      </c>
      <c r="G336" s="60" t="s">
        <v>25</v>
      </c>
      <c r="H336" s="60" t="s">
        <v>25</v>
      </c>
      <c r="I336" s="67">
        <v>44713</v>
      </c>
      <c r="J336" s="68">
        <f>EFEITO!$J$336*EFEITO!$Y$236</f>
        <v>0</v>
      </c>
      <c r="K336" s="68">
        <f ca="1">EFEITO!$L$336*EFEITO!$Z$236</f>
        <v>1322.1090273584994</v>
      </c>
      <c r="L336" s="68">
        <f>EFEITO!$N$336*EFEITO!$AA$236</f>
        <v>799.84036933636548</v>
      </c>
      <c r="M336" s="68">
        <f>$J$336-EFEITO!$K$336*EFEITO!$Y$336</f>
        <v>0</v>
      </c>
      <c r="N336" s="68">
        <f ca="1">$K$336-EFEITO!$M$336*EFEITO!$Z$336</f>
        <v>79.326541641509948</v>
      </c>
      <c r="O336" s="68">
        <f>$L$336-EFEITO!$O$336*EFEITO!$AA$336</f>
        <v>47.990422160181993</v>
      </c>
      <c r="P336" s="18"/>
      <c r="Q336" s="18"/>
      <c r="R336" s="18"/>
      <c r="S336" s="18"/>
      <c r="T336" s="18"/>
      <c r="U336" s="18"/>
      <c r="V336" s="18"/>
      <c r="W336" s="18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60" t="s">
        <v>27</v>
      </c>
      <c r="B337" s="60" t="s">
        <v>39</v>
      </c>
      <c r="C337" s="60" t="s">
        <v>23</v>
      </c>
      <c r="D337" s="60" t="s">
        <v>40</v>
      </c>
      <c r="E337" s="60" t="s">
        <v>25</v>
      </c>
      <c r="F337" s="60" t="s">
        <v>25</v>
      </c>
      <c r="G337" s="60" t="s">
        <v>25</v>
      </c>
      <c r="H337" s="60" t="s">
        <v>25</v>
      </c>
      <c r="I337" s="67">
        <v>44713</v>
      </c>
      <c r="J337" s="68">
        <f>EFEITO!$J$337*EFEITO!$Y$236</f>
        <v>0</v>
      </c>
      <c r="K337" s="68">
        <f ca="1">EFEITO!$L$337*EFEITO!$Z$236</f>
        <v>37.613343594836401</v>
      </c>
      <c r="L337" s="68">
        <f>EFEITO!$N$337*EFEITO!$AA$236</f>
        <v>22.755060294064453</v>
      </c>
      <c r="M337" s="68">
        <f>$J$337-EFEITO!$K$337*EFEITO!$Y$337</f>
        <v>0</v>
      </c>
      <c r="N337" s="68">
        <f ca="1">$K$337-EFEITO!$M$337*EFEITO!$Z$337</f>
        <v>2.2568006156901887</v>
      </c>
      <c r="O337" s="68">
        <f>$L$337-EFEITO!$O$337*EFEITO!$AA$337</f>
        <v>1.3653036176438675</v>
      </c>
      <c r="P337" s="18"/>
      <c r="Q337" s="18"/>
      <c r="R337" s="18"/>
      <c r="S337" s="18"/>
      <c r="T337" s="18"/>
      <c r="U337" s="18"/>
      <c r="V337" s="18"/>
      <c r="W337" s="18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60" t="s">
        <v>21</v>
      </c>
      <c r="B338" s="60" t="s">
        <v>32</v>
      </c>
      <c r="C338" s="60" t="s">
        <v>49</v>
      </c>
      <c r="D338" s="60" t="s">
        <v>41</v>
      </c>
      <c r="E338" s="60" t="s">
        <v>25</v>
      </c>
      <c r="F338" s="60" t="s">
        <v>25</v>
      </c>
      <c r="G338" s="60" t="s">
        <v>25</v>
      </c>
      <c r="H338" s="60" t="s">
        <v>37</v>
      </c>
      <c r="I338" s="67">
        <v>44621</v>
      </c>
      <c r="J338" s="68">
        <f>EFEITO!$J$338*EFEITO!$Y$338</f>
        <v>0</v>
      </c>
      <c r="K338" s="68">
        <f ca="1">EFEITO!$L$338*EFEITO!$Z$338</f>
        <v>178.83632158901889</v>
      </c>
      <c r="L338" s="68">
        <f>EFEITO!$N$338*EFEITO!$AA$338</f>
        <v>139.92470963770566</v>
      </c>
      <c r="M338" s="68">
        <f>$J$338-EFEITO!$K$338*EFEITO!$Y$338</f>
        <v>0</v>
      </c>
      <c r="N338" s="68">
        <f ca="1">$K$338-EFEITO!$M$338*EFEITO!$Z$338</f>
        <v>0</v>
      </c>
      <c r="O338" s="68">
        <f>$L$338-EFEITO!$O$338*EFEITO!$AA$338</f>
        <v>0</v>
      </c>
      <c r="P338" s="18"/>
      <c r="Q338" s="18"/>
      <c r="R338" s="18"/>
      <c r="S338" s="18"/>
      <c r="T338" s="18"/>
      <c r="U338" s="18"/>
      <c r="V338" s="18"/>
      <c r="W338" s="18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60" t="s">
        <v>21</v>
      </c>
      <c r="B339" s="60" t="s">
        <v>32</v>
      </c>
      <c r="C339" s="60" t="s">
        <v>49</v>
      </c>
      <c r="D339" s="60" t="s">
        <v>41</v>
      </c>
      <c r="E339" s="60" t="s">
        <v>25</v>
      </c>
      <c r="F339" s="60" t="s">
        <v>25</v>
      </c>
      <c r="G339" s="60" t="s">
        <v>25</v>
      </c>
      <c r="H339" s="60" t="s">
        <v>37</v>
      </c>
      <c r="I339" s="67">
        <v>44652</v>
      </c>
      <c r="J339" s="68">
        <f>EFEITO!$J$339*EFEITO!$Y$339</f>
        <v>0</v>
      </c>
      <c r="K339" s="68">
        <f ca="1">EFEITO!$L$339*EFEITO!$Z$339</f>
        <v>367.91559038979273</v>
      </c>
      <c r="L339" s="68">
        <f>EFEITO!$N$339*EFEITO!$AA$339</f>
        <v>287.86368283051212</v>
      </c>
      <c r="M339" s="68">
        <f>$J$339-EFEITO!$K$339*EFEITO!$Y$339</f>
        <v>0</v>
      </c>
      <c r="N339" s="68">
        <f ca="1">$K$339-EFEITO!$M$339*EFEITO!$Z$339</f>
        <v>0</v>
      </c>
      <c r="O339" s="68">
        <f>$L$339-EFEITO!$O$339*EFEITO!$AA$339</f>
        <v>0</v>
      </c>
      <c r="P339" s="18"/>
      <c r="Q339" s="18"/>
      <c r="R339" s="18"/>
      <c r="S339" s="18"/>
      <c r="T339" s="18"/>
      <c r="U339" s="18"/>
      <c r="V339" s="18"/>
      <c r="W339" s="18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60" t="s">
        <v>21</v>
      </c>
      <c r="B340" s="60" t="s">
        <v>32</v>
      </c>
      <c r="C340" s="60" t="s">
        <v>49</v>
      </c>
      <c r="D340" s="60" t="s">
        <v>41</v>
      </c>
      <c r="E340" s="60" t="s">
        <v>25</v>
      </c>
      <c r="F340" s="60" t="s">
        <v>25</v>
      </c>
      <c r="G340" s="60" t="s">
        <v>25</v>
      </c>
      <c r="H340" s="60" t="s">
        <v>37</v>
      </c>
      <c r="I340" s="67">
        <v>44682</v>
      </c>
      <c r="J340" s="68">
        <f>EFEITO!$J$340*EFEITO!$Y$340</f>
        <v>0</v>
      </c>
      <c r="K340" s="68">
        <f ca="1">EFEITO!$L$340*EFEITO!$Z$340</f>
        <v>236.69513151487794</v>
      </c>
      <c r="L340" s="68">
        <f>EFEITO!$N$340*EFEITO!$AA$340</f>
        <v>185.19446863813985</v>
      </c>
      <c r="M340" s="68">
        <f>$J$340-EFEITO!$K$340*EFEITO!$Y$340</f>
        <v>0</v>
      </c>
      <c r="N340" s="68">
        <f ca="1">$K$340-EFEITO!$M$340*EFEITO!$Z$340</f>
        <v>0</v>
      </c>
      <c r="O340" s="68">
        <f>$L$340-EFEITO!$O$340*EFEITO!$AA$340</f>
        <v>0</v>
      </c>
      <c r="P340" s="18"/>
      <c r="Q340" s="18"/>
      <c r="R340" s="18"/>
      <c r="S340" s="18"/>
      <c r="T340" s="18"/>
      <c r="U340" s="18"/>
      <c r="V340" s="18"/>
      <c r="W340" s="18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60" t="s">
        <v>21</v>
      </c>
      <c r="B341" s="60" t="s">
        <v>32</v>
      </c>
      <c r="C341" s="60" t="s">
        <v>49</v>
      </c>
      <c r="D341" s="60" t="s">
        <v>41</v>
      </c>
      <c r="E341" s="60" t="s">
        <v>25</v>
      </c>
      <c r="F341" s="60" t="s">
        <v>25</v>
      </c>
      <c r="G341" s="60" t="s">
        <v>25</v>
      </c>
      <c r="H341" s="60" t="s">
        <v>37</v>
      </c>
      <c r="I341" s="67">
        <v>44713</v>
      </c>
      <c r="J341" s="68">
        <f>EFEITO!$J$341*EFEITO!$Y$341</f>
        <v>0</v>
      </c>
      <c r="K341" s="68">
        <f ca="1">EFEITO!$L$341*EFEITO!$Z$341</f>
        <v>252.47480694920316</v>
      </c>
      <c r="L341" s="68">
        <f>EFEITO!$N$341*EFEITO!$AA$341</f>
        <v>197.54076654734916</v>
      </c>
      <c r="M341" s="68">
        <f>$J$341-EFEITO!$K$341*EFEITO!$Y$341</f>
        <v>0</v>
      </c>
      <c r="N341" s="68">
        <f ca="1">$K$341-EFEITO!$M$341*EFEITO!$Z$341</f>
        <v>0</v>
      </c>
      <c r="O341" s="68">
        <f>$L$341-EFEITO!$O$341*EFEITO!$AA$341</f>
        <v>0</v>
      </c>
      <c r="P341" s="18"/>
      <c r="Q341" s="18"/>
      <c r="R341" s="18"/>
      <c r="S341" s="18"/>
      <c r="T341" s="18"/>
      <c r="U341" s="18"/>
      <c r="V341" s="18"/>
      <c r="W341" s="18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60" t="s">
        <v>21</v>
      </c>
      <c r="B342" s="60" t="s">
        <v>32</v>
      </c>
      <c r="C342" s="60" t="s">
        <v>49</v>
      </c>
      <c r="D342" s="60" t="s">
        <v>41</v>
      </c>
      <c r="E342" s="60" t="s">
        <v>25</v>
      </c>
      <c r="F342" s="60" t="s">
        <v>25</v>
      </c>
      <c r="G342" s="60" t="s">
        <v>25</v>
      </c>
      <c r="H342" s="60" t="s">
        <v>50</v>
      </c>
      <c r="I342" s="67">
        <v>44621</v>
      </c>
      <c r="J342" s="68">
        <f>EFEITO!$J$342*EFEITO!$Y$342</f>
        <v>0</v>
      </c>
      <c r="K342" s="68">
        <f ca="1">EFEITO!$L$342*EFEITO!$Z$342</f>
        <v>20.941244965491038</v>
      </c>
      <c r="L342" s="68">
        <f>EFEITO!$N$342*EFEITO!$AA$342</f>
        <v>8.2308652728062146</v>
      </c>
      <c r="M342" s="68">
        <f>$J$342-EFEITO!$K$342*EFEITO!$Y$342</f>
        <v>0</v>
      </c>
      <c r="N342" s="68">
        <f ca="1">$K$342-EFEITO!$M$342*EFEITO!$Z$342</f>
        <v>0</v>
      </c>
      <c r="O342" s="68">
        <f>$L$342-EFEITO!$O$342*EFEITO!$AA$342</f>
        <v>0</v>
      </c>
      <c r="P342" s="18"/>
      <c r="Q342" s="18"/>
      <c r="R342" s="18"/>
      <c r="S342" s="18"/>
      <c r="T342" s="18"/>
      <c r="U342" s="18"/>
      <c r="V342" s="18"/>
      <c r="W342" s="18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60" t="s">
        <v>21</v>
      </c>
      <c r="B343" s="60" t="s">
        <v>32</v>
      </c>
      <c r="C343" s="60" t="s">
        <v>49</v>
      </c>
      <c r="D343" s="60" t="s">
        <v>41</v>
      </c>
      <c r="E343" s="60" t="s">
        <v>25</v>
      </c>
      <c r="F343" s="60" t="s">
        <v>25</v>
      </c>
      <c r="G343" s="60" t="s">
        <v>25</v>
      </c>
      <c r="H343" s="60" t="s">
        <v>50</v>
      </c>
      <c r="I343" s="67">
        <v>44652</v>
      </c>
      <c r="J343" s="68">
        <f>EFEITO!$J$343*EFEITO!$Y$343</f>
        <v>0</v>
      </c>
      <c r="K343" s="68">
        <f ca="1">EFEITO!$L$343*EFEITO!$Z$343</f>
        <v>40.780319143324647</v>
      </c>
      <c r="L343" s="68">
        <f>EFEITO!$N$343*EFEITO!$AA$343</f>
        <v>16.028527110201576</v>
      </c>
      <c r="M343" s="68">
        <f>$J$343-EFEITO!$K$343*EFEITO!$Y$343</f>
        <v>0</v>
      </c>
      <c r="N343" s="68">
        <f ca="1">$K$343-EFEITO!$M$343*EFEITO!$Z$343</f>
        <v>0</v>
      </c>
      <c r="O343" s="68">
        <f>$L$343-EFEITO!$O$343*EFEITO!$AA$343</f>
        <v>0</v>
      </c>
      <c r="P343" s="18"/>
      <c r="Q343" s="18"/>
      <c r="R343" s="18"/>
      <c r="S343" s="18"/>
      <c r="T343" s="18"/>
      <c r="U343" s="18"/>
      <c r="V343" s="18"/>
      <c r="W343" s="18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60" t="s">
        <v>21</v>
      </c>
      <c r="B344" s="60" t="s">
        <v>32</v>
      </c>
      <c r="C344" s="60" t="s">
        <v>49</v>
      </c>
      <c r="D344" s="60" t="s">
        <v>41</v>
      </c>
      <c r="E344" s="60" t="s">
        <v>25</v>
      </c>
      <c r="F344" s="60" t="s">
        <v>25</v>
      </c>
      <c r="G344" s="60" t="s">
        <v>25</v>
      </c>
      <c r="H344" s="60" t="s">
        <v>50</v>
      </c>
      <c r="I344" s="67">
        <v>44682</v>
      </c>
      <c r="J344" s="68">
        <f>EFEITO!$J$344*EFEITO!$Y$344</f>
        <v>0</v>
      </c>
      <c r="K344" s="68">
        <f ca="1">EFEITO!$L$344*EFEITO!$Z$344</f>
        <v>34.167294417380113</v>
      </c>
      <c r="L344" s="68">
        <f>EFEITO!$N$344*EFEITO!$AA$344</f>
        <v>13.429306497736457</v>
      </c>
      <c r="M344" s="68">
        <f>$J$344-EFEITO!$K$344*EFEITO!$Y$344</f>
        <v>0</v>
      </c>
      <c r="N344" s="68">
        <f ca="1">$K$344-EFEITO!$M$344*EFEITO!$Z$344</f>
        <v>0</v>
      </c>
      <c r="O344" s="68">
        <f>$L$344-EFEITO!$O$344*EFEITO!$AA$344</f>
        <v>0</v>
      </c>
      <c r="P344" s="18"/>
      <c r="Q344" s="18"/>
      <c r="R344" s="18"/>
      <c r="S344" s="18"/>
      <c r="T344" s="18"/>
      <c r="U344" s="18"/>
      <c r="V344" s="18"/>
      <c r="W344" s="18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60" t="s">
        <v>21</v>
      </c>
      <c r="B345" s="60" t="s">
        <v>32</v>
      </c>
      <c r="C345" s="60" t="s">
        <v>49</v>
      </c>
      <c r="D345" s="60" t="s">
        <v>41</v>
      </c>
      <c r="E345" s="60" t="s">
        <v>25</v>
      </c>
      <c r="F345" s="60" t="s">
        <v>25</v>
      </c>
      <c r="G345" s="60" t="s">
        <v>25</v>
      </c>
      <c r="H345" s="60" t="s">
        <v>50</v>
      </c>
      <c r="I345" s="67">
        <v>44713</v>
      </c>
      <c r="J345" s="68">
        <f>EFEITO!$J$345*EFEITO!$Y$345</f>
        <v>0</v>
      </c>
      <c r="K345" s="68">
        <f ca="1">EFEITO!$L$345*EFEITO!$Z$345</f>
        <v>36.371635992694962</v>
      </c>
      <c r="L345" s="68">
        <f>EFEITO!$N$345*EFEITO!$AA$345</f>
        <v>14.295713368558165</v>
      </c>
      <c r="M345" s="68">
        <f>$J$345-EFEITO!$K$345*EFEITO!$Y$345</f>
        <v>0</v>
      </c>
      <c r="N345" s="68">
        <f ca="1">$K$345-EFEITO!$M$345*EFEITO!$Z$345</f>
        <v>0</v>
      </c>
      <c r="O345" s="68">
        <f>$L$345-EFEITO!$O$345*EFEITO!$AA$345</f>
        <v>0</v>
      </c>
      <c r="P345" s="18"/>
      <c r="Q345" s="18"/>
      <c r="R345" s="18"/>
      <c r="S345" s="18"/>
      <c r="T345" s="18"/>
      <c r="U345" s="18"/>
      <c r="V345" s="18"/>
      <c r="W345" s="18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60" t="s">
        <v>21</v>
      </c>
      <c r="B346" s="60" t="s">
        <v>32</v>
      </c>
      <c r="C346" s="60" t="s">
        <v>49</v>
      </c>
      <c r="D346" s="60" t="s">
        <v>41</v>
      </c>
      <c r="E346" s="60" t="s">
        <v>25</v>
      </c>
      <c r="F346" s="60" t="s">
        <v>25</v>
      </c>
      <c r="G346" s="60" t="s">
        <v>25</v>
      </c>
      <c r="H346" s="60" t="s">
        <v>36</v>
      </c>
      <c r="I346" s="67">
        <v>44621</v>
      </c>
      <c r="J346" s="68">
        <f>EFEITO!$J$346*EFEITO!$Y$346</f>
        <v>0</v>
      </c>
      <c r="K346" s="68">
        <f ca="1">EFEITO!$L$346*EFEITO!$Z$346</f>
        <v>34.62782067441028</v>
      </c>
      <c r="L346" s="68">
        <f>EFEITO!$N$346*EFEITO!$AA$346</f>
        <v>9.7436735347851418</v>
      </c>
      <c r="M346" s="68">
        <f>$J$346-EFEITO!$K$346*EFEITO!$Y$346</f>
        <v>0</v>
      </c>
      <c r="N346" s="68">
        <f ca="1">$K$346-EFEITO!$M$346*EFEITO!$Z$346</f>
        <v>0</v>
      </c>
      <c r="O346" s="68">
        <f>$L$346-EFEITO!$O$346*EFEITO!$AA$346</f>
        <v>0</v>
      </c>
      <c r="P346" s="18"/>
      <c r="Q346" s="18"/>
      <c r="R346" s="18"/>
      <c r="S346" s="18"/>
      <c r="T346" s="18"/>
      <c r="U346" s="18"/>
      <c r="V346" s="18"/>
      <c r="W346" s="18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60" t="s">
        <v>21</v>
      </c>
      <c r="B347" s="60" t="s">
        <v>32</v>
      </c>
      <c r="C347" s="60" t="s">
        <v>49</v>
      </c>
      <c r="D347" s="60" t="s">
        <v>41</v>
      </c>
      <c r="E347" s="60" t="s">
        <v>25</v>
      </c>
      <c r="F347" s="60" t="s">
        <v>25</v>
      </c>
      <c r="G347" s="60" t="s">
        <v>25</v>
      </c>
      <c r="H347" s="60" t="s">
        <v>36</v>
      </c>
      <c r="I347" s="67">
        <v>44652</v>
      </c>
      <c r="J347" s="68">
        <f>EFEITO!$J$347*EFEITO!$Y$347</f>
        <v>0</v>
      </c>
      <c r="K347" s="68">
        <f ca="1">EFEITO!$L$347*EFEITO!$Z$347</f>
        <v>72.965764992507374</v>
      </c>
      <c r="L347" s="68">
        <f>EFEITO!$N$347*EFEITO!$AA$347</f>
        <v>20.531312091154405</v>
      </c>
      <c r="M347" s="68">
        <f>$J$347-EFEITO!$K$347*EFEITO!$Y$347</f>
        <v>0</v>
      </c>
      <c r="N347" s="68">
        <f ca="1">$K$347-EFEITO!$M$347*EFEITO!$Z$347</f>
        <v>0</v>
      </c>
      <c r="O347" s="68">
        <f>$L$347-EFEITO!$O$347*EFEITO!$AA$347</f>
        <v>0</v>
      </c>
      <c r="P347" s="18"/>
      <c r="Q347" s="18"/>
      <c r="R347" s="18"/>
      <c r="S347" s="18"/>
      <c r="T347" s="18"/>
      <c r="U347" s="18"/>
      <c r="V347" s="18"/>
      <c r="W347" s="18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60" t="s">
        <v>21</v>
      </c>
      <c r="B348" s="60" t="s">
        <v>32</v>
      </c>
      <c r="C348" s="60" t="s">
        <v>49</v>
      </c>
      <c r="D348" s="60" t="s">
        <v>41</v>
      </c>
      <c r="E348" s="60" t="s">
        <v>25</v>
      </c>
      <c r="F348" s="60" t="s">
        <v>25</v>
      </c>
      <c r="G348" s="60" t="s">
        <v>25</v>
      </c>
      <c r="H348" s="60" t="s">
        <v>36</v>
      </c>
      <c r="I348" s="67">
        <v>44682</v>
      </c>
      <c r="J348" s="68">
        <f>EFEITO!$J$348*EFEITO!$Y$348</f>
        <v>0</v>
      </c>
      <c r="K348" s="68">
        <f ca="1">EFEITO!$L$348*EFEITO!$Z$348</f>
        <v>76.675888636194188</v>
      </c>
      <c r="L348" s="68">
        <f>EFEITO!$N$348*EFEITO!$AA$348</f>
        <v>21.575277112738529</v>
      </c>
      <c r="M348" s="68">
        <f>$J$348-EFEITO!$K$348*EFEITO!$Y$348</f>
        <v>0</v>
      </c>
      <c r="N348" s="68">
        <f ca="1">$K$348-EFEITO!$M$348*EFEITO!$Z$348</f>
        <v>0</v>
      </c>
      <c r="O348" s="68">
        <f>$L$348-EFEITO!$O$348*EFEITO!$AA$348</f>
        <v>0</v>
      </c>
      <c r="P348" s="18"/>
      <c r="Q348" s="18"/>
      <c r="R348" s="18"/>
      <c r="S348" s="18"/>
      <c r="T348" s="18"/>
      <c r="U348" s="18"/>
      <c r="V348" s="18"/>
      <c r="W348" s="18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60" t="s">
        <v>21</v>
      </c>
      <c r="B349" s="60" t="s">
        <v>32</v>
      </c>
      <c r="C349" s="60" t="s">
        <v>49</v>
      </c>
      <c r="D349" s="60" t="s">
        <v>41</v>
      </c>
      <c r="E349" s="60" t="s">
        <v>25</v>
      </c>
      <c r="F349" s="60" t="s">
        <v>25</v>
      </c>
      <c r="G349" s="60" t="s">
        <v>25</v>
      </c>
      <c r="H349" s="60" t="s">
        <v>36</v>
      </c>
      <c r="I349" s="67">
        <v>44713</v>
      </c>
      <c r="J349" s="68">
        <f>EFEITO!$J$349*EFEITO!$Y$349</f>
        <v>0</v>
      </c>
      <c r="K349" s="68">
        <f ca="1">EFEITO!$L$349*EFEITO!$Z$349</f>
        <v>82.859428042338891</v>
      </c>
      <c r="L349" s="68">
        <f>EFEITO!$N$349*EFEITO!$AA$349</f>
        <v>23.315218815378735</v>
      </c>
      <c r="M349" s="68">
        <f>$J$349-EFEITO!$K$349*EFEITO!$Y$349</f>
        <v>0</v>
      </c>
      <c r="N349" s="68">
        <f ca="1">$K$349-EFEITO!$M$349*EFEITO!$Z$349</f>
        <v>0</v>
      </c>
      <c r="O349" s="68">
        <f>$L$349-EFEITO!$O$349*EFEITO!$AA$349</f>
        <v>0</v>
      </c>
      <c r="P349" s="18"/>
      <c r="Q349" s="18"/>
      <c r="R349" s="18"/>
      <c r="S349" s="18"/>
      <c r="T349" s="18"/>
      <c r="U349" s="18"/>
      <c r="V349" s="18"/>
      <c r="W349" s="18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60" t="s">
        <v>21</v>
      </c>
      <c r="B350" s="60" t="s">
        <v>32</v>
      </c>
      <c r="C350" s="60" t="s">
        <v>23</v>
      </c>
      <c r="D350" s="60" t="s">
        <v>38</v>
      </c>
      <c r="E350" s="60" t="s">
        <v>25</v>
      </c>
      <c r="F350" s="60" t="s">
        <v>25</v>
      </c>
      <c r="G350" s="60" t="s">
        <v>25</v>
      </c>
      <c r="H350" s="60" t="s">
        <v>25</v>
      </c>
      <c r="I350" s="67">
        <v>44378</v>
      </c>
      <c r="J350" s="68">
        <f>EFEITO!$J$350*EFEITO!$Y$350</f>
        <v>0</v>
      </c>
      <c r="K350" s="68">
        <f ca="1">EFEITO!$L$350*EFEITO!$Z$350</f>
        <v>252348.29831119333</v>
      </c>
      <c r="L350" s="68">
        <f>EFEITO!$N$350*EFEITO!$AA$350</f>
        <v>152663.92706348133</v>
      </c>
      <c r="M350" s="68">
        <f>$J$350-EFEITO!$K$350*EFEITO!$Y$350</f>
        <v>0</v>
      </c>
      <c r="N350" s="68">
        <f ca="1">$K$350-EFEITO!$M$350*EFEITO!$Z$350</f>
        <v>0</v>
      </c>
      <c r="O350" s="68">
        <f>$L$350-EFEITO!$O$350*EFEITO!$AA$350</f>
        <v>0</v>
      </c>
      <c r="P350" s="18"/>
      <c r="Q350" s="18"/>
      <c r="R350" s="18"/>
      <c r="S350" s="18"/>
      <c r="T350" s="18"/>
      <c r="U350" s="18"/>
      <c r="V350" s="18"/>
      <c r="W350" s="18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60" t="s">
        <v>27</v>
      </c>
      <c r="B351" s="60" t="s">
        <v>32</v>
      </c>
      <c r="C351" s="60" t="s">
        <v>23</v>
      </c>
      <c r="D351" s="60" t="s">
        <v>38</v>
      </c>
      <c r="E351" s="60" t="s">
        <v>25</v>
      </c>
      <c r="F351" s="60" t="s">
        <v>25</v>
      </c>
      <c r="G351" s="60" t="s">
        <v>25</v>
      </c>
      <c r="H351" s="60" t="s">
        <v>25</v>
      </c>
      <c r="I351" s="67">
        <v>44378</v>
      </c>
      <c r="J351" s="68">
        <f>EFEITO!$J$351*EFEITO!$Y$351</f>
        <v>0</v>
      </c>
      <c r="K351" s="68">
        <f ca="1">EFEITO!$L$351*EFEITO!$Z$351</f>
        <v>14076.041573495626</v>
      </c>
      <c r="L351" s="68">
        <f>EFEITO!$N$351*EFEITO!$AA$351</f>
        <v>8515.6262138477396</v>
      </c>
      <c r="M351" s="68">
        <f>$J$351-EFEITO!$K$351*EFEITO!$Y$351</f>
        <v>0</v>
      </c>
      <c r="N351" s="68">
        <f ca="1">$K$351-EFEITO!$M$351*EFEITO!$Z$351</f>
        <v>0</v>
      </c>
      <c r="O351" s="68">
        <f>$L$351-EFEITO!$O$351*EFEITO!$AA$351</f>
        <v>0</v>
      </c>
      <c r="P351" s="18"/>
      <c r="Q351" s="18"/>
      <c r="R351" s="18"/>
      <c r="S351" s="18"/>
      <c r="T351" s="18"/>
      <c r="U351" s="18"/>
      <c r="V351" s="18"/>
      <c r="W351" s="18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60" t="s">
        <v>21</v>
      </c>
      <c r="B352" s="60" t="s">
        <v>32</v>
      </c>
      <c r="C352" s="60" t="s">
        <v>23</v>
      </c>
      <c r="D352" s="60" t="s">
        <v>38</v>
      </c>
      <c r="E352" s="60" t="s">
        <v>25</v>
      </c>
      <c r="F352" s="60" t="s">
        <v>25</v>
      </c>
      <c r="G352" s="60" t="s">
        <v>25</v>
      </c>
      <c r="H352" s="60" t="s">
        <v>25</v>
      </c>
      <c r="I352" s="67">
        <v>44409</v>
      </c>
      <c r="J352" s="68">
        <f>EFEITO!$J$352*EFEITO!$Y$352</f>
        <v>0</v>
      </c>
      <c r="K352" s="68">
        <f ca="1">EFEITO!$L$352*EFEITO!$Z$352</f>
        <v>247309.23866979312</v>
      </c>
      <c r="L352" s="68">
        <f>EFEITO!$N$352*EFEITO!$AA$352</f>
        <v>149615.43163588553</v>
      </c>
      <c r="M352" s="68">
        <f>$J$352-EFEITO!$K$352*EFEITO!$Y$352</f>
        <v>0</v>
      </c>
      <c r="N352" s="68">
        <f ca="1">$K$352-EFEITO!$M$352*EFEITO!$Z$352</f>
        <v>0</v>
      </c>
      <c r="O352" s="68">
        <f>$L$352-EFEITO!$O$352*EFEITO!$AA$352</f>
        <v>0</v>
      </c>
      <c r="P352" s="18"/>
      <c r="Q352" s="18"/>
      <c r="R352" s="18"/>
      <c r="S352" s="18"/>
      <c r="T352" s="18"/>
      <c r="U352" s="18"/>
      <c r="V352" s="18"/>
      <c r="W352" s="18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60" t="s">
        <v>27</v>
      </c>
      <c r="B353" s="60" t="s">
        <v>32</v>
      </c>
      <c r="C353" s="60" t="s">
        <v>23</v>
      </c>
      <c r="D353" s="60" t="s">
        <v>38</v>
      </c>
      <c r="E353" s="60" t="s">
        <v>25</v>
      </c>
      <c r="F353" s="60" t="s">
        <v>25</v>
      </c>
      <c r="G353" s="60" t="s">
        <v>25</v>
      </c>
      <c r="H353" s="60" t="s">
        <v>25</v>
      </c>
      <c r="I353" s="67">
        <v>44409</v>
      </c>
      <c r="J353" s="68">
        <f>EFEITO!$J$353*EFEITO!$Y$353</f>
        <v>0</v>
      </c>
      <c r="K353" s="68">
        <f ca="1">EFEITO!$L$353*EFEITO!$Z$353</f>
        <v>13326.783769086484</v>
      </c>
      <c r="L353" s="68">
        <f>EFEITO!$N$353*EFEITO!$AA$353</f>
        <v>8062.3454127899759</v>
      </c>
      <c r="M353" s="68">
        <f>$J$353-EFEITO!$K$353*EFEITO!$Y$353</f>
        <v>0</v>
      </c>
      <c r="N353" s="68">
        <f ca="1">$K$353-EFEITO!$M$353*EFEITO!$Z$353</f>
        <v>0</v>
      </c>
      <c r="O353" s="68">
        <f>$L$353-EFEITO!$O$353*EFEITO!$AA$353</f>
        <v>0</v>
      </c>
      <c r="P353" s="18"/>
      <c r="Q353" s="18"/>
      <c r="R353" s="18"/>
      <c r="S353" s="18"/>
      <c r="T353" s="18"/>
      <c r="U353" s="18"/>
      <c r="V353" s="18"/>
      <c r="W353" s="18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60" t="s">
        <v>21</v>
      </c>
      <c r="B354" s="60" t="s">
        <v>32</v>
      </c>
      <c r="C354" s="60" t="s">
        <v>23</v>
      </c>
      <c r="D354" s="60" t="s">
        <v>38</v>
      </c>
      <c r="E354" s="60" t="s">
        <v>25</v>
      </c>
      <c r="F354" s="60" t="s">
        <v>25</v>
      </c>
      <c r="G354" s="60" t="s">
        <v>25</v>
      </c>
      <c r="H354" s="60" t="s">
        <v>25</v>
      </c>
      <c r="I354" s="67">
        <v>44440</v>
      </c>
      <c r="J354" s="68">
        <f>EFEITO!$J$354*EFEITO!$Y$354</f>
        <v>0</v>
      </c>
      <c r="K354" s="68">
        <f ca="1">EFEITO!$L$354*EFEITO!$Z$354</f>
        <v>230894.02325813458</v>
      </c>
      <c r="L354" s="68">
        <f>EFEITO!$N$354*EFEITO!$AA$354</f>
        <v>139684.66822234992</v>
      </c>
      <c r="M354" s="68">
        <f>$J$354-EFEITO!$K$354*EFEITO!$Y$354</f>
        <v>0</v>
      </c>
      <c r="N354" s="68">
        <f ca="1">$K$354-EFEITO!$M$354*EFEITO!$Z$354</f>
        <v>0</v>
      </c>
      <c r="O354" s="68">
        <f>$L$354-EFEITO!$O$354*EFEITO!$AA$354</f>
        <v>0</v>
      </c>
      <c r="P354" s="18"/>
      <c r="Q354" s="18"/>
      <c r="R354" s="18"/>
      <c r="S354" s="18"/>
      <c r="T354" s="18"/>
      <c r="U354" s="18"/>
      <c r="V354" s="18"/>
      <c r="W354" s="18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60" t="s">
        <v>27</v>
      </c>
      <c r="B355" s="60" t="s">
        <v>32</v>
      </c>
      <c r="C355" s="60" t="s">
        <v>23</v>
      </c>
      <c r="D355" s="60" t="s">
        <v>38</v>
      </c>
      <c r="E355" s="60" t="s">
        <v>25</v>
      </c>
      <c r="F355" s="60" t="s">
        <v>25</v>
      </c>
      <c r="G355" s="60" t="s">
        <v>25</v>
      </c>
      <c r="H355" s="60" t="s">
        <v>25</v>
      </c>
      <c r="I355" s="67">
        <v>44440</v>
      </c>
      <c r="J355" s="68">
        <f>EFEITO!$J$355*EFEITO!$Y$355</f>
        <v>0</v>
      </c>
      <c r="K355" s="68">
        <f ca="1">EFEITO!$L$355*EFEITO!$Z$355</f>
        <v>11956.153528490646</v>
      </c>
      <c r="L355" s="68">
        <f>EFEITO!$N$355*EFEITO!$AA$355</f>
        <v>7233.151015674267</v>
      </c>
      <c r="M355" s="68">
        <f>$J$355-EFEITO!$K$355*EFEITO!$Y$355</f>
        <v>0</v>
      </c>
      <c r="N355" s="68">
        <f ca="1">$K$355-EFEITO!$M$355*EFEITO!$Z$355</f>
        <v>0</v>
      </c>
      <c r="O355" s="68">
        <f>$L$355-EFEITO!$O$355*EFEITO!$AA$355</f>
        <v>0</v>
      </c>
      <c r="P355" s="18"/>
      <c r="Q355" s="18"/>
      <c r="R355" s="18"/>
      <c r="S355" s="18"/>
      <c r="T355" s="18"/>
      <c r="U355" s="18"/>
      <c r="V355" s="18"/>
      <c r="W355" s="18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60" t="s">
        <v>21</v>
      </c>
      <c r="B356" s="60" t="s">
        <v>32</v>
      </c>
      <c r="C356" s="60" t="s">
        <v>23</v>
      </c>
      <c r="D356" s="60" t="s">
        <v>38</v>
      </c>
      <c r="E356" s="60" t="s">
        <v>25</v>
      </c>
      <c r="F356" s="60" t="s">
        <v>25</v>
      </c>
      <c r="G356" s="60" t="s">
        <v>25</v>
      </c>
      <c r="H356" s="60" t="s">
        <v>25</v>
      </c>
      <c r="I356" s="67">
        <v>44470</v>
      </c>
      <c r="J356" s="68">
        <f>EFEITO!$J$356*EFEITO!$Y$356</f>
        <v>0</v>
      </c>
      <c r="K356" s="68">
        <f ca="1">EFEITO!$L$356*EFEITO!$Z$356</f>
        <v>228730.87986799557</v>
      </c>
      <c r="L356" s="68">
        <f>EFEITO!$N$356*EFEITO!$AA$356</f>
        <v>138376.02470483829</v>
      </c>
      <c r="M356" s="68">
        <f>$J$356-EFEITO!$K$356*EFEITO!$Y$356</f>
        <v>0</v>
      </c>
      <c r="N356" s="68">
        <f ca="1">$K$356-EFEITO!$M$356*EFEITO!$Z$356</f>
        <v>0</v>
      </c>
      <c r="O356" s="68">
        <f>$L$356-EFEITO!$O$356*EFEITO!$AA$356</f>
        <v>0</v>
      </c>
      <c r="P356" s="18"/>
      <c r="Q356" s="18"/>
      <c r="R356" s="18"/>
      <c r="S356" s="18"/>
      <c r="T356" s="18"/>
      <c r="U356" s="18"/>
      <c r="V356" s="18"/>
      <c r="W356" s="18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60" t="s">
        <v>27</v>
      </c>
      <c r="B357" s="60" t="s">
        <v>32</v>
      </c>
      <c r="C357" s="60" t="s">
        <v>23</v>
      </c>
      <c r="D357" s="60" t="s">
        <v>38</v>
      </c>
      <c r="E357" s="60" t="s">
        <v>25</v>
      </c>
      <c r="F357" s="60" t="s">
        <v>25</v>
      </c>
      <c r="G357" s="60" t="s">
        <v>25</v>
      </c>
      <c r="H357" s="60" t="s">
        <v>25</v>
      </c>
      <c r="I357" s="67">
        <v>44470</v>
      </c>
      <c r="J357" s="68">
        <f>EFEITO!$J$357*EFEITO!$Y$357</f>
        <v>0</v>
      </c>
      <c r="K357" s="68">
        <f ca="1">EFEITO!$L$357*EFEITO!$Z$357</f>
        <v>11016.572205491633</v>
      </c>
      <c r="L357" s="68">
        <f>EFEITO!$N$357*EFEITO!$AA$357</f>
        <v>6664.7296095285374</v>
      </c>
      <c r="M357" s="68">
        <f>$J$357-EFEITO!$K$357*EFEITO!$Y$357</f>
        <v>0</v>
      </c>
      <c r="N357" s="68">
        <f ca="1">$K$357-EFEITO!$M$357*EFEITO!$Z$357</f>
        <v>0</v>
      </c>
      <c r="O357" s="68">
        <f>$L$357-EFEITO!$O$357*EFEITO!$AA$357</f>
        <v>0</v>
      </c>
      <c r="P357" s="18"/>
      <c r="Q357" s="18"/>
      <c r="R357" s="18"/>
      <c r="S357" s="18"/>
      <c r="T357" s="18"/>
      <c r="U357" s="18"/>
      <c r="V357" s="18"/>
      <c r="W357" s="18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60" t="s">
        <v>21</v>
      </c>
      <c r="B358" s="60" t="s">
        <v>32</v>
      </c>
      <c r="C358" s="60" t="s">
        <v>23</v>
      </c>
      <c r="D358" s="60" t="s">
        <v>38</v>
      </c>
      <c r="E358" s="60" t="s">
        <v>25</v>
      </c>
      <c r="F358" s="60" t="s">
        <v>25</v>
      </c>
      <c r="G358" s="60" t="s">
        <v>25</v>
      </c>
      <c r="H358" s="60" t="s">
        <v>25</v>
      </c>
      <c r="I358" s="67">
        <v>44501</v>
      </c>
      <c r="J358" s="68">
        <f>EFEITO!$J$358*EFEITO!$Y$358</f>
        <v>0</v>
      </c>
      <c r="K358" s="68">
        <f ca="1">EFEITO!$L$358*EFEITO!$Z$358</f>
        <v>259917.98370965413</v>
      </c>
      <c r="L358" s="68">
        <f>EFEITO!$N$358*EFEITO!$AA$358</f>
        <v>157243.3829476618</v>
      </c>
      <c r="M358" s="68">
        <f>$J$358-EFEITO!$K$358*EFEITO!$Y$358</f>
        <v>0</v>
      </c>
      <c r="N358" s="68">
        <f ca="1">$K$358-EFEITO!$M$358*EFEITO!$Z$358</f>
        <v>0</v>
      </c>
      <c r="O358" s="68">
        <f>$L$358-EFEITO!$O$358*EFEITO!$AA$358</f>
        <v>0</v>
      </c>
      <c r="P358" s="18"/>
      <c r="Q358" s="18"/>
      <c r="R358" s="18"/>
      <c r="S358" s="18"/>
      <c r="T358" s="18"/>
      <c r="U358" s="18"/>
      <c r="V358" s="18"/>
      <c r="W358" s="18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60" t="s">
        <v>27</v>
      </c>
      <c r="B359" s="60" t="s">
        <v>32</v>
      </c>
      <c r="C359" s="60" t="s">
        <v>23</v>
      </c>
      <c r="D359" s="60" t="s">
        <v>38</v>
      </c>
      <c r="E359" s="60" t="s">
        <v>25</v>
      </c>
      <c r="F359" s="60" t="s">
        <v>25</v>
      </c>
      <c r="G359" s="60" t="s">
        <v>25</v>
      </c>
      <c r="H359" s="60" t="s">
        <v>25</v>
      </c>
      <c r="I359" s="67">
        <v>44501</v>
      </c>
      <c r="J359" s="68">
        <f>EFEITO!$J$359*EFEITO!$Y$359</f>
        <v>0</v>
      </c>
      <c r="K359" s="68">
        <f ca="1">EFEITO!$L$359*EFEITO!$Z$359</f>
        <v>9701.233579980204</v>
      </c>
      <c r="L359" s="68">
        <f>EFEITO!$N$359*EFEITO!$AA$359</f>
        <v>5868.9851510451035</v>
      </c>
      <c r="M359" s="68">
        <f>$J$359-EFEITO!$K$359*EFEITO!$Y$359</f>
        <v>0</v>
      </c>
      <c r="N359" s="68">
        <f ca="1">$K$359-EFEITO!$M$359*EFEITO!$Z$359</f>
        <v>0</v>
      </c>
      <c r="O359" s="68">
        <f>$L$359-EFEITO!$O$359*EFEITO!$AA$359</f>
        <v>0</v>
      </c>
      <c r="P359" s="18"/>
      <c r="Q359" s="18"/>
      <c r="R359" s="18"/>
      <c r="S359" s="18"/>
      <c r="T359" s="18"/>
      <c r="U359" s="18"/>
      <c r="V359" s="18"/>
      <c r="W359" s="18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60" t="s">
        <v>21</v>
      </c>
      <c r="B360" s="60" t="s">
        <v>32</v>
      </c>
      <c r="C360" s="60" t="s">
        <v>23</v>
      </c>
      <c r="D360" s="60" t="s">
        <v>38</v>
      </c>
      <c r="E360" s="60" t="s">
        <v>25</v>
      </c>
      <c r="F360" s="60" t="s">
        <v>25</v>
      </c>
      <c r="G360" s="60" t="s">
        <v>25</v>
      </c>
      <c r="H360" s="60" t="s">
        <v>25</v>
      </c>
      <c r="I360" s="67">
        <v>44531</v>
      </c>
      <c r="J360" s="68">
        <f>EFEITO!$J$360*EFEITO!$Y$360</f>
        <v>0</v>
      </c>
      <c r="K360" s="68">
        <f ca="1">EFEITO!$L$360*EFEITO!$Z$360</f>
        <v>284377.94104937627</v>
      </c>
      <c r="L360" s="68">
        <f>EFEITO!$N$360*EFEITO!$AA$360</f>
        <v>172040.99865689196</v>
      </c>
      <c r="M360" s="68">
        <f>$J$360-EFEITO!$K$360*EFEITO!$Y$360</f>
        <v>0</v>
      </c>
      <c r="N360" s="68">
        <f ca="1">$K$360-EFEITO!$M$360*EFEITO!$Z$360</f>
        <v>0</v>
      </c>
      <c r="O360" s="68">
        <f>$L$360-EFEITO!$O$360*EFEITO!$AA$360</f>
        <v>0</v>
      </c>
      <c r="P360" s="18"/>
      <c r="Q360" s="18"/>
      <c r="R360" s="18"/>
      <c r="S360" s="18"/>
      <c r="T360" s="18"/>
      <c r="U360" s="18"/>
      <c r="V360" s="18"/>
      <c r="W360" s="18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60" t="s">
        <v>27</v>
      </c>
      <c r="B361" s="60" t="s">
        <v>32</v>
      </c>
      <c r="C361" s="60" t="s">
        <v>23</v>
      </c>
      <c r="D361" s="60" t="s">
        <v>38</v>
      </c>
      <c r="E361" s="60" t="s">
        <v>25</v>
      </c>
      <c r="F361" s="60" t="s">
        <v>25</v>
      </c>
      <c r="G361" s="60" t="s">
        <v>25</v>
      </c>
      <c r="H361" s="60" t="s">
        <v>25</v>
      </c>
      <c r="I361" s="67">
        <v>44531</v>
      </c>
      <c r="J361" s="68">
        <f>EFEITO!$J$361*EFEITO!$Y$361</f>
        <v>0</v>
      </c>
      <c r="K361" s="68">
        <f ca="1">EFEITO!$L$361*EFEITO!$Z$361</f>
        <v>11692.860123326791</v>
      </c>
      <c r="L361" s="68">
        <f>EFEITO!$N$361*EFEITO!$AA$361</f>
        <v>7073.8655936158166</v>
      </c>
      <c r="M361" s="68">
        <f>$J$361-EFEITO!$K$361*EFEITO!$Y$361</f>
        <v>0</v>
      </c>
      <c r="N361" s="68">
        <f ca="1">$K$361-EFEITO!$M$361*EFEITO!$Z$361</f>
        <v>0</v>
      </c>
      <c r="O361" s="68">
        <f>$L$361-EFEITO!$O$361*EFEITO!$AA$361</f>
        <v>0</v>
      </c>
      <c r="P361" s="18"/>
      <c r="Q361" s="18"/>
      <c r="R361" s="18"/>
      <c r="S361" s="18"/>
      <c r="T361" s="18"/>
      <c r="U361" s="18"/>
      <c r="V361" s="18"/>
      <c r="W361" s="18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60" t="s">
        <v>21</v>
      </c>
      <c r="B362" s="60" t="s">
        <v>32</v>
      </c>
      <c r="C362" s="60" t="s">
        <v>23</v>
      </c>
      <c r="D362" s="60" t="s">
        <v>38</v>
      </c>
      <c r="E362" s="60" t="s">
        <v>25</v>
      </c>
      <c r="F362" s="60" t="s">
        <v>25</v>
      </c>
      <c r="G362" s="60" t="s">
        <v>25</v>
      </c>
      <c r="H362" s="60" t="s">
        <v>25</v>
      </c>
      <c r="I362" s="67">
        <v>44562</v>
      </c>
      <c r="J362" s="68">
        <f>EFEITO!$J$362*EFEITO!$Y$362</f>
        <v>0</v>
      </c>
      <c r="K362" s="68">
        <f ca="1">EFEITO!$L$362*EFEITO!$Z$362</f>
        <v>304158.79844590073</v>
      </c>
      <c r="L362" s="68">
        <f>EFEITO!$N$362*EFEITO!$AA$362</f>
        <v>184007.88486554043</v>
      </c>
      <c r="M362" s="68">
        <f>$J$362-EFEITO!$K$362*EFEITO!$Y$362</f>
        <v>0</v>
      </c>
      <c r="N362" s="68">
        <f ca="1">$K$362-EFEITO!$M$362*EFEITO!$Z$362</f>
        <v>0</v>
      </c>
      <c r="O362" s="68">
        <f>$L$362-EFEITO!$O$362*EFEITO!$AA$362</f>
        <v>0</v>
      </c>
      <c r="P362" s="18"/>
      <c r="Q362" s="18"/>
      <c r="R362" s="18"/>
      <c r="S362" s="18"/>
      <c r="T362" s="18"/>
      <c r="U362" s="18"/>
      <c r="V362" s="18"/>
      <c r="W362" s="18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60" t="s">
        <v>27</v>
      </c>
      <c r="B363" s="60" t="s">
        <v>32</v>
      </c>
      <c r="C363" s="60" t="s">
        <v>23</v>
      </c>
      <c r="D363" s="60" t="s">
        <v>38</v>
      </c>
      <c r="E363" s="60" t="s">
        <v>25</v>
      </c>
      <c r="F363" s="60" t="s">
        <v>25</v>
      </c>
      <c r="G363" s="60" t="s">
        <v>25</v>
      </c>
      <c r="H363" s="60" t="s">
        <v>25</v>
      </c>
      <c r="I363" s="67">
        <v>44562</v>
      </c>
      <c r="J363" s="68">
        <f>EFEITO!$J$363*EFEITO!$Y$363</f>
        <v>0</v>
      </c>
      <c r="K363" s="68">
        <f ca="1">EFEITO!$L$363*EFEITO!$Z$363</f>
        <v>9412.3631011718608</v>
      </c>
      <c r="L363" s="68">
        <f>EFEITO!$N$363*EFEITO!$AA$363</f>
        <v>5694.2262879866885</v>
      </c>
      <c r="M363" s="68">
        <f>$J$363-EFEITO!$K$363*EFEITO!$Y$363</f>
        <v>0</v>
      </c>
      <c r="N363" s="68">
        <f ca="1">$K$363-EFEITO!$M$363*EFEITO!$Z$363</f>
        <v>0</v>
      </c>
      <c r="O363" s="68">
        <f>$L$363-EFEITO!$O$363*EFEITO!$AA$363</f>
        <v>0</v>
      </c>
      <c r="P363" s="18"/>
      <c r="Q363" s="18"/>
      <c r="R363" s="18"/>
      <c r="S363" s="18"/>
      <c r="T363" s="18"/>
      <c r="U363" s="18"/>
      <c r="V363" s="18"/>
      <c r="W363" s="18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60" t="s">
        <v>21</v>
      </c>
      <c r="B364" s="60" t="s">
        <v>32</v>
      </c>
      <c r="C364" s="60" t="s">
        <v>23</v>
      </c>
      <c r="D364" s="60" t="s">
        <v>38</v>
      </c>
      <c r="E364" s="60" t="s">
        <v>25</v>
      </c>
      <c r="F364" s="60" t="s">
        <v>25</v>
      </c>
      <c r="G364" s="60" t="s">
        <v>25</v>
      </c>
      <c r="H364" s="60" t="s">
        <v>25</v>
      </c>
      <c r="I364" s="67">
        <v>44593</v>
      </c>
      <c r="J364" s="68">
        <f>EFEITO!$J$364*EFEITO!$Y$364</f>
        <v>0</v>
      </c>
      <c r="K364" s="68">
        <f ca="1">EFEITO!$L$364*EFEITO!$Z$364</f>
        <v>304377.70810562267</v>
      </c>
      <c r="L364" s="68">
        <f>EFEITO!$N$364*EFEITO!$AA$364</f>
        <v>184140.31931645187</v>
      </c>
      <c r="M364" s="68">
        <f>$J$364-EFEITO!$K$364*EFEITO!$Y$364</f>
        <v>0</v>
      </c>
      <c r="N364" s="68">
        <f ca="1">$K$364-EFEITO!$M$364*EFEITO!$Z$364</f>
        <v>0</v>
      </c>
      <c r="O364" s="68">
        <f>$L$364-EFEITO!$O$364*EFEITO!$AA$364</f>
        <v>0</v>
      </c>
      <c r="P364" s="18"/>
      <c r="Q364" s="18"/>
      <c r="R364" s="18"/>
      <c r="S364" s="18"/>
      <c r="T364" s="18"/>
      <c r="U364" s="18"/>
      <c r="V364" s="18"/>
      <c r="W364" s="18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60" t="s">
        <v>27</v>
      </c>
      <c r="B365" s="60" t="s">
        <v>32</v>
      </c>
      <c r="C365" s="60" t="s">
        <v>23</v>
      </c>
      <c r="D365" s="60" t="s">
        <v>38</v>
      </c>
      <c r="E365" s="60" t="s">
        <v>25</v>
      </c>
      <c r="F365" s="60" t="s">
        <v>25</v>
      </c>
      <c r="G365" s="60" t="s">
        <v>25</v>
      </c>
      <c r="H365" s="60" t="s">
        <v>25</v>
      </c>
      <c r="I365" s="67">
        <v>44593</v>
      </c>
      <c r="J365" s="68">
        <f>EFEITO!$J$365*EFEITO!$Y$365</f>
        <v>0</v>
      </c>
      <c r="K365" s="68">
        <f ca="1">EFEITO!$L$365*EFEITO!$Z$365</f>
        <v>12746.786010854108</v>
      </c>
      <c r="L365" s="68">
        <f>EFEITO!$N$365*EFEITO!$AA$365</f>
        <v>7711.4623830555029</v>
      </c>
      <c r="M365" s="68">
        <f>$J$365-EFEITO!$K$365*EFEITO!$Y$365</f>
        <v>0</v>
      </c>
      <c r="N365" s="68">
        <f ca="1">$K$365-EFEITO!$M$365*EFEITO!$Z$365</f>
        <v>0</v>
      </c>
      <c r="O365" s="68">
        <f>$L$365-EFEITO!$O$365*EFEITO!$AA$365</f>
        <v>0</v>
      </c>
      <c r="P365" s="18"/>
      <c r="Q365" s="18"/>
      <c r="R365" s="18"/>
      <c r="S365" s="18"/>
      <c r="T365" s="18"/>
      <c r="U365" s="18"/>
      <c r="V365" s="18"/>
      <c r="W365" s="18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60" t="s">
        <v>21</v>
      </c>
      <c r="B366" s="60" t="s">
        <v>32</v>
      </c>
      <c r="C366" s="60" t="s">
        <v>23</v>
      </c>
      <c r="D366" s="60" t="s">
        <v>38</v>
      </c>
      <c r="E366" s="60" t="s">
        <v>25</v>
      </c>
      <c r="F366" s="60" t="s">
        <v>25</v>
      </c>
      <c r="G366" s="60" t="s">
        <v>25</v>
      </c>
      <c r="H366" s="60" t="s">
        <v>25</v>
      </c>
      <c r="I366" s="67">
        <v>44621</v>
      </c>
      <c r="J366" s="68">
        <f>EFEITO!$J$366*EFEITO!$Y$366</f>
        <v>0</v>
      </c>
      <c r="K366" s="68">
        <f ca="1">EFEITO!$L$366*EFEITO!$Z$366</f>
        <v>276530.29304174962</v>
      </c>
      <c r="L366" s="68">
        <f>EFEITO!$N$366*EFEITO!$AA$366</f>
        <v>167293.38287713833</v>
      </c>
      <c r="M366" s="68">
        <f>$J$366-EFEITO!$K$366*EFEITO!$Y$366</f>
        <v>0</v>
      </c>
      <c r="N366" s="68">
        <f ca="1">$K$366-EFEITO!$M$366*EFEITO!$Z$366</f>
        <v>0</v>
      </c>
      <c r="O366" s="68">
        <f>$L$366-EFEITO!$O$366*EFEITO!$AA$366</f>
        <v>0</v>
      </c>
      <c r="P366" s="18"/>
      <c r="Q366" s="18"/>
      <c r="R366" s="18"/>
      <c r="S366" s="18"/>
      <c r="T366" s="18"/>
      <c r="U366" s="18"/>
      <c r="V366" s="18"/>
      <c r="W366" s="18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60" t="s">
        <v>27</v>
      </c>
      <c r="B367" s="60" t="s">
        <v>32</v>
      </c>
      <c r="C367" s="60" t="s">
        <v>23</v>
      </c>
      <c r="D367" s="60" t="s">
        <v>38</v>
      </c>
      <c r="E367" s="60" t="s">
        <v>25</v>
      </c>
      <c r="F367" s="60" t="s">
        <v>25</v>
      </c>
      <c r="G367" s="60" t="s">
        <v>25</v>
      </c>
      <c r="H367" s="60" t="s">
        <v>25</v>
      </c>
      <c r="I367" s="67">
        <v>44621</v>
      </c>
      <c r="J367" s="68">
        <f>EFEITO!$J$367*EFEITO!$Y$367</f>
        <v>0</v>
      </c>
      <c r="K367" s="68">
        <f ca="1">EFEITO!$L$367*EFEITO!$Z$367</f>
        <v>14445.404607596918</v>
      </c>
      <c r="L367" s="68">
        <f>EFEITO!$N$367*EFEITO!$AA$367</f>
        <v>8739.0809059354524</v>
      </c>
      <c r="M367" s="68">
        <f>$J$367-EFEITO!$K$367*EFEITO!$Y$367</f>
        <v>0</v>
      </c>
      <c r="N367" s="68">
        <f ca="1">$K$367-EFEITO!$M$367*EFEITO!$Z$367</f>
        <v>0</v>
      </c>
      <c r="O367" s="68">
        <f>$L$367-EFEITO!$O$367*EFEITO!$AA$367</f>
        <v>0</v>
      </c>
      <c r="P367" s="18"/>
      <c r="Q367" s="18"/>
      <c r="R367" s="18"/>
      <c r="S367" s="18"/>
      <c r="T367" s="18"/>
      <c r="U367" s="18"/>
      <c r="V367" s="18"/>
      <c r="W367" s="18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60" t="s">
        <v>21</v>
      </c>
      <c r="B368" s="60" t="s">
        <v>32</v>
      </c>
      <c r="C368" s="60" t="s">
        <v>23</v>
      </c>
      <c r="D368" s="60" t="s">
        <v>38</v>
      </c>
      <c r="E368" s="60" t="s">
        <v>25</v>
      </c>
      <c r="F368" s="60" t="s">
        <v>25</v>
      </c>
      <c r="G368" s="60" t="s">
        <v>25</v>
      </c>
      <c r="H368" s="60" t="s">
        <v>25</v>
      </c>
      <c r="I368" s="67">
        <v>44652</v>
      </c>
      <c r="J368" s="68">
        <f>EFEITO!$J$368*EFEITO!$Y$368</f>
        <v>0</v>
      </c>
      <c r="K368" s="68">
        <f ca="1">EFEITO!$L$368*EFEITO!$Z$368</f>
        <v>237182.22204031938</v>
      </c>
      <c r="L368" s="68">
        <f>EFEITO!$N$368*EFEITO!$AA$368</f>
        <v>143488.85920231164</v>
      </c>
      <c r="M368" s="68">
        <f>$J$368-EFEITO!$K$368*EFEITO!$Y$368</f>
        <v>0</v>
      </c>
      <c r="N368" s="68">
        <f ca="1">$K$368-EFEITO!$M$368*EFEITO!$Z$368</f>
        <v>0</v>
      </c>
      <c r="O368" s="68">
        <f>$L$368-EFEITO!$O$368*EFEITO!$AA$368</f>
        <v>0</v>
      </c>
      <c r="P368" s="18"/>
      <c r="Q368" s="18"/>
      <c r="R368" s="18"/>
      <c r="S368" s="18"/>
      <c r="T368" s="18"/>
      <c r="U368" s="18"/>
      <c r="V368" s="18"/>
      <c r="W368" s="18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60" t="s">
        <v>48</v>
      </c>
      <c r="B369" s="60" t="s">
        <v>32</v>
      </c>
      <c r="C369" s="60" t="s">
        <v>23</v>
      </c>
      <c r="D369" s="60" t="s">
        <v>38</v>
      </c>
      <c r="E369" s="60" t="s">
        <v>25</v>
      </c>
      <c r="F369" s="60" t="s">
        <v>25</v>
      </c>
      <c r="G369" s="60" t="s">
        <v>25</v>
      </c>
      <c r="H369" s="60" t="s">
        <v>25</v>
      </c>
      <c r="I369" s="67">
        <v>44652</v>
      </c>
      <c r="J369" s="68">
        <f>EFEITO!$J$369*EFEITO!$Y$369</f>
        <v>0</v>
      </c>
      <c r="K369" s="68">
        <f ca="1">EFEITO!$L$369*EFEITO!$Z$369</f>
        <v>-1558.6969585700203</v>
      </c>
      <c r="L369" s="68">
        <f>EFEITO!$N$369*EFEITO!$AA$369</f>
        <v>-942.96969858603097</v>
      </c>
      <c r="M369" s="68">
        <f>$J$369-EFEITO!$K$369*EFEITO!$Y$369</f>
        <v>0</v>
      </c>
      <c r="N369" s="68">
        <f ca="1">$K$369-EFEITO!$M$369*EFEITO!$Z$369</f>
        <v>0</v>
      </c>
      <c r="O369" s="68">
        <f>$L$369-EFEITO!$O$369*EFEITO!$AA$369</f>
        <v>0</v>
      </c>
      <c r="P369" s="18"/>
      <c r="Q369" s="18"/>
      <c r="R369" s="18"/>
      <c r="S369" s="18"/>
      <c r="T369" s="18"/>
      <c r="U369" s="18"/>
      <c r="V369" s="18"/>
      <c r="W369" s="18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60" t="s">
        <v>27</v>
      </c>
      <c r="B370" s="60" t="s">
        <v>32</v>
      </c>
      <c r="C370" s="60" t="s">
        <v>23</v>
      </c>
      <c r="D370" s="60" t="s">
        <v>38</v>
      </c>
      <c r="E370" s="60" t="s">
        <v>25</v>
      </c>
      <c r="F370" s="60" t="s">
        <v>25</v>
      </c>
      <c r="G370" s="60" t="s">
        <v>25</v>
      </c>
      <c r="H370" s="60" t="s">
        <v>25</v>
      </c>
      <c r="I370" s="67">
        <v>44652</v>
      </c>
      <c r="J370" s="68">
        <f>EFEITO!$J$370*EFEITO!$Y$370</f>
        <v>0</v>
      </c>
      <c r="K370" s="68">
        <f ca="1">EFEITO!$L$370*EFEITO!$Z$370</f>
        <v>21887.580771271249</v>
      </c>
      <c r="L370" s="68">
        <f>EFEITO!$N$370*EFEITO!$AA$370</f>
        <v>13241.397135719046</v>
      </c>
      <c r="M370" s="68">
        <f>$J$370-EFEITO!$K$370*EFEITO!$Y$370</f>
        <v>0</v>
      </c>
      <c r="N370" s="68">
        <f ca="1">$K$370-EFEITO!$M$370*EFEITO!$Z$370</f>
        <v>0</v>
      </c>
      <c r="O370" s="68">
        <f>$L$370-EFEITO!$O$370*EFEITO!$AA$370</f>
        <v>0</v>
      </c>
      <c r="P370" s="18"/>
      <c r="Q370" s="18"/>
      <c r="R370" s="18"/>
      <c r="S370" s="18"/>
      <c r="T370" s="18"/>
      <c r="U370" s="18"/>
      <c r="V370" s="18"/>
      <c r="W370" s="18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60" t="s">
        <v>21</v>
      </c>
      <c r="B371" s="60" t="s">
        <v>32</v>
      </c>
      <c r="C371" s="60" t="s">
        <v>23</v>
      </c>
      <c r="D371" s="60" t="s">
        <v>38</v>
      </c>
      <c r="E371" s="60" t="s">
        <v>25</v>
      </c>
      <c r="F371" s="60" t="s">
        <v>25</v>
      </c>
      <c r="G371" s="60" t="s">
        <v>25</v>
      </c>
      <c r="H371" s="60" t="s">
        <v>25</v>
      </c>
      <c r="I371" s="67">
        <v>44682</v>
      </c>
      <c r="J371" s="68">
        <f>EFEITO!$J$371*EFEITO!$Y$371</f>
        <v>0</v>
      </c>
      <c r="K371" s="68">
        <f ca="1">EFEITO!$L$371*EFEITO!$Z$371</f>
        <v>228743.29227138186</v>
      </c>
      <c r="L371" s="68">
        <f>EFEITO!$N$371*EFEITO!$AA$371</f>
        <v>138383.53387473532</v>
      </c>
      <c r="M371" s="68">
        <f>$J$371-EFEITO!$K$371*EFEITO!$Y$371</f>
        <v>0</v>
      </c>
      <c r="N371" s="68">
        <f ca="1">$K$371-EFEITO!$M$371*EFEITO!$Z$371</f>
        <v>0</v>
      </c>
      <c r="O371" s="68">
        <f>$L$371-EFEITO!$O$371*EFEITO!$AA$371</f>
        <v>0</v>
      </c>
      <c r="P371" s="18"/>
      <c r="Q371" s="18"/>
      <c r="R371" s="18"/>
      <c r="S371" s="18"/>
      <c r="T371" s="18"/>
      <c r="U371" s="18"/>
      <c r="V371" s="18"/>
      <c r="W371" s="18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60" t="s">
        <v>27</v>
      </c>
      <c r="B372" s="60" t="s">
        <v>32</v>
      </c>
      <c r="C372" s="60" t="s">
        <v>23</v>
      </c>
      <c r="D372" s="60" t="s">
        <v>38</v>
      </c>
      <c r="E372" s="60" t="s">
        <v>25</v>
      </c>
      <c r="F372" s="60" t="s">
        <v>25</v>
      </c>
      <c r="G372" s="60" t="s">
        <v>25</v>
      </c>
      <c r="H372" s="60" t="s">
        <v>25</v>
      </c>
      <c r="I372" s="67">
        <v>44682</v>
      </c>
      <c r="J372" s="68">
        <f>EFEITO!$J$372*EFEITO!$Y$372</f>
        <v>0</v>
      </c>
      <c r="K372" s="68">
        <f ca="1">EFEITO!$L$372*EFEITO!$Z$372</f>
        <v>24263.239552721116</v>
      </c>
      <c r="L372" s="68">
        <f>EFEITO!$N$372*EFEITO!$AA$372</f>
        <v>14678.606743892158</v>
      </c>
      <c r="M372" s="68">
        <f>$J$372-EFEITO!$K$372*EFEITO!$Y$372</f>
        <v>0</v>
      </c>
      <c r="N372" s="68">
        <f ca="1">$K$372-EFEITO!$M$372*EFEITO!$Z$372</f>
        <v>0</v>
      </c>
      <c r="O372" s="68">
        <f>$L$372-EFEITO!$O$372*EFEITO!$AA$372</f>
        <v>0</v>
      </c>
      <c r="P372" s="18"/>
      <c r="Q372" s="18"/>
      <c r="R372" s="18"/>
      <c r="S372" s="18"/>
      <c r="T372" s="18"/>
      <c r="U372" s="18"/>
      <c r="V372" s="18"/>
      <c r="W372" s="18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60" t="s">
        <v>21</v>
      </c>
      <c r="B373" s="60" t="s">
        <v>32</v>
      </c>
      <c r="C373" s="60" t="s">
        <v>23</v>
      </c>
      <c r="D373" s="60" t="s">
        <v>38</v>
      </c>
      <c r="E373" s="60" t="s">
        <v>25</v>
      </c>
      <c r="F373" s="60" t="s">
        <v>25</v>
      </c>
      <c r="G373" s="60" t="s">
        <v>25</v>
      </c>
      <c r="H373" s="60" t="s">
        <v>25</v>
      </c>
      <c r="I373" s="67">
        <v>44713</v>
      </c>
      <c r="J373" s="68">
        <f>EFEITO!$J$373*EFEITO!$Y$373</f>
        <v>0</v>
      </c>
      <c r="K373" s="68">
        <f ca="1">EFEITO!$L$373*EFEITO!$Z$373</f>
        <v>238344.09822396384</v>
      </c>
      <c r="L373" s="68">
        <f>EFEITO!$N$373*EFEITO!$AA$373</f>
        <v>144191.76301479526</v>
      </c>
      <c r="M373" s="68">
        <f>$J$373-EFEITO!$K$373*EFEITO!$Y$373</f>
        <v>0</v>
      </c>
      <c r="N373" s="68">
        <f ca="1">$K$373-EFEITO!$M$373*EFEITO!$Z$373</f>
        <v>0</v>
      </c>
      <c r="O373" s="68">
        <f>$L$373-EFEITO!$O$373*EFEITO!$AA$373</f>
        <v>0</v>
      </c>
      <c r="P373" s="18"/>
      <c r="Q373" s="18"/>
      <c r="R373" s="18"/>
      <c r="S373" s="18"/>
      <c r="T373" s="18"/>
      <c r="U373" s="18"/>
      <c r="V373" s="18"/>
      <c r="W373" s="18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60" t="s">
        <v>27</v>
      </c>
      <c r="B374" s="60" t="s">
        <v>32</v>
      </c>
      <c r="C374" s="60" t="s">
        <v>23</v>
      </c>
      <c r="D374" s="60" t="s">
        <v>38</v>
      </c>
      <c r="E374" s="60" t="s">
        <v>25</v>
      </c>
      <c r="F374" s="60" t="s">
        <v>25</v>
      </c>
      <c r="G374" s="60" t="s">
        <v>25</v>
      </c>
      <c r="H374" s="60" t="s">
        <v>25</v>
      </c>
      <c r="I374" s="67">
        <v>44713</v>
      </c>
      <c r="J374" s="68">
        <f>EFEITO!$J$374*EFEITO!$Y$374</f>
        <v>0</v>
      </c>
      <c r="K374" s="68">
        <f ca="1">EFEITO!$L$374*EFEITO!$Z$374</f>
        <v>31805.843343793658</v>
      </c>
      <c r="L374" s="68">
        <f>EFEITO!$N$374*EFEITO!$AA$374</f>
        <v>19241.678984660903</v>
      </c>
      <c r="M374" s="68">
        <f>$J$374-EFEITO!$K$374*EFEITO!$Y$374</f>
        <v>0</v>
      </c>
      <c r="N374" s="68">
        <f ca="1">$K$374-EFEITO!$M$374*EFEITO!$Z$374</f>
        <v>0</v>
      </c>
      <c r="O374" s="68">
        <f>$L$374-EFEITO!$O$374*EFEITO!$AA$374</f>
        <v>0</v>
      </c>
      <c r="P374" s="18"/>
      <c r="Q374" s="18"/>
      <c r="R374" s="18"/>
      <c r="S374" s="18"/>
      <c r="T374" s="18"/>
      <c r="U374" s="18"/>
      <c r="V374" s="18"/>
      <c r="W374" s="18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60" t="s">
        <v>21</v>
      </c>
      <c r="B375" s="60" t="s">
        <v>32</v>
      </c>
      <c r="C375" s="60" t="s">
        <v>23</v>
      </c>
      <c r="D375" s="60" t="s">
        <v>47</v>
      </c>
      <c r="E375" s="60" t="s">
        <v>25</v>
      </c>
      <c r="F375" s="60" t="s">
        <v>25</v>
      </c>
      <c r="G375" s="60" t="s">
        <v>25</v>
      </c>
      <c r="H375" s="60" t="s">
        <v>25</v>
      </c>
      <c r="I375" s="67">
        <v>44378</v>
      </c>
      <c r="J375" s="68">
        <f>EFEITO!$J$375*EFEITO!$Y$375</f>
        <v>0</v>
      </c>
      <c r="K375" s="68">
        <f ca="1">EFEITO!$L$375*EFEITO!$Z$375</f>
        <v>857.20810052632146</v>
      </c>
      <c r="L375" s="68">
        <f>EFEITO!$N$375*EFEITO!$AA$375</f>
        <v>518.58782410172887</v>
      </c>
      <c r="M375" s="68">
        <f>$J$375-EFEITO!$K$375*EFEITO!$Y$375</f>
        <v>0</v>
      </c>
      <c r="N375" s="68">
        <f ca="1">$K$375-EFEITO!$M$375*EFEITO!$Z$375</f>
        <v>0</v>
      </c>
      <c r="O375" s="68">
        <f>$L$375-EFEITO!$O$375*EFEITO!$AA$375</f>
        <v>0</v>
      </c>
      <c r="P375" s="18"/>
      <c r="Q375" s="18"/>
      <c r="R375" s="18"/>
      <c r="S375" s="18"/>
      <c r="T375" s="18"/>
      <c r="U375" s="18"/>
      <c r="V375" s="18"/>
      <c r="W375" s="18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60" t="s">
        <v>21</v>
      </c>
      <c r="B376" s="60" t="s">
        <v>32</v>
      </c>
      <c r="C376" s="60" t="s">
        <v>23</v>
      </c>
      <c r="D376" s="60" t="s">
        <v>47</v>
      </c>
      <c r="E376" s="60" t="s">
        <v>25</v>
      </c>
      <c r="F376" s="60" t="s">
        <v>25</v>
      </c>
      <c r="G376" s="60" t="s">
        <v>25</v>
      </c>
      <c r="H376" s="60" t="s">
        <v>25</v>
      </c>
      <c r="I376" s="67">
        <v>44409</v>
      </c>
      <c r="J376" s="68">
        <f>EFEITO!$J$376*EFEITO!$Y$376</f>
        <v>0</v>
      </c>
      <c r="K376" s="68">
        <f ca="1">EFEITO!$L$376*EFEITO!$Z$376</f>
        <v>792.51314954320299</v>
      </c>
      <c r="L376" s="68">
        <f>EFEITO!$N$376*EFEITO!$AA$376</f>
        <v>479.44912039593805</v>
      </c>
      <c r="M376" s="68">
        <f>$J$376-EFEITO!$K$376*EFEITO!$Y$376</f>
        <v>0</v>
      </c>
      <c r="N376" s="68">
        <f ca="1">$K$376-EFEITO!$M$376*EFEITO!$Z$376</f>
        <v>0</v>
      </c>
      <c r="O376" s="68">
        <f>$L$376-EFEITO!$O$376*EFEITO!$AA$376</f>
        <v>0</v>
      </c>
      <c r="P376" s="18"/>
      <c r="Q376" s="18"/>
      <c r="R376" s="18"/>
      <c r="S376" s="18"/>
      <c r="T376" s="18"/>
      <c r="U376" s="18"/>
      <c r="V376" s="18"/>
      <c r="W376" s="18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60" t="s">
        <v>21</v>
      </c>
      <c r="B377" s="60" t="s">
        <v>32</v>
      </c>
      <c r="C377" s="60" t="s">
        <v>23</v>
      </c>
      <c r="D377" s="60" t="s">
        <v>47</v>
      </c>
      <c r="E377" s="60" t="s">
        <v>25</v>
      </c>
      <c r="F377" s="60" t="s">
        <v>25</v>
      </c>
      <c r="G377" s="60" t="s">
        <v>25</v>
      </c>
      <c r="H377" s="60" t="s">
        <v>25</v>
      </c>
      <c r="I377" s="67">
        <v>44440</v>
      </c>
      <c r="J377" s="68">
        <f>EFEITO!$J$377*EFEITO!$Y$377</f>
        <v>0</v>
      </c>
      <c r="K377" s="68">
        <f ca="1">EFEITO!$L$377*EFEITO!$Z$377</f>
        <v>638.29844080437363</v>
      </c>
      <c r="L377" s="68">
        <f>EFEITO!$N$377*EFEITO!$AA$377</f>
        <v>386.15337319027378</v>
      </c>
      <c r="M377" s="68">
        <f>$J$377-EFEITO!$K$377*EFEITO!$Y$377</f>
        <v>0</v>
      </c>
      <c r="N377" s="68">
        <f ca="1">$K$377-EFEITO!$M$377*EFEITO!$Z$377</f>
        <v>0</v>
      </c>
      <c r="O377" s="68">
        <f>$L$377-EFEITO!$O$377*EFEITO!$AA$377</f>
        <v>0</v>
      </c>
      <c r="P377" s="18"/>
      <c r="Q377" s="18"/>
      <c r="R377" s="18"/>
      <c r="S377" s="18"/>
      <c r="T377" s="18"/>
      <c r="U377" s="18"/>
      <c r="V377" s="18"/>
      <c r="W377" s="18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60" t="s">
        <v>21</v>
      </c>
      <c r="B378" s="60" t="s">
        <v>32</v>
      </c>
      <c r="C378" s="60" t="s">
        <v>23</v>
      </c>
      <c r="D378" s="60" t="s">
        <v>47</v>
      </c>
      <c r="E378" s="60" t="s">
        <v>25</v>
      </c>
      <c r="F378" s="60" t="s">
        <v>25</v>
      </c>
      <c r="G378" s="60" t="s">
        <v>25</v>
      </c>
      <c r="H378" s="60" t="s">
        <v>25</v>
      </c>
      <c r="I378" s="67">
        <v>44470</v>
      </c>
      <c r="J378" s="68">
        <f>EFEITO!$J$378*EFEITO!$Y$378</f>
        <v>0</v>
      </c>
      <c r="K378" s="68">
        <f ca="1">EFEITO!$L$378*EFEITO!$Z$378</f>
        <v>627.76670459781951</v>
      </c>
      <c r="L378" s="68">
        <f>EFEITO!$N$378*EFEITO!$AA$378</f>
        <v>379.78195630793573</v>
      </c>
      <c r="M378" s="68">
        <f>$J$378-EFEITO!$K$378*EFEITO!$Y$378</f>
        <v>0</v>
      </c>
      <c r="N378" s="68">
        <f ca="1">$K$378-EFEITO!$M$378*EFEITO!$Z$378</f>
        <v>0</v>
      </c>
      <c r="O378" s="68">
        <f>$L$378-EFEITO!$O$378*EFEITO!$AA$378</f>
        <v>0</v>
      </c>
      <c r="P378" s="18"/>
      <c r="Q378" s="18"/>
      <c r="R378" s="18"/>
      <c r="S378" s="18"/>
      <c r="T378" s="18"/>
      <c r="U378" s="18"/>
      <c r="V378" s="18"/>
      <c r="W378" s="18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60" t="s">
        <v>21</v>
      </c>
      <c r="B379" s="60" t="s">
        <v>32</v>
      </c>
      <c r="C379" s="60" t="s">
        <v>23</v>
      </c>
      <c r="D379" s="60" t="s">
        <v>47</v>
      </c>
      <c r="E379" s="60" t="s">
        <v>25</v>
      </c>
      <c r="F379" s="60" t="s">
        <v>25</v>
      </c>
      <c r="G379" s="60" t="s">
        <v>25</v>
      </c>
      <c r="H379" s="60" t="s">
        <v>25</v>
      </c>
      <c r="I379" s="67">
        <v>44501</v>
      </c>
      <c r="J379" s="68">
        <f>EFEITO!$J$379*EFEITO!$Y$379</f>
        <v>0</v>
      </c>
      <c r="K379" s="68">
        <f ca="1">EFEITO!$L$379*EFEITO!$Z$379</f>
        <v>826.36515877855561</v>
      </c>
      <c r="L379" s="68">
        <f>EFEITO!$N$379*EFEITO!$AA$379</f>
        <v>499.92867466059602</v>
      </c>
      <c r="M379" s="68">
        <f>$J$379-EFEITO!$K$379*EFEITO!$Y$379</f>
        <v>0</v>
      </c>
      <c r="N379" s="68">
        <f ca="1">$K$379-EFEITO!$M$379*EFEITO!$Z$379</f>
        <v>0</v>
      </c>
      <c r="O379" s="68">
        <f>$L$379-EFEITO!$O$379*EFEITO!$AA$379</f>
        <v>0</v>
      </c>
      <c r="P379" s="18"/>
      <c r="Q379" s="18"/>
      <c r="R379" s="18"/>
      <c r="S379" s="18"/>
      <c r="T379" s="18"/>
      <c r="U379" s="18"/>
      <c r="V379" s="18"/>
      <c r="W379" s="18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60" t="s">
        <v>21</v>
      </c>
      <c r="B380" s="60" t="s">
        <v>32</v>
      </c>
      <c r="C380" s="60" t="s">
        <v>23</v>
      </c>
      <c r="D380" s="60" t="s">
        <v>47</v>
      </c>
      <c r="E380" s="60" t="s">
        <v>25</v>
      </c>
      <c r="F380" s="60" t="s">
        <v>25</v>
      </c>
      <c r="G380" s="60" t="s">
        <v>25</v>
      </c>
      <c r="H380" s="60" t="s">
        <v>25</v>
      </c>
      <c r="I380" s="67">
        <v>44531</v>
      </c>
      <c r="J380" s="68">
        <f>EFEITO!$J$380*EFEITO!$Y$380</f>
        <v>0</v>
      </c>
      <c r="K380" s="68">
        <f ca="1">EFEITO!$L$380*EFEITO!$Z$380</f>
        <v>960.26866197617323</v>
      </c>
      <c r="L380" s="68">
        <f>EFEITO!$N$380*EFEITO!$AA$380</f>
        <v>580.93668930746549</v>
      </c>
      <c r="M380" s="68">
        <f>$J$380-EFEITO!$K$380*EFEITO!$Y$380</f>
        <v>0</v>
      </c>
      <c r="N380" s="68">
        <f ca="1">$K$380-EFEITO!$M$380*EFEITO!$Z$380</f>
        <v>0</v>
      </c>
      <c r="O380" s="68">
        <f>$L$380-EFEITO!$O$380*EFEITO!$AA$380</f>
        <v>0</v>
      </c>
      <c r="P380" s="18"/>
      <c r="Q380" s="18"/>
      <c r="R380" s="18"/>
      <c r="S380" s="18"/>
      <c r="T380" s="18"/>
      <c r="U380" s="18"/>
      <c r="V380" s="18"/>
      <c r="W380" s="18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60" t="s">
        <v>21</v>
      </c>
      <c r="B381" s="60" t="s">
        <v>32</v>
      </c>
      <c r="C381" s="60" t="s">
        <v>23</v>
      </c>
      <c r="D381" s="60" t="s">
        <v>47</v>
      </c>
      <c r="E381" s="60" t="s">
        <v>25</v>
      </c>
      <c r="F381" s="60" t="s">
        <v>25</v>
      </c>
      <c r="G381" s="60" t="s">
        <v>25</v>
      </c>
      <c r="H381" s="60" t="s">
        <v>25</v>
      </c>
      <c r="I381" s="67">
        <v>44562</v>
      </c>
      <c r="J381" s="68">
        <f>EFEITO!$J$381*EFEITO!$Y$381</f>
        <v>0</v>
      </c>
      <c r="K381" s="68">
        <f ca="1">EFEITO!$L$381*EFEITO!$Z$381</f>
        <v>1162.6284505163931</v>
      </c>
      <c r="L381" s="68">
        <f>EFEITO!$N$381*EFEITO!$AA$381</f>
        <v>703.3589136895323</v>
      </c>
      <c r="M381" s="68">
        <f>$J$381-EFEITO!$K$381*EFEITO!$Y$381</f>
        <v>0</v>
      </c>
      <c r="N381" s="68">
        <f ca="1">$K$381-EFEITO!$M$381*EFEITO!$Z$381</f>
        <v>0</v>
      </c>
      <c r="O381" s="68">
        <f>$L$381-EFEITO!$O$381*EFEITO!$AA$381</f>
        <v>0</v>
      </c>
      <c r="P381" s="18"/>
      <c r="Q381" s="18"/>
      <c r="R381" s="18"/>
      <c r="S381" s="18"/>
      <c r="T381" s="18"/>
      <c r="U381" s="18"/>
      <c r="V381" s="18"/>
      <c r="W381" s="18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60" t="s">
        <v>21</v>
      </c>
      <c r="B382" s="60" t="s">
        <v>32</v>
      </c>
      <c r="C382" s="60" t="s">
        <v>23</v>
      </c>
      <c r="D382" s="60" t="s">
        <v>47</v>
      </c>
      <c r="E382" s="60" t="s">
        <v>25</v>
      </c>
      <c r="F382" s="60" t="s">
        <v>25</v>
      </c>
      <c r="G382" s="60" t="s">
        <v>25</v>
      </c>
      <c r="H382" s="60" t="s">
        <v>25</v>
      </c>
      <c r="I382" s="67">
        <v>44593</v>
      </c>
      <c r="J382" s="68">
        <f>EFEITO!$J$382*EFEITO!$Y$382</f>
        <v>0</v>
      </c>
      <c r="K382" s="68">
        <f ca="1">EFEITO!$L$382*EFEITO!$Z$382</f>
        <v>1314.2102252035838</v>
      </c>
      <c r="L382" s="68">
        <f>EFEITO!$N$382*EFEITO!$AA$382</f>
        <v>795.06180667461206</v>
      </c>
      <c r="M382" s="68">
        <f>$J$382-EFEITO!$K$382*EFEITO!$Y$382</f>
        <v>0</v>
      </c>
      <c r="N382" s="68">
        <f ca="1">$K$382-EFEITO!$M$382*EFEITO!$Z$382</f>
        <v>0</v>
      </c>
      <c r="O382" s="68">
        <f>$L$382-EFEITO!$O$382*EFEITO!$AA$382</f>
        <v>0</v>
      </c>
      <c r="P382" s="18"/>
      <c r="Q382" s="18"/>
      <c r="R382" s="18"/>
      <c r="S382" s="18"/>
      <c r="T382" s="18"/>
      <c r="U382" s="18"/>
      <c r="V382" s="18"/>
      <c r="W382" s="18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60" t="s">
        <v>21</v>
      </c>
      <c r="B383" s="60" t="s">
        <v>32</v>
      </c>
      <c r="C383" s="60" t="s">
        <v>23</v>
      </c>
      <c r="D383" s="60" t="s">
        <v>47</v>
      </c>
      <c r="E383" s="60" t="s">
        <v>25</v>
      </c>
      <c r="F383" s="60" t="s">
        <v>25</v>
      </c>
      <c r="G383" s="60" t="s">
        <v>25</v>
      </c>
      <c r="H383" s="60" t="s">
        <v>25</v>
      </c>
      <c r="I383" s="67">
        <v>44621</v>
      </c>
      <c r="J383" s="68">
        <f>EFEITO!$J$383*EFEITO!$Y$383</f>
        <v>0</v>
      </c>
      <c r="K383" s="68">
        <f ca="1">EFEITO!$L$383*EFEITO!$Z$383</f>
        <v>1030.2294810625688</v>
      </c>
      <c r="L383" s="68">
        <f>EFEITO!$N$383*EFEITO!$AA$383</f>
        <v>623.26110145442533</v>
      </c>
      <c r="M383" s="68">
        <f>$J$383-EFEITO!$K$383*EFEITO!$Y$383</f>
        <v>0</v>
      </c>
      <c r="N383" s="68">
        <f ca="1">$K$383-EFEITO!$M$383*EFEITO!$Z$383</f>
        <v>0</v>
      </c>
      <c r="O383" s="68">
        <f>$L$383-EFEITO!$O$383*EFEITO!$AA$383</f>
        <v>0</v>
      </c>
      <c r="P383" s="18"/>
      <c r="Q383" s="18"/>
      <c r="R383" s="18"/>
      <c r="S383" s="18"/>
      <c r="T383" s="18"/>
      <c r="U383" s="18"/>
      <c r="V383" s="18"/>
      <c r="W383" s="18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60" t="s">
        <v>21</v>
      </c>
      <c r="B384" s="60" t="s">
        <v>32</v>
      </c>
      <c r="C384" s="60" t="s">
        <v>23</v>
      </c>
      <c r="D384" s="60" t="s">
        <v>47</v>
      </c>
      <c r="E384" s="60" t="s">
        <v>25</v>
      </c>
      <c r="F384" s="60" t="s">
        <v>25</v>
      </c>
      <c r="G384" s="60" t="s">
        <v>25</v>
      </c>
      <c r="H384" s="60" t="s">
        <v>25</v>
      </c>
      <c r="I384" s="67">
        <v>44652</v>
      </c>
      <c r="J384" s="68">
        <f>EFEITO!$J$384*EFEITO!$Y$384</f>
        <v>0</v>
      </c>
      <c r="K384" s="68">
        <f ca="1">EFEITO!$L$384*EFEITO!$Z$384</f>
        <v>700.73659117180205</v>
      </c>
      <c r="L384" s="68">
        <f>EFEITO!$N$384*EFEITO!$AA$384</f>
        <v>423.92677327842074</v>
      </c>
      <c r="M384" s="68">
        <f>$J$384-EFEITO!$K$384*EFEITO!$Y$384</f>
        <v>0</v>
      </c>
      <c r="N384" s="68">
        <f ca="1">$K$384-EFEITO!$M$384*EFEITO!$Z$384</f>
        <v>0</v>
      </c>
      <c r="O384" s="68">
        <f>$L$384-EFEITO!$O$384*EFEITO!$AA$384</f>
        <v>0</v>
      </c>
      <c r="P384" s="18"/>
      <c r="Q384" s="18"/>
      <c r="R384" s="18"/>
      <c r="S384" s="18"/>
      <c r="T384" s="18"/>
      <c r="U384" s="18"/>
      <c r="V384" s="18"/>
      <c r="W384" s="18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60" t="s">
        <v>21</v>
      </c>
      <c r="B385" s="60" t="s">
        <v>32</v>
      </c>
      <c r="C385" s="60" t="s">
        <v>23</v>
      </c>
      <c r="D385" s="60" t="s">
        <v>47</v>
      </c>
      <c r="E385" s="60" t="s">
        <v>25</v>
      </c>
      <c r="F385" s="60" t="s">
        <v>25</v>
      </c>
      <c r="G385" s="60" t="s">
        <v>25</v>
      </c>
      <c r="H385" s="60" t="s">
        <v>25</v>
      </c>
      <c r="I385" s="67">
        <v>44682</v>
      </c>
      <c r="J385" s="68">
        <f>EFEITO!$J$385*EFEITO!$Y$385</f>
        <v>0</v>
      </c>
      <c r="K385" s="68">
        <f ca="1">EFEITO!$L$385*EFEITO!$Z$385</f>
        <v>691.70938870904138</v>
      </c>
      <c r="L385" s="68">
        <f>EFEITO!$N$385*EFEITO!$AA$385</f>
        <v>418.4655588078453</v>
      </c>
      <c r="M385" s="68">
        <f>$J$385-EFEITO!$K$385*EFEITO!$Y$385</f>
        <v>0</v>
      </c>
      <c r="N385" s="68">
        <f ca="1">$K$385-EFEITO!$M$385*EFEITO!$Z$385</f>
        <v>0</v>
      </c>
      <c r="O385" s="68">
        <f>$L$385-EFEITO!$O$385*EFEITO!$AA$385</f>
        <v>0</v>
      </c>
      <c r="P385" s="18"/>
      <c r="Q385" s="18"/>
      <c r="R385" s="18"/>
      <c r="S385" s="18"/>
      <c r="T385" s="18"/>
      <c r="U385" s="18"/>
      <c r="V385" s="18"/>
      <c r="W385" s="18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60" t="s">
        <v>21</v>
      </c>
      <c r="B386" s="60" t="s">
        <v>32</v>
      </c>
      <c r="C386" s="60" t="s">
        <v>23</v>
      </c>
      <c r="D386" s="60" t="s">
        <v>47</v>
      </c>
      <c r="E386" s="60" t="s">
        <v>25</v>
      </c>
      <c r="F386" s="60" t="s">
        <v>25</v>
      </c>
      <c r="G386" s="60" t="s">
        <v>25</v>
      </c>
      <c r="H386" s="60" t="s">
        <v>25</v>
      </c>
      <c r="I386" s="67">
        <v>44713</v>
      </c>
      <c r="J386" s="68">
        <f>EFEITO!$J$386*EFEITO!$Y$386</f>
        <v>0</v>
      </c>
      <c r="K386" s="68">
        <f ca="1">EFEITO!$L$386*EFEITO!$Z$386</f>
        <v>809.06302072493077</v>
      </c>
      <c r="L386" s="68">
        <f>EFEITO!$N$386*EFEITO!$AA$386</f>
        <v>489.46134692532632</v>
      </c>
      <c r="M386" s="68">
        <f>$J$386-EFEITO!$K$386*EFEITO!$Y$386</f>
        <v>0</v>
      </c>
      <c r="N386" s="68">
        <f ca="1">$K$386-EFEITO!$M$386*EFEITO!$Z$386</f>
        <v>0</v>
      </c>
      <c r="O386" s="68">
        <f>$L$386-EFEITO!$O$386*EFEITO!$AA$386</f>
        <v>0</v>
      </c>
      <c r="P386" s="18"/>
      <c r="Q386" s="18"/>
      <c r="R386" s="18"/>
      <c r="S386" s="18"/>
      <c r="T386" s="18"/>
      <c r="U386" s="18"/>
      <c r="V386" s="18"/>
      <c r="W386" s="18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60" t="s">
        <v>21</v>
      </c>
      <c r="B387" s="60" t="s">
        <v>32</v>
      </c>
      <c r="C387" s="60" t="s">
        <v>23</v>
      </c>
      <c r="D387" s="60" t="s">
        <v>33</v>
      </c>
      <c r="E387" s="60" t="s">
        <v>25</v>
      </c>
      <c r="F387" s="60" t="s">
        <v>25</v>
      </c>
      <c r="G387" s="60" t="s">
        <v>25</v>
      </c>
      <c r="H387" s="60" t="s">
        <v>25</v>
      </c>
      <c r="I387" s="67">
        <v>44378</v>
      </c>
      <c r="J387" s="68">
        <f>EFEITO!$J$387*EFEITO!$Y$387</f>
        <v>0</v>
      </c>
      <c r="K387" s="68">
        <f ca="1">EFEITO!$L$387*EFEITO!$Z$387</f>
        <v>29180.431960874077</v>
      </c>
      <c r="L387" s="68">
        <f>EFEITO!$N$387*EFEITO!$AA$387</f>
        <v>17653.375776135203</v>
      </c>
      <c r="M387" s="68">
        <f>$J$387-EFEITO!$K$387*EFEITO!$Y$387</f>
        <v>0</v>
      </c>
      <c r="N387" s="68">
        <f ca="1">$K$387-EFEITO!$M$387*EFEITO!$Z$387</f>
        <v>0</v>
      </c>
      <c r="O387" s="68">
        <f>$L$387-EFEITO!$O$387*EFEITO!$AA$387</f>
        <v>0</v>
      </c>
      <c r="P387" s="18"/>
      <c r="Q387" s="18"/>
      <c r="R387" s="18"/>
      <c r="S387" s="18"/>
      <c r="T387" s="18"/>
      <c r="U387" s="18"/>
      <c r="V387" s="18"/>
      <c r="W387" s="18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60" t="s">
        <v>21</v>
      </c>
      <c r="B388" s="60" t="s">
        <v>32</v>
      </c>
      <c r="C388" s="60" t="s">
        <v>23</v>
      </c>
      <c r="D388" s="60" t="s">
        <v>33</v>
      </c>
      <c r="E388" s="60" t="s">
        <v>25</v>
      </c>
      <c r="F388" s="60" t="s">
        <v>25</v>
      </c>
      <c r="G388" s="60" t="s">
        <v>25</v>
      </c>
      <c r="H388" s="60" t="s">
        <v>25</v>
      </c>
      <c r="I388" s="67">
        <v>44409</v>
      </c>
      <c r="J388" s="68">
        <f>EFEITO!$J$388*EFEITO!$Y$388</f>
        <v>0</v>
      </c>
      <c r="K388" s="68">
        <f ca="1">EFEITO!$L$388*EFEITO!$Z$388</f>
        <v>31749.047194965457</v>
      </c>
      <c r="L388" s="68">
        <f>EFEITO!$N$388*EFEITO!$AA$388</f>
        <v>19207.318843616864</v>
      </c>
      <c r="M388" s="68">
        <f>$J$388-EFEITO!$K$388*EFEITO!$Y$388</f>
        <v>0</v>
      </c>
      <c r="N388" s="68">
        <f ca="1">$K$388-EFEITO!$M$388*EFEITO!$Z$388</f>
        <v>0</v>
      </c>
      <c r="O388" s="68">
        <f>$L$388-EFEITO!$O$388*EFEITO!$AA$388</f>
        <v>0</v>
      </c>
      <c r="P388" s="18"/>
      <c r="Q388" s="18"/>
      <c r="R388" s="18"/>
      <c r="S388" s="18"/>
      <c r="T388" s="18"/>
      <c r="U388" s="18"/>
      <c r="V388" s="18"/>
      <c r="W388" s="18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60" t="s">
        <v>21</v>
      </c>
      <c r="B389" s="60" t="s">
        <v>32</v>
      </c>
      <c r="C389" s="60" t="s">
        <v>23</v>
      </c>
      <c r="D389" s="60" t="s">
        <v>33</v>
      </c>
      <c r="E389" s="60" t="s">
        <v>25</v>
      </c>
      <c r="F389" s="60" t="s">
        <v>25</v>
      </c>
      <c r="G389" s="60" t="s">
        <v>25</v>
      </c>
      <c r="H389" s="60" t="s">
        <v>25</v>
      </c>
      <c r="I389" s="67">
        <v>44440</v>
      </c>
      <c r="J389" s="68">
        <f>EFEITO!$J$389*EFEITO!$Y$389</f>
        <v>0</v>
      </c>
      <c r="K389" s="68">
        <f ca="1">EFEITO!$L$389*EFEITO!$Z$389</f>
        <v>30013.943654935654</v>
      </c>
      <c r="L389" s="68">
        <f>EFEITO!$N$389*EFEITO!$AA$389</f>
        <v>18157.627912251672</v>
      </c>
      <c r="M389" s="68">
        <f>$J$389-EFEITO!$K$389*EFEITO!$Y$389</f>
        <v>0</v>
      </c>
      <c r="N389" s="68">
        <f ca="1">$K$389-EFEITO!$M$389*EFEITO!$Z$389</f>
        <v>0</v>
      </c>
      <c r="O389" s="68">
        <f>$L$389-EFEITO!$O$389*EFEITO!$AA$389</f>
        <v>0</v>
      </c>
      <c r="P389" s="18"/>
      <c r="Q389" s="18"/>
      <c r="R389" s="18"/>
      <c r="S389" s="18"/>
      <c r="T389" s="18"/>
      <c r="U389" s="18"/>
      <c r="V389" s="18"/>
      <c r="W389" s="18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60" t="s">
        <v>27</v>
      </c>
      <c r="B390" s="60" t="s">
        <v>32</v>
      </c>
      <c r="C390" s="60" t="s">
        <v>23</v>
      </c>
      <c r="D390" s="60" t="s">
        <v>33</v>
      </c>
      <c r="E390" s="60" t="s">
        <v>25</v>
      </c>
      <c r="F390" s="60" t="s">
        <v>25</v>
      </c>
      <c r="G390" s="60" t="s">
        <v>25</v>
      </c>
      <c r="H390" s="60" t="s">
        <v>25</v>
      </c>
      <c r="I390" s="67">
        <v>44440</v>
      </c>
      <c r="J390" s="68">
        <f>EFEITO!$J$390*EFEITO!$Y$390</f>
        <v>0</v>
      </c>
      <c r="K390" s="68">
        <f ca="1">EFEITO!$L$390*EFEITO!$Z$390</f>
        <v>148.57270719960377</v>
      </c>
      <c r="L390" s="68">
        <f>EFEITO!$N$390*EFEITO!$AA$390</f>
        <v>89.882488161554591</v>
      </c>
      <c r="M390" s="68">
        <f>$J$390-EFEITO!$K$390*EFEITO!$Y$390</f>
        <v>0</v>
      </c>
      <c r="N390" s="68">
        <f ca="1">$K$390-EFEITO!$M$390*EFEITO!$Z$390</f>
        <v>0</v>
      </c>
      <c r="O390" s="68">
        <f>$L$390-EFEITO!$O$390*EFEITO!$AA$390</f>
        <v>0</v>
      </c>
      <c r="P390" s="18"/>
      <c r="Q390" s="18"/>
      <c r="R390" s="18"/>
      <c r="S390" s="18"/>
      <c r="T390" s="18"/>
      <c r="U390" s="18"/>
      <c r="V390" s="18"/>
      <c r="W390" s="18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60" t="s">
        <v>21</v>
      </c>
      <c r="B391" s="60" t="s">
        <v>32</v>
      </c>
      <c r="C391" s="60" t="s">
        <v>23</v>
      </c>
      <c r="D391" s="60" t="s">
        <v>33</v>
      </c>
      <c r="E391" s="60" t="s">
        <v>25</v>
      </c>
      <c r="F391" s="60" t="s">
        <v>25</v>
      </c>
      <c r="G391" s="60" t="s">
        <v>25</v>
      </c>
      <c r="H391" s="60" t="s">
        <v>25</v>
      </c>
      <c r="I391" s="67">
        <v>44470</v>
      </c>
      <c r="J391" s="68">
        <f>EFEITO!$J$391*EFEITO!$Y$391</f>
        <v>0</v>
      </c>
      <c r="K391" s="68">
        <f ca="1">EFEITO!$L$391*EFEITO!$Z$391</f>
        <v>28106.571001241497</v>
      </c>
      <c r="L391" s="68">
        <f>EFEITO!$N$391*EFEITO!$AA$391</f>
        <v>17003.718804739659</v>
      </c>
      <c r="M391" s="68">
        <f>$J$391-EFEITO!$K$391*EFEITO!$Y$391</f>
        <v>0</v>
      </c>
      <c r="N391" s="68">
        <f ca="1">$K$391-EFEITO!$M$391*EFEITO!$Z$391</f>
        <v>0</v>
      </c>
      <c r="O391" s="68">
        <f>$L$391-EFEITO!$O$391*EFEITO!$AA$391</f>
        <v>0</v>
      </c>
      <c r="P391" s="18"/>
      <c r="Q391" s="18"/>
      <c r="R391" s="18"/>
      <c r="S391" s="18"/>
      <c r="T391" s="18"/>
      <c r="U391" s="18"/>
      <c r="V391" s="18"/>
      <c r="W391" s="18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60" t="s">
        <v>27</v>
      </c>
      <c r="B392" s="60" t="s">
        <v>32</v>
      </c>
      <c r="C392" s="60" t="s">
        <v>23</v>
      </c>
      <c r="D392" s="60" t="s">
        <v>33</v>
      </c>
      <c r="E392" s="60" t="s">
        <v>25</v>
      </c>
      <c r="F392" s="60" t="s">
        <v>25</v>
      </c>
      <c r="G392" s="60" t="s">
        <v>25</v>
      </c>
      <c r="H392" s="60" t="s">
        <v>25</v>
      </c>
      <c r="I392" s="67">
        <v>44470</v>
      </c>
      <c r="J392" s="68">
        <f>EFEITO!$J$392*EFEITO!$Y$392</f>
        <v>0</v>
      </c>
      <c r="K392" s="68">
        <f ca="1">EFEITO!$L$392*EFEITO!$Z$392</f>
        <v>257.27527018868096</v>
      </c>
      <c r="L392" s="68">
        <f>EFEITO!$N$392*EFEITO!$AA$392</f>
        <v>155.64461241140086</v>
      </c>
      <c r="M392" s="68">
        <f>$J$392-EFEITO!$K$392*EFEITO!$Y$392</f>
        <v>0</v>
      </c>
      <c r="N392" s="68">
        <f ca="1">$K$392-EFEITO!$M$392*EFEITO!$Z$392</f>
        <v>0</v>
      </c>
      <c r="O392" s="68">
        <f>$L$392-EFEITO!$O$392*EFEITO!$AA$392</f>
        <v>0</v>
      </c>
      <c r="P392" s="18"/>
      <c r="Q392" s="18"/>
      <c r="R392" s="18"/>
      <c r="S392" s="18"/>
      <c r="T392" s="18"/>
      <c r="U392" s="18"/>
      <c r="V392" s="18"/>
      <c r="W392" s="18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60" t="s">
        <v>21</v>
      </c>
      <c r="B393" s="60" t="s">
        <v>32</v>
      </c>
      <c r="C393" s="60" t="s">
        <v>23</v>
      </c>
      <c r="D393" s="60" t="s">
        <v>33</v>
      </c>
      <c r="E393" s="60" t="s">
        <v>25</v>
      </c>
      <c r="F393" s="60" t="s">
        <v>25</v>
      </c>
      <c r="G393" s="60" t="s">
        <v>25</v>
      </c>
      <c r="H393" s="60" t="s">
        <v>25</v>
      </c>
      <c r="I393" s="67">
        <v>44501</v>
      </c>
      <c r="J393" s="68">
        <f>EFEITO!$J$393*EFEITO!$Y$393</f>
        <v>0</v>
      </c>
      <c r="K393" s="68">
        <f ca="1">EFEITO!$L$393*EFEITO!$Z$393</f>
        <v>30143.333556901889</v>
      </c>
      <c r="L393" s="68">
        <f>EFEITO!$N$393*EFEITO!$AA$393</f>
        <v>18235.905319663252</v>
      </c>
      <c r="M393" s="68">
        <f>$J$393-EFEITO!$K$393*EFEITO!$Y$393</f>
        <v>0</v>
      </c>
      <c r="N393" s="68">
        <f ca="1">$K$393-EFEITO!$M$393*EFEITO!$Z$393</f>
        <v>0</v>
      </c>
      <c r="O393" s="68">
        <f>$L$393-EFEITO!$O$393*EFEITO!$AA$393</f>
        <v>0</v>
      </c>
      <c r="P393" s="18"/>
      <c r="Q393" s="18"/>
      <c r="R393" s="18"/>
      <c r="S393" s="18"/>
      <c r="T393" s="18"/>
      <c r="U393" s="18"/>
      <c r="V393" s="18"/>
      <c r="W393" s="18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60" t="s">
        <v>27</v>
      </c>
      <c r="B394" s="60" t="s">
        <v>32</v>
      </c>
      <c r="C394" s="60" t="s">
        <v>23</v>
      </c>
      <c r="D394" s="60" t="s">
        <v>33</v>
      </c>
      <c r="E394" s="60" t="s">
        <v>25</v>
      </c>
      <c r="F394" s="60" t="s">
        <v>25</v>
      </c>
      <c r="G394" s="60" t="s">
        <v>25</v>
      </c>
      <c r="H394" s="60" t="s">
        <v>25</v>
      </c>
      <c r="I394" s="67">
        <v>44501</v>
      </c>
      <c r="J394" s="68">
        <f>EFEITO!$J$394*EFEITO!$Y$394</f>
        <v>0</v>
      </c>
      <c r="K394" s="68">
        <f ca="1">EFEITO!$L$394*EFEITO!$Z$394</f>
        <v>75.226687189672802</v>
      </c>
      <c r="L394" s="68">
        <f>EFEITO!$N$394*EFEITO!$AA$394</f>
        <v>45.510120588128906</v>
      </c>
      <c r="M394" s="68">
        <f>$J$394-EFEITO!$K$394*EFEITO!$Y$394</f>
        <v>0</v>
      </c>
      <c r="N394" s="68">
        <f ca="1">$K$394-EFEITO!$M$394*EFEITO!$Z$394</f>
        <v>0</v>
      </c>
      <c r="O394" s="68">
        <f>$L$394-EFEITO!$O$394*EFEITO!$AA$394</f>
        <v>0</v>
      </c>
      <c r="P394" s="18"/>
      <c r="Q394" s="18"/>
      <c r="R394" s="18"/>
      <c r="S394" s="18"/>
      <c r="T394" s="18"/>
      <c r="U394" s="18"/>
      <c r="V394" s="18"/>
      <c r="W394" s="18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60" t="s">
        <v>21</v>
      </c>
      <c r="B395" s="60" t="s">
        <v>32</v>
      </c>
      <c r="C395" s="60" t="s">
        <v>23</v>
      </c>
      <c r="D395" s="60" t="s">
        <v>33</v>
      </c>
      <c r="E395" s="60" t="s">
        <v>25</v>
      </c>
      <c r="F395" s="60" t="s">
        <v>25</v>
      </c>
      <c r="G395" s="60" t="s">
        <v>25</v>
      </c>
      <c r="H395" s="60" t="s">
        <v>25</v>
      </c>
      <c r="I395" s="67">
        <v>44531</v>
      </c>
      <c r="J395" s="68">
        <f>EFEITO!$J$395*EFEITO!$Y$395</f>
        <v>0</v>
      </c>
      <c r="K395" s="68">
        <f ca="1">EFEITO!$L$395*EFEITO!$Z$395</f>
        <v>31746.414260913814</v>
      </c>
      <c r="L395" s="68">
        <f>EFEITO!$N$395*EFEITO!$AA$395</f>
        <v>19205.72598939628</v>
      </c>
      <c r="M395" s="68">
        <f>$J$395-EFEITO!$K$395*EFEITO!$Y$395</f>
        <v>0</v>
      </c>
      <c r="N395" s="68">
        <f ca="1">$K$395-EFEITO!$M$395*EFEITO!$Z$395</f>
        <v>0</v>
      </c>
      <c r="O395" s="68">
        <f>$L$395-EFEITO!$O$395*EFEITO!$AA$395</f>
        <v>0</v>
      </c>
      <c r="P395" s="18"/>
      <c r="Q395" s="18"/>
      <c r="R395" s="18"/>
      <c r="S395" s="18"/>
      <c r="T395" s="18"/>
      <c r="U395" s="18"/>
      <c r="V395" s="18"/>
      <c r="W395" s="18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60" t="s">
        <v>27</v>
      </c>
      <c r="B396" s="60" t="s">
        <v>32</v>
      </c>
      <c r="C396" s="60" t="s">
        <v>23</v>
      </c>
      <c r="D396" s="60" t="s">
        <v>33</v>
      </c>
      <c r="E396" s="60" t="s">
        <v>25</v>
      </c>
      <c r="F396" s="60" t="s">
        <v>25</v>
      </c>
      <c r="G396" s="60" t="s">
        <v>25</v>
      </c>
      <c r="H396" s="60" t="s">
        <v>25</v>
      </c>
      <c r="I396" s="67">
        <v>44531</v>
      </c>
      <c r="J396" s="68">
        <f>EFEITO!$J$396*EFEITO!$Y$396</f>
        <v>0</v>
      </c>
      <c r="K396" s="68">
        <f ca="1">EFEITO!$L$396*EFEITO!$Z$396</f>
        <v>80.116421857001527</v>
      </c>
      <c r="L396" s="68">
        <f>EFEITO!$N$396*EFEITO!$AA$396</f>
        <v>48.46827842635728</v>
      </c>
      <c r="M396" s="68">
        <f>$J$396-EFEITO!$K$396*EFEITO!$Y$396</f>
        <v>0</v>
      </c>
      <c r="N396" s="68">
        <f ca="1">$K$396-EFEITO!$M$396*EFEITO!$Z$396</f>
        <v>0</v>
      </c>
      <c r="O396" s="68">
        <f>$L$396-EFEITO!$O$396*EFEITO!$AA$396</f>
        <v>0</v>
      </c>
      <c r="P396" s="18"/>
      <c r="Q396" s="18"/>
      <c r="R396" s="18"/>
      <c r="S396" s="18"/>
      <c r="T396" s="18"/>
      <c r="U396" s="18"/>
      <c r="V396" s="18"/>
      <c r="W396" s="18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60" t="s">
        <v>21</v>
      </c>
      <c r="B397" s="60" t="s">
        <v>32</v>
      </c>
      <c r="C397" s="60" t="s">
        <v>23</v>
      </c>
      <c r="D397" s="60" t="s">
        <v>33</v>
      </c>
      <c r="E397" s="60" t="s">
        <v>25</v>
      </c>
      <c r="F397" s="60" t="s">
        <v>25</v>
      </c>
      <c r="G397" s="60" t="s">
        <v>25</v>
      </c>
      <c r="H397" s="60" t="s">
        <v>25</v>
      </c>
      <c r="I397" s="67">
        <v>44562</v>
      </c>
      <c r="J397" s="68">
        <f>EFEITO!$J$397*EFEITO!$Y$397</f>
        <v>0</v>
      </c>
      <c r="K397" s="68">
        <f ca="1">EFEITO!$L$397*EFEITO!$Z$397</f>
        <v>28795.271322462952</v>
      </c>
      <c r="L397" s="68">
        <f>EFEITO!$N$397*EFEITO!$AA$397</f>
        <v>17420.363958723981</v>
      </c>
      <c r="M397" s="68">
        <f>$J$397-EFEITO!$K$397*EFEITO!$Y$397</f>
        <v>0</v>
      </c>
      <c r="N397" s="68">
        <f ca="1">$K$397-EFEITO!$M$397*EFEITO!$Z$397</f>
        <v>0</v>
      </c>
      <c r="O397" s="68">
        <f>$L$397-EFEITO!$O$397*EFEITO!$AA$397</f>
        <v>0</v>
      </c>
      <c r="P397" s="18"/>
      <c r="Q397" s="18"/>
      <c r="R397" s="18"/>
      <c r="S397" s="18"/>
      <c r="T397" s="18"/>
      <c r="U397" s="18"/>
      <c r="V397" s="18"/>
      <c r="W397" s="18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60" t="s">
        <v>27</v>
      </c>
      <c r="B398" s="60" t="s">
        <v>32</v>
      </c>
      <c r="C398" s="60" t="s">
        <v>23</v>
      </c>
      <c r="D398" s="60" t="s">
        <v>33</v>
      </c>
      <c r="E398" s="60" t="s">
        <v>25</v>
      </c>
      <c r="F398" s="60" t="s">
        <v>25</v>
      </c>
      <c r="G398" s="60" t="s">
        <v>25</v>
      </c>
      <c r="H398" s="60" t="s">
        <v>25</v>
      </c>
      <c r="I398" s="67">
        <v>44562</v>
      </c>
      <c r="J398" s="68">
        <f>EFEITO!$J$398*EFEITO!$Y$398</f>
        <v>0</v>
      </c>
      <c r="K398" s="68">
        <f ca="1">EFEITO!$L$398*EFEITO!$Z$398</f>
        <v>75.226687189672802</v>
      </c>
      <c r="L398" s="68">
        <f>EFEITO!$N$398*EFEITO!$AA$398</f>
        <v>45.510120588128906</v>
      </c>
      <c r="M398" s="68">
        <f>$J$398-EFEITO!$K$398*EFEITO!$Y$398</f>
        <v>0</v>
      </c>
      <c r="N398" s="68">
        <f ca="1">$K$398-EFEITO!$M$398*EFEITO!$Z$398</f>
        <v>0</v>
      </c>
      <c r="O398" s="68">
        <f>$L$398-EFEITO!$O$398*EFEITO!$AA$398</f>
        <v>0</v>
      </c>
      <c r="P398" s="18"/>
      <c r="Q398" s="18"/>
      <c r="R398" s="18"/>
      <c r="S398" s="18"/>
      <c r="T398" s="18"/>
      <c r="U398" s="18"/>
      <c r="V398" s="18"/>
      <c r="W398" s="18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60" t="s">
        <v>21</v>
      </c>
      <c r="B399" s="60" t="s">
        <v>32</v>
      </c>
      <c r="C399" s="60" t="s">
        <v>23</v>
      </c>
      <c r="D399" s="60" t="s">
        <v>33</v>
      </c>
      <c r="E399" s="60" t="s">
        <v>25</v>
      </c>
      <c r="F399" s="60" t="s">
        <v>25</v>
      </c>
      <c r="G399" s="60" t="s">
        <v>25</v>
      </c>
      <c r="H399" s="60" t="s">
        <v>25</v>
      </c>
      <c r="I399" s="67">
        <v>44593</v>
      </c>
      <c r="J399" s="68">
        <f>EFEITO!$J$399*EFEITO!$Y$399</f>
        <v>0</v>
      </c>
      <c r="K399" s="68">
        <f ca="1">EFEITO!$L$399*EFEITO!$Z$399</f>
        <v>31061.099140615897</v>
      </c>
      <c r="L399" s="68">
        <f>EFEITO!$N$399*EFEITO!$AA$399</f>
        <v>18791.128790838426</v>
      </c>
      <c r="M399" s="68">
        <f>$J$399-EFEITO!$K$399*EFEITO!$Y$399</f>
        <v>0</v>
      </c>
      <c r="N399" s="68">
        <f ca="1">$K$399-EFEITO!$M$399*EFEITO!$Z$399</f>
        <v>0</v>
      </c>
      <c r="O399" s="68">
        <f>$L$399-EFEITO!$O$399*EFEITO!$AA$399</f>
        <v>0</v>
      </c>
      <c r="P399" s="18"/>
      <c r="Q399" s="18"/>
      <c r="R399" s="18"/>
      <c r="S399" s="18"/>
      <c r="T399" s="18"/>
      <c r="U399" s="18"/>
      <c r="V399" s="18"/>
      <c r="W399" s="18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60" t="s">
        <v>27</v>
      </c>
      <c r="B400" s="60" t="s">
        <v>32</v>
      </c>
      <c r="C400" s="60" t="s">
        <v>23</v>
      </c>
      <c r="D400" s="60" t="s">
        <v>33</v>
      </c>
      <c r="E400" s="60" t="s">
        <v>25</v>
      </c>
      <c r="F400" s="60" t="s">
        <v>25</v>
      </c>
      <c r="G400" s="60" t="s">
        <v>25</v>
      </c>
      <c r="H400" s="60" t="s">
        <v>25</v>
      </c>
      <c r="I400" s="67">
        <v>44593</v>
      </c>
      <c r="J400" s="68">
        <f>EFEITO!$J$400*EFEITO!$Y$400</f>
        <v>0</v>
      </c>
      <c r="K400" s="68">
        <f ca="1">EFEITO!$L$400*EFEITO!$Z$400</f>
        <v>75.226687189672802</v>
      </c>
      <c r="L400" s="68">
        <f>EFEITO!$N$400*EFEITO!$AA$400</f>
        <v>45.510120588128906</v>
      </c>
      <c r="M400" s="68">
        <f>$J$400-EFEITO!$K$400*EFEITO!$Y$400</f>
        <v>0</v>
      </c>
      <c r="N400" s="68">
        <f ca="1">$K$400-EFEITO!$M$400*EFEITO!$Z$400</f>
        <v>0</v>
      </c>
      <c r="O400" s="68">
        <f>$L$400-EFEITO!$O$400*EFEITO!$AA$400</f>
        <v>0</v>
      </c>
      <c r="P400" s="18"/>
      <c r="Q400" s="18"/>
      <c r="R400" s="18"/>
      <c r="S400" s="18"/>
      <c r="T400" s="18"/>
      <c r="U400" s="18"/>
      <c r="V400" s="18"/>
      <c r="W400" s="18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60" t="s">
        <v>21</v>
      </c>
      <c r="B401" s="60" t="s">
        <v>32</v>
      </c>
      <c r="C401" s="60" t="s">
        <v>23</v>
      </c>
      <c r="D401" s="60" t="s">
        <v>33</v>
      </c>
      <c r="E401" s="60" t="s">
        <v>25</v>
      </c>
      <c r="F401" s="60" t="s">
        <v>25</v>
      </c>
      <c r="G401" s="60" t="s">
        <v>25</v>
      </c>
      <c r="H401" s="60" t="s">
        <v>25</v>
      </c>
      <c r="I401" s="67">
        <v>44621</v>
      </c>
      <c r="J401" s="68">
        <f>EFEITO!$J$401*EFEITO!$Y$401</f>
        <v>0</v>
      </c>
      <c r="K401" s="68">
        <f ca="1">EFEITO!$L$401*EFEITO!$Z$401</f>
        <v>28466.154566008132</v>
      </c>
      <c r="L401" s="68">
        <f>EFEITO!$N$401*EFEITO!$AA$401</f>
        <v>17221.257181150919</v>
      </c>
      <c r="M401" s="68">
        <f>$J$401-EFEITO!$K$401*EFEITO!$Y$401</f>
        <v>0</v>
      </c>
      <c r="N401" s="68">
        <f ca="1">$K$401-EFEITO!$M$401*EFEITO!$Z$401</f>
        <v>0</v>
      </c>
      <c r="O401" s="68">
        <f>$L$401-EFEITO!$O$401*EFEITO!$AA$401</f>
        <v>0</v>
      </c>
      <c r="P401" s="18"/>
      <c r="Q401" s="18"/>
      <c r="R401" s="18"/>
      <c r="S401" s="18"/>
      <c r="T401" s="18"/>
      <c r="U401" s="18"/>
      <c r="V401" s="18"/>
      <c r="W401" s="18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60" t="s">
        <v>27</v>
      </c>
      <c r="B402" s="60" t="s">
        <v>32</v>
      </c>
      <c r="C402" s="60" t="s">
        <v>23</v>
      </c>
      <c r="D402" s="60" t="s">
        <v>33</v>
      </c>
      <c r="E402" s="60" t="s">
        <v>25</v>
      </c>
      <c r="F402" s="60" t="s">
        <v>25</v>
      </c>
      <c r="G402" s="60" t="s">
        <v>25</v>
      </c>
      <c r="H402" s="60" t="s">
        <v>25</v>
      </c>
      <c r="I402" s="67">
        <v>44621</v>
      </c>
      <c r="J402" s="68">
        <f>EFEITO!$J$402*EFEITO!$Y$402</f>
        <v>0</v>
      </c>
      <c r="K402" s="68">
        <f ca="1">EFEITO!$L$402*EFEITO!$Z$402</f>
        <v>75.226687189672802</v>
      </c>
      <c r="L402" s="68">
        <f>EFEITO!$N$402*EFEITO!$AA$402</f>
        <v>45.510120588128906</v>
      </c>
      <c r="M402" s="68">
        <f>$J$402-EFEITO!$K$402*EFEITO!$Y$402</f>
        <v>0</v>
      </c>
      <c r="N402" s="68">
        <f ca="1">$K$402-EFEITO!$M$402*EFEITO!$Z$402</f>
        <v>0</v>
      </c>
      <c r="O402" s="68">
        <f>$L$402-EFEITO!$O$402*EFEITO!$AA$402</f>
        <v>0</v>
      </c>
      <c r="P402" s="18"/>
      <c r="Q402" s="18"/>
      <c r="R402" s="18"/>
      <c r="S402" s="18"/>
      <c r="T402" s="18"/>
      <c r="U402" s="18"/>
      <c r="V402" s="18"/>
      <c r="W402" s="18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60" t="s">
        <v>21</v>
      </c>
      <c r="B403" s="60" t="s">
        <v>32</v>
      </c>
      <c r="C403" s="60" t="s">
        <v>23</v>
      </c>
      <c r="D403" s="60" t="s">
        <v>33</v>
      </c>
      <c r="E403" s="60" t="s">
        <v>25</v>
      </c>
      <c r="F403" s="60" t="s">
        <v>25</v>
      </c>
      <c r="G403" s="60" t="s">
        <v>25</v>
      </c>
      <c r="H403" s="60" t="s">
        <v>25</v>
      </c>
      <c r="I403" s="67">
        <v>44652</v>
      </c>
      <c r="J403" s="68">
        <f>EFEITO!$J$403*EFEITO!$Y$403</f>
        <v>0</v>
      </c>
      <c r="K403" s="68">
        <f ca="1">EFEITO!$L$403*EFEITO!$Z$403</f>
        <v>22278.383411221595</v>
      </c>
      <c r="L403" s="68">
        <f>EFEITO!$N$403*EFEITO!$AA$403</f>
        <v>13477.822212174375</v>
      </c>
      <c r="M403" s="68">
        <f>$J$403-EFEITO!$K$403*EFEITO!$Y$403</f>
        <v>0</v>
      </c>
      <c r="N403" s="68">
        <f ca="1">$K$403-EFEITO!$M$403*EFEITO!$Z$403</f>
        <v>0</v>
      </c>
      <c r="O403" s="68">
        <f>$L$403-EFEITO!$O$403*EFEITO!$AA$403</f>
        <v>0</v>
      </c>
      <c r="P403" s="18"/>
      <c r="Q403" s="18"/>
      <c r="R403" s="18"/>
      <c r="S403" s="18"/>
      <c r="T403" s="18"/>
      <c r="U403" s="18"/>
      <c r="V403" s="18"/>
      <c r="W403" s="18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60" t="s">
        <v>27</v>
      </c>
      <c r="B404" s="60" t="s">
        <v>32</v>
      </c>
      <c r="C404" s="60" t="s">
        <v>23</v>
      </c>
      <c r="D404" s="60" t="s">
        <v>33</v>
      </c>
      <c r="E404" s="60" t="s">
        <v>25</v>
      </c>
      <c r="F404" s="60" t="s">
        <v>25</v>
      </c>
      <c r="G404" s="60" t="s">
        <v>25</v>
      </c>
      <c r="H404" s="60" t="s">
        <v>25</v>
      </c>
      <c r="I404" s="67">
        <v>44652</v>
      </c>
      <c r="J404" s="68">
        <f>EFEITO!$J$404*EFEITO!$Y$404</f>
        <v>0</v>
      </c>
      <c r="K404" s="68">
        <f ca="1">EFEITO!$L$404*EFEITO!$Z$404</f>
        <v>2741.636614627625</v>
      </c>
      <c r="L404" s="68">
        <f>EFEITO!$N$404*EFEITO!$AA$404</f>
        <v>1658.616344834358</v>
      </c>
      <c r="M404" s="68">
        <f>$J$404-EFEITO!$K$404*EFEITO!$Y$404</f>
        <v>0</v>
      </c>
      <c r="N404" s="68">
        <f ca="1">$K$404-EFEITO!$M$404*EFEITO!$Z$404</f>
        <v>0</v>
      </c>
      <c r="O404" s="68">
        <f>$L$404-EFEITO!$O$404*EFEITO!$AA$404</f>
        <v>0</v>
      </c>
      <c r="P404" s="18"/>
      <c r="Q404" s="18"/>
      <c r="R404" s="18"/>
      <c r="S404" s="18"/>
      <c r="T404" s="18"/>
      <c r="U404" s="18"/>
      <c r="V404" s="18"/>
      <c r="W404" s="18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60" t="s">
        <v>21</v>
      </c>
      <c r="B405" s="60" t="s">
        <v>32</v>
      </c>
      <c r="C405" s="60" t="s">
        <v>23</v>
      </c>
      <c r="D405" s="60" t="s">
        <v>33</v>
      </c>
      <c r="E405" s="60" t="s">
        <v>25</v>
      </c>
      <c r="F405" s="60" t="s">
        <v>25</v>
      </c>
      <c r="G405" s="60" t="s">
        <v>25</v>
      </c>
      <c r="H405" s="60" t="s">
        <v>25</v>
      </c>
      <c r="I405" s="67">
        <v>44682</v>
      </c>
      <c r="J405" s="68">
        <f>EFEITO!$J$405*EFEITO!$Y$405</f>
        <v>0</v>
      </c>
      <c r="K405" s="68">
        <f ca="1">EFEITO!$L$405*EFEITO!$Z$405</f>
        <v>21434.339980953468</v>
      </c>
      <c r="L405" s="68">
        <f>EFEITO!$N$405*EFEITO!$AA$405</f>
        <v>12967.198659175569</v>
      </c>
      <c r="M405" s="68">
        <f>$J$405-EFEITO!$K$405*EFEITO!$Y$405</f>
        <v>0</v>
      </c>
      <c r="N405" s="68">
        <f ca="1">$K$405-EFEITO!$M$405*EFEITO!$Z$405</f>
        <v>0</v>
      </c>
      <c r="O405" s="68">
        <f>$L$405-EFEITO!$O$405*EFEITO!$AA$405</f>
        <v>0</v>
      </c>
      <c r="P405" s="18"/>
      <c r="Q405" s="18"/>
      <c r="R405" s="18"/>
      <c r="S405" s="18"/>
      <c r="T405" s="18"/>
      <c r="U405" s="18"/>
      <c r="V405" s="18"/>
      <c r="W405" s="18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60" t="s">
        <v>27</v>
      </c>
      <c r="B406" s="60" t="s">
        <v>32</v>
      </c>
      <c r="C406" s="60" t="s">
        <v>23</v>
      </c>
      <c r="D406" s="60" t="s">
        <v>33</v>
      </c>
      <c r="E406" s="60" t="s">
        <v>25</v>
      </c>
      <c r="F406" s="60" t="s">
        <v>25</v>
      </c>
      <c r="G406" s="60" t="s">
        <v>25</v>
      </c>
      <c r="H406" s="60" t="s">
        <v>25</v>
      </c>
      <c r="I406" s="67">
        <v>44682</v>
      </c>
      <c r="J406" s="68">
        <f>EFEITO!$J$406*EFEITO!$Y$406</f>
        <v>0</v>
      </c>
      <c r="K406" s="68">
        <f ca="1">EFEITO!$L$406*EFEITO!$Z$406</f>
        <v>2980.8574798907844</v>
      </c>
      <c r="L406" s="68">
        <f>EFEITO!$N$406*EFEITO!$AA$406</f>
        <v>1803.3385283046077</v>
      </c>
      <c r="M406" s="68">
        <f>$J$406-EFEITO!$K$406*EFEITO!$Y$406</f>
        <v>0</v>
      </c>
      <c r="N406" s="68">
        <f ca="1">$K$406-EFEITO!$M$406*EFEITO!$Z$406</f>
        <v>0</v>
      </c>
      <c r="O406" s="68">
        <f>$L$406-EFEITO!$O$406*EFEITO!$AA$406</f>
        <v>0</v>
      </c>
      <c r="P406" s="18"/>
      <c r="Q406" s="18"/>
      <c r="R406" s="18"/>
      <c r="S406" s="18"/>
      <c r="T406" s="18"/>
      <c r="U406" s="18"/>
      <c r="V406" s="18"/>
      <c r="W406" s="18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60" t="s">
        <v>21</v>
      </c>
      <c r="B407" s="60" t="s">
        <v>32</v>
      </c>
      <c r="C407" s="60" t="s">
        <v>23</v>
      </c>
      <c r="D407" s="60" t="s">
        <v>33</v>
      </c>
      <c r="E407" s="60" t="s">
        <v>25</v>
      </c>
      <c r="F407" s="60" t="s">
        <v>25</v>
      </c>
      <c r="G407" s="60" t="s">
        <v>25</v>
      </c>
      <c r="H407" s="60" t="s">
        <v>25</v>
      </c>
      <c r="I407" s="67">
        <v>44713</v>
      </c>
      <c r="J407" s="68">
        <f>EFEITO!$J$407*EFEITO!$Y$407</f>
        <v>0</v>
      </c>
      <c r="K407" s="68">
        <f ca="1">EFEITO!$L$407*EFEITO!$Z$407</f>
        <v>21864.636631678397</v>
      </c>
      <c r="L407" s="68">
        <f>EFEITO!$N$407*EFEITO!$AA$407</f>
        <v>13227.516548939666</v>
      </c>
      <c r="M407" s="68">
        <f>$J$407-EFEITO!$K$407*EFEITO!$Y$407</f>
        <v>0</v>
      </c>
      <c r="N407" s="68">
        <f ca="1">$K$407-EFEITO!$M$407*EFEITO!$Z$407</f>
        <v>0</v>
      </c>
      <c r="O407" s="68">
        <f>$L$407-EFEITO!$O$407*EFEITO!$AA$407</f>
        <v>0</v>
      </c>
      <c r="P407" s="18"/>
      <c r="Q407" s="18"/>
      <c r="R407" s="18"/>
      <c r="S407" s="18"/>
      <c r="T407" s="18"/>
      <c r="U407" s="18"/>
      <c r="V407" s="18"/>
      <c r="W407" s="18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60" t="s">
        <v>27</v>
      </c>
      <c r="B408" s="60" t="s">
        <v>32</v>
      </c>
      <c r="C408" s="60" t="s">
        <v>23</v>
      </c>
      <c r="D408" s="60" t="s">
        <v>33</v>
      </c>
      <c r="E408" s="60" t="s">
        <v>25</v>
      </c>
      <c r="F408" s="60" t="s">
        <v>25</v>
      </c>
      <c r="G408" s="60" t="s">
        <v>25</v>
      </c>
      <c r="H408" s="60" t="s">
        <v>25</v>
      </c>
      <c r="I408" s="67">
        <v>44713</v>
      </c>
      <c r="J408" s="68">
        <f>EFEITO!$J$408*EFEITO!$Y$408</f>
        <v>0</v>
      </c>
      <c r="K408" s="68">
        <f ca="1">EFEITO!$L$408*EFEITO!$Z$408</f>
        <v>3327.652507835176</v>
      </c>
      <c r="L408" s="68">
        <f>EFEITO!$N$408*EFEITO!$AA$408</f>
        <v>2013.1401842158821</v>
      </c>
      <c r="M408" s="68">
        <f>$J$408-EFEITO!$K$408*EFEITO!$Y$408</f>
        <v>0</v>
      </c>
      <c r="N408" s="68">
        <f ca="1">$K$408-EFEITO!$M$408*EFEITO!$Z$408</f>
        <v>0</v>
      </c>
      <c r="O408" s="68">
        <f>$L$408-EFEITO!$O$408*EFEITO!$AA$408</f>
        <v>0</v>
      </c>
      <c r="P408" s="18"/>
      <c r="Q408" s="18"/>
      <c r="R408" s="18"/>
      <c r="S408" s="18"/>
      <c r="T408" s="18"/>
      <c r="U408" s="18"/>
      <c r="V408" s="18"/>
      <c r="W408" s="18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60" t="s">
        <v>21</v>
      </c>
      <c r="B409" s="60" t="s">
        <v>32</v>
      </c>
      <c r="C409" s="60" t="s">
        <v>23</v>
      </c>
      <c r="D409" s="60" t="s">
        <v>41</v>
      </c>
      <c r="E409" s="60" t="s">
        <v>25</v>
      </c>
      <c r="F409" s="60" t="s">
        <v>25</v>
      </c>
      <c r="G409" s="60" t="s">
        <v>25</v>
      </c>
      <c r="H409" s="60" t="s">
        <v>25</v>
      </c>
      <c r="I409" s="67">
        <v>44378</v>
      </c>
      <c r="J409" s="68">
        <f>EFEITO!$J$409*EFEITO!$Y$409</f>
        <v>0</v>
      </c>
      <c r="K409" s="68">
        <f ca="1">EFEITO!$L$409*EFEITO!$Z$409</f>
        <v>28535.363118222631</v>
      </c>
      <c r="L409" s="68">
        <f>EFEITO!$N$409*EFEITO!$AA$409</f>
        <v>17263.126492091997</v>
      </c>
      <c r="M409" s="68">
        <f>$J$409-EFEITO!$K$409*EFEITO!$Y$409</f>
        <v>0</v>
      </c>
      <c r="N409" s="68">
        <f ca="1">$K$409-EFEITO!$M$409*EFEITO!$Z$409</f>
        <v>0</v>
      </c>
      <c r="O409" s="68">
        <f>$L$409-EFEITO!$O$409*EFEITO!$AA$409</f>
        <v>0</v>
      </c>
      <c r="P409" s="18"/>
      <c r="Q409" s="18"/>
      <c r="R409" s="18"/>
      <c r="S409" s="18"/>
      <c r="T409" s="18"/>
      <c r="U409" s="18"/>
      <c r="V409" s="18"/>
      <c r="W409" s="18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60" t="s">
        <v>21</v>
      </c>
      <c r="B410" s="60" t="s">
        <v>32</v>
      </c>
      <c r="C410" s="60" t="s">
        <v>23</v>
      </c>
      <c r="D410" s="60" t="s">
        <v>41</v>
      </c>
      <c r="E410" s="60" t="s">
        <v>25</v>
      </c>
      <c r="F410" s="60" t="s">
        <v>25</v>
      </c>
      <c r="G410" s="60" t="s">
        <v>25</v>
      </c>
      <c r="H410" s="60" t="s">
        <v>25</v>
      </c>
      <c r="I410" s="67">
        <v>44409</v>
      </c>
      <c r="J410" s="68">
        <f>EFEITO!$J$410*EFEITO!$Y$410</f>
        <v>0</v>
      </c>
      <c r="K410" s="68">
        <f ca="1">EFEITO!$L$410*EFEITO!$Z$410</f>
        <v>27296.003446772771</v>
      </c>
      <c r="L410" s="68">
        <f>EFEITO!$N$410*EFEITO!$AA$410</f>
        <v>16513.347255402572</v>
      </c>
      <c r="M410" s="68">
        <f>$J$410-EFEITO!$K$410*EFEITO!$Y$410</f>
        <v>0</v>
      </c>
      <c r="N410" s="68">
        <f ca="1">$K$410-EFEITO!$M$410*EFEITO!$Z$410</f>
        <v>0</v>
      </c>
      <c r="O410" s="68">
        <f>$L$410-EFEITO!$O$410*EFEITO!$AA$410</f>
        <v>0</v>
      </c>
      <c r="P410" s="18"/>
      <c r="Q410" s="18"/>
      <c r="R410" s="18"/>
      <c r="S410" s="18"/>
      <c r="T410" s="18"/>
      <c r="U410" s="18"/>
      <c r="V410" s="18"/>
      <c r="W410" s="18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60" t="s">
        <v>21</v>
      </c>
      <c r="B411" s="60" t="s">
        <v>32</v>
      </c>
      <c r="C411" s="60" t="s">
        <v>23</v>
      </c>
      <c r="D411" s="60" t="s">
        <v>41</v>
      </c>
      <c r="E411" s="60" t="s">
        <v>25</v>
      </c>
      <c r="F411" s="60" t="s">
        <v>25</v>
      </c>
      <c r="G411" s="60" t="s">
        <v>25</v>
      </c>
      <c r="H411" s="60" t="s">
        <v>25</v>
      </c>
      <c r="I411" s="67">
        <v>44440</v>
      </c>
      <c r="J411" s="68">
        <f>EFEITO!$J$411*EFEITO!$Y$411</f>
        <v>0</v>
      </c>
      <c r="K411" s="68">
        <f ca="1">EFEITO!$L$411*EFEITO!$Z$411</f>
        <v>21253.795931698256</v>
      </c>
      <c r="L411" s="68">
        <f>EFEITO!$N$411*EFEITO!$AA$411</f>
        <v>12857.974369764059</v>
      </c>
      <c r="M411" s="68">
        <f>$J$411-EFEITO!$K$411*EFEITO!$Y$411</f>
        <v>0</v>
      </c>
      <c r="N411" s="68">
        <f ca="1">$K$411-EFEITO!$M$411*EFEITO!$Z$411</f>
        <v>0</v>
      </c>
      <c r="O411" s="68">
        <f>$L$411-EFEITO!$O$411*EFEITO!$AA$411</f>
        <v>0</v>
      </c>
      <c r="P411" s="18"/>
      <c r="Q411" s="18"/>
      <c r="R411" s="18"/>
      <c r="S411" s="18"/>
      <c r="T411" s="18"/>
      <c r="U411" s="18"/>
      <c r="V411" s="18"/>
      <c r="W411" s="18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60" t="s">
        <v>21</v>
      </c>
      <c r="B412" s="60" t="s">
        <v>32</v>
      </c>
      <c r="C412" s="60" t="s">
        <v>23</v>
      </c>
      <c r="D412" s="60" t="s">
        <v>41</v>
      </c>
      <c r="E412" s="60" t="s">
        <v>25</v>
      </c>
      <c r="F412" s="60" t="s">
        <v>25</v>
      </c>
      <c r="G412" s="60" t="s">
        <v>25</v>
      </c>
      <c r="H412" s="60" t="s">
        <v>25</v>
      </c>
      <c r="I412" s="67">
        <v>44470</v>
      </c>
      <c r="J412" s="68">
        <f>EFEITO!$J$412*EFEITO!$Y$412</f>
        <v>0</v>
      </c>
      <c r="K412" s="68">
        <f ca="1">EFEITO!$L$412*EFEITO!$Z$412</f>
        <v>19332.506340874013</v>
      </c>
      <c r="L412" s="68">
        <f>EFEITO!$N$412*EFEITO!$AA$412</f>
        <v>11695.645889943247</v>
      </c>
      <c r="M412" s="68">
        <f>$J$412-EFEITO!$K$412*EFEITO!$Y$412</f>
        <v>0</v>
      </c>
      <c r="N412" s="68">
        <f ca="1">$K$412-EFEITO!$M$412*EFEITO!$Z$412</f>
        <v>0</v>
      </c>
      <c r="O412" s="68">
        <f>$L$412-EFEITO!$O$412*EFEITO!$AA$412</f>
        <v>0</v>
      </c>
      <c r="P412" s="18"/>
      <c r="Q412" s="18"/>
      <c r="R412" s="18"/>
      <c r="S412" s="18"/>
      <c r="T412" s="18"/>
      <c r="U412" s="18"/>
      <c r="V412" s="18"/>
      <c r="W412" s="18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60" t="s">
        <v>21</v>
      </c>
      <c r="B413" s="60" t="s">
        <v>32</v>
      </c>
      <c r="C413" s="60" t="s">
        <v>23</v>
      </c>
      <c r="D413" s="60" t="s">
        <v>41</v>
      </c>
      <c r="E413" s="60" t="s">
        <v>25</v>
      </c>
      <c r="F413" s="60" t="s">
        <v>25</v>
      </c>
      <c r="G413" s="60" t="s">
        <v>25</v>
      </c>
      <c r="H413" s="60" t="s">
        <v>25</v>
      </c>
      <c r="I413" s="67">
        <v>44501</v>
      </c>
      <c r="J413" s="68">
        <f>EFEITO!$J$413*EFEITO!$Y$413</f>
        <v>0</v>
      </c>
      <c r="K413" s="68">
        <f ca="1">EFEITO!$L$413*EFEITO!$Z$413</f>
        <v>22048.189748421199</v>
      </c>
      <c r="L413" s="68">
        <f>EFEITO!$N$413*EFEITO!$AA$413</f>
        <v>13338.561243174701</v>
      </c>
      <c r="M413" s="68">
        <f>$J$413-EFEITO!$K$413*EFEITO!$Y$413</f>
        <v>0</v>
      </c>
      <c r="N413" s="68">
        <f ca="1">$K$413-EFEITO!$M$413*EFEITO!$Z$413</f>
        <v>0</v>
      </c>
      <c r="O413" s="68">
        <f>$L$413-EFEITO!$O$413*EFEITO!$AA$413</f>
        <v>0</v>
      </c>
      <c r="P413" s="18"/>
      <c r="Q413" s="18"/>
      <c r="R413" s="18"/>
      <c r="S413" s="18"/>
      <c r="T413" s="18"/>
      <c r="U413" s="18"/>
      <c r="V413" s="18"/>
      <c r="W413" s="18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60" t="s">
        <v>21</v>
      </c>
      <c r="B414" s="60" t="s">
        <v>32</v>
      </c>
      <c r="C414" s="60" t="s">
        <v>23</v>
      </c>
      <c r="D414" s="60" t="s">
        <v>41</v>
      </c>
      <c r="E414" s="60" t="s">
        <v>25</v>
      </c>
      <c r="F414" s="60" t="s">
        <v>25</v>
      </c>
      <c r="G414" s="60" t="s">
        <v>25</v>
      </c>
      <c r="H414" s="60" t="s">
        <v>25</v>
      </c>
      <c r="I414" s="67">
        <v>44531</v>
      </c>
      <c r="J414" s="68">
        <f>EFEITO!$J$414*EFEITO!$Y$414</f>
        <v>0</v>
      </c>
      <c r="K414" s="68">
        <f ca="1">EFEITO!$L$414*EFEITO!$Z$414</f>
        <v>27590.892060556289</v>
      </c>
      <c r="L414" s="68">
        <f>EFEITO!$N$414*EFEITO!$AA$414</f>
        <v>16691.746928108038</v>
      </c>
      <c r="M414" s="68">
        <f>$J$414-EFEITO!$K$414*EFEITO!$Y$414</f>
        <v>0</v>
      </c>
      <c r="N414" s="68">
        <f ca="1">$K$414-EFEITO!$M$414*EFEITO!$Z$414</f>
        <v>0</v>
      </c>
      <c r="O414" s="68">
        <f>$L$414-EFEITO!$O$414*EFEITO!$AA$414</f>
        <v>0</v>
      </c>
      <c r="P414" s="18"/>
      <c r="Q414" s="18"/>
      <c r="R414" s="18"/>
      <c r="S414" s="18"/>
      <c r="T414" s="18"/>
      <c r="U414" s="18"/>
      <c r="V414" s="18"/>
      <c r="W414" s="18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60" t="s">
        <v>21</v>
      </c>
      <c r="B415" s="60" t="s">
        <v>32</v>
      </c>
      <c r="C415" s="60" t="s">
        <v>23</v>
      </c>
      <c r="D415" s="60" t="s">
        <v>41</v>
      </c>
      <c r="E415" s="60" t="s">
        <v>25</v>
      </c>
      <c r="F415" s="60" t="s">
        <v>25</v>
      </c>
      <c r="G415" s="60" t="s">
        <v>25</v>
      </c>
      <c r="H415" s="60" t="s">
        <v>25</v>
      </c>
      <c r="I415" s="67">
        <v>44562</v>
      </c>
      <c r="J415" s="68">
        <f>EFEITO!$J$415*EFEITO!$Y$415</f>
        <v>0</v>
      </c>
      <c r="K415" s="68">
        <f ca="1">EFEITO!$L$415*EFEITO!$Z$415</f>
        <v>23030.274149682376</v>
      </c>
      <c r="L415" s="68">
        <f>EFEITO!$N$415*EFEITO!$AA$415</f>
        <v>13932.695867452723</v>
      </c>
      <c r="M415" s="68">
        <f>$J$415-EFEITO!$K$415*EFEITO!$Y$415</f>
        <v>0</v>
      </c>
      <c r="N415" s="68">
        <f ca="1">$K$415-EFEITO!$M$415*EFEITO!$Z$415</f>
        <v>0</v>
      </c>
      <c r="O415" s="68">
        <f>$L$415-EFEITO!$O$415*EFEITO!$AA$415</f>
        <v>0</v>
      </c>
      <c r="P415" s="18"/>
      <c r="Q415" s="18"/>
      <c r="R415" s="18"/>
      <c r="S415" s="18"/>
      <c r="T415" s="18"/>
      <c r="U415" s="18"/>
      <c r="V415" s="18"/>
      <c r="W415" s="18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60" t="s">
        <v>21</v>
      </c>
      <c r="B416" s="60" t="s">
        <v>32</v>
      </c>
      <c r="C416" s="60" t="s">
        <v>23</v>
      </c>
      <c r="D416" s="60" t="s">
        <v>41</v>
      </c>
      <c r="E416" s="60" t="s">
        <v>25</v>
      </c>
      <c r="F416" s="60" t="s">
        <v>25</v>
      </c>
      <c r="G416" s="60" t="s">
        <v>25</v>
      </c>
      <c r="H416" s="60" t="s">
        <v>25</v>
      </c>
      <c r="I416" s="67">
        <v>44593</v>
      </c>
      <c r="J416" s="68">
        <f>EFEITO!$J$416*EFEITO!$Y$416</f>
        <v>0</v>
      </c>
      <c r="K416" s="68">
        <f ca="1">EFEITO!$L$416*EFEITO!$Z$416</f>
        <v>27485.950831926697</v>
      </c>
      <c r="L416" s="68">
        <f>EFEITO!$N$416*EFEITO!$AA$416</f>
        <v>16628.260309887599</v>
      </c>
      <c r="M416" s="68">
        <f>$J$416-EFEITO!$K$416*EFEITO!$Y$416</f>
        <v>0</v>
      </c>
      <c r="N416" s="68">
        <f ca="1">$K$416-EFEITO!$M$416*EFEITO!$Z$416</f>
        <v>0</v>
      </c>
      <c r="O416" s="68">
        <f>$L$416-EFEITO!$O$416*EFEITO!$AA$416</f>
        <v>0</v>
      </c>
      <c r="P416" s="18"/>
      <c r="Q416" s="18"/>
      <c r="R416" s="18"/>
      <c r="S416" s="18"/>
      <c r="T416" s="18"/>
      <c r="U416" s="18"/>
      <c r="V416" s="18"/>
      <c r="W416" s="18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60" t="s">
        <v>21</v>
      </c>
      <c r="B417" s="60" t="s">
        <v>32</v>
      </c>
      <c r="C417" s="60" t="s">
        <v>23</v>
      </c>
      <c r="D417" s="60" t="s">
        <v>41</v>
      </c>
      <c r="E417" s="60" t="s">
        <v>25</v>
      </c>
      <c r="F417" s="60" t="s">
        <v>25</v>
      </c>
      <c r="G417" s="60" t="s">
        <v>25</v>
      </c>
      <c r="H417" s="60" t="s">
        <v>25</v>
      </c>
      <c r="I417" s="67">
        <v>44621</v>
      </c>
      <c r="J417" s="68">
        <f>EFEITO!$J$417*EFEITO!$Y$417</f>
        <v>0</v>
      </c>
      <c r="K417" s="68">
        <f ca="1">EFEITO!$L$417*EFEITO!$Z$417</f>
        <v>27124.862733416267</v>
      </c>
      <c r="L417" s="68">
        <f>EFEITO!$N$417*EFEITO!$AA$417</f>
        <v>16409.811731064579</v>
      </c>
      <c r="M417" s="68">
        <f>$J$417-EFEITO!$K$417*EFEITO!$Y$417</f>
        <v>0</v>
      </c>
      <c r="N417" s="68">
        <f ca="1">$K$417-EFEITO!$M$417*EFEITO!$Z$417</f>
        <v>0</v>
      </c>
      <c r="O417" s="68">
        <f>$L$417-EFEITO!$O$417*EFEITO!$AA$417</f>
        <v>0</v>
      </c>
      <c r="P417" s="18"/>
      <c r="Q417" s="18"/>
      <c r="R417" s="18"/>
      <c r="S417" s="18"/>
      <c r="T417" s="18"/>
      <c r="U417" s="18"/>
      <c r="V417" s="18"/>
      <c r="W417" s="18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60" t="s">
        <v>21</v>
      </c>
      <c r="B418" s="60" t="s">
        <v>32</v>
      </c>
      <c r="C418" s="60" t="s">
        <v>23</v>
      </c>
      <c r="D418" s="60" t="s">
        <v>41</v>
      </c>
      <c r="E418" s="60" t="s">
        <v>25</v>
      </c>
      <c r="F418" s="60" t="s">
        <v>25</v>
      </c>
      <c r="G418" s="60" t="s">
        <v>25</v>
      </c>
      <c r="H418" s="60" t="s">
        <v>25</v>
      </c>
      <c r="I418" s="67">
        <v>44652</v>
      </c>
      <c r="J418" s="68">
        <f>EFEITO!$J$418*EFEITO!$Y$418</f>
        <v>0</v>
      </c>
      <c r="K418" s="68">
        <f ca="1">EFEITO!$L$418*EFEITO!$Z$418</f>
        <v>24526.909091320918</v>
      </c>
      <c r="L418" s="68">
        <f>EFEITO!$N$418*EFEITO!$AA$418</f>
        <v>14838.119716553549</v>
      </c>
      <c r="M418" s="68">
        <f>$J$418-EFEITO!$K$418*EFEITO!$Y$418</f>
        <v>0</v>
      </c>
      <c r="N418" s="68">
        <f ca="1">$K$418-EFEITO!$M$418*EFEITO!$Z$418</f>
        <v>0</v>
      </c>
      <c r="O418" s="68">
        <f>$L$418-EFEITO!$O$418*EFEITO!$AA$418</f>
        <v>0</v>
      </c>
      <c r="P418" s="18"/>
      <c r="Q418" s="18"/>
      <c r="R418" s="18"/>
      <c r="S418" s="18"/>
      <c r="T418" s="18"/>
      <c r="U418" s="18"/>
      <c r="V418" s="18"/>
      <c r="W418" s="18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60" t="s">
        <v>21</v>
      </c>
      <c r="B419" s="60" t="s">
        <v>32</v>
      </c>
      <c r="C419" s="60" t="s">
        <v>23</v>
      </c>
      <c r="D419" s="60" t="s">
        <v>41</v>
      </c>
      <c r="E419" s="60" t="s">
        <v>25</v>
      </c>
      <c r="F419" s="60" t="s">
        <v>25</v>
      </c>
      <c r="G419" s="60" t="s">
        <v>25</v>
      </c>
      <c r="H419" s="60" t="s">
        <v>25</v>
      </c>
      <c r="I419" s="67">
        <v>44682</v>
      </c>
      <c r="J419" s="68">
        <f>EFEITO!$J$419*EFEITO!$Y$419</f>
        <v>0</v>
      </c>
      <c r="K419" s="68">
        <f ca="1">EFEITO!$L$419*EFEITO!$Z$419</f>
        <v>25918.602804329865</v>
      </c>
      <c r="L419" s="68">
        <f>EFEITO!$N$419*EFEITO!$AA$419</f>
        <v>15680.056947433934</v>
      </c>
      <c r="M419" s="68">
        <f>$J$419-EFEITO!$K$419*EFEITO!$Y$419</f>
        <v>0</v>
      </c>
      <c r="N419" s="68">
        <f ca="1">$K$419-EFEITO!$M$419*EFEITO!$Z$419</f>
        <v>0</v>
      </c>
      <c r="O419" s="68">
        <f>$L$419-EFEITO!$O$419*EFEITO!$AA$419</f>
        <v>0</v>
      </c>
      <c r="P419" s="18"/>
      <c r="Q419" s="18"/>
      <c r="R419" s="18"/>
      <c r="S419" s="18"/>
      <c r="T419" s="18"/>
      <c r="U419" s="18"/>
      <c r="V419" s="18"/>
      <c r="W419" s="18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60" t="s">
        <v>21</v>
      </c>
      <c r="B420" s="60" t="s">
        <v>32</v>
      </c>
      <c r="C420" s="60" t="s">
        <v>23</v>
      </c>
      <c r="D420" s="60" t="s">
        <v>41</v>
      </c>
      <c r="E420" s="60" t="s">
        <v>25</v>
      </c>
      <c r="F420" s="60" t="s">
        <v>25</v>
      </c>
      <c r="G420" s="60" t="s">
        <v>25</v>
      </c>
      <c r="H420" s="60" t="s">
        <v>25</v>
      </c>
      <c r="I420" s="67">
        <v>44713</v>
      </c>
      <c r="J420" s="68">
        <f>EFEITO!$J$420*EFEITO!$Y$420</f>
        <v>0</v>
      </c>
      <c r="K420" s="68">
        <f ca="1">EFEITO!$L$420*EFEITO!$Z$420</f>
        <v>33568.028491211742</v>
      </c>
      <c r="L420" s="68">
        <f>EFEITO!$N$420*EFEITO!$AA$420</f>
        <v>20307.753559437821</v>
      </c>
      <c r="M420" s="68">
        <f>$J$420-EFEITO!$K$420*EFEITO!$Y$420</f>
        <v>0</v>
      </c>
      <c r="N420" s="68">
        <f ca="1">$K$420-EFEITO!$M$420*EFEITO!$Z$420</f>
        <v>0</v>
      </c>
      <c r="O420" s="68">
        <f>$L$420-EFEITO!$O$420*EFEITO!$AA$420</f>
        <v>0</v>
      </c>
      <c r="P420" s="18"/>
      <c r="Q420" s="18"/>
      <c r="R420" s="18"/>
      <c r="S420" s="18"/>
      <c r="T420" s="18"/>
      <c r="U420" s="18"/>
      <c r="V420" s="18"/>
      <c r="W420" s="18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60" t="s">
        <v>21</v>
      </c>
      <c r="B421" s="60" t="s">
        <v>32</v>
      </c>
      <c r="C421" s="60" t="s">
        <v>23</v>
      </c>
      <c r="D421" s="60" t="s">
        <v>45</v>
      </c>
      <c r="E421" s="60" t="s">
        <v>46</v>
      </c>
      <c r="F421" s="60" t="s">
        <v>25</v>
      </c>
      <c r="G421" s="60" t="s">
        <v>25</v>
      </c>
      <c r="H421" s="60" t="s">
        <v>25</v>
      </c>
      <c r="I421" s="67">
        <v>44378</v>
      </c>
      <c r="J421" s="68">
        <f>EFEITO!$J$421*EFEITO!$Y$420</f>
        <v>0</v>
      </c>
      <c r="K421" s="68">
        <f ca="1">EFEITO!$L$421*EFEITO!$Z$420</f>
        <v>54664.224513247631</v>
      </c>
      <c r="L421" s="68">
        <f>EFEITO!$N$421*EFEITO!$AA$420</f>
        <v>33070.384226569746</v>
      </c>
      <c r="M421" s="68">
        <f>$J$421-EFEITO!$K$421*EFEITO!$Y$421</f>
        <v>0</v>
      </c>
      <c r="N421" s="68">
        <f ca="1">$K$421-EFEITO!$M$421*EFEITO!$Z$421</f>
        <v>1639.9267353974356</v>
      </c>
      <c r="O421" s="68">
        <f>$L$421-EFEITO!$O$421*EFEITO!$AA$421</f>
        <v>992.11152679708903</v>
      </c>
      <c r="P421" s="18"/>
      <c r="Q421" s="18"/>
      <c r="R421" s="18"/>
      <c r="S421" s="18"/>
      <c r="T421" s="18"/>
      <c r="U421" s="18"/>
      <c r="V421" s="18"/>
      <c r="W421" s="18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60" t="s">
        <v>21</v>
      </c>
      <c r="B422" s="60" t="s">
        <v>32</v>
      </c>
      <c r="C422" s="60" t="s">
        <v>23</v>
      </c>
      <c r="D422" s="60" t="s">
        <v>45</v>
      </c>
      <c r="E422" s="60" t="s">
        <v>46</v>
      </c>
      <c r="F422" s="60" t="s">
        <v>25</v>
      </c>
      <c r="G422" s="60" t="s">
        <v>25</v>
      </c>
      <c r="H422" s="60" t="s">
        <v>25</v>
      </c>
      <c r="I422" s="67">
        <v>44409</v>
      </c>
      <c r="J422" s="68">
        <f>EFEITO!$J$422*EFEITO!$Y$420</f>
        <v>0</v>
      </c>
      <c r="K422" s="68">
        <f ca="1">EFEITO!$L$422*EFEITO!$Z$420</f>
        <v>57930.943404459169</v>
      </c>
      <c r="L422" s="68">
        <f>EFEITO!$N$422*EFEITO!$AA$420</f>
        <v>35046.661213109248</v>
      </c>
      <c r="M422" s="68">
        <f>$J$422-EFEITO!$K$422*EFEITO!$Y$422</f>
        <v>0</v>
      </c>
      <c r="N422" s="68">
        <f ca="1">$K$422-EFEITO!$M$422*EFEITO!$Z$422</f>
        <v>1737.928302133776</v>
      </c>
      <c r="O422" s="68">
        <f>$L$422-EFEITO!$O$422*EFEITO!$AA$422</f>
        <v>1051.3998363932769</v>
      </c>
      <c r="P422" s="18"/>
      <c r="Q422" s="18"/>
      <c r="R422" s="18"/>
      <c r="S422" s="18"/>
      <c r="T422" s="18"/>
      <c r="U422" s="18"/>
      <c r="V422" s="18"/>
      <c r="W422" s="18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60" t="s">
        <v>21</v>
      </c>
      <c r="B423" s="60" t="s">
        <v>32</v>
      </c>
      <c r="C423" s="60" t="s">
        <v>23</v>
      </c>
      <c r="D423" s="60" t="s">
        <v>45</v>
      </c>
      <c r="E423" s="60" t="s">
        <v>46</v>
      </c>
      <c r="F423" s="60" t="s">
        <v>25</v>
      </c>
      <c r="G423" s="60" t="s">
        <v>25</v>
      </c>
      <c r="H423" s="60" t="s">
        <v>25</v>
      </c>
      <c r="I423" s="67">
        <v>44440</v>
      </c>
      <c r="J423" s="68">
        <f>EFEITO!$J$423*EFEITO!$Y$420</f>
        <v>0</v>
      </c>
      <c r="K423" s="68">
        <f ca="1">EFEITO!$L$423*EFEITO!$Z$420</f>
        <v>58341.681116514788</v>
      </c>
      <c r="L423" s="68">
        <f>EFEITO!$N$423*EFEITO!$AA$420</f>
        <v>35295.146471520435</v>
      </c>
      <c r="M423" s="68">
        <f>$J$423-EFEITO!$K$423*EFEITO!$Y$423</f>
        <v>0</v>
      </c>
      <c r="N423" s="68">
        <f ca="1">$K$423-EFEITO!$M$423*EFEITO!$Z$423</f>
        <v>1750.2504334954501</v>
      </c>
      <c r="O423" s="68">
        <f>$L$423-EFEITO!$O$423*EFEITO!$AA$423</f>
        <v>1058.8543941456155</v>
      </c>
      <c r="P423" s="18"/>
      <c r="Q423" s="18"/>
      <c r="R423" s="18"/>
      <c r="S423" s="18"/>
      <c r="T423" s="18"/>
      <c r="U423" s="18"/>
      <c r="V423" s="18"/>
      <c r="W423" s="18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60" t="s">
        <v>21</v>
      </c>
      <c r="B424" s="60" t="s">
        <v>32</v>
      </c>
      <c r="C424" s="60" t="s">
        <v>23</v>
      </c>
      <c r="D424" s="60" t="s">
        <v>45</v>
      </c>
      <c r="E424" s="60" t="s">
        <v>46</v>
      </c>
      <c r="F424" s="60" t="s">
        <v>25</v>
      </c>
      <c r="G424" s="60" t="s">
        <v>25</v>
      </c>
      <c r="H424" s="60" t="s">
        <v>25</v>
      </c>
      <c r="I424" s="67">
        <v>44470</v>
      </c>
      <c r="J424" s="68">
        <f>EFEITO!$J$424*EFEITO!$Y$420</f>
        <v>0</v>
      </c>
      <c r="K424" s="68">
        <f ca="1">EFEITO!$L$424*EFEITO!$Z$420</f>
        <v>56980.07807838171</v>
      </c>
      <c r="L424" s="68">
        <f>EFEITO!$N$424*EFEITO!$AA$420</f>
        <v>34471.413288875301</v>
      </c>
      <c r="M424" s="68">
        <f>$J$424-EFEITO!$K$424*EFEITO!$Y$424</f>
        <v>0</v>
      </c>
      <c r="N424" s="68">
        <f ca="1">$K$424-EFEITO!$M$424*EFEITO!$Z$424</f>
        <v>1709.4023423514518</v>
      </c>
      <c r="O424" s="68">
        <f>$L$424-EFEITO!$O$424*EFEITO!$AA$424</f>
        <v>1034.142398666263</v>
      </c>
      <c r="P424" s="18"/>
      <c r="Q424" s="18"/>
      <c r="R424" s="18"/>
      <c r="S424" s="18"/>
      <c r="T424" s="18"/>
      <c r="U424" s="18"/>
      <c r="V424" s="18"/>
      <c r="W424" s="18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60" t="s">
        <v>21</v>
      </c>
      <c r="B425" s="60" t="s">
        <v>32</v>
      </c>
      <c r="C425" s="60" t="s">
        <v>23</v>
      </c>
      <c r="D425" s="60" t="s">
        <v>45</v>
      </c>
      <c r="E425" s="60" t="s">
        <v>46</v>
      </c>
      <c r="F425" s="60" t="s">
        <v>25</v>
      </c>
      <c r="G425" s="60" t="s">
        <v>25</v>
      </c>
      <c r="H425" s="60" t="s">
        <v>25</v>
      </c>
      <c r="I425" s="67">
        <v>44501</v>
      </c>
      <c r="J425" s="68">
        <f>EFEITO!$J$425*EFEITO!$Y$420</f>
        <v>0</v>
      </c>
      <c r="K425" s="68">
        <f ca="1">EFEITO!$L$425*EFEITO!$Z$420</f>
        <v>60766.237244637945</v>
      </c>
      <c r="L425" s="68">
        <f>EFEITO!$N$425*EFEITO!$AA$420</f>
        <v>36761.937658075825</v>
      </c>
      <c r="M425" s="68">
        <f>$J$425-EFEITO!$K$425*EFEITO!$Y$425</f>
        <v>0</v>
      </c>
      <c r="N425" s="68">
        <f ca="1">$K$425-EFEITO!$M$425*EFEITO!$Z$425</f>
        <v>1822.9871173391439</v>
      </c>
      <c r="O425" s="68">
        <f>$L$425-EFEITO!$O$425*EFEITO!$AA$425</f>
        <v>1102.8581297422716</v>
      </c>
      <c r="P425" s="18"/>
      <c r="Q425" s="18"/>
      <c r="R425" s="18"/>
      <c r="S425" s="18"/>
      <c r="T425" s="18"/>
      <c r="U425" s="18"/>
      <c r="V425" s="18"/>
      <c r="W425" s="18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60" t="s">
        <v>21</v>
      </c>
      <c r="B426" s="60" t="s">
        <v>32</v>
      </c>
      <c r="C426" s="60" t="s">
        <v>23</v>
      </c>
      <c r="D426" s="60" t="s">
        <v>45</v>
      </c>
      <c r="E426" s="60" t="s">
        <v>46</v>
      </c>
      <c r="F426" s="60" t="s">
        <v>25</v>
      </c>
      <c r="G426" s="60" t="s">
        <v>25</v>
      </c>
      <c r="H426" s="60" t="s">
        <v>25</v>
      </c>
      <c r="I426" s="67">
        <v>44531</v>
      </c>
      <c r="J426" s="68">
        <f>EFEITO!$J$426*EFEITO!$Y$420</f>
        <v>0</v>
      </c>
      <c r="K426" s="68">
        <f ca="1">EFEITO!$L$426*EFEITO!$Z$420</f>
        <v>58869.77246058629</v>
      </c>
      <c r="L426" s="68">
        <f>EFEITO!$N$426*EFEITO!$AA$420</f>
        <v>35614.627518049099</v>
      </c>
      <c r="M426" s="68">
        <f>$J$426-EFEITO!$K$426*EFEITO!$Y$426</f>
        <v>0</v>
      </c>
      <c r="N426" s="68">
        <f ca="1">$K$426-EFEITO!$M$426*EFEITO!$Z$426</f>
        <v>1766.0931738175932</v>
      </c>
      <c r="O426" s="68">
        <f>$L$426-EFEITO!$O$426*EFEITO!$AA$426</f>
        <v>1068.4388255414742</v>
      </c>
      <c r="P426" s="18"/>
      <c r="Q426" s="18"/>
      <c r="R426" s="18"/>
      <c r="S426" s="18"/>
      <c r="T426" s="18"/>
      <c r="U426" s="18"/>
      <c r="V426" s="18"/>
      <c r="W426" s="18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60" t="s">
        <v>21</v>
      </c>
      <c r="B427" s="60" t="s">
        <v>32</v>
      </c>
      <c r="C427" s="60" t="s">
        <v>23</v>
      </c>
      <c r="D427" s="60" t="s">
        <v>45</v>
      </c>
      <c r="E427" s="60" t="s">
        <v>46</v>
      </c>
      <c r="F427" s="60" t="s">
        <v>25</v>
      </c>
      <c r="G427" s="60" t="s">
        <v>25</v>
      </c>
      <c r="H427" s="60" t="s">
        <v>25</v>
      </c>
      <c r="I427" s="67">
        <v>44562</v>
      </c>
      <c r="J427" s="68">
        <f>EFEITO!$J$427*EFEITO!$Y$420</f>
        <v>0</v>
      </c>
      <c r="K427" s="68">
        <f ca="1">EFEITO!$L$427*EFEITO!$Z$420</f>
        <v>67999.283217924982</v>
      </c>
      <c r="L427" s="68">
        <f>EFEITO!$N$427*EFEITO!$AA$420</f>
        <v>41137.735752624416</v>
      </c>
      <c r="M427" s="68">
        <f>$J$427-EFEITO!$K$427*EFEITO!$Y$427</f>
        <v>0</v>
      </c>
      <c r="N427" s="68">
        <f ca="1">$K$427-EFEITO!$M$427*EFEITO!$Z$427</f>
        <v>2039.9784965377621</v>
      </c>
      <c r="O427" s="68">
        <f>$L$427-EFEITO!$O$427*EFEITO!$AA$427</f>
        <v>1234.13207257873</v>
      </c>
      <c r="P427" s="18"/>
      <c r="Q427" s="18"/>
      <c r="R427" s="18"/>
      <c r="S427" s="18"/>
      <c r="T427" s="18"/>
      <c r="U427" s="18"/>
      <c r="V427" s="18"/>
      <c r="W427" s="18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60" t="s">
        <v>21</v>
      </c>
      <c r="B428" s="60" t="s">
        <v>32</v>
      </c>
      <c r="C428" s="60" t="s">
        <v>23</v>
      </c>
      <c r="D428" s="60" t="s">
        <v>45</v>
      </c>
      <c r="E428" s="60" t="s">
        <v>46</v>
      </c>
      <c r="F428" s="60" t="s">
        <v>25</v>
      </c>
      <c r="G428" s="60" t="s">
        <v>25</v>
      </c>
      <c r="H428" s="60" t="s">
        <v>25</v>
      </c>
      <c r="I428" s="67">
        <v>44593</v>
      </c>
      <c r="J428" s="68">
        <f>EFEITO!$J$428*EFEITO!$Y$420</f>
        <v>0</v>
      </c>
      <c r="K428" s="68">
        <f ca="1">EFEITO!$L$428*EFEITO!$Z$420</f>
        <v>63668.106702979574</v>
      </c>
      <c r="L428" s="68">
        <f>EFEITO!$N$428*EFEITO!$AA$420</f>
        <v>38517.490559762904</v>
      </c>
      <c r="M428" s="68">
        <f>$J$428-EFEITO!$K$428*EFEITO!$Y$428</f>
        <v>0</v>
      </c>
      <c r="N428" s="68">
        <f ca="1">$K$428-EFEITO!$M$428*EFEITO!$Z$428</f>
        <v>1910.0432010893928</v>
      </c>
      <c r="O428" s="68">
        <f>$L$428-EFEITO!$O$428*EFEITO!$AA$428</f>
        <v>1155.5247167928901</v>
      </c>
      <c r="P428" s="18"/>
      <c r="Q428" s="18"/>
      <c r="R428" s="18"/>
      <c r="S428" s="18"/>
      <c r="T428" s="18"/>
      <c r="U428" s="18"/>
      <c r="V428" s="18"/>
      <c r="W428" s="18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60" t="s">
        <v>21</v>
      </c>
      <c r="B429" s="60" t="s">
        <v>32</v>
      </c>
      <c r="C429" s="60" t="s">
        <v>23</v>
      </c>
      <c r="D429" s="60" t="s">
        <v>45</v>
      </c>
      <c r="E429" s="60" t="s">
        <v>46</v>
      </c>
      <c r="F429" s="60" t="s">
        <v>25</v>
      </c>
      <c r="G429" s="60" t="s">
        <v>25</v>
      </c>
      <c r="H429" s="60" t="s">
        <v>25</v>
      </c>
      <c r="I429" s="67">
        <v>44621</v>
      </c>
      <c r="J429" s="68">
        <f>EFEITO!$J$429*EFEITO!$Y$420</f>
        <v>0</v>
      </c>
      <c r="K429" s="68">
        <f ca="1">EFEITO!$L$429*EFEITO!$Z$420</f>
        <v>58816.361512681622</v>
      </c>
      <c r="L429" s="68">
        <f>EFEITO!$N$429*EFEITO!$AA$420</f>
        <v>35582.315332431528</v>
      </c>
      <c r="M429" s="68">
        <f>$J$429-EFEITO!$K$429*EFEITO!$Y$429</f>
        <v>0</v>
      </c>
      <c r="N429" s="68">
        <f ca="1">$K$429-EFEITO!$M$429*EFEITO!$Z$429</f>
        <v>1764.4908453804528</v>
      </c>
      <c r="O429" s="68">
        <f>$L$429-EFEITO!$O$429*EFEITO!$AA$429</f>
        <v>1067.4694599729482</v>
      </c>
      <c r="P429" s="18"/>
      <c r="Q429" s="18"/>
      <c r="R429" s="18"/>
      <c r="S429" s="18"/>
      <c r="T429" s="18"/>
      <c r="U429" s="18"/>
      <c r="V429" s="18"/>
      <c r="W429" s="18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60" t="s">
        <v>21</v>
      </c>
      <c r="B430" s="60" t="s">
        <v>32</v>
      </c>
      <c r="C430" s="60" t="s">
        <v>23</v>
      </c>
      <c r="D430" s="60" t="s">
        <v>45</v>
      </c>
      <c r="E430" s="60" t="s">
        <v>46</v>
      </c>
      <c r="F430" s="60" t="s">
        <v>25</v>
      </c>
      <c r="G430" s="60" t="s">
        <v>25</v>
      </c>
      <c r="H430" s="60" t="s">
        <v>25</v>
      </c>
      <c r="I430" s="67">
        <v>44652</v>
      </c>
      <c r="J430" s="68">
        <f>EFEITO!$J$430*EFEITO!$Y$420</f>
        <v>0</v>
      </c>
      <c r="K430" s="68">
        <f ca="1">EFEITO!$L$430*EFEITO!$Z$420</f>
        <v>61529.78811961312</v>
      </c>
      <c r="L430" s="68">
        <f>EFEITO!$N$430*EFEITO!$AA$420</f>
        <v>37223.865382045333</v>
      </c>
      <c r="M430" s="68">
        <f>$J$430-EFEITO!$K$430*EFEITO!$Y$430</f>
        <v>0</v>
      </c>
      <c r="N430" s="68">
        <f ca="1">$K$430-EFEITO!$M$430*EFEITO!$Z$430</f>
        <v>1845.8936435883952</v>
      </c>
      <c r="O430" s="68">
        <f>$L$430-EFEITO!$O$430*EFEITO!$AA$430</f>
        <v>1116.7159614613556</v>
      </c>
      <c r="P430" s="18"/>
      <c r="Q430" s="18"/>
      <c r="R430" s="18"/>
      <c r="S430" s="18"/>
      <c r="T430" s="18"/>
      <c r="U430" s="18"/>
      <c r="V430" s="18"/>
      <c r="W430" s="18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60" t="s">
        <v>21</v>
      </c>
      <c r="B431" s="60" t="s">
        <v>32</v>
      </c>
      <c r="C431" s="60" t="s">
        <v>23</v>
      </c>
      <c r="D431" s="60" t="s">
        <v>45</v>
      </c>
      <c r="E431" s="60" t="s">
        <v>46</v>
      </c>
      <c r="F431" s="60" t="s">
        <v>25</v>
      </c>
      <c r="G431" s="60" t="s">
        <v>25</v>
      </c>
      <c r="H431" s="60" t="s">
        <v>25</v>
      </c>
      <c r="I431" s="67">
        <v>44682</v>
      </c>
      <c r="J431" s="68">
        <f>EFEITO!$J$431*EFEITO!$Y$420</f>
        <v>0</v>
      </c>
      <c r="K431" s="68">
        <f ca="1">EFEITO!$L$431*EFEITO!$Z$420</f>
        <v>61475.624904836557</v>
      </c>
      <c r="L431" s="68">
        <f>EFEITO!$N$431*EFEITO!$AA$420</f>
        <v>37191.098095221882</v>
      </c>
      <c r="M431" s="68">
        <f>$J$431-EFEITO!$K$431*EFEITO!$Y$431</f>
        <v>0</v>
      </c>
      <c r="N431" s="68">
        <f ca="1">$K$431-EFEITO!$M$431*EFEITO!$Z$431</f>
        <v>1844.2687471451063</v>
      </c>
      <c r="O431" s="68">
        <f>$L$431-EFEITO!$O$431*EFEITO!$AA$431</f>
        <v>1115.7329428566518</v>
      </c>
      <c r="P431" s="18"/>
      <c r="Q431" s="18"/>
      <c r="R431" s="18"/>
      <c r="S431" s="18"/>
      <c r="T431" s="18"/>
      <c r="U431" s="18"/>
      <c r="V431" s="18"/>
      <c r="W431" s="18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60" t="s">
        <v>21</v>
      </c>
      <c r="B432" s="60" t="s">
        <v>32</v>
      </c>
      <c r="C432" s="60" t="s">
        <v>23</v>
      </c>
      <c r="D432" s="60" t="s">
        <v>45</v>
      </c>
      <c r="E432" s="60" t="s">
        <v>46</v>
      </c>
      <c r="F432" s="60" t="s">
        <v>25</v>
      </c>
      <c r="G432" s="60" t="s">
        <v>25</v>
      </c>
      <c r="H432" s="60" t="s">
        <v>25</v>
      </c>
      <c r="I432" s="67">
        <v>44713</v>
      </c>
      <c r="J432" s="68">
        <f>EFEITO!$J$432*EFEITO!$Y$420</f>
        <v>0</v>
      </c>
      <c r="K432" s="68">
        <f ca="1">EFEITO!$L$432*EFEITO!$Z$420</f>
        <v>62122.574414667739</v>
      </c>
      <c r="L432" s="68">
        <f>EFEITO!$N$432*EFEITO!$AA$420</f>
        <v>37582.485132279791</v>
      </c>
      <c r="M432" s="68">
        <f>$J$432-EFEITO!$K$432*EFEITO!$Y$432</f>
        <v>0</v>
      </c>
      <c r="N432" s="68">
        <f ca="1">$K$432-EFEITO!$M$432*EFEITO!$Z$432</f>
        <v>1863.6772324400372</v>
      </c>
      <c r="O432" s="68">
        <f>$L$432-EFEITO!$O$432*EFEITO!$AA$432</f>
        <v>1127.4745539683936</v>
      </c>
      <c r="P432" s="18"/>
      <c r="Q432" s="18"/>
      <c r="R432" s="18"/>
      <c r="S432" s="18"/>
      <c r="T432" s="18"/>
      <c r="U432" s="18"/>
      <c r="V432" s="18"/>
      <c r="W432" s="18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60" t="s">
        <v>21</v>
      </c>
      <c r="B433" s="60" t="s">
        <v>42</v>
      </c>
      <c r="C433" s="60" t="s">
        <v>23</v>
      </c>
      <c r="D433" s="60" t="s">
        <v>43</v>
      </c>
      <c r="E433" s="60" t="s">
        <v>44</v>
      </c>
      <c r="F433" s="60" t="s">
        <v>25</v>
      </c>
      <c r="G433" s="60" t="s">
        <v>25</v>
      </c>
      <c r="H433" s="60" t="s">
        <v>25</v>
      </c>
      <c r="I433" s="67">
        <v>44378</v>
      </c>
      <c r="J433" s="68">
        <f>EFEITO!$J$433*EFEITO!$Y$433</f>
        <v>0</v>
      </c>
      <c r="K433" s="68">
        <f ca="1">EFEITO!$L$433*EFEITO!$Z$433</f>
        <v>74742.735104309846</v>
      </c>
      <c r="L433" s="68">
        <f>EFEITO!$N$433*EFEITO!$AA$433</f>
        <v>45217.342604855337</v>
      </c>
      <c r="M433" s="68">
        <f>$J$433-EFEITO!$K$433*EFEITO!$Y$433</f>
        <v>0</v>
      </c>
      <c r="N433" s="68">
        <f ca="1">$K$433-EFEITO!$M$433*EFEITO!$Z$433</f>
        <v>0</v>
      </c>
      <c r="O433" s="68">
        <f>$L$433-EFEITO!$O$433*EFEITO!$AA$433</f>
        <v>0</v>
      </c>
      <c r="P433" s="18"/>
      <c r="Q433" s="18"/>
      <c r="R433" s="18"/>
      <c r="S433" s="18"/>
      <c r="T433" s="18"/>
      <c r="U433" s="18"/>
      <c r="V433" s="18"/>
      <c r="W433" s="18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60" t="s">
        <v>21</v>
      </c>
      <c r="B434" s="60" t="s">
        <v>42</v>
      </c>
      <c r="C434" s="60" t="s">
        <v>23</v>
      </c>
      <c r="D434" s="60" t="s">
        <v>43</v>
      </c>
      <c r="E434" s="60" t="s">
        <v>44</v>
      </c>
      <c r="F434" s="60" t="s">
        <v>25</v>
      </c>
      <c r="G434" s="60" t="s">
        <v>25</v>
      </c>
      <c r="H434" s="60" t="s">
        <v>25</v>
      </c>
      <c r="I434" s="67">
        <v>44409</v>
      </c>
      <c r="J434" s="68">
        <f>EFEITO!$J$434*EFEITO!$Y$434</f>
        <v>0</v>
      </c>
      <c r="K434" s="68">
        <f ca="1">EFEITO!$L$434*EFEITO!$Z$434</f>
        <v>66936.781488058055</v>
      </c>
      <c r="L434" s="68">
        <f>EFEITO!$N$434*EFEITO!$AA$434</f>
        <v>40494.950809437694</v>
      </c>
      <c r="M434" s="68">
        <f>$J$434-EFEITO!$K$434*EFEITO!$Y$434</f>
        <v>0</v>
      </c>
      <c r="N434" s="68">
        <f ca="1">$K$434-EFEITO!$M$434*EFEITO!$Z$434</f>
        <v>0</v>
      </c>
      <c r="O434" s="68">
        <f>$L$434-EFEITO!$O$434*EFEITO!$AA$434</f>
        <v>0</v>
      </c>
      <c r="P434" s="18"/>
      <c r="Q434" s="18"/>
      <c r="R434" s="18"/>
      <c r="S434" s="18"/>
      <c r="T434" s="18"/>
      <c r="U434" s="18"/>
      <c r="V434" s="18"/>
      <c r="W434" s="18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60" t="s">
        <v>21</v>
      </c>
      <c r="B435" s="60" t="s">
        <v>42</v>
      </c>
      <c r="C435" s="60" t="s">
        <v>23</v>
      </c>
      <c r="D435" s="60" t="s">
        <v>43</v>
      </c>
      <c r="E435" s="60" t="s">
        <v>44</v>
      </c>
      <c r="F435" s="60" t="s">
        <v>25</v>
      </c>
      <c r="G435" s="60" t="s">
        <v>25</v>
      </c>
      <c r="H435" s="60" t="s">
        <v>25</v>
      </c>
      <c r="I435" s="67">
        <v>44440</v>
      </c>
      <c r="J435" s="68">
        <f>EFEITO!$J$435*EFEITO!$Y$435</f>
        <v>0</v>
      </c>
      <c r="K435" s="68">
        <f ca="1">EFEITO!$L$435*EFEITO!$Z$435</f>
        <v>60686.722636278464</v>
      </c>
      <c r="L435" s="68">
        <f>EFEITO!$N$435*EFEITO!$AA$435</f>
        <v>36713.83346061418</v>
      </c>
      <c r="M435" s="68">
        <f>$J$435-EFEITO!$K$435*EFEITO!$Y$435</f>
        <v>0</v>
      </c>
      <c r="N435" s="68">
        <f ca="1">$K$435-EFEITO!$M$435*EFEITO!$Z$435</f>
        <v>0</v>
      </c>
      <c r="O435" s="68">
        <f>$L$435-EFEITO!$O$435*EFEITO!$AA$435</f>
        <v>0</v>
      </c>
      <c r="P435" s="18"/>
      <c r="Q435" s="18"/>
      <c r="R435" s="18"/>
      <c r="S435" s="18"/>
      <c r="T435" s="18"/>
      <c r="U435" s="18"/>
      <c r="V435" s="18"/>
      <c r="W435" s="18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60" t="s">
        <v>21</v>
      </c>
      <c r="B436" s="60" t="s">
        <v>42</v>
      </c>
      <c r="C436" s="60" t="s">
        <v>23</v>
      </c>
      <c r="D436" s="60" t="s">
        <v>43</v>
      </c>
      <c r="E436" s="60" t="s">
        <v>44</v>
      </c>
      <c r="F436" s="60" t="s">
        <v>25</v>
      </c>
      <c r="G436" s="60" t="s">
        <v>25</v>
      </c>
      <c r="H436" s="60" t="s">
        <v>25</v>
      </c>
      <c r="I436" s="67">
        <v>44470</v>
      </c>
      <c r="J436" s="68">
        <f>EFEITO!$J$436*EFEITO!$Y$436</f>
        <v>0</v>
      </c>
      <c r="K436" s="68">
        <f ca="1">EFEITO!$L$436*EFEITO!$Z$436</f>
        <v>58300.231211873281</v>
      </c>
      <c r="L436" s="68">
        <f>EFEITO!$N$436*EFEITO!$AA$436</f>
        <v>35270.070395076378</v>
      </c>
      <c r="M436" s="68">
        <f>$J$436-EFEITO!$K$436*EFEITO!$Y$436</f>
        <v>0</v>
      </c>
      <c r="N436" s="68">
        <f ca="1">$K$436-EFEITO!$M$436*EFEITO!$Z$436</f>
        <v>0</v>
      </c>
      <c r="O436" s="68">
        <f>$L$436-EFEITO!$O$436*EFEITO!$AA$436</f>
        <v>0</v>
      </c>
      <c r="P436" s="18"/>
      <c r="Q436" s="18"/>
      <c r="R436" s="18"/>
      <c r="S436" s="18"/>
      <c r="T436" s="18"/>
      <c r="U436" s="18"/>
      <c r="V436" s="18"/>
      <c r="W436" s="18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60" t="s">
        <v>21</v>
      </c>
      <c r="B437" s="60" t="s">
        <v>42</v>
      </c>
      <c r="C437" s="60" t="s">
        <v>23</v>
      </c>
      <c r="D437" s="60" t="s">
        <v>43</v>
      </c>
      <c r="E437" s="60" t="s">
        <v>44</v>
      </c>
      <c r="F437" s="60" t="s">
        <v>25</v>
      </c>
      <c r="G437" s="60" t="s">
        <v>25</v>
      </c>
      <c r="H437" s="60" t="s">
        <v>25</v>
      </c>
      <c r="I437" s="67">
        <v>44501</v>
      </c>
      <c r="J437" s="68">
        <f>EFEITO!$J$437*EFEITO!$Y$437</f>
        <v>0</v>
      </c>
      <c r="K437" s="68">
        <f ca="1">EFEITO!$L$437*EFEITO!$Z$437</f>
        <v>53523.317768657267</v>
      </c>
      <c r="L437" s="68">
        <f>EFEITO!$N$437*EFEITO!$AA$437</f>
        <v>32380.166360200048</v>
      </c>
      <c r="M437" s="68">
        <f>$J$437-EFEITO!$K$437*EFEITO!$Y$437</f>
        <v>0</v>
      </c>
      <c r="N437" s="68">
        <f ca="1">$K$437-EFEITO!$M$437*EFEITO!$Z$437</f>
        <v>0</v>
      </c>
      <c r="O437" s="68">
        <f>$L$437-EFEITO!$O$437*EFEITO!$AA$437</f>
        <v>0</v>
      </c>
      <c r="P437" s="18"/>
      <c r="Q437" s="18"/>
      <c r="R437" s="18"/>
      <c r="S437" s="18"/>
      <c r="T437" s="18"/>
      <c r="U437" s="18"/>
      <c r="V437" s="18"/>
      <c r="W437" s="18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60" t="s">
        <v>21</v>
      </c>
      <c r="B438" s="60" t="s">
        <v>42</v>
      </c>
      <c r="C438" s="60" t="s">
        <v>23</v>
      </c>
      <c r="D438" s="60" t="s">
        <v>43</v>
      </c>
      <c r="E438" s="60" t="s">
        <v>44</v>
      </c>
      <c r="F438" s="60" t="s">
        <v>25</v>
      </c>
      <c r="G438" s="60" t="s">
        <v>25</v>
      </c>
      <c r="H438" s="60" t="s">
        <v>25</v>
      </c>
      <c r="I438" s="67">
        <v>44531</v>
      </c>
      <c r="J438" s="68">
        <f>EFEITO!$J$438*EFEITO!$Y$438</f>
        <v>0</v>
      </c>
      <c r="K438" s="68">
        <f ca="1">EFEITO!$L$438*EFEITO!$Z$438</f>
        <v>54887.647774200967</v>
      </c>
      <c r="L438" s="68">
        <f>EFEITO!$N$438*EFEITO!$AA$438</f>
        <v>33205.549284716501</v>
      </c>
      <c r="M438" s="68">
        <f>$J$438-EFEITO!$K$438*EFEITO!$Y$438</f>
        <v>0</v>
      </c>
      <c r="N438" s="68">
        <f ca="1">$K$438-EFEITO!$M$438*EFEITO!$Z$438</f>
        <v>0</v>
      </c>
      <c r="O438" s="68">
        <f>$L$438-EFEITO!$O$438*EFEITO!$AA$438</f>
        <v>0</v>
      </c>
      <c r="P438" s="18"/>
      <c r="Q438" s="18"/>
      <c r="R438" s="18"/>
      <c r="S438" s="18"/>
      <c r="T438" s="18"/>
      <c r="U438" s="18"/>
      <c r="V438" s="18"/>
      <c r="W438" s="18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60" t="s">
        <v>21</v>
      </c>
      <c r="B439" s="60" t="s">
        <v>42</v>
      </c>
      <c r="C439" s="60" t="s">
        <v>23</v>
      </c>
      <c r="D439" s="60" t="s">
        <v>43</v>
      </c>
      <c r="E439" s="60" t="s">
        <v>44</v>
      </c>
      <c r="F439" s="60" t="s">
        <v>25</v>
      </c>
      <c r="G439" s="60" t="s">
        <v>25</v>
      </c>
      <c r="H439" s="60" t="s">
        <v>25</v>
      </c>
      <c r="I439" s="67">
        <v>44562</v>
      </c>
      <c r="J439" s="68">
        <f>EFEITO!$J$439*EFEITO!$Y$439</f>
        <v>0</v>
      </c>
      <c r="K439" s="68">
        <f ca="1">EFEITO!$L$439*EFEITO!$Z$439</f>
        <v>53853.487698732744</v>
      </c>
      <c r="L439" s="68">
        <f>EFEITO!$N$439*EFEITO!$AA$439</f>
        <v>32579.910279461346</v>
      </c>
      <c r="M439" s="68">
        <f>$J$439-EFEITO!$K$439*EFEITO!$Y$439</f>
        <v>0</v>
      </c>
      <c r="N439" s="68">
        <f ca="1">$K$439-EFEITO!$M$439*EFEITO!$Z$439</f>
        <v>0</v>
      </c>
      <c r="O439" s="68">
        <f>$L$439-EFEITO!$O$439*EFEITO!$AA$439</f>
        <v>0</v>
      </c>
      <c r="P439" s="18"/>
      <c r="Q439" s="18"/>
      <c r="R439" s="18"/>
      <c r="S439" s="18"/>
      <c r="T439" s="18"/>
      <c r="U439" s="18"/>
      <c r="V439" s="18"/>
      <c r="W439" s="18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60" t="s">
        <v>21</v>
      </c>
      <c r="B440" s="60" t="s">
        <v>42</v>
      </c>
      <c r="C440" s="60" t="s">
        <v>23</v>
      </c>
      <c r="D440" s="60" t="s">
        <v>43</v>
      </c>
      <c r="E440" s="60" t="s">
        <v>44</v>
      </c>
      <c r="F440" s="60" t="s">
        <v>25</v>
      </c>
      <c r="G440" s="60" t="s">
        <v>25</v>
      </c>
      <c r="H440" s="60" t="s">
        <v>25</v>
      </c>
      <c r="I440" s="67">
        <v>44593</v>
      </c>
      <c r="J440" s="68">
        <f>EFEITO!$J$440*EFEITO!$Y$440</f>
        <v>0</v>
      </c>
      <c r="K440" s="68">
        <f ca="1">EFEITO!$L$440*EFEITO!$Z$440</f>
        <v>51666.422222067384</v>
      </c>
      <c r="L440" s="68">
        <f>EFEITO!$N$440*EFEITO!$AA$440</f>
        <v>31256.794543602671</v>
      </c>
      <c r="M440" s="68">
        <f>$J$440-EFEITO!$K$440*EFEITO!$Y$440</f>
        <v>0</v>
      </c>
      <c r="N440" s="68">
        <f ca="1">$K$440-EFEITO!$M$440*EFEITO!$Z$440</f>
        <v>0</v>
      </c>
      <c r="O440" s="68">
        <f>$L$440-EFEITO!$O$440*EFEITO!$AA$440</f>
        <v>0</v>
      </c>
      <c r="P440" s="18"/>
      <c r="Q440" s="18"/>
      <c r="R440" s="18"/>
      <c r="S440" s="18"/>
      <c r="T440" s="18"/>
      <c r="U440" s="18"/>
      <c r="V440" s="18"/>
      <c r="W440" s="18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60" t="s">
        <v>21</v>
      </c>
      <c r="B441" s="60" t="s">
        <v>42</v>
      </c>
      <c r="C441" s="60" t="s">
        <v>23</v>
      </c>
      <c r="D441" s="60" t="s">
        <v>43</v>
      </c>
      <c r="E441" s="60" t="s">
        <v>44</v>
      </c>
      <c r="F441" s="60" t="s">
        <v>25</v>
      </c>
      <c r="G441" s="60" t="s">
        <v>25</v>
      </c>
      <c r="H441" s="60" t="s">
        <v>25</v>
      </c>
      <c r="I441" s="67">
        <v>44621</v>
      </c>
      <c r="J441" s="68">
        <f>EFEITO!$J$441*EFEITO!$Y$441</f>
        <v>0</v>
      </c>
      <c r="K441" s="68">
        <f ca="1">EFEITO!$L$441*EFEITO!$Z$441</f>
        <v>61653.855733460696</v>
      </c>
      <c r="L441" s="68">
        <f>EFEITO!$N$441*EFEITO!$AA$441</f>
        <v>37298.922948425308</v>
      </c>
      <c r="M441" s="68">
        <f>$J$441-EFEITO!$K$441*EFEITO!$Y$441</f>
        <v>0</v>
      </c>
      <c r="N441" s="68">
        <f ca="1">$K$441-EFEITO!$M$441*EFEITO!$Z$441</f>
        <v>0</v>
      </c>
      <c r="O441" s="68">
        <f>$L$441-EFEITO!$O$441*EFEITO!$AA$441</f>
        <v>0</v>
      </c>
      <c r="P441" s="18"/>
      <c r="Q441" s="18"/>
      <c r="R441" s="18"/>
      <c r="S441" s="18"/>
      <c r="T441" s="18"/>
      <c r="U441" s="18"/>
      <c r="V441" s="18"/>
      <c r="W441" s="18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60" t="s">
        <v>21</v>
      </c>
      <c r="B442" s="60" t="s">
        <v>42</v>
      </c>
      <c r="C442" s="60" t="s">
        <v>23</v>
      </c>
      <c r="D442" s="60" t="s">
        <v>43</v>
      </c>
      <c r="E442" s="60" t="s">
        <v>44</v>
      </c>
      <c r="F442" s="60" t="s">
        <v>25</v>
      </c>
      <c r="G442" s="60" t="s">
        <v>25</v>
      </c>
      <c r="H442" s="60" t="s">
        <v>25</v>
      </c>
      <c r="I442" s="67">
        <v>44652</v>
      </c>
      <c r="J442" s="68">
        <f>EFEITO!$J$442*EFEITO!$Y$442</f>
        <v>0</v>
      </c>
      <c r="K442" s="68">
        <f ca="1">EFEITO!$L$442*EFEITO!$Z$442</f>
        <v>64207.29398341156</v>
      </c>
      <c r="L442" s="68">
        <f>EFEITO!$N$442*EFEITO!$AA$442</f>
        <v>38843.684349078321</v>
      </c>
      <c r="M442" s="68">
        <f>$J$442-EFEITO!$K$442*EFEITO!$Y$442</f>
        <v>0</v>
      </c>
      <c r="N442" s="68">
        <f ca="1">$K$442-EFEITO!$M$442*EFEITO!$Z$442</f>
        <v>0</v>
      </c>
      <c r="O442" s="68">
        <f>$L$442-EFEITO!$O$442*EFEITO!$AA$442</f>
        <v>0</v>
      </c>
      <c r="P442" s="18"/>
      <c r="Q442" s="18"/>
      <c r="R442" s="18"/>
      <c r="S442" s="18"/>
      <c r="T442" s="18"/>
      <c r="U442" s="18"/>
      <c r="V442" s="18"/>
      <c r="W442" s="18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60" t="s">
        <v>21</v>
      </c>
      <c r="B443" s="60" t="s">
        <v>42</v>
      </c>
      <c r="C443" s="60" t="s">
        <v>23</v>
      </c>
      <c r="D443" s="60" t="s">
        <v>43</v>
      </c>
      <c r="E443" s="60" t="s">
        <v>44</v>
      </c>
      <c r="F443" s="60" t="s">
        <v>25</v>
      </c>
      <c r="G443" s="60" t="s">
        <v>25</v>
      </c>
      <c r="H443" s="60" t="s">
        <v>25</v>
      </c>
      <c r="I443" s="67">
        <v>44682</v>
      </c>
      <c r="J443" s="68">
        <f>EFEITO!$J$443*EFEITO!$Y$443</f>
        <v>0</v>
      </c>
      <c r="K443" s="68">
        <f ca="1">EFEITO!$L$443*EFEITO!$Z$443</f>
        <v>69924.033236359959</v>
      </c>
      <c r="L443" s="68">
        <f>EFEITO!$N$443*EFEITO!$AA$443</f>
        <v>42302.157697992297</v>
      </c>
      <c r="M443" s="68">
        <f>$J$443-EFEITO!$K$443*EFEITO!$Y$443</f>
        <v>0</v>
      </c>
      <c r="N443" s="68">
        <f ca="1">$K$443-EFEITO!$M$443*EFEITO!$Z$443</f>
        <v>0</v>
      </c>
      <c r="O443" s="68">
        <f>$L$443-EFEITO!$O$443*EFEITO!$AA$443</f>
        <v>0</v>
      </c>
      <c r="P443" s="18"/>
      <c r="Q443" s="18"/>
      <c r="R443" s="18"/>
      <c r="S443" s="18"/>
      <c r="T443" s="18"/>
      <c r="U443" s="18"/>
      <c r="V443" s="18"/>
      <c r="W443" s="18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60" t="s">
        <v>21</v>
      </c>
      <c r="B444" s="60" t="s">
        <v>42</v>
      </c>
      <c r="C444" s="60" t="s">
        <v>23</v>
      </c>
      <c r="D444" s="60" t="s">
        <v>43</v>
      </c>
      <c r="E444" s="60" t="s">
        <v>44</v>
      </c>
      <c r="F444" s="60" t="s">
        <v>25</v>
      </c>
      <c r="G444" s="60" t="s">
        <v>25</v>
      </c>
      <c r="H444" s="60" t="s">
        <v>25</v>
      </c>
      <c r="I444" s="67">
        <v>44713</v>
      </c>
      <c r="J444" s="68">
        <f>EFEITO!$J$444*EFEITO!$Y$444</f>
        <v>0</v>
      </c>
      <c r="K444" s="68">
        <f ca="1">EFEITO!$L$444*EFEITO!$Z$444</f>
        <v>69349.132086184691</v>
      </c>
      <c r="L444" s="68">
        <f>EFEITO!$N$444*EFEITO!$AA$444</f>
        <v>41954.35797892767</v>
      </c>
      <c r="M444" s="68">
        <f>$J$444-EFEITO!$K$444*EFEITO!$Y$444</f>
        <v>0</v>
      </c>
      <c r="N444" s="68">
        <f ca="1">$K$444-EFEITO!$M$444*EFEITO!$Z$444</f>
        <v>0</v>
      </c>
      <c r="O444" s="68">
        <f>$L$444-EFEITO!$O$444*EFEITO!$AA$444</f>
        <v>0</v>
      </c>
      <c r="P444" s="18"/>
      <c r="Q444" s="18"/>
      <c r="R444" s="18"/>
      <c r="S444" s="18"/>
      <c r="T444" s="18"/>
      <c r="U444" s="18"/>
      <c r="V444" s="18"/>
      <c r="W444" s="18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A3C1-6A56-44E3-8820-4DF6D8860CAD}">
  <dimension ref="A1:BD103"/>
  <sheetViews>
    <sheetView showGridLines="0" topLeftCell="D38" workbookViewId="0">
      <selection activeCell="L53" sqref="L53:BD103"/>
    </sheetView>
  </sheetViews>
  <sheetFormatPr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7.85546875" style="9" bestFit="1" customWidth="1"/>
    <col min="15" max="15" width="4.140625" style="9" bestFit="1" customWidth="1"/>
    <col min="16" max="16" width="4.42578125" style="9" bestFit="1" customWidth="1"/>
    <col min="17" max="17" width="10" style="9" bestFit="1" customWidth="1"/>
    <col min="18" max="19" width="8.7109375" style="9" bestFit="1" customWidth="1"/>
    <col min="20" max="20" width="7.42578125" style="9" bestFit="1" customWidth="1"/>
    <col min="21" max="21" width="7.28515625" style="9" bestFit="1" customWidth="1"/>
    <col min="22" max="23" width="9.85546875" style="9" bestFit="1" customWidth="1"/>
    <col min="24" max="24" width="10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8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4" style="9" bestFit="1" customWidth="1"/>
    <col min="34" max="34" width="9.140625" style="9"/>
    <col min="35" max="35" width="13.42578125" style="9" bestFit="1" customWidth="1"/>
    <col min="36" max="37" width="7.85546875" style="9" bestFit="1" customWidth="1"/>
    <col min="38" max="38" width="4.140625" style="9" bestFit="1" customWidth="1"/>
    <col min="39" max="39" width="4.42578125" style="9" bestFit="1" customWidth="1"/>
    <col min="40" max="40" width="10" style="9" bestFit="1" customWidth="1"/>
    <col min="41" max="42" width="8.7109375" style="9" bestFit="1" customWidth="1"/>
    <col min="43" max="43" width="7.42578125" style="9" bestFit="1" customWidth="1"/>
    <col min="44" max="44" width="7.28515625" style="9" bestFit="1" customWidth="1"/>
    <col min="45" max="46" width="9.85546875" style="9" bestFit="1" customWidth="1"/>
    <col min="47" max="47" width="10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8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4" style="9" bestFit="1" customWidth="1"/>
    <col min="57" max="16384" width="9.140625" style="9"/>
  </cols>
  <sheetData>
    <row r="1" spans="1:56" ht="11.25" customHeight="1" x14ac:dyDescent="0.25">
      <c r="A1" s="133" t="s">
        <v>60</v>
      </c>
      <c r="B1" s="133" t="s">
        <v>61</v>
      </c>
      <c r="C1" s="133" t="s">
        <v>62</v>
      </c>
      <c r="D1" s="133" t="s">
        <v>63</v>
      </c>
      <c r="E1" s="133" t="s">
        <v>64</v>
      </c>
      <c r="F1" s="133" t="s">
        <v>15</v>
      </c>
      <c r="G1" s="133" t="s">
        <v>66</v>
      </c>
      <c r="H1" s="133" t="s">
        <v>67</v>
      </c>
      <c r="I1" s="133" t="s">
        <v>509</v>
      </c>
      <c r="J1" s="129"/>
      <c r="L1" s="134" t="s">
        <v>704</v>
      </c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  <c r="AA1" s="134"/>
      <c r="AB1" s="134"/>
      <c r="AC1" s="134"/>
      <c r="AD1" s="134"/>
      <c r="AE1" s="134"/>
      <c r="AF1" s="134"/>
      <c r="AG1" s="134"/>
      <c r="AI1" s="134" t="s">
        <v>705</v>
      </c>
      <c r="AJ1" s="134"/>
      <c r="AK1" s="134"/>
      <c r="AL1" s="134"/>
      <c r="AM1" s="134"/>
      <c r="AN1" s="134"/>
      <c r="AO1" s="134"/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34"/>
      <c r="BC1" s="134"/>
      <c r="BD1" s="134"/>
    </row>
    <row r="2" spans="1:56" ht="11.25" customHeight="1" x14ac:dyDescent="0.25">
      <c r="A2" s="133"/>
      <c r="B2" s="133"/>
      <c r="C2" s="133"/>
      <c r="D2" s="133"/>
      <c r="E2" s="133"/>
      <c r="F2" s="133"/>
      <c r="G2" s="133"/>
      <c r="H2" s="133"/>
      <c r="I2" s="133"/>
      <c r="J2" s="129"/>
      <c r="L2" s="134" t="s">
        <v>408</v>
      </c>
      <c r="M2" s="134"/>
      <c r="N2" s="134"/>
      <c r="O2" s="134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  <c r="AA2" s="134"/>
      <c r="AB2" s="134"/>
      <c r="AC2" s="134"/>
      <c r="AD2" s="134"/>
      <c r="AE2" s="134"/>
      <c r="AF2" s="134"/>
      <c r="AG2" s="134"/>
      <c r="AI2" s="134" t="s">
        <v>408</v>
      </c>
      <c r="AJ2" s="134"/>
      <c r="AK2" s="134"/>
      <c r="AL2" s="134"/>
      <c r="AM2" s="134"/>
      <c r="AN2" s="134"/>
      <c r="AO2" s="134"/>
      <c r="AP2" s="134"/>
      <c r="AQ2" s="134"/>
      <c r="AR2" s="134"/>
      <c r="AS2" s="134"/>
      <c r="AT2" s="134"/>
      <c r="AU2" s="134"/>
      <c r="AV2" s="134"/>
      <c r="AW2" s="134"/>
      <c r="AX2" s="134"/>
      <c r="AY2" s="134"/>
      <c r="AZ2" s="134"/>
      <c r="BA2" s="134"/>
      <c r="BB2" s="134"/>
      <c r="BC2" s="134"/>
      <c r="BD2" s="134"/>
    </row>
    <row r="3" spans="1:56" ht="11.25" customHeight="1" x14ac:dyDescent="0.25">
      <c r="A3" s="133"/>
      <c r="B3" s="133"/>
      <c r="C3" s="133"/>
      <c r="D3" s="133"/>
      <c r="E3" s="133"/>
      <c r="F3" s="133"/>
      <c r="G3" s="133"/>
      <c r="H3" s="133"/>
      <c r="I3" s="133"/>
      <c r="J3" s="129"/>
      <c r="L3" s="134" t="s">
        <v>409</v>
      </c>
      <c r="M3" s="134"/>
      <c r="N3" s="134"/>
      <c r="O3" s="134"/>
      <c r="P3" s="134"/>
      <c r="Q3" s="134"/>
      <c r="R3" s="134"/>
      <c r="S3" s="134"/>
      <c r="T3" s="134" t="s">
        <v>418</v>
      </c>
      <c r="U3" s="134"/>
      <c r="V3" s="134"/>
      <c r="W3" s="134"/>
      <c r="X3" s="134"/>
      <c r="Y3" s="134"/>
      <c r="Z3" s="134"/>
      <c r="AA3" s="40" t="s">
        <v>426</v>
      </c>
      <c r="AB3" s="134" t="s">
        <v>428</v>
      </c>
      <c r="AC3" s="134"/>
      <c r="AD3" s="134" t="s">
        <v>431</v>
      </c>
      <c r="AE3" s="134"/>
      <c r="AF3" s="134"/>
      <c r="AG3" s="134"/>
      <c r="AI3" s="134" t="s">
        <v>409</v>
      </c>
      <c r="AJ3" s="134"/>
      <c r="AK3" s="134"/>
      <c r="AL3" s="134"/>
      <c r="AM3" s="134"/>
      <c r="AN3" s="134"/>
      <c r="AO3" s="134"/>
      <c r="AP3" s="134"/>
      <c r="AQ3" s="134" t="s">
        <v>418</v>
      </c>
      <c r="AR3" s="134"/>
      <c r="AS3" s="134"/>
      <c r="AT3" s="134"/>
      <c r="AU3" s="134"/>
      <c r="AV3" s="134"/>
      <c r="AW3" s="134"/>
      <c r="AX3" s="40" t="s">
        <v>426</v>
      </c>
      <c r="AY3" s="134" t="s">
        <v>428</v>
      </c>
      <c r="AZ3" s="134"/>
      <c r="BA3" s="134" t="s">
        <v>431</v>
      </c>
      <c r="BB3" s="134"/>
      <c r="BC3" s="134"/>
      <c r="BD3" s="134"/>
    </row>
    <row r="4" spans="1:56" ht="11.25" customHeight="1" x14ac:dyDescent="0.25">
      <c r="A4" s="133"/>
      <c r="B4" s="133"/>
      <c r="C4" s="133"/>
      <c r="D4" s="133"/>
      <c r="E4" s="133"/>
      <c r="F4" s="133"/>
      <c r="G4" s="133"/>
      <c r="H4" s="133"/>
      <c r="I4" s="133"/>
      <c r="J4" s="129"/>
      <c r="L4" s="40" t="s">
        <v>494</v>
      </c>
      <c r="M4" s="40" t="s">
        <v>410</v>
      </c>
      <c r="N4" s="40" t="s">
        <v>411</v>
      </c>
      <c r="O4" s="40" t="s">
        <v>412</v>
      </c>
      <c r="P4" s="40" t="s">
        <v>413</v>
      </c>
      <c r="Q4" s="40" t="s">
        <v>414</v>
      </c>
      <c r="R4" s="40" t="s">
        <v>415</v>
      </c>
      <c r="S4" s="40" t="s">
        <v>416</v>
      </c>
      <c r="T4" s="40" t="s">
        <v>419</v>
      </c>
      <c r="U4" s="40" t="s">
        <v>420</v>
      </c>
      <c r="V4" s="40" t="s">
        <v>421</v>
      </c>
      <c r="W4" s="40" t="s">
        <v>422</v>
      </c>
      <c r="X4" s="40" t="s">
        <v>423</v>
      </c>
      <c r="Y4" s="40" t="s">
        <v>424</v>
      </c>
      <c r="Z4" s="40" t="s">
        <v>425</v>
      </c>
      <c r="AA4" s="40" t="s">
        <v>427</v>
      </c>
      <c r="AB4" s="40" t="s">
        <v>429</v>
      </c>
      <c r="AC4" s="40" t="s">
        <v>430</v>
      </c>
      <c r="AD4" s="40" t="s">
        <v>432</v>
      </c>
      <c r="AE4" s="40" t="s">
        <v>433</v>
      </c>
      <c r="AF4" s="40" t="s">
        <v>434</v>
      </c>
      <c r="AG4" s="40" t="s">
        <v>435</v>
      </c>
      <c r="AI4" s="40" t="s">
        <v>494</v>
      </c>
      <c r="AJ4" s="40" t="s">
        <v>410</v>
      </c>
      <c r="AK4" s="40" t="s">
        <v>411</v>
      </c>
      <c r="AL4" s="40" t="s">
        <v>412</v>
      </c>
      <c r="AM4" s="40" t="s">
        <v>413</v>
      </c>
      <c r="AN4" s="40" t="s">
        <v>414</v>
      </c>
      <c r="AO4" s="40" t="s">
        <v>415</v>
      </c>
      <c r="AP4" s="40" t="s">
        <v>416</v>
      </c>
      <c r="AQ4" s="40" t="s">
        <v>419</v>
      </c>
      <c r="AR4" s="40" t="s">
        <v>420</v>
      </c>
      <c r="AS4" s="40" t="s">
        <v>421</v>
      </c>
      <c r="AT4" s="40" t="s">
        <v>422</v>
      </c>
      <c r="AU4" s="40" t="s">
        <v>423</v>
      </c>
      <c r="AV4" s="40" t="s">
        <v>424</v>
      </c>
      <c r="AW4" s="40" t="s">
        <v>425</v>
      </c>
      <c r="AX4" s="40" t="s">
        <v>427</v>
      </c>
      <c r="AY4" s="40" t="s">
        <v>429</v>
      </c>
      <c r="AZ4" s="40" t="s">
        <v>430</v>
      </c>
      <c r="BA4" s="40" t="s">
        <v>432</v>
      </c>
      <c r="BB4" s="40" t="s">
        <v>433</v>
      </c>
      <c r="BC4" s="40" t="s">
        <v>434</v>
      </c>
      <c r="BD4" s="40" t="s">
        <v>435</v>
      </c>
    </row>
    <row r="5" spans="1:56" ht="11.25" customHeight="1" x14ac:dyDescent="0.25">
      <c r="A5" s="137" t="s">
        <v>34</v>
      </c>
      <c r="B5" s="137" t="s">
        <v>51</v>
      </c>
      <c r="C5" s="137" t="s">
        <v>25</v>
      </c>
      <c r="D5" s="137" t="s">
        <v>25</v>
      </c>
      <c r="E5" s="137" t="s">
        <v>25</v>
      </c>
      <c r="F5" s="137" t="s">
        <v>25</v>
      </c>
      <c r="G5" s="41" t="s">
        <v>76</v>
      </c>
      <c r="H5" s="41" t="s">
        <v>75</v>
      </c>
      <c r="I5" s="41">
        <f>'MERCADO TUSD'!$U$2</f>
        <v>20487</v>
      </c>
      <c r="J5" s="15"/>
      <c r="L5" s="31">
        <f>('TUSD BE'!$L$5+'TUSD BF'!$L$5+'TUSD CVA'!$L$5)*1</f>
        <v>0</v>
      </c>
      <c r="M5" s="31">
        <f>('TUSD BE'!$M$5+'TUSD BF'!$M$5+'TUSD CVA'!$M$5)*1</f>
        <v>0</v>
      </c>
      <c r="N5" s="31">
        <f ca="1">('TUSD BE'!$N$5+'TUSD BF'!$N$5+'TUSD CVA'!$N$5)*1</f>
        <v>0</v>
      </c>
      <c r="O5" s="31">
        <f>('TUSD BE'!$O$5+'TUSD BF'!$O$5+'TUSD CVA'!$O$5)*1</f>
        <v>0</v>
      </c>
      <c r="P5" s="31">
        <f>('TUSD BE'!$P$5+'TUSD BF'!$P$5+'TUSD CVA'!$P$5)*1</f>
        <v>0</v>
      </c>
      <c r="Q5" s="31">
        <f>('TUSD BE'!$Q$5+'TUSD BF'!$Q$5+'TUSD CVA'!$Q$5)*1</f>
        <v>0</v>
      </c>
      <c r="R5" s="31">
        <f>('TUSD BE'!$R$5+'TUSD BF'!$R$5+'TUSD CVA'!$R$5)*1</f>
        <v>0</v>
      </c>
      <c r="S5" s="31">
        <f>('TUSD BE'!$S$5+'TUSD BF'!$S$5+'TUSD CVA'!$S$5)*1</f>
        <v>0</v>
      </c>
      <c r="T5" s="31">
        <f>('TUSD BE'!$U$5+'TUSD BF'!$U$5+'TUSD CVA'!$U$5)*1</f>
        <v>0</v>
      </c>
      <c r="U5" s="31">
        <f>('TUSD BE'!$V$5+'TUSD BF'!$V$5+'TUSD CVA'!$V$5)*1</f>
        <v>0</v>
      </c>
      <c r="V5" s="31">
        <f>('TUSD BE'!$W$5+'TUSD BF'!$W$5+'TUSD CVA'!$W$5)*1</f>
        <v>0</v>
      </c>
      <c r="W5" s="31">
        <f>('TUSD BE'!$X$5+'TUSD BF'!$X$5+'TUSD CVA'!$X$5)*1</f>
        <v>0</v>
      </c>
      <c r="X5" s="31">
        <f>('TUSD BE'!$Y$5+'TUSD BF'!$Y$5+'TUSD CVA'!$Y$5)*1</f>
        <v>32.353961481145248</v>
      </c>
      <c r="Y5" s="31">
        <f>('TUSD BE'!$Z$5+'TUSD BF'!$Z$5+'TUSD CVA'!$Z$5)*1</f>
        <v>0</v>
      </c>
      <c r="Z5" s="31">
        <f>('TUSD BE'!$AA$5+'TUSD BF'!$AA$5+'TUSD CVA'!$AA$5)*1</f>
        <v>0</v>
      </c>
      <c r="AA5" s="31">
        <f>('TUSD BE'!$AC$5+'TUSD BF'!$AC$5+'TUSD CVA'!$AC$5)*1</f>
        <v>6.7166066216647788</v>
      </c>
      <c r="AB5" s="31">
        <f ca="1">('TUSD BE'!$AE$5+'TUSD BF'!$AE$5+'TUSD CVA'!$AE$5)*1</f>
        <v>-3.9843979689927789</v>
      </c>
      <c r="AC5" s="31">
        <f ca="1">('TUSD BE'!$AF$5+'TUSD BF'!$AF$5+'TUSD CVA'!$AF$5)*1</f>
        <v>0</v>
      </c>
      <c r="AD5" s="31">
        <f>('TUSD BE'!$AH$5+'TUSD BF'!$AH$5+'TUSD CVA'!$AH$5)*1</f>
        <v>0</v>
      </c>
      <c r="AE5" s="31">
        <f>('TUSD BE'!$AI$5+'TUSD BF'!$AI$5+'TUSD CVA'!$AI$5)*1</f>
        <v>0</v>
      </c>
      <c r="AF5" s="31">
        <f ca="1">('TUSD BE'!$AJ$5+'TUSD BF'!$AJ$5+'TUSD CVA'!$AJ$5)*1</f>
        <v>0</v>
      </c>
      <c r="AG5" s="31">
        <f ca="1">('TUSD BE'!$AK$5+'TUSD BF'!$AK$5+'TUSD CVA'!$AK$5)*1</f>
        <v>0</v>
      </c>
      <c r="AI5" s="31">
        <v>0</v>
      </c>
      <c r="AJ5" s="31">
        <v>0</v>
      </c>
      <c r="AK5" s="31">
        <v>0</v>
      </c>
      <c r="AL5" s="31">
        <v>0</v>
      </c>
      <c r="AM5" s="31">
        <v>0</v>
      </c>
      <c r="AN5" s="31">
        <v>0</v>
      </c>
      <c r="AO5" s="31">
        <v>0</v>
      </c>
      <c r="AP5" s="31">
        <v>0</v>
      </c>
      <c r="AQ5" s="31">
        <v>0</v>
      </c>
      <c r="AR5" s="31">
        <v>0</v>
      </c>
      <c r="AS5" s="31">
        <v>0</v>
      </c>
      <c r="AT5" s="31">
        <v>0</v>
      </c>
      <c r="AU5" s="31">
        <v>29.639015272900899</v>
      </c>
      <c r="AV5" s="31">
        <v>0</v>
      </c>
      <c r="AW5" s="31">
        <v>0</v>
      </c>
      <c r="AX5" s="31">
        <v>7.8347161898411803</v>
      </c>
      <c r="AY5" s="31">
        <v>-1.9314771058461799</v>
      </c>
      <c r="AZ5" s="31">
        <v>0</v>
      </c>
      <c r="BA5" s="31">
        <v>0</v>
      </c>
      <c r="BB5" s="31">
        <v>0</v>
      </c>
      <c r="BC5" s="31">
        <v>0</v>
      </c>
      <c r="BD5" s="31">
        <v>0</v>
      </c>
    </row>
    <row r="6" spans="1:56" ht="11.25" customHeight="1" x14ac:dyDescent="0.25">
      <c r="A6" s="137"/>
      <c r="B6" s="137"/>
      <c r="C6" s="137"/>
      <c r="D6" s="137"/>
      <c r="E6" s="137"/>
      <c r="F6" s="137"/>
      <c r="G6" s="41" t="s">
        <v>77</v>
      </c>
      <c r="H6" s="41" t="s">
        <v>75</v>
      </c>
      <c r="I6" s="41">
        <f>'MERCADO TUSD'!$U$3</f>
        <v>21624</v>
      </c>
      <c r="J6" s="15"/>
      <c r="L6" s="31">
        <f>('TUSD BE'!$L$6+'TUSD BF'!$L$6+'TUSD CVA'!$L$6)*1</f>
        <v>0</v>
      </c>
      <c r="M6" s="31">
        <f>('TUSD BE'!$M$6+'TUSD BF'!$M$6+'TUSD CVA'!$M$6)*1</f>
        <v>0</v>
      </c>
      <c r="N6" s="31">
        <f ca="1">('TUSD BE'!$N$6+'TUSD BF'!$N$6+'TUSD CVA'!$N$6)*1</f>
        <v>0</v>
      </c>
      <c r="O6" s="31">
        <f>('TUSD BE'!$O$6+'TUSD BF'!$O$6+'TUSD CVA'!$O$6)*1</f>
        <v>0</v>
      </c>
      <c r="P6" s="31">
        <f>('TUSD BE'!$P$6+'TUSD BF'!$P$6+'TUSD CVA'!$P$6)*1</f>
        <v>0</v>
      </c>
      <c r="Q6" s="31">
        <f>('TUSD BE'!$Q$6+'TUSD BF'!$Q$6+'TUSD CVA'!$Q$6)*1</f>
        <v>0</v>
      </c>
      <c r="R6" s="31">
        <f>('TUSD BE'!$R$6+'TUSD BF'!$R$6+'TUSD CVA'!$R$6)*1</f>
        <v>0</v>
      </c>
      <c r="S6" s="31">
        <f>('TUSD BE'!$S$6+'TUSD BF'!$S$6+'TUSD CVA'!$S$6)*1</f>
        <v>0</v>
      </c>
      <c r="T6" s="31">
        <f>('TUSD BE'!$U$6+'TUSD BF'!$U$6+'TUSD CVA'!$U$6)*1</f>
        <v>0</v>
      </c>
      <c r="U6" s="31">
        <f>('TUSD BE'!$V$6+'TUSD BF'!$V$6+'TUSD CVA'!$V$6)*1</f>
        <v>0</v>
      </c>
      <c r="V6" s="31">
        <f>('TUSD BE'!$W$6+'TUSD BF'!$W$6+'TUSD CVA'!$W$6)*1</f>
        <v>0</v>
      </c>
      <c r="W6" s="31">
        <f>('TUSD BE'!$X$6+'TUSD BF'!$X$6+'TUSD CVA'!$X$6)*1</f>
        <v>0</v>
      </c>
      <c r="X6" s="31">
        <f>('TUSD BE'!$Y$6+'TUSD BF'!$Y$6+'TUSD CVA'!$Y$6)*1</f>
        <v>18.937701670567478</v>
      </c>
      <c r="Y6" s="31">
        <f>('TUSD BE'!$Z$6+'TUSD BF'!$Z$6+'TUSD CVA'!$Z$6)*1</f>
        <v>0</v>
      </c>
      <c r="Z6" s="31">
        <f>('TUSD BE'!$AA$6+'TUSD BF'!$AA$6+'TUSD CVA'!$AA$6)*1</f>
        <v>0</v>
      </c>
      <c r="AA6" s="31">
        <f>('TUSD BE'!$AC$6+'TUSD BF'!$AC$6+'TUSD CVA'!$AC$6)*1</f>
        <v>2.9203170153538536</v>
      </c>
      <c r="AB6" s="31">
        <f ca="1">('TUSD BE'!$AE$6+'TUSD BF'!$AE$6+'TUSD CVA'!$AE$6)*1</f>
        <v>-2.2237279131182603</v>
      </c>
      <c r="AC6" s="31">
        <f ca="1">('TUSD BE'!$AF$6+'TUSD BF'!$AF$6+'TUSD CVA'!$AF$6)*1</f>
        <v>0</v>
      </c>
      <c r="AD6" s="31">
        <f>('TUSD BE'!$AH$6+'TUSD BF'!$AH$6+'TUSD CVA'!$AH$6)*1</f>
        <v>0</v>
      </c>
      <c r="AE6" s="31">
        <f>('TUSD BE'!$AI$6+'TUSD BF'!$AI$6+'TUSD CVA'!$AI$6)*1</f>
        <v>0</v>
      </c>
      <c r="AF6" s="31">
        <f ca="1">('TUSD BE'!$AJ$6+'TUSD BF'!$AJ$6+'TUSD CVA'!$AJ$6)*1</f>
        <v>0</v>
      </c>
      <c r="AG6" s="31">
        <f ca="1">('TUSD BE'!$AK$6+'TUSD BF'!$AK$6+'TUSD CVA'!$AK$6)*1</f>
        <v>0</v>
      </c>
      <c r="AI6" s="31">
        <v>0</v>
      </c>
      <c r="AJ6" s="31">
        <v>0</v>
      </c>
      <c r="AK6" s="31">
        <v>0</v>
      </c>
      <c r="AL6" s="31">
        <v>0</v>
      </c>
      <c r="AM6" s="31">
        <v>0</v>
      </c>
      <c r="AN6" s="31">
        <v>0</v>
      </c>
      <c r="AO6" s="31">
        <v>0</v>
      </c>
      <c r="AP6" s="31">
        <v>0</v>
      </c>
      <c r="AQ6" s="31">
        <v>0</v>
      </c>
      <c r="AR6" s="31">
        <v>0</v>
      </c>
      <c r="AS6" s="31">
        <v>0</v>
      </c>
      <c r="AT6" s="31">
        <v>0</v>
      </c>
      <c r="AU6" s="31">
        <v>10.615142783754999</v>
      </c>
      <c r="AV6" s="31">
        <v>0</v>
      </c>
      <c r="AW6" s="31">
        <v>0</v>
      </c>
      <c r="AX6" s="31">
        <v>5.1410793927673302</v>
      </c>
      <c r="AY6" s="31">
        <v>-0.81727189211365103</v>
      </c>
      <c r="AZ6" s="31">
        <v>0</v>
      </c>
      <c r="BA6" s="31">
        <v>0</v>
      </c>
      <c r="BB6" s="31">
        <v>0</v>
      </c>
      <c r="BC6" s="31">
        <v>0</v>
      </c>
      <c r="BD6" s="31">
        <v>0</v>
      </c>
    </row>
    <row r="7" spans="1:56" ht="11.25" customHeight="1" x14ac:dyDescent="0.25">
      <c r="A7" s="137"/>
      <c r="B7" s="137"/>
      <c r="C7" s="137"/>
      <c r="D7" s="137"/>
      <c r="E7" s="137"/>
      <c r="F7" s="137"/>
      <c r="G7" s="41" t="s">
        <v>74</v>
      </c>
      <c r="H7" s="41" t="s">
        <v>70</v>
      </c>
      <c r="I7" s="41">
        <f>'MERCADO TUSD'!$U$4</f>
        <v>8675.9390000000003</v>
      </c>
      <c r="J7" s="15"/>
      <c r="L7" s="31">
        <f>('TUSD BE'!$L$7+'TUSD BF'!$L$7+'TUSD CVA'!$L$7)*1</f>
        <v>2.3333490332766886</v>
      </c>
      <c r="M7" s="31">
        <f>('TUSD BE'!$M$7+'TUSD BF'!$M$7+'TUSD CVA'!$M$7)*1</f>
        <v>0.12512219537960656</v>
      </c>
      <c r="N7" s="31">
        <f ca="1">('TUSD BE'!$N$7+'TUSD BF'!$N$7+'TUSD CVA'!$N$7)*1</f>
        <v>0.27810033897589675</v>
      </c>
      <c r="O7" s="31">
        <f>('TUSD BE'!$O$7+'TUSD BF'!$O$7+'TUSD CVA'!$O$7)*1</f>
        <v>0</v>
      </c>
      <c r="P7" s="31">
        <f>('TUSD BE'!$P$7+'TUSD BF'!$P$7+'TUSD CVA'!$P$7)*1</f>
        <v>0</v>
      </c>
      <c r="Q7" s="31">
        <f>('TUSD BE'!$Q$7+'TUSD BF'!$Q$7+'TUSD CVA'!$Q$7)*1</f>
        <v>92.052424795492797</v>
      </c>
      <c r="R7" s="31">
        <f>('TUSD BE'!$R$7+'TUSD BF'!$R$7+'TUSD CVA'!$R$7)*1</f>
        <v>18.30558713038598</v>
      </c>
      <c r="S7" s="31">
        <f>('TUSD BE'!$S$7+'TUSD BF'!$S$7+'TUSD CVA'!$S$7)*1</f>
        <v>0</v>
      </c>
      <c r="T7" s="31">
        <f>('TUSD BE'!$U$7+'TUSD BF'!$U$7+'TUSD CVA'!$U$7)*1</f>
        <v>0</v>
      </c>
      <c r="U7" s="31">
        <f>('TUSD BE'!$V$7+'TUSD BF'!$V$7+'TUSD CVA'!$V$7)*1</f>
        <v>0</v>
      </c>
      <c r="V7" s="31">
        <f>('TUSD BE'!$W$7+'TUSD BF'!$W$7+'TUSD CVA'!$W$7)*1</f>
        <v>0</v>
      </c>
      <c r="W7" s="31">
        <f>('TUSD BE'!$X$7+'TUSD BF'!$X$7+'TUSD CVA'!$X$7)*1</f>
        <v>0</v>
      </c>
      <c r="X7" s="31">
        <f>('TUSD BE'!$Y$7+'TUSD BF'!$Y$7+'TUSD CVA'!$Y$7)*1</f>
        <v>0</v>
      </c>
      <c r="Y7" s="31">
        <f>('TUSD BE'!$Z$7+'TUSD BF'!$Z$7+'TUSD CVA'!$Z$7)*1</f>
        <v>0</v>
      </c>
      <c r="Z7" s="31">
        <f>('TUSD BE'!$AA$7+'TUSD BF'!$AA$7+'TUSD CVA'!$AA$7)*1</f>
        <v>0</v>
      </c>
      <c r="AA7" s="31">
        <f>('TUSD BE'!$AC$7+'TUSD BF'!$AC$7+'TUSD CVA'!$AC$7)*1</f>
        <v>0</v>
      </c>
      <c r="AB7" s="31">
        <f ca="1">('TUSD BE'!$AE$7+'TUSD BF'!$AE$7+'TUSD CVA'!$AE$7)*1</f>
        <v>-11.419788281754164</v>
      </c>
      <c r="AC7" s="31">
        <f ca="1">('TUSD BE'!$AF$7+'TUSD BF'!$AF$7+'TUSD CVA'!$AF$7)*1</f>
        <v>0</v>
      </c>
      <c r="AD7" s="31">
        <f>('TUSD BE'!$AH$7+'TUSD BF'!$AH$7+'TUSD CVA'!$AH$7)*1</f>
        <v>10.878829381676857</v>
      </c>
      <c r="AE7" s="31">
        <f>('TUSD BE'!$AI$7+'TUSD BF'!$AI$7+'TUSD CVA'!$AI$7)*1</f>
        <v>0.34984841213095197</v>
      </c>
      <c r="AF7" s="31">
        <f ca="1">('TUSD BE'!$AJ$7+'TUSD BF'!$AJ$7+'TUSD CVA'!$AJ$7)*1</f>
        <v>1.3386068364249117</v>
      </c>
      <c r="AG7" s="31">
        <f ca="1">('TUSD BE'!$AK$7+'TUSD BF'!$AK$7+'TUSD CVA'!$AK$7)*1</f>
        <v>0.23831171372417062</v>
      </c>
      <c r="AI7" s="31">
        <v>2.14974375530395</v>
      </c>
      <c r="AJ7" s="31">
        <v>0.179684124764003</v>
      </c>
      <c r="AK7" s="31">
        <v>0.31112944025407802</v>
      </c>
      <c r="AL7" s="31">
        <v>0</v>
      </c>
      <c r="AM7" s="31">
        <v>0</v>
      </c>
      <c r="AN7" s="31">
        <v>56.948840382593197</v>
      </c>
      <c r="AO7" s="31">
        <v>10.5430570546017</v>
      </c>
      <c r="AP7" s="31">
        <v>0</v>
      </c>
      <c r="AQ7" s="31">
        <v>0</v>
      </c>
      <c r="AR7" s="31">
        <v>0</v>
      </c>
      <c r="AS7" s="31">
        <v>0</v>
      </c>
      <c r="AT7" s="31">
        <v>0</v>
      </c>
      <c r="AU7" s="31">
        <v>0</v>
      </c>
      <c r="AV7" s="31">
        <v>0</v>
      </c>
      <c r="AW7" s="31">
        <v>0</v>
      </c>
      <c r="AX7" s="31">
        <v>0</v>
      </c>
      <c r="AY7" s="31">
        <v>-4.09910486479325</v>
      </c>
      <c r="AZ7" s="31">
        <v>0</v>
      </c>
      <c r="BA7" s="31">
        <v>10.853196257379199</v>
      </c>
      <c r="BB7" s="31">
        <v>0.30987973365801502</v>
      </c>
      <c r="BC7" s="31">
        <v>1.5076628746704801</v>
      </c>
      <c r="BD7" s="31">
        <v>-4.9652072671645099E-2</v>
      </c>
    </row>
    <row r="8" spans="1:56" ht="11.25" customHeight="1" x14ac:dyDescent="0.25">
      <c r="A8" s="137"/>
      <c r="B8" s="137"/>
      <c r="C8" s="137"/>
      <c r="D8" s="137"/>
      <c r="E8" s="42" t="s">
        <v>78</v>
      </c>
      <c r="F8" s="42" t="s">
        <v>25</v>
      </c>
      <c r="G8" s="41" t="s">
        <v>74</v>
      </c>
      <c r="H8" s="41" t="s">
        <v>70</v>
      </c>
      <c r="I8" s="41">
        <f>'MERCADO TUSD'!$U$5</f>
        <v>0</v>
      </c>
      <c r="J8" s="15"/>
      <c r="L8" s="31">
        <f>('TUSD BE'!$L$8+'TUSD BF'!$L$8+'TUSD CVA'!$L$8)*1</f>
        <v>0</v>
      </c>
      <c r="M8" s="31">
        <f>('TUSD BE'!$M$8+'TUSD BF'!$M$8+'TUSD CVA'!$M$8)*1</f>
        <v>0.12512219537960656</v>
      </c>
      <c r="N8" s="31">
        <f ca="1">('TUSD BE'!$N$8+'TUSD BF'!$N$8+'TUSD CVA'!$N$8)*1</f>
        <v>0.26684288664792793</v>
      </c>
      <c r="O8" s="31">
        <f>('TUSD BE'!$O$8+'TUSD BF'!$O$8+'TUSD CVA'!$O$8)*1</f>
        <v>0</v>
      </c>
      <c r="P8" s="31">
        <f>('TUSD BE'!$P$8+'TUSD BF'!$P$8+'TUSD CVA'!$P$8)*1</f>
        <v>0</v>
      </c>
      <c r="Q8" s="31">
        <f>('TUSD BE'!$Q$8+'TUSD BF'!$Q$8+'TUSD CVA'!$Q$8)*1</f>
        <v>0</v>
      </c>
      <c r="R8" s="31">
        <f>('TUSD BE'!$R$8+'TUSD BF'!$R$8+'TUSD CVA'!$R$8)*1</f>
        <v>0</v>
      </c>
      <c r="S8" s="31">
        <f>('TUSD BE'!$S$8+'TUSD BF'!$S$8+'TUSD CVA'!$S$8)*1</f>
        <v>0</v>
      </c>
      <c r="T8" s="31">
        <f>('TUSD BE'!$U$8+'TUSD BF'!$U$8+'TUSD CVA'!$U$8)*1</f>
        <v>0</v>
      </c>
      <c r="U8" s="31">
        <f>('TUSD BE'!$V$8+'TUSD BF'!$V$8+'TUSD CVA'!$V$8)*1</f>
        <v>0</v>
      </c>
      <c r="V8" s="31">
        <f>('TUSD BE'!$W$8+'TUSD BF'!$W$8+'TUSD CVA'!$W$8)*1</f>
        <v>0</v>
      </c>
      <c r="W8" s="31">
        <f>('TUSD BE'!$X$8+'TUSD BF'!$X$8+'TUSD CVA'!$X$8)*1</f>
        <v>0</v>
      </c>
      <c r="X8" s="31">
        <f>('TUSD BE'!$Y$8+'TUSD BF'!$Y$8+'TUSD CVA'!$Y$8)*1</f>
        <v>0</v>
      </c>
      <c r="Y8" s="31">
        <f>('TUSD BE'!$Z$8+'TUSD BF'!$Z$8+'TUSD CVA'!$Z$8)*1</f>
        <v>0</v>
      </c>
      <c r="Z8" s="31">
        <f>('TUSD BE'!$AA$8+'TUSD BF'!$AA$8+'TUSD CVA'!$AA$8)*1</f>
        <v>0</v>
      </c>
      <c r="AA8" s="31">
        <f>('TUSD BE'!$AC$8+'TUSD BF'!$AC$8+'TUSD CVA'!$AC$8)*1</f>
        <v>0</v>
      </c>
      <c r="AB8" s="31">
        <f ca="1">('TUSD BE'!$AE$8+'TUSD BF'!$AE$8+'TUSD CVA'!$AE$8)*1</f>
        <v>-1.3312919431011787</v>
      </c>
      <c r="AC8" s="31">
        <f ca="1">('TUSD BE'!$AF$8+'TUSD BF'!$AF$8+'TUSD CVA'!$AF$8)*1</f>
        <v>0</v>
      </c>
      <c r="AD8" s="31">
        <f>('TUSD BE'!$AH$8+'TUSD BF'!$AH$8+'TUSD CVA'!$AH$8)*1</f>
        <v>10.878829381676857</v>
      </c>
      <c r="AE8" s="31">
        <f>('TUSD BE'!$AI$8+'TUSD BF'!$AI$8+'TUSD CVA'!$AI$8)*1</f>
        <v>0.34984841213095197</v>
      </c>
      <c r="AF8" s="31">
        <f ca="1">('TUSD BE'!$AJ$8+'TUSD BF'!$AJ$8+'TUSD CVA'!$AJ$8)*1</f>
        <v>1.3386068364249117</v>
      </c>
      <c r="AG8" s="31">
        <f ca="1">('TUSD BE'!$AK$8+'TUSD BF'!$AK$8+'TUSD CVA'!$AK$8)*1</f>
        <v>0.23831171372417062</v>
      </c>
      <c r="AI8" s="31">
        <v>0</v>
      </c>
      <c r="AJ8" s="31">
        <v>0.179684124764003</v>
      </c>
      <c r="AK8" s="31">
        <v>0.29632322248937498</v>
      </c>
      <c r="AL8" s="31">
        <v>0</v>
      </c>
      <c r="AM8" s="31">
        <v>0</v>
      </c>
      <c r="AN8" s="31">
        <v>0</v>
      </c>
      <c r="AO8" s="31">
        <v>0</v>
      </c>
      <c r="AP8" s="31">
        <v>0</v>
      </c>
      <c r="AQ8" s="31">
        <v>0</v>
      </c>
      <c r="AR8" s="31">
        <v>0</v>
      </c>
      <c r="AS8" s="31">
        <v>0</v>
      </c>
      <c r="AT8" s="31">
        <v>0</v>
      </c>
      <c r="AU8" s="31">
        <v>0</v>
      </c>
      <c r="AV8" s="31">
        <v>0</v>
      </c>
      <c r="AW8" s="31">
        <v>0</v>
      </c>
      <c r="AX8" s="31">
        <v>0</v>
      </c>
      <c r="AY8" s="31">
        <v>-0.62217579892828101</v>
      </c>
      <c r="AZ8" s="31">
        <v>0</v>
      </c>
      <c r="BA8" s="31">
        <v>10.853196257379199</v>
      </c>
      <c r="BB8" s="31">
        <v>0.30987973365801502</v>
      </c>
      <c r="BC8" s="31">
        <v>1.5076628746704801</v>
      </c>
      <c r="BD8" s="31">
        <v>-4.9652072671645099E-2</v>
      </c>
    </row>
    <row r="9" spans="1:56" ht="11.25" customHeight="1" x14ac:dyDescent="0.25">
      <c r="A9" s="137"/>
      <c r="B9" s="42" t="s">
        <v>79</v>
      </c>
      <c r="C9" s="42" t="s">
        <v>25</v>
      </c>
      <c r="D9" s="42" t="s">
        <v>25</v>
      </c>
      <c r="E9" s="42" t="s">
        <v>25</v>
      </c>
      <c r="F9" s="42" t="s">
        <v>25</v>
      </c>
      <c r="G9" s="41" t="s">
        <v>9</v>
      </c>
      <c r="H9" s="41" t="s">
        <v>75</v>
      </c>
      <c r="I9" s="41">
        <f>'MERCADO TUSD'!$U$6</f>
        <v>0</v>
      </c>
      <c r="J9" s="15"/>
      <c r="L9" s="31">
        <f>('TUSD BE'!$L$9+'TUSD BF'!$L$9+'TUSD CVA'!$L$9)*1</f>
        <v>0</v>
      </c>
      <c r="M9" s="31">
        <f>('TUSD BE'!$M$9+'TUSD BF'!$M$9+'TUSD CVA'!$M$9)*1</f>
        <v>1.3095526419374195E-2</v>
      </c>
      <c r="N9" s="31">
        <f ca="1">('TUSD BE'!$N$9+'TUSD BF'!$N$9+'TUSD CVA'!$N$9)*1</f>
        <v>3.6474145542618804E-2</v>
      </c>
      <c r="O9" s="31">
        <f>('TUSD BE'!$O$9+'TUSD BF'!$O$9+'TUSD CVA'!$O$9)*1</f>
        <v>0</v>
      </c>
      <c r="P9" s="31">
        <f>('TUSD BE'!$P$9+'TUSD BF'!$P$9+'TUSD CVA'!$P$9)*1</f>
        <v>0</v>
      </c>
      <c r="Q9" s="31">
        <f>('TUSD BE'!$Q$9+'TUSD BF'!$Q$9+'TUSD CVA'!$Q$9)*1</f>
        <v>0</v>
      </c>
      <c r="R9" s="31">
        <f>('TUSD BE'!$R$9+'TUSD BF'!$R$9+'TUSD CVA'!$R$9)*1</f>
        <v>0</v>
      </c>
      <c r="S9" s="31">
        <f>('TUSD BE'!$S$9+'TUSD BF'!$S$9+'TUSD CVA'!$S$9)*1</f>
        <v>0</v>
      </c>
      <c r="T9" s="31">
        <f>('TUSD BE'!$U$9+'TUSD BF'!$U$9+'TUSD CVA'!$U$9)*1</f>
        <v>0</v>
      </c>
      <c r="U9" s="31">
        <f>('TUSD BE'!$V$9+'TUSD BF'!$V$9+'TUSD CVA'!$V$9)*1</f>
        <v>0</v>
      </c>
      <c r="V9" s="31">
        <f>('TUSD BE'!$W$9+'TUSD BF'!$W$9+'TUSD CVA'!$W$9)*1</f>
        <v>0</v>
      </c>
      <c r="W9" s="31">
        <f>('TUSD BE'!$X$9+'TUSD BF'!$X$9+'TUSD CVA'!$X$9)*1</f>
        <v>0</v>
      </c>
      <c r="X9" s="31">
        <f>('TUSD BE'!$Y$9+'TUSD BF'!$Y$9+'TUSD CVA'!$Y$9)*1</f>
        <v>0</v>
      </c>
      <c r="Y9" s="31">
        <f>('TUSD BE'!$Z$9+'TUSD BF'!$Z$9+'TUSD CVA'!$Z$9)*1</f>
        <v>0</v>
      </c>
      <c r="Z9" s="31">
        <f>('TUSD BE'!$AA$9+'TUSD BF'!$AA$9+'TUSD CVA'!$AA$9)*1</f>
        <v>0</v>
      </c>
      <c r="AA9" s="31">
        <f>('TUSD BE'!$AC$9+'TUSD BF'!$AC$9+'TUSD CVA'!$AC$9)*1</f>
        <v>3.2997009486867768</v>
      </c>
      <c r="AB9" s="31">
        <f ca="1">('TUSD BE'!$AE$9+'TUSD BF'!$AE$9+'TUSD CVA'!$AE$9)*1</f>
        <v>-0.35919762593769938</v>
      </c>
      <c r="AC9" s="31">
        <f ca="1">('TUSD BE'!$AF$9+'TUSD BF'!$AF$9+'TUSD CVA'!$AF$9)*1</f>
        <v>0</v>
      </c>
      <c r="AD9" s="31">
        <f>('TUSD BE'!$AH$9+'TUSD BF'!$AH$9+'TUSD CVA'!$AH$9)*1</f>
        <v>0</v>
      </c>
      <c r="AE9" s="31">
        <f>('TUSD BE'!$AI$9+'TUSD BF'!$AI$9+'TUSD CVA'!$AI$9)*1</f>
        <v>0</v>
      </c>
      <c r="AF9" s="31">
        <f ca="1">('TUSD BE'!$AJ$9+'TUSD BF'!$AJ$9+'TUSD CVA'!$AJ$9)*1</f>
        <v>0</v>
      </c>
      <c r="AG9" s="31">
        <f ca="1">('TUSD BE'!$AK$9+'TUSD BF'!$AK$9+'TUSD CVA'!$AK$9)*1</f>
        <v>0</v>
      </c>
      <c r="AI9" s="31">
        <v>0</v>
      </c>
      <c r="AJ9" s="31">
        <v>2.23863551935389E-2</v>
      </c>
      <c r="AK9" s="31">
        <v>8.1582259883517597E-2</v>
      </c>
      <c r="AL9" s="31">
        <v>0</v>
      </c>
      <c r="AM9" s="31">
        <v>0</v>
      </c>
      <c r="AN9" s="31">
        <v>0</v>
      </c>
      <c r="AO9" s="31">
        <v>0</v>
      </c>
      <c r="AP9" s="31">
        <v>0</v>
      </c>
      <c r="AQ9" s="31">
        <v>0</v>
      </c>
      <c r="AR9" s="31">
        <v>0</v>
      </c>
      <c r="AS9" s="31">
        <v>0</v>
      </c>
      <c r="AT9" s="31">
        <v>0</v>
      </c>
      <c r="AU9" s="31">
        <v>0</v>
      </c>
      <c r="AV9" s="31">
        <v>0</v>
      </c>
      <c r="AW9" s="31">
        <v>0</v>
      </c>
      <c r="AX9" s="31">
        <v>5.4101570295324102</v>
      </c>
      <c r="AY9" s="31">
        <v>-0.296418254204804</v>
      </c>
      <c r="AZ9" s="31">
        <v>0</v>
      </c>
      <c r="BA9" s="31">
        <v>0</v>
      </c>
      <c r="BB9" s="31">
        <v>0</v>
      </c>
      <c r="BC9" s="31">
        <v>0</v>
      </c>
      <c r="BD9" s="31">
        <v>0</v>
      </c>
    </row>
    <row r="10" spans="1:56" ht="11.25" customHeight="1" x14ac:dyDescent="0.25">
      <c r="A10" s="137"/>
      <c r="B10" s="137" t="s">
        <v>35</v>
      </c>
      <c r="C10" s="137" t="s">
        <v>25</v>
      </c>
      <c r="D10" s="137" t="s">
        <v>25</v>
      </c>
      <c r="E10" s="137" t="s">
        <v>25</v>
      </c>
      <c r="F10" s="137" t="s">
        <v>25</v>
      </c>
      <c r="G10" s="41" t="s">
        <v>9</v>
      </c>
      <c r="H10" s="41" t="s">
        <v>75</v>
      </c>
      <c r="I10" s="41">
        <f>'MERCADO TUSD'!$U$7</f>
        <v>83769</v>
      </c>
      <c r="J10" s="15"/>
      <c r="L10" s="31">
        <f>('TUSD BE'!$L$10+'TUSD BF'!$L$10+'TUSD CVA'!$L$10)*1</f>
        <v>0</v>
      </c>
      <c r="M10" s="31">
        <f>('TUSD BE'!$M$10+'TUSD BF'!$M$10+'TUSD CVA'!$M$10)*1</f>
        <v>0</v>
      </c>
      <c r="N10" s="31">
        <f ca="1">('TUSD BE'!$N$10+'TUSD BF'!$N$10+'TUSD CVA'!$N$10)*1</f>
        <v>0</v>
      </c>
      <c r="O10" s="31">
        <f>('TUSD BE'!$O$10+'TUSD BF'!$O$10+'TUSD CVA'!$O$10)*1</f>
        <v>0</v>
      </c>
      <c r="P10" s="31">
        <f>('TUSD BE'!$P$10+'TUSD BF'!$P$10+'TUSD CVA'!$P$10)*1</f>
        <v>0</v>
      </c>
      <c r="Q10" s="31">
        <f>('TUSD BE'!$Q$10+'TUSD BF'!$Q$10+'TUSD CVA'!$Q$10)*1</f>
        <v>0</v>
      </c>
      <c r="R10" s="31">
        <f>('TUSD BE'!$R$10+'TUSD BF'!$R$10+'TUSD CVA'!$R$10)*1</f>
        <v>0</v>
      </c>
      <c r="S10" s="31">
        <f>('TUSD BE'!$S$10+'TUSD BF'!$S$10+'TUSD CVA'!$S$10)*1</f>
        <v>0</v>
      </c>
      <c r="T10" s="31">
        <f>('TUSD BE'!$U$10+'TUSD BF'!$U$10+'TUSD CVA'!$U$10)*1</f>
        <v>0</v>
      </c>
      <c r="U10" s="31">
        <f>('TUSD BE'!$V$10+'TUSD BF'!$V$10+'TUSD CVA'!$V$10)*1</f>
        <v>0</v>
      </c>
      <c r="V10" s="31">
        <f>('TUSD BE'!$W$10+'TUSD BF'!$W$10+'TUSD CVA'!$W$10)*1</f>
        <v>0</v>
      </c>
      <c r="W10" s="31">
        <f>('TUSD BE'!$X$10+'TUSD BF'!$X$10+'TUSD CVA'!$X$10)*1</f>
        <v>0</v>
      </c>
      <c r="X10" s="31">
        <f>('TUSD BE'!$Y$10+'TUSD BF'!$Y$10+'TUSD CVA'!$Y$10)*1</f>
        <v>18.937701670567478</v>
      </c>
      <c r="Y10" s="31">
        <f>('TUSD BE'!$Z$10+'TUSD BF'!$Z$10+'TUSD CVA'!$Z$10)*1</f>
        <v>0</v>
      </c>
      <c r="Z10" s="31">
        <f>('TUSD BE'!$AA$10+'TUSD BF'!$AA$10+'TUSD CVA'!$AA$10)*1</f>
        <v>0</v>
      </c>
      <c r="AA10" s="31">
        <f>('TUSD BE'!$AC$10+'TUSD BF'!$AC$10+'TUSD CVA'!$AC$10)*1</f>
        <v>2.9203170153538536</v>
      </c>
      <c r="AB10" s="31">
        <f ca="1">('TUSD BE'!$AE$10+'TUSD BF'!$AE$10+'TUSD CVA'!$AE$10)*1</f>
        <v>-2.2237279131182603</v>
      </c>
      <c r="AC10" s="31">
        <f ca="1">('TUSD BE'!$AF$10+'TUSD BF'!$AF$10+'TUSD CVA'!$AF$10)*1</f>
        <v>0</v>
      </c>
      <c r="AD10" s="31">
        <f>('TUSD BE'!$AH$10+'TUSD BF'!$AH$10+'TUSD CVA'!$AH$10)*1</f>
        <v>0</v>
      </c>
      <c r="AE10" s="31">
        <f>('TUSD BE'!$AI$10+'TUSD BF'!$AI$10+'TUSD CVA'!$AI$10)*1</f>
        <v>0</v>
      </c>
      <c r="AF10" s="31">
        <f ca="1">('TUSD BE'!$AJ$10+'TUSD BF'!$AJ$10+'TUSD CVA'!$AJ$10)*1</f>
        <v>0</v>
      </c>
      <c r="AG10" s="31">
        <f ca="1">('TUSD BE'!$AK$10+'TUSD BF'!$AK$10+'TUSD CVA'!$AK$10)*1</f>
        <v>0</v>
      </c>
      <c r="AI10" s="31">
        <v>0</v>
      </c>
      <c r="AJ10" s="31">
        <v>0</v>
      </c>
      <c r="AK10" s="31">
        <v>0</v>
      </c>
      <c r="AL10" s="31">
        <v>0</v>
      </c>
      <c r="AM10" s="31">
        <v>0</v>
      </c>
      <c r="AN10" s="31">
        <v>0</v>
      </c>
      <c r="AO10" s="31">
        <v>0</v>
      </c>
      <c r="AP10" s="31">
        <v>0</v>
      </c>
      <c r="AQ10" s="31">
        <v>0</v>
      </c>
      <c r="AR10" s="31">
        <v>0</v>
      </c>
      <c r="AS10" s="31">
        <v>0</v>
      </c>
      <c r="AT10" s="31">
        <v>0</v>
      </c>
      <c r="AU10" s="31">
        <v>10.615142783754999</v>
      </c>
      <c r="AV10" s="31">
        <v>0</v>
      </c>
      <c r="AW10" s="31">
        <v>0</v>
      </c>
      <c r="AX10" s="31">
        <v>5.1410793927673302</v>
      </c>
      <c r="AY10" s="31">
        <v>-0.81727189211365103</v>
      </c>
      <c r="AZ10" s="31">
        <v>0</v>
      </c>
      <c r="BA10" s="31">
        <v>0</v>
      </c>
      <c r="BB10" s="31">
        <v>0</v>
      </c>
      <c r="BC10" s="31">
        <v>0</v>
      </c>
      <c r="BD10" s="31">
        <v>0</v>
      </c>
    </row>
    <row r="11" spans="1:56" ht="11.25" customHeight="1" x14ac:dyDescent="0.25">
      <c r="A11" s="137"/>
      <c r="B11" s="137"/>
      <c r="C11" s="137"/>
      <c r="D11" s="137"/>
      <c r="E11" s="137"/>
      <c r="F11" s="137"/>
      <c r="G11" s="41" t="s">
        <v>71</v>
      </c>
      <c r="H11" s="41" t="s">
        <v>70</v>
      </c>
      <c r="I11" s="41">
        <f>'MERCADO TUSD'!$U$8</f>
        <v>2568.357</v>
      </c>
      <c r="J11" s="15"/>
      <c r="L11" s="31">
        <f>('TUSD BE'!$L$11+'TUSD BF'!$L$11+'TUSD CVA'!$L$11)*1</f>
        <v>2.3333490332766886</v>
      </c>
      <c r="M11" s="31">
        <f>('TUSD BE'!$M$11+'TUSD BF'!$M$11+'TUSD CVA'!$M$11)*1</f>
        <v>0.12512219537960656</v>
      </c>
      <c r="N11" s="31">
        <f ca="1">('TUSD BE'!$N$11+'TUSD BF'!$N$11+'TUSD CVA'!$N$11)*1</f>
        <v>9.4496548221144003</v>
      </c>
      <c r="O11" s="31">
        <f>('TUSD BE'!$O$11+'TUSD BF'!$O$11+'TUSD CVA'!$O$11)*1</f>
        <v>0</v>
      </c>
      <c r="P11" s="31">
        <f>('TUSD BE'!$P$11+'TUSD BF'!$P$11+'TUSD CVA'!$P$11)*1</f>
        <v>0</v>
      </c>
      <c r="Q11" s="31">
        <f>('TUSD BE'!$Q$11+'TUSD BF'!$Q$11+'TUSD CVA'!$Q$11)*1</f>
        <v>92.052424795492797</v>
      </c>
      <c r="R11" s="31">
        <f>('TUSD BE'!$R$11+'TUSD BF'!$R$11+'TUSD CVA'!$R$11)*1</f>
        <v>18.30558713038598</v>
      </c>
      <c r="S11" s="31">
        <f>('TUSD BE'!$S$11+'TUSD BF'!$S$11+'TUSD CVA'!$S$11)*1</f>
        <v>0</v>
      </c>
      <c r="T11" s="31">
        <f>('TUSD BE'!$U$11+'TUSD BF'!$U$11+'TUSD CVA'!$U$11)*1</f>
        <v>0</v>
      </c>
      <c r="U11" s="31">
        <f>('TUSD BE'!$V$11+'TUSD BF'!$V$11+'TUSD CVA'!$V$11)*1</f>
        <v>0</v>
      </c>
      <c r="V11" s="31">
        <f>('TUSD BE'!$W$11+'TUSD BF'!$W$11+'TUSD CVA'!$W$11)*1</f>
        <v>0</v>
      </c>
      <c r="W11" s="31">
        <f>('TUSD BE'!$X$11+'TUSD BF'!$X$11+'TUSD CVA'!$X$11)*1</f>
        <v>0</v>
      </c>
      <c r="X11" s="31">
        <f>('TUSD BE'!$Y$11+'TUSD BF'!$Y$11+'TUSD CVA'!$Y$11)*1</f>
        <v>778.11379295006782</v>
      </c>
      <c r="Y11" s="31">
        <f>('TUSD BE'!$Z$11+'TUSD BF'!$Z$11+'TUSD CVA'!$Z$11)*1</f>
        <v>0</v>
      </c>
      <c r="Z11" s="31">
        <f>('TUSD BE'!$AA$11+'TUSD BF'!$AA$11+'TUSD CVA'!$AA$11)*1</f>
        <v>0</v>
      </c>
      <c r="AA11" s="31">
        <f>('TUSD BE'!$AC$11+'TUSD BF'!$AC$11+'TUSD CVA'!$AC$11)*1</f>
        <v>161.53496098140033</v>
      </c>
      <c r="AB11" s="31">
        <f ca="1">('TUSD BE'!$AE$11+'TUSD BF'!$AE$11+'TUSD CVA'!$AE$11)*1</f>
        <v>-108.2123281475006</v>
      </c>
      <c r="AC11" s="31">
        <f ca="1">('TUSD BE'!$AF$11+'TUSD BF'!$AF$11+'TUSD CVA'!$AF$11)*1</f>
        <v>0</v>
      </c>
      <c r="AD11" s="31">
        <f>('TUSD BE'!$AH$11+'TUSD BF'!$AH$11+'TUSD CVA'!$AH$11)*1</f>
        <v>10.878829381676857</v>
      </c>
      <c r="AE11" s="31">
        <f>('TUSD BE'!$AI$11+'TUSD BF'!$AI$11+'TUSD CVA'!$AI$11)*1</f>
        <v>0.34984841213095197</v>
      </c>
      <c r="AF11" s="31">
        <f ca="1">('TUSD BE'!$AJ$11+'TUSD BF'!$AJ$11+'TUSD CVA'!$AJ$11)*1</f>
        <v>1.3386068364249117</v>
      </c>
      <c r="AG11" s="31">
        <f ca="1">('TUSD BE'!$AK$11+'TUSD BF'!$AK$11+'TUSD CVA'!$AK$11)*1</f>
        <v>0.23831171372417062</v>
      </c>
      <c r="AI11" s="31">
        <v>2.14974375530395</v>
      </c>
      <c r="AJ11" s="31">
        <v>0.179684124764003</v>
      </c>
      <c r="AK11" s="31">
        <v>8.0353851859223795</v>
      </c>
      <c r="AL11" s="31">
        <v>0</v>
      </c>
      <c r="AM11" s="31">
        <v>0</v>
      </c>
      <c r="AN11" s="31">
        <v>56.948840382593197</v>
      </c>
      <c r="AO11" s="31">
        <v>10.5430570546017</v>
      </c>
      <c r="AP11" s="31">
        <v>0</v>
      </c>
      <c r="AQ11" s="31">
        <v>0</v>
      </c>
      <c r="AR11" s="31">
        <v>0</v>
      </c>
      <c r="AS11" s="31">
        <v>0</v>
      </c>
      <c r="AT11" s="31">
        <v>0</v>
      </c>
      <c r="AU11" s="31">
        <v>712.817584357285</v>
      </c>
      <c r="AV11" s="31">
        <v>0</v>
      </c>
      <c r="AW11" s="31">
        <v>0</v>
      </c>
      <c r="AX11" s="31">
        <v>188.42506738715099</v>
      </c>
      <c r="AY11" s="31">
        <v>-50.966308091163697</v>
      </c>
      <c r="AZ11" s="31">
        <v>0</v>
      </c>
      <c r="BA11" s="31">
        <v>10.853196257379199</v>
      </c>
      <c r="BB11" s="31">
        <v>0.30987973365801502</v>
      </c>
      <c r="BC11" s="31">
        <v>1.5076628746704801</v>
      </c>
      <c r="BD11" s="31">
        <v>-4.9652072671645099E-2</v>
      </c>
    </row>
    <row r="12" spans="1:56" ht="11.25" customHeight="1" x14ac:dyDescent="0.25">
      <c r="A12" s="137"/>
      <c r="B12" s="137"/>
      <c r="C12" s="137"/>
      <c r="D12" s="137"/>
      <c r="E12" s="137"/>
      <c r="F12" s="137"/>
      <c r="G12" s="41" t="s">
        <v>72</v>
      </c>
      <c r="H12" s="41" t="s">
        <v>70</v>
      </c>
      <c r="I12" s="41">
        <f>'MERCADO TUSD'!$U$9</f>
        <v>26371.822</v>
      </c>
      <c r="J12" s="15"/>
      <c r="L12" s="31">
        <f>('TUSD BE'!$L$12+'TUSD BF'!$L$12+'TUSD CVA'!$L$12)*1</f>
        <v>2.3333490332766886</v>
      </c>
      <c r="M12" s="31">
        <f>('TUSD BE'!$M$12+'TUSD BF'!$M$12+'TUSD CVA'!$M$12)*1</f>
        <v>0.12512219537960656</v>
      </c>
      <c r="N12" s="31">
        <f ca="1">('TUSD BE'!$N$12+'TUSD BF'!$N$12+'TUSD CVA'!$N$12)*1</f>
        <v>0.27810033897589675</v>
      </c>
      <c r="O12" s="31">
        <f>('TUSD BE'!$O$12+'TUSD BF'!$O$12+'TUSD CVA'!$O$12)*1</f>
        <v>0</v>
      </c>
      <c r="P12" s="31">
        <f>('TUSD BE'!$P$12+'TUSD BF'!$P$12+'TUSD CVA'!$P$12)*1</f>
        <v>0</v>
      </c>
      <c r="Q12" s="31">
        <f>('TUSD BE'!$Q$12+'TUSD BF'!$Q$12+'TUSD CVA'!$Q$12)*1</f>
        <v>92.052424795492797</v>
      </c>
      <c r="R12" s="31">
        <f>('TUSD BE'!$R$12+'TUSD BF'!$R$12+'TUSD CVA'!$R$12)*1</f>
        <v>18.30558713038598</v>
      </c>
      <c r="S12" s="31">
        <f>('TUSD BE'!$S$12+'TUSD BF'!$S$12+'TUSD CVA'!$S$12)*1</f>
        <v>0</v>
      </c>
      <c r="T12" s="31">
        <f>('TUSD BE'!$U$12+'TUSD BF'!$U$12+'TUSD CVA'!$U$12)*1</f>
        <v>0</v>
      </c>
      <c r="U12" s="31">
        <f>('TUSD BE'!$V$12+'TUSD BF'!$V$12+'TUSD CVA'!$V$12)*1</f>
        <v>0</v>
      </c>
      <c r="V12" s="31">
        <f>('TUSD BE'!$W$12+'TUSD BF'!$W$12+'TUSD CVA'!$W$12)*1</f>
        <v>0</v>
      </c>
      <c r="W12" s="31">
        <f>('TUSD BE'!$X$12+'TUSD BF'!$X$12+'TUSD CVA'!$X$12)*1</f>
        <v>0</v>
      </c>
      <c r="X12" s="31">
        <f>('TUSD BE'!$Y$12+'TUSD BF'!$Y$12+'TUSD CVA'!$Y$12)*1</f>
        <v>0</v>
      </c>
      <c r="Y12" s="31">
        <f>('TUSD BE'!$Z$12+'TUSD BF'!$Z$12+'TUSD CVA'!$Z$12)*1</f>
        <v>0</v>
      </c>
      <c r="Z12" s="31">
        <f>('TUSD BE'!$AA$12+'TUSD BF'!$AA$12+'TUSD CVA'!$AA$12)*1</f>
        <v>0</v>
      </c>
      <c r="AA12" s="31">
        <f>('TUSD BE'!$AC$12+'TUSD BF'!$AC$12+'TUSD CVA'!$AC$12)*1</f>
        <v>0</v>
      </c>
      <c r="AB12" s="31">
        <f ca="1">('TUSD BE'!$AE$12+'TUSD BF'!$AE$12+'TUSD CVA'!$AE$12)*1</f>
        <v>-11.419788281754164</v>
      </c>
      <c r="AC12" s="31">
        <f ca="1">('TUSD BE'!$AF$12+'TUSD BF'!$AF$12+'TUSD CVA'!$AF$12)*1</f>
        <v>0</v>
      </c>
      <c r="AD12" s="31">
        <f>('TUSD BE'!$AH$12+'TUSD BF'!$AH$12+'TUSD CVA'!$AH$12)*1</f>
        <v>10.878829381676857</v>
      </c>
      <c r="AE12" s="31">
        <f>('TUSD BE'!$AI$12+'TUSD BF'!$AI$12+'TUSD CVA'!$AI$12)*1</f>
        <v>0.34984841213095197</v>
      </c>
      <c r="AF12" s="31">
        <f ca="1">('TUSD BE'!$AJ$12+'TUSD BF'!$AJ$12+'TUSD CVA'!$AJ$12)*1</f>
        <v>1.3386068364249117</v>
      </c>
      <c r="AG12" s="31">
        <f ca="1">('TUSD BE'!$AK$12+'TUSD BF'!$AK$12+'TUSD CVA'!$AK$12)*1</f>
        <v>0.23831171372417062</v>
      </c>
      <c r="AI12" s="31">
        <v>2.14974375530395</v>
      </c>
      <c r="AJ12" s="31">
        <v>0.179684124764003</v>
      </c>
      <c r="AK12" s="31">
        <v>0.31112944025407802</v>
      </c>
      <c r="AL12" s="31">
        <v>0</v>
      </c>
      <c r="AM12" s="31">
        <v>0</v>
      </c>
      <c r="AN12" s="31">
        <v>56.948840382593197</v>
      </c>
      <c r="AO12" s="31">
        <v>10.5430570546017</v>
      </c>
      <c r="AP12" s="31">
        <v>0</v>
      </c>
      <c r="AQ12" s="31">
        <v>0</v>
      </c>
      <c r="AR12" s="31">
        <v>0</v>
      </c>
      <c r="AS12" s="31">
        <v>0</v>
      </c>
      <c r="AT12" s="31">
        <v>0</v>
      </c>
      <c r="AU12" s="31">
        <v>0</v>
      </c>
      <c r="AV12" s="31">
        <v>0</v>
      </c>
      <c r="AW12" s="31">
        <v>0</v>
      </c>
      <c r="AX12" s="31">
        <v>0</v>
      </c>
      <c r="AY12" s="31">
        <v>-4.09910486479325</v>
      </c>
      <c r="AZ12" s="31">
        <v>0</v>
      </c>
      <c r="BA12" s="31">
        <v>10.853196257379199</v>
      </c>
      <c r="BB12" s="31">
        <v>0.30987973365801502</v>
      </c>
      <c r="BC12" s="31">
        <v>1.5076628746704801</v>
      </c>
      <c r="BD12" s="31">
        <v>-4.9652072671645099E-2</v>
      </c>
    </row>
    <row r="13" spans="1:56" ht="11.25" customHeight="1" x14ac:dyDescent="0.25">
      <c r="A13" s="137"/>
      <c r="B13" s="137"/>
      <c r="C13" s="137"/>
      <c r="D13" s="137"/>
      <c r="E13" s="137" t="s">
        <v>78</v>
      </c>
      <c r="F13" s="137" t="s">
        <v>25</v>
      </c>
      <c r="G13" s="41" t="s">
        <v>71</v>
      </c>
      <c r="H13" s="41" t="s">
        <v>70</v>
      </c>
      <c r="I13" s="41">
        <f>'MERCADO TUSD'!$U$10</f>
        <v>0</v>
      </c>
      <c r="J13" s="15"/>
      <c r="L13" s="31">
        <f>('TUSD BE'!$L$13+'TUSD BF'!$L$13+'TUSD CVA'!$L$13)*1</f>
        <v>0</v>
      </c>
      <c r="M13" s="31">
        <f>('TUSD BE'!$M$13+'TUSD BF'!$M$13+'TUSD CVA'!$M$13)*1</f>
        <v>0.12512219537960656</v>
      </c>
      <c r="N13" s="31">
        <f ca="1">('TUSD BE'!$N$13+'TUSD BF'!$N$13+'TUSD CVA'!$N$13)*1</f>
        <v>9.4383973697864292</v>
      </c>
      <c r="O13" s="31">
        <f>('TUSD BE'!$O$13+'TUSD BF'!$O$13+'TUSD CVA'!$O$13)*1</f>
        <v>0</v>
      </c>
      <c r="P13" s="31">
        <f>('TUSD BE'!$P$13+'TUSD BF'!$P$13+'TUSD CVA'!$P$13)*1</f>
        <v>0</v>
      </c>
      <c r="Q13" s="31">
        <f>('TUSD BE'!$Q$13+'TUSD BF'!$Q$13+'TUSD CVA'!$Q$13)*1</f>
        <v>0</v>
      </c>
      <c r="R13" s="31">
        <f>('TUSD BE'!$R$13+'TUSD BF'!$R$13+'TUSD CVA'!$R$13)*1</f>
        <v>0</v>
      </c>
      <c r="S13" s="31">
        <f>('TUSD BE'!$S$13+'TUSD BF'!$S$13+'TUSD CVA'!$S$13)*1</f>
        <v>0</v>
      </c>
      <c r="T13" s="31">
        <f>('TUSD BE'!$U$13+'TUSD BF'!$U$13+'TUSD CVA'!$U$13)*1</f>
        <v>0</v>
      </c>
      <c r="U13" s="31">
        <f>('TUSD BE'!$V$13+'TUSD BF'!$V$13+'TUSD CVA'!$V$13)*1</f>
        <v>0</v>
      </c>
      <c r="V13" s="31">
        <f>('TUSD BE'!$W$13+'TUSD BF'!$W$13+'TUSD CVA'!$W$13)*1</f>
        <v>0</v>
      </c>
      <c r="W13" s="31">
        <f>('TUSD BE'!$X$13+'TUSD BF'!$X$13+'TUSD CVA'!$X$13)*1</f>
        <v>0</v>
      </c>
      <c r="X13" s="31">
        <f>('TUSD BE'!$Y$13+'TUSD BF'!$Y$13+'TUSD CVA'!$Y$13)*1</f>
        <v>778.11379295006782</v>
      </c>
      <c r="Y13" s="31">
        <f>('TUSD BE'!$Z$13+'TUSD BF'!$Z$13+'TUSD CVA'!$Z$13)*1</f>
        <v>0</v>
      </c>
      <c r="Z13" s="31">
        <f>('TUSD BE'!$AA$13+'TUSD BF'!$AA$13+'TUSD CVA'!$AA$13)*1</f>
        <v>0</v>
      </c>
      <c r="AA13" s="31">
        <f>('TUSD BE'!$AC$13+'TUSD BF'!$AC$13+'TUSD CVA'!$AC$13)*1</f>
        <v>161.53496098140033</v>
      </c>
      <c r="AB13" s="31">
        <f ca="1">('TUSD BE'!$AE$13+'TUSD BF'!$AE$13+'TUSD CVA'!$AE$13)*1</f>
        <v>-98.123831808847626</v>
      </c>
      <c r="AC13" s="31">
        <f ca="1">('TUSD BE'!$AF$13+'TUSD BF'!$AF$13+'TUSD CVA'!$AF$13)*1</f>
        <v>0</v>
      </c>
      <c r="AD13" s="31">
        <f>('TUSD BE'!$AH$13+'TUSD BF'!$AH$13+'TUSD CVA'!$AH$13)*1</f>
        <v>10.878829381676857</v>
      </c>
      <c r="AE13" s="31">
        <f>('TUSD BE'!$AI$13+'TUSD BF'!$AI$13+'TUSD CVA'!$AI$13)*1</f>
        <v>0.34984841213095197</v>
      </c>
      <c r="AF13" s="31">
        <f ca="1">('TUSD BE'!$AJ$13+'TUSD BF'!$AJ$13+'TUSD CVA'!$AJ$13)*1</f>
        <v>1.3386068364249117</v>
      </c>
      <c r="AG13" s="31">
        <f ca="1">('TUSD BE'!$AK$13+'TUSD BF'!$AK$13+'TUSD CVA'!$AK$13)*1</f>
        <v>0.23831171372417062</v>
      </c>
      <c r="AI13" s="31">
        <v>0</v>
      </c>
      <c r="AJ13" s="31">
        <v>0.179684124764003</v>
      </c>
      <c r="AK13" s="31">
        <v>8.02057896815767</v>
      </c>
      <c r="AL13" s="31">
        <v>0</v>
      </c>
      <c r="AM13" s="31">
        <v>0</v>
      </c>
      <c r="AN13" s="31">
        <v>0</v>
      </c>
      <c r="AO13" s="31">
        <v>0</v>
      </c>
      <c r="AP13" s="31">
        <v>0</v>
      </c>
      <c r="AQ13" s="31">
        <v>0</v>
      </c>
      <c r="AR13" s="31">
        <v>0</v>
      </c>
      <c r="AS13" s="31">
        <v>0</v>
      </c>
      <c r="AT13" s="31">
        <v>0</v>
      </c>
      <c r="AU13" s="31">
        <v>712.817584357285</v>
      </c>
      <c r="AV13" s="31">
        <v>0</v>
      </c>
      <c r="AW13" s="31">
        <v>0</v>
      </c>
      <c r="AX13" s="31">
        <v>188.42506738715099</v>
      </c>
      <c r="AY13" s="31">
        <v>-47.489379025298703</v>
      </c>
      <c r="AZ13" s="31">
        <v>0</v>
      </c>
      <c r="BA13" s="31">
        <v>10.853196257379199</v>
      </c>
      <c r="BB13" s="31">
        <v>0.30987973365801502</v>
      </c>
      <c r="BC13" s="31">
        <v>1.5076628746704801</v>
      </c>
      <c r="BD13" s="31">
        <v>-4.9652072671645099E-2</v>
      </c>
    </row>
    <row r="14" spans="1:56" ht="11.25" customHeight="1" x14ac:dyDescent="0.25">
      <c r="A14" s="137"/>
      <c r="B14" s="137"/>
      <c r="C14" s="137"/>
      <c r="D14" s="137"/>
      <c r="E14" s="137"/>
      <c r="F14" s="137"/>
      <c r="G14" s="41" t="s">
        <v>72</v>
      </c>
      <c r="H14" s="41" t="s">
        <v>70</v>
      </c>
      <c r="I14" s="41">
        <f>'MERCADO TUSD'!$U$11</f>
        <v>0</v>
      </c>
      <c r="J14" s="15"/>
      <c r="L14" s="31">
        <f>('TUSD BE'!$L$14+'TUSD BF'!$L$14+'TUSD CVA'!$L$14)*1</f>
        <v>0</v>
      </c>
      <c r="M14" s="31">
        <f>('TUSD BE'!$M$14+'TUSD BF'!$M$14+'TUSD CVA'!$M$14)*1</f>
        <v>0.12512219537960656</v>
      </c>
      <c r="N14" s="31">
        <f ca="1">('TUSD BE'!$N$14+'TUSD BF'!$N$14+'TUSD CVA'!$N$14)*1</f>
        <v>0.26684288664792793</v>
      </c>
      <c r="O14" s="31">
        <f>('TUSD BE'!$O$14+'TUSD BF'!$O$14+'TUSD CVA'!$O$14)*1</f>
        <v>0</v>
      </c>
      <c r="P14" s="31">
        <f>('TUSD BE'!$P$14+'TUSD BF'!$P$14+'TUSD CVA'!$P$14)*1</f>
        <v>0</v>
      </c>
      <c r="Q14" s="31">
        <f>('TUSD BE'!$Q$14+'TUSD BF'!$Q$14+'TUSD CVA'!$Q$14)*1</f>
        <v>0</v>
      </c>
      <c r="R14" s="31">
        <f>('TUSD BE'!$R$14+'TUSD BF'!$R$14+'TUSD CVA'!$R$14)*1</f>
        <v>0</v>
      </c>
      <c r="S14" s="31">
        <f>('TUSD BE'!$S$14+'TUSD BF'!$S$14+'TUSD CVA'!$S$14)*1</f>
        <v>0</v>
      </c>
      <c r="T14" s="31">
        <f>('TUSD BE'!$U$14+'TUSD BF'!$U$14+'TUSD CVA'!$U$14)*1</f>
        <v>0</v>
      </c>
      <c r="U14" s="31">
        <f>('TUSD BE'!$V$14+'TUSD BF'!$V$14+'TUSD CVA'!$V$14)*1</f>
        <v>0</v>
      </c>
      <c r="V14" s="31">
        <f>('TUSD BE'!$W$14+'TUSD BF'!$W$14+'TUSD CVA'!$W$14)*1</f>
        <v>0</v>
      </c>
      <c r="W14" s="31">
        <f>('TUSD BE'!$X$14+'TUSD BF'!$X$14+'TUSD CVA'!$X$14)*1</f>
        <v>0</v>
      </c>
      <c r="X14" s="31">
        <f>('TUSD BE'!$Y$14+'TUSD BF'!$Y$14+'TUSD CVA'!$Y$14)*1</f>
        <v>0</v>
      </c>
      <c r="Y14" s="31">
        <f>('TUSD BE'!$Z$14+'TUSD BF'!$Z$14+'TUSD CVA'!$Z$14)*1</f>
        <v>0</v>
      </c>
      <c r="Z14" s="31">
        <f>('TUSD BE'!$AA$14+'TUSD BF'!$AA$14+'TUSD CVA'!$AA$14)*1</f>
        <v>0</v>
      </c>
      <c r="AA14" s="31">
        <f>('TUSD BE'!$AC$14+'TUSD BF'!$AC$14+'TUSD CVA'!$AC$14)*1</f>
        <v>0</v>
      </c>
      <c r="AB14" s="31">
        <f ca="1">('TUSD BE'!$AE$14+'TUSD BF'!$AE$14+'TUSD CVA'!$AE$14)*1</f>
        <v>-1.3312919431011787</v>
      </c>
      <c r="AC14" s="31">
        <f ca="1">('TUSD BE'!$AF$14+'TUSD BF'!$AF$14+'TUSD CVA'!$AF$14)*1</f>
        <v>0</v>
      </c>
      <c r="AD14" s="31">
        <f>('TUSD BE'!$AH$14+'TUSD BF'!$AH$14+'TUSD CVA'!$AH$14)*1</f>
        <v>10.878829381676857</v>
      </c>
      <c r="AE14" s="31">
        <f>('TUSD BE'!$AI$14+'TUSD BF'!$AI$14+'TUSD CVA'!$AI$14)*1</f>
        <v>0.34984841213095197</v>
      </c>
      <c r="AF14" s="31">
        <f ca="1">('TUSD BE'!$AJ$14+'TUSD BF'!$AJ$14+'TUSD CVA'!$AJ$14)*1</f>
        <v>1.3386068364249117</v>
      </c>
      <c r="AG14" s="31">
        <f ca="1">('TUSD BE'!$AK$14+'TUSD BF'!$AK$14+'TUSD CVA'!$AK$14)*1</f>
        <v>0.23831171372417062</v>
      </c>
      <c r="AI14" s="31">
        <v>0</v>
      </c>
      <c r="AJ14" s="31">
        <v>0.179684124764003</v>
      </c>
      <c r="AK14" s="31">
        <v>0.29632322248937498</v>
      </c>
      <c r="AL14" s="31">
        <v>0</v>
      </c>
      <c r="AM14" s="31">
        <v>0</v>
      </c>
      <c r="AN14" s="31">
        <v>0</v>
      </c>
      <c r="AO14" s="31">
        <v>0</v>
      </c>
      <c r="AP14" s="31">
        <v>0</v>
      </c>
      <c r="AQ14" s="31">
        <v>0</v>
      </c>
      <c r="AR14" s="31">
        <v>0</v>
      </c>
      <c r="AS14" s="31">
        <v>0</v>
      </c>
      <c r="AT14" s="31">
        <v>0</v>
      </c>
      <c r="AU14" s="31">
        <v>0</v>
      </c>
      <c r="AV14" s="31">
        <v>0</v>
      </c>
      <c r="AW14" s="31">
        <v>0</v>
      </c>
      <c r="AX14" s="31">
        <v>0</v>
      </c>
      <c r="AY14" s="31">
        <v>-0.62217579892828101</v>
      </c>
      <c r="AZ14" s="31">
        <v>0</v>
      </c>
      <c r="BA14" s="31">
        <v>10.853196257379199</v>
      </c>
      <c r="BB14" s="31">
        <v>0.30987973365801502</v>
      </c>
      <c r="BC14" s="31">
        <v>1.5076628746704801</v>
      </c>
      <c r="BD14" s="31">
        <v>-4.9652072671645099E-2</v>
      </c>
    </row>
    <row r="15" spans="1:56" ht="11.25" customHeight="1" x14ac:dyDescent="0.25">
      <c r="A15" s="137" t="s">
        <v>80</v>
      </c>
      <c r="B15" s="137" t="s">
        <v>79</v>
      </c>
      <c r="C15" s="137" t="s">
        <v>25</v>
      </c>
      <c r="D15" s="137" t="s">
        <v>25</v>
      </c>
      <c r="E15" s="42" t="s">
        <v>81</v>
      </c>
      <c r="F15" s="42" t="s">
        <v>25</v>
      </c>
      <c r="G15" s="41" t="s">
        <v>9</v>
      </c>
      <c r="H15" s="41" t="s">
        <v>75</v>
      </c>
      <c r="I15" s="41">
        <f>'MERCADO TUSD'!$U$12+0.00000001</f>
        <v>1E-8</v>
      </c>
      <c r="J15" s="15"/>
      <c r="L15" s="31">
        <f>('TUSD BE'!$L$15+'TUSD BF'!$L$15+'TUSD CVA'!$L$15)*1</f>
        <v>0</v>
      </c>
      <c r="M15" s="31">
        <f>('TUSD BE'!$M$15+'TUSD BF'!$M$15+'TUSD CVA'!$M$15)*1</f>
        <v>2.0201626026786549E-2</v>
      </c>
      <c r="N15" s="31">
        <f ca="1">('TUSD BE'!$N$15+'TUSD BF'!$N$15+'TUSD CVA'!$N$15)*1</f>
        <v>5.6287261639843836E-2</v>
      </c>
      <c r="O15" s="31">
        <f>('TUSD BE'!$O$15+'TUSD BF'!$O$15+'TUSD CVA'!$O$15)*1</f>
        <v>0</v>
      </c>
      <c r="P15" s="31">
        <f>('TUSD BE'!$P$15+'TUSD BF'!$P$15+'TUSD CVA'!$P$15)*1</f>
        <v>0</v>
      </c>
      <c r="Q15" s="31">
        <f>('TUSD BE'!$Q$15+'TUSD BF'!$Q$15+'TUSD CVA'!$Q$15)*1</f>
        <v>0</v>
      </c>
      <c r="R15" s="31">
        <f>('TUSD BE'!$R$15+'TUSD BF'!$R$15+'TUSD CVA'!$R$15)*1</f>
        <v>0</v>
      </c>
      <c r="S15" s="31">
        <f>('TUSD BE'!$S$15+'TUSD BF'!$S$15+'TUSD CVA'!$S$15)*1</f>
        <v>0</v>
      </c>
      <c r="T15" s="31">
        <f>('TUSD BE'!$U$15+'TUSD BF'!$U$15+'TUSD CVA'!$U$15)*1</f>
        <v>0</v>
      </c>
      <c r="U15" s="31">
        <f>('TUSD BE'!$V$15+'TUSD BF'!$V$15+'TUSD CVA'!$V$15)*1</f>
        <v>0</v>
      </c>
      <c r="V15" s="31">
        <f>('TUSD BE'!$W$15+'TUSD BF'!$W$15+'TUSD CVA'!$W$15)*1</f>
        <v>0</v>
      </c>
      <c r="W15" s="31">
        <f>('TUSD BE'!$X$15+'TUSD BF'!$X$15+'TUSD CVA'!$X$15)*1</f>
        <v>0</v>
      </c>
      <c r="X15" s="31">
        <f>('TUSD BE'!$Y$15+'TUSD BF'!$Y$15+'TUSD CVA'!$Y$15)*1</f>
        <v>0</v>
      </c>
      <c r="Y15" s="31">
        <f>('TUSD BE'!$Z$15+'TUSD BF'!$Z$15+'TUSD CVA'!$Z$15)*1</f>
        <v>0</v>
      </c>
      <c r="Z15" s="31">
        <f>('TUSD BE'!$AA$15+'TUSD BF'!$AA$15+'TUSD CVA'!$AA$15)*1</f>
        <v>0</v>
      </c>
      <c r="AA15" s="31">
        <f>('TUSD BE'!$AC$15+'TUSD BF'!$AC$15+'TUSD CVA'!$AC$15)*1</f>
        <v>5.0847248158538436</v>
      </c>
      <c r="AB15" s="31">
        <f ca="1">('TUSD BE'!$AE$15+'TUSD BF'!$AE$15+'TUSD CVA'!$AE$15)*1</f>
        <v>-0.55352209099002969</v>
      </c>
      <c r="AC15" s="31">
        <f ca="1">('TUSD BE'!$AF$15+'TUSD BF'!$AF$15+'TUSD CVA'!$AF$15)*1</f>
        <v>0</v>
      </c>
      <c r="AD15" s="31">
        <f>('TUSD BE'!$AH$15+'TUSD BF'!$AH$15+'TUSD CVA'!$AH$15)*1</f>
        <v>0</v>
      </c>
      <c r="AE15" s="31">
        <f>('TUSD BE'!$AI$15+'TUSD BF'!$AI$15+'TUSD CVA'!$AI$15)*1</f>
        <v>0</v>
      </c>
      <c r="AF15" s="31">
        <f ca="1">('TUSD BE'!$AJ$15+'TUSD BF'!$AJ$15+'TUSD CVA'!$AJ$15)*1</f>
        <v>0</v>
      </c>
      <c r="AG15" s="31">
        <f ca="1">('TUSD BE'!$AK$15+'TUSD BF'!$AK$15+'TUSD CVA'!$AK$15)*1</f>
        <v>0</v>
      </c>
      <c r="AI15" s="31">
        <v>0</v>
      </c>
      <c r="AJ15" s="31">
        <v>2.6577407992329299E-2</v>
      </c>
      <c r="AK15" s="31">
        <v>9.6536539825868406E-2</v>
      </c>
      <c r="AL15" s="31">
        <v>0</v>
      </c>
      <c r="AM15" s="31">
        <v>0</v>
      </c>
      <c r="AN15" s="31">
        <v>0</v>
      </c>
      <c r="AO15" s="31">
        <v>0</v>
      </c>
      <c r="AP15" s="31">
        <v>0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1">
        <v>0</v>
      </c>
      <c r="AW15" s="31">
        <v>0</v>
      </c>
      <c r="AX15" s="31">
        <v>6.4007533293973804</v>
      </c>
      <c r="AY15" s="31">
        <v>-0.35069816789153502</v>
      </c>
      <c r="AZ15" s="31">
        <v>0</v>
      </c>
      <c r="BA15" s="31">
        <v>0</v>
      </c>
      <c r="BB15" s="31">
        <v>0</v>
      </c>
      <c r="BC15" s="31">
        <v>0</v>
      </c>
      <c r="BD15" s="31">
        <v>0</v>
      </c>
    </row>
    <row r="16" spans="1:56" ht="11.25" customHeight="1" x14ac:dyDescent="0.25">
      <c r="A16" s="137"/>
      <c r="B16" s="137"/>
      <c r="C16" s="137"/>
      <c r="D16" s="137"/>
      <c r="E16" s="42" t="s">
        <v>82</v>
      </c>
      <c r="F16" s="42" t="s">
        <v>25</v>
      </c>
      <c r="G16" s="41" t="s">
        <v>9</v>
      </c>
      <c r="H16" s="41" t="s">
        <v>75</v>
      </c>
      <c r="I16" s="41">
        <f>'MERCADO TUSD'!$U$13+0.00000001</f>
        <v>1E-8</v>
      </c>
      <c r="J16" s="15"/>
      <c r="L16" s="31">
        <f>('TUSD BE'!$L$16+'TUSD BF'!$L$16+'TUSD CVA'!$L$16)*1</f>
        <v>0</v>
      </c>
      <c r="M16" s="31">
        <f>('TUSD BE'!$M$16+'TUSD BF'!$M$16+'TUSD CVA'!$M$16)*1</f>
        <v>2.0201626026786549E-2</v>
      </c>
      <c r="N16" s="31">
        <f ca="1">('TUSD BE'!$N$16+'TUSD BF'!$N$16+'TUSD CVA'!$N$16)*1</f>
        <v>5.6287261639843836E-2</v>
      </c>
      <c r="O16" s="31">
        <f>('TUSD BE'!$O$16+'TUSD BF'!$O$16+'TUSD CVA'!$O$16)*1</f>
        <v>0</v>
      </c>
      <c r="P16" s="31">
        <f>('TUSD BE'!$P$16+'TUSD BF'!$P$16+'TUSD CVA'!$P$16)*1</f>
        <v>0</v>
      </c>
      <c r="Q16" s="31">
        <f>('TUSD BE'!$Q$16+'TUSD BF'!$Q$16+'TUSD CVA'!$Q$16)*1</f>
        <v>0</v>
      </c>
      <c r="R16" s="31">
        <f>('TUSD BE'!$R$16+'TUSD BF'!$R$16+'TUSD CVA'!$R$16)*1</f>
        <v>0</v>
      </c>
      <c r="S16" s="31">
        <f>('TUSD BE'!$S$16+'TUSD BF'!$S$16+'TUSD CVA'!$S$16)*1</f>
        <v>0</v>
      </c>
      <c r="T16" s="31">
        <f>('TUSD BE'!$U$16+'TUSD BF'!$U$16+'TUSD CVA'!$U$16)*1</f>
        <v>0</v>
      </c>
      <c r="U16" s="31">
        <f>('TUSD BE'!$V$16+'TUSD BF'!$V$16+'TUSD CVA'!$V$16)*1</f>
        <v>0</v>
      </c>
      <c r="V16" s="31">
        <f>('TUSD BE'!$W$16+'TUSD BF'!$W$16+'TUSD CVA'!$W$16)*1</f>
        <v>0</v>
      </c>
      <c r="W16" s="31">
        <f>('TUSD BE'!$X$16+'TUSD BF'!$X$16+'TUSD CVA'!$X$16)*1</f>
        <v>0</v>
      </c>
      <c r="X16" s="31">
        <f>('TUSD BE'!$Y$16+'TUSD BF'!$Y$16+'TUSD CVA'!$Y$16)*1</f>
        <v>0</v>
      </c>
      <c r="Y16" s="31">
        <f>('TUSD BE'!$Z$16+'TUSD BF'!$Z$16+'TUSD CVA'!$Z$16)*1</f>
        <v>0</v>
      </c>
      <c r="Z16" s="31">
        <f>('TUSD BE'!$AA$16+'TUSD BF'!$AA$16+'TUSD CVA'!$AA$16)*1</f>
        <v>0</v>
      </c>
      <c r="AA16" s="31">
        <f>('TUSD BE'!$AC$16+'TUSD BF'!$AC$16+'TUSD CVA'!$AC$16)*1</f>
        <v>8.7490059652757832</v>
      </c>
      <c r="AB16" s="31">
        <f ca="1">('TUSD BE'!$AE$16+'TUSD BF'!$AE$16+'TUSD CVA'!$AE$16)*1</f>
        <v>-0.94656494849152994</v>
      </c>
      <c r="AC16" s="31">
        <f ca="1">('TUSD BE'!$AF$16+'TUSD BF'!$AF$16+'TUSD CVA'!$AF$16)*1</f>
        <v>0</v>
      </c>
      <c r="AD16" s="31">
        <f>('TUSD BE'!$AH$16+'TUSD BF'!$AH$16+'TUSD CVA'!$AH$16)*1</f>
        <v>0</v>
      </c>
      <c r="AE16" s="31">
        <f>('TUSD BE'!$AI$16+'TUSD BF'!$AI$16+'TUSD CVA'!$AI$16)*1</f>
        <v>0</v>
      </c>
      <c r="AF16" s="31">
        <f ca="1">('TUSD BE'!$AJ$16+'TUSD BF'!$AJ$16+'TUSD CVA'!$AJ$16)*1</f>
        <v>0</v>
      </c>
      <c r="AG16" s="31">
        <f ca="1">('TUSD BE'!$AK$16+'TUSD BF'!$AK$16+'TUSD CVA'!$AK$16)*1</f>
        <v>0</v>
      </c>
      <c r="AI16" s="31">
        <v>0</v>
      </c>
      <c r="AJ16" s="31">
        <v>2.6577407992329299E-2</v>
      </c>
      <c r="AK16" s="31">
        <v>9.6536539825868406E-2</v>
      </c>
      <c r="AL16" s="31">
        <v>0</v>
      </c>
      <c r="AM16" s="31">
        <v>0</v>
      </c>
      <c r="AN16" s="31">
        <v>0</v>
      </c>
      <c r="AO16" s="31">
        <v>0</v>
      </c>
      <c r="AP16" s="31">
        <v>0</v>
      </c>
      <c r="AQ16" s="31">
        <v>0</v>
      </c>
      <c r="AR16" s="31">
        <v>0</v>
      </c>
      <c r="AS16" s="31">
        <v>0</v>
      </c>
      <c r="AT16" s="31">
        <v>0</v>
      </c>
      <c r="AU16" s="31">
        <v>0</v>
      </c>
      <c r="AV16" s="31">
        <v>0</v>
      </c>
      <c r="AW16" s="31">
        <v>0</v>
      </c>
      <c r="AX16" s="31">
        <v>9.2719340216974508</v>
      </c>
      <c r="AY16" s="31">
        <v>-0.50503229130330096</v>
      </c>
      <c r="AZ16" s="31">
        <v>0</v>
      </c>
      <c r="BA16" s="31">
        <v>0</v>
      </c>
      <c r="BB16" s="31">
        <v>0</v>
      </c>
      <c r="BC16" s="31">
        <v>0</v>
      </c>
      <c r="BD16" s="31">
        <v>0</v>
      </c>
    </row>
    <row r="17" spans="1:56" ht="11.25" customHeight="1" x14ac:dyDescent="0.25">
      <c r="A17" s="137" t="s">
        <v>22</v>
      </c>
      <c r="B17" s="137" t="s">
        <v>49</v>
      </c>
      <c r="C17" s="137" t="s">
        <v>24</v>
      </c>
      <c r="D17" s="137" t="s">
        <v>24</v>
      </c>
      <c r="E17" s="137" t="s">
        <v>25</v>
      </c>
      <c r="F17" s="137" t="s">
        <v>25</v>
      </c>
      <c r="G17" s="41" t="s">
        <v>71</v>
      </c>
      <c r="H17" s="41" t="s">
        <v>70</v>
      </c>
      <c r="I17" s="41">
        <f>'MERCADO TUSD'!$U$14</f>
        <v>0</v>
      </c>
      <c r="J17" s="15"/>
      <c r="L17" s="31">
        <f>('TUSD BE'!$L$17+'TUSD BF'!$L$17+'TUSD CVA'!$L$17)*1</f>
        <v>2.7777964681865344</v>
      </c>
      <c r="M17" s="31">
        <f>('TUSD BE'!$M$17+'TUSD BF'!$M$17+'TUSD CVA'!$M$17)*1</f>
        <v>0.74341751902097453</v>
      </c>
      <c r="N17" s="31">
        <f ca="1">('TUSD BE'!$N$17+'TUSD BF'!$N$17+'TUSD CVA'!$N$17)*1</f>
        <v>9.8769888976846758</v>
      </c>
      <c r="O17" s="31">
        <f>('TUSD BE'!$O$17+'TUSD BF'!$O$17+'TUSD CVA'!$O$17)*1</f>
        <v>0</v>
      </c>
      <c r="P17" s="31">
        <f>('TUSD BE'!$P$17+'TUSD BF'!$P$17+'TUSD CVA'!$P$17)*1</f>
        <v>0</v>
      </c>
      <c r="Q17" s="31">
        <f>('TUSD BE'!$Q$17+'TUSD BF'!$Q$17+'TUSD CVA'!$Q$17)*1</f>
        <v>109.58621999463429</v>
      </c>
      <c r="R17" s="31">
        <f>('TUSD BE'!$R$17+'TUSD BF'!$R$17+'TUSD CVA'!$R$17)*1</f>
        <v>18.30558713038598</v>
      </c>
      <c r="S17" s="31">
        <f>('TUSD BE'!$S$17+'TUSD BF'!$S$17+'TUSD CVA'!$S$17)*1</f>
        <v>0</v>
      </c>
      <c r="T17" s="31">
        <f>('TUSD BE'!$U$17+'TUSD BF'!$U$17+'TUSD CVA'!$U$17)*1</f>
        <v>0</v>
      </c>
      <c r="U17" s="31">
        <f>('TUSD BE'!$V$17+'TUSD BF'!$V$17+'TUSD CVA'!$V$17)*1</f>
        <v>0</v>
      </c>
      <c r="V17" s="31">
        <f>('TUSD BE'!$W$17+'TUSD BF'!$W$17+'TUSD CVA'!$W$17)*1</f>
        <v>0</v>
      </c>
      <c r="W17" s="31">
        <f>('TUSD BE'!$X$17+'TUSD BF'!$X$17+'TUSD CVA'!$X$17)*1</f>
        <v>0</v>
      </c>
      <c r="X17" s="31">
        <f>('TUSD BE'!$Y$17+'TUSD BF'!$Y$17+'TUSD CVA'!$Y$17)*1</f>
        <v>438.74353204330492</v>
      </c>
      <c r="Y17" s="31">
        <f>('TUSD BE'!$Z$17+'TUSD BF'!$Z$17+'TUSD CVA'!$Z$17)*1</f>
        <v>0</v>
      </c>
      <c r="Z17" s="31">
        <f>('TUSD BE'!$AA$17+'TUSD BF'!$AA$17+'TUSD CVA'!$AA$17)*1</f>
        <v>0</v>
      </c>
      <c r="AA17" s="31">
        <f>('TUSD BE'!$AC$17+'TUSD BF'!$AC$17+'TUSD CVA'!$AC$17)*1</f>
        <v>475.58828675038217</v>
      </c>
      <c r="AB17" s="31">
        <f ca="1">('TUSD BE'!$AE$17+'TUSD BF'!$AE$17+'TUSD CVA'!$AE$17)*1</f>
        <v>-110.31122738474595</v>
      </c>
      <c r="AC17" s="31">
        <f ca="1">('TUSD BE'!$AF$17+'TUSD BF'!$AF$17+'TUSD CVA'!$AF$17)*1</f>
        <v>0</v>
      </c>
      <c r="AD17" s="31">
        <f>('TUSD BE'!$AH$17+'TUSD BF'!$AH$17+'TUSD CVA'!$AH$17)*1</f>
        <v>18.91311470066363</v>
      </c>
      <c r="AE17" s="31">
        <f>('TUSD BE'!$AI$17+'TUSD BF'!$AI$17+'TUSD CVA'!$AI$17)*1</f>
        <v>0.60822014155514181</v>
      </c>
      <c r="AF17" s="31">
        <f ca="1">('TUSD BE'!$AJ$17+'TUSD BF'!$AJ$17+'TUSD CVA'!$AJ$17)*1</f>
        <v>1.9993404138402762</v>
      </c>
      <c r="AG17" s="31">
        <f ca="1">('TUSD BE'!$AK$17+'TUSD BF'!$AK$17+'TUSD CVA'!$AK$17)*1</f>
        <v>0.35594188478283317</v>
      </c>
      <c r="AI17" s="31">
        <v>2.4709698336827</v>
      </c>
      <c r="AJ17" s="31">
        <v>0.78074237966437599</v>
      </c>
      <c r="AK17" s="31">
        <v>7.2616781345691104</v>
      </c>
      <c r="AL17" s="31">
        <v>0</v>
      </c>
      <c r="AM17" s="31">
        <v>0</v>
      </c>
      <c r="AN17" s="31">
        <v>65.458437221371398</v>
      </c>
      <c r="AO17" s="31">
        <v>10.5430570546017</v>
      </c>
      <c r="AP17" s="31">
        <v>0</v>
      </c>
      <c r="AQ17" s="31">
        <v>0</v>
      </c>
      <c r="AR17" s="31">
        <v>0</v>
      </c>
      <c r="AS17" s="31">
        <v>0</v>
      </c>
      <c r="AT17" s="31">
        <v>0</v>
      </c>
      <c r="AU17" s="31">
        <v>287.56191351208901</v>
      </c>
      <c r="AV17" s="31">
        <v>0</v>
      </c>
      <c r="AW17" s="31">
        <v>0</v>
      </c>
      <c r="AX17" s="31">
        <v>317.30852089375003</v>
      </c>
      <c r="AY17" s="31">
        <v>-37.094426956216999</v>
      </c>
      <c r="AZ17" s="31">
        <v>0</v>
      </c>
      <c r="BA17" s="31">
        <v>18.8686155417412</v>
      </c>
      <c r="BB17" s="31">
        <v>0.53873544897843295</v>
      </c>
      <c r="BC17" s="31">
        <v>2.5275723718963099</v>
      </c>
      <c r="BD17" s="31">
        <v>-8.3240895030772602E-2</v>
      </c>
    </row>
    <row r="18" spans="1:56" ht="11.25" customHeight="1" x14ac:dyDescent="0.25">
      <c r="A18" s="137"/>
      <c r="B18" s="137"/>
      <c r="C18" s="137"/>
      <c r="D18" s="137"/>
      <c r="E18" s="137"/>
      <c r="F18" s="137"/>
      <c r="G18" s="41" t="s">
        <v>83</v>
      </c>
      <c r="H18" s="41" t="s">
        <v>70</v>
      </c>
      <c r="I18" s="41">
        <f>'MERCADO TUSD'!$U$15</f>
        <v>0</v>
      </c>
      <c r="J18" s="15"/>
      <c r="L18" s="31">
        <f>('TUSD BE'!$L$18+'TUSD BF'!$L$18+'TUSD CVA'!$L$18)*1</f>
        <v>2.7777964681865344</v>
      </c>
      <c r="M18" s="31">
        <f>('TUSD BE'!$M$18+'TUSD BF'!$M$18+'TUSD CVA'!$M$18)*1</f>
        <v>0.74341751902097453</v>
      </c>
      <c r="N18" s="31">
        <f ca="1">('TUSD BE'!$N$18+'TUSD BF'!$N$18+'TUSD CVA'!$N$18)*1</f>
        <v>5.1714019682245524</v>
      </c>
      <c r="O18" s="31">
        <f>('TUSD BE'!$O$18+'TUSD BF'!$O$18+'TUSD CVA'!$O$18)*1</f>
        <v>0</v>
      </c>
      <c r="P18" s="31">
        <f>('TUSD BE'!$P$18+'TUSD BF'!$P$18+'TUSD CVA'!$P$18)*1</f>
        <v>0</v>
      </c>
      <c r="Q18" s="31">
        <f>('TUSD BE'!$Q$18+'TUSD BF'!$Q$18+'TUSD CVA'!$Q$18)*1</f>
        <v>109.58621999463429</v>
      </c>
      <c r="R18" s="31">
        <f>('TUSD BE'!$R$18+'TUSD BF'!$R$18+'TUSD CVA'!$R$18)*1</f>
        <v>18.30558713038598</v>
      </c>
      <c r="S18" s="31">
        <f>('TUSD BE'!$S$18+'TUSD BF'!$S$18+'TUSD CVA'!$S$18)*1</f>
        <v>0</v>
      </c>
      <c r="T18" s="31">
        <f>('TUSD BE'!$U$18+'TUSD BF'!$U$18+'TUSD CVA'!$U$18)*1</f>
        <v>0</v>
      </c>
      <c r="U18" s="31">
        <f>('TUSD BE'!$V$18+'TUSD BF'!$V$18+'TUSD CVA'!$V$18)*1</f>
        <v>0</v>
      </c>
      <c r="V18" s="31">
        <f>('TUSD BE'!$W$18+'TUSD BF'!$W$18+'TUSD CVA'!$W$18)*1</f>
        <v>0</v>
      </c>
      <c r="W18" s="31">
        <f>('TUSD BE'!$X$18+'TUSD BF'!$X$18+'TUSD CVA'!$X$18)*1</f>
        <v>0</v>
      </c>
      <c r="X18" s="31">
        <f>('TUSD BE'!$Y$18+'TUSD BF'!$Y$18+'TUSD CVA'!$Y$18)*1</f>
        <v>219.37182528493881</v>
      </c>
      <c r="Y18" s="31">
        <f>('TUSD BE'!$Z$18+'TUSD BF'!$Z$18+'TUSD CVA'!$Z$18)*1</f>
        <v>0</v>
      </c>
      <c r="Z18" s="31">
        <f>('TUSD BE'!$AA$18+'TUSD BF'!$AA$18+'TUSD CVA'!$AA$18)*1</f>
        <v>0</v>
      </c>
      <c r="AA18" s="31">
        <f>('TUSD BE'!$AC$18+'TUSD BF'!$AC$18+'TUSD CVA'!$AC$18)*1</f>
        <v>237.7941944225449</v>
      </c>
      <c r="AB18" s="31">
        <f ca="1">('TUSD BE'!$AE$18+'TUSD BF'!$AE$18+'TUSD CVA'!$AE$18)*1</f>
        <v>-62.177413933916412</v>
      </c>
      <c r="AC18" s="31">
        <f ca="1">('TUSD BE'!$AF$18+'TUSD BF'!$AF$18+'TUSD CVA'!$AF$18)*1</f>
        <v>0</v>
      </c>
      <c r="AD18" s="31">
        <f>('TUSD BE'!$AH$18+'TUSD BF'!$AH$18+'TUSD CVA'!$AH$18)*1</f>
        <v>18.91311470066363</v>
      </c>
      <c r="AE18" s="31">
        <f>('TUSD BE'!$AI$18+'TUSD BF'!$AI$18+'TUSD CVA'!$AI$18)*1</f>
        <v>0.60822014155514181</v>
      </c>
      <c r="AF18" s="31">
        <f ca="1">('TUSD BE'!$AJ$18+'TUSD BF'!$AJ$18+'TUSD CVA'!$AJ$18)*1</f>
        <v>1.9993404138402762</v>
      </c>
      <c r="AG18" s="31">
        <f ca="1">('TUSD BE'!$AK$18+'TUSD BF'!$AK$18+'TUSD CVA'!$AK$18)*1</f>
        <v>0.35594188478283317</v>
      </c>
      <c r="AI18" s="31">
        <v>2.4709698336827</v>
      </c>
      <c r="AJ18" s="31">
        <v>0.78074237966437599</v>
      </c>
      <c r="AK18" s="31">
        <v>4.5664090356881699</v>
      </c>
      <c r="AL18" s="31">
        <v>0</v>
      </c>
      <c r="AM18" s="31">
        <v>0</v>
      </c>
      <c r="AN18" s="31">
        <v>65.458437221371398</v>
      </c>
      <c r="AO18" s="31">
        <v>10.5430570546017</v>
      </c>
      <c r="AP18" s="31">
        <v>0</v>
      </c>
      <c r="AQ18" s="31">
        <v>0</v>
      </c>
      <c r="AR18" s="31">
        <v>0</v>
      </c>
      <c r="AS18" s="31">
        <v>0</v>
      </c>
      <c r="AT18" s="31">
        <v>0</v>
      </c>
      <c r="AU18" s="31">
        <v>172.53719122231101</v>
      </c>
      <c r="AV18" s="31">
        <v>0</v>
      </c>
      <c r="AW18" s="31">
        <v>0</v>
      </c>
      <c r="AX18" s="31">
        <v>190.385151990449</v>
      </c>
      <c r="AY18" s="31">
        <v>-24.265647882765201</v>
      </c>
      <c r="AZ18" s="31">
        <v>0</v>
      </c>
      <c r="BA18" s="31">
        <v>18.8686155417412</v>
      </c>
      <c r="BB18" s="31">
        <v>0.53873544897843295</v>
      </c>
      <c r="BC18" s="31">
        <v>2.5275723718963099</v>
      </c>
      <c r="BD18" s="31">
        <v>-8.3240895030772602E-2</v>
      </c>
    </row>
    <row r="19" spans="1:56" ht="11.25" customHeight="1" x14ac:dyDescent="0.25">
      <c r="A19" s="137"/>
      <c r="B19" s="137"/>
      <c r="C19" s="137"/>
      <c r="D19" s="137"/>
      <c r="E19" s="137"/>
      <c r="F19" s="137"/>
      <c r="G19" s="41" t="s">
        <v>72</v>
      </c>
      <c r="H19" s="41" t="s">
        <v>70</v>
      </c>
      <c r="I19" s="41">
        <f>'MERCADO TUSD'!$U$16</f>
        <v>0</v>
      </c>
      <c r="J19" s="15"/>
      <c r="L19" s="31">
        <f>('TUSD BE'!$L$19+'TUSD BF'!$L$19+'TUSD CVA'!$L$19)*1</f>
        <v>2.7777964681865344</v>
      </c>
      <c r="M19" s="31">
        <f>('TUSD BE'!$M$19+'TUSD BF'!$M$19+'TUSD CVA'!$M$19)*1</f>
        <v>0.74341751902097453</v>
      </c>
      <c r="N19" s="31">
        <f ca="1">('TUSD BE'!$N$19+'TUSD BF'!$N$19+'TUSD CVA'!$N$19)*1</f>
        <v>1.4069312989112195</v>
      </c>
      <c r="O19" s="31">
        <f>('TUSD BE'!$O$19+'TUSD BF'!$O$19+'TUSD CVA'!$O$19)*1</f>
        <v>0</v>
      </c>
      <c r="P19" s="31">
        <f>('TUSD BE'!$P$19+'TUSD BF'!$P$19+'TUSD CVA'!$P$19)*1</f>
        <v>0</v>
      </c>
      <c r="Q19" s="31">
        <f>('TUSD BE'!$Q$19+'TUSD BF'!$Q$19+'TUSD CVA'!$Q$19)*1</f>
        <v>109.58621999463429</v>
      </c>
      <c r="R19" s="31">
        <f>('TUSD BE'!$R$19+'TUSD BF'!$R$19+'TUSD CVA'!$R$19)*1</f>
        <v>18.30558713038598</v>
      </c>
      <c r="S19" s="31">
        <f>('TUSD BE'!$S$19+'TUSD BF'!$S$19+'TUSD CVA'!$S$19)*1</f>
        <v>0</v>
      </c>
      <c r="T19" s="31">
        <f>('TUSD BE'!$U$19+'TUSD BF'!$U$19+'TUSD CVA'!$U$19)*1</f>
        <v>0</v>
      </c>
      <c r="U19" s="31">
        <f>('TUSD BE'!$V$19+'TUSD BF'!$V$19+'TUSD CVA'!$V$19)*1</f>
        <v>0</v>
      </c>
      <c r="V19" s="31">
        <f>('TUSD BE'!$W$19+'TUSD BF'!$W$19+'TUSD CVA'!$W$19)*1</f>
        <v>0</v>
      </c>
      <c r="W19" s="31">
        <f>('TUSD BE'!$X$19+'TUSD BF'!$X$19+'TUSD CVA'!$X$19)*1</f>
        <v>0</v>
      </c>
      <c r="X19" s="31">
        <f>('TUSD BE'!$Y$19+'TUSD BF'!$Y$19+'TUSD CVA'!$Y$19)*1</f>
        <v>43.874388762302289</v>
      </c>
      <c r="Y19" s="31">
        <f>('TUSD BE'!$Z$19+'TUSD BF'!$Z$19+'TUSD CVA'!$Z$19)*1</f>
        <v>0</v>
      </c>
      <c r="Z19" s="31">
        <f>('TUSD BE'!$AA$19+'TUSD BF'!$AA$19+'TUSD CVA'!$AA$19)*1</f>
        <v>0</v>
      </c>
      <c r="AA19" s="31">
        <f>('TUSD BE'!$AC$19+'TUSD BF'!$AC$19+'TUSD CVA'!$AC$19)*1</f>
        <v>47.558879722392007</v>
      </c>
      <c r="AB19" s="31">
        <f ca="1">('TUSD BE'!$AE$19+'TUSD BF'!$AE$19+'TUSD CVA'!$AE$19)*1</f>
        <v>-23.670351499717018</v>
      </c>
      <c r="AC19" s="31">
        <f ca="1">('TUSD BE'!$AF$19+'TUSD BF'!$AF$19+'TUSD CVA'!$AF$19)*1</f>
        <v>0</v>
      </c>
      <c r="AD19" s="31">
        <f>('TUSD BE'!$AH$19+'TUSD BF'!$AH$19+'TUSD CVA'!$AH$19)*1</f>
        <v>18.91311470066363</v>
      </c>
      <c r="AE19" s="31">
        <f>('TUSD BE'!$AI$19+'TUSD BF'!$AI$19+'TUSD CVA'!$AI$19)*1</f>
        <v>0.60822014155514181</v>
      </c>
      <c r="AF19" s="31">
        <f ca="1">('TUSD BE'!$AJ$19+'TUSD BF'!$AJ$19+'TUSD CVA'!$AJ$19)*1</f>
        <v>1.9993404138402762</v>
      </c>
      <c r="AG19" s="31">
        <f ca="1">('TUSD BE'!$AK$19+'TUSD BF'!$AK$19+'TUSD CVA'!$AK$19)*1</f>
        <v>0.35594188478283317</v>
      </c>
      <c r="AI19" s="31">
        <v>2.4709698336827</v>
      </c>
      <c r="AJ19" s="31">
        <v>0.78074237966437599</v>
      </c>
      <c r="AK19" s="31">
        <v>1.87113845618545</v>
      </c>
      <c r="AL19" s="31">
        <v>0</v>
      </c>
      <c r="AM19" s="31">
        <v>0</v>
      </c>
      <c r="AN19" s="31">
        <v>65.458437221371398</v>
      </c>
      <c r="AO19" s="31">
        <v>10.5430570546017</v>
      </c>
      <c r="AP19" s="31">
        <v>0</v>
      </c>
      <c r="AQ19" s="31">
        <v>0</v>
      </c>
      <c r="AR19" s="31">
        <v>0</v>
      </c>
      <c r="AS19" s="31">
        <v>0</v>
      </c>
      <c r="AT19" s="31">
        <v>0</v>
      </c>
      <c r="AU19" s="31">
        <v>57.512468932533302</v>
      </c>
      <c r="AV19" s="31">
        <v>0</v>
      </c>
      <c r="AW19" s="31">
        <v>0</v>
      </c>
      <c r="AX19" s="31">
        <v>63.461684451650498</v>
      </c>
      <c r="AY19" s="31">
        <v>-11.436863427785999</v>
      </c>
      <c r="AZ19" s="31">
        <v>0</v>
      </c>
      <c r="BA19" s="31">
        <v>18.8686155417412</v>
      </c>
      <c r="BB19" s="31">
        <v>0.53873544897843295</v>
      </c>
      <c r="BC19" s="31">
        <v>2.5275723718963099</v>
      </c>
      <c r="BD19" s="31">
        <v>-8.3240895030772602E-2</v>
      </c>
    </row>
    <row r="20" spans="1:56" ht="11.25" customHeight="1" x14ac:dyDescent="0.25">
      <c r="A20" s="137"/>
      <c r="B20" s="137" t="s">
        <v>23</v>
      </c>
      <c r="C20" s="137" t="s">
        <v>24</v>
      </c>
      <c r="D20" s="42" t="s">
        <v>24</v>
      </c>
      <c r="E20" s="42" t="s">
        <v>25</v>
      </c>
      <c r="F20" s="42" t="s">
        <v>25</v>
      </c>
      <c r="G20" s="41" t="s">
        <v>74</v>
      </c>
      <c r="H20" s="41" t="s">
        <v>70</v>
      </c>
      <c r="I20" s="41">
        <f>'MERCADO TUSD'!$U$17</f>
        <v>20530.876000000004</v>
      </c>
      <c r="J20" s="15"/>
      <c r="L20" s="31">
        <f>('TUSD BE'!$L$20+'TUSD BF'!$L$20+'TUSD CVA'!$L$20)*1</f>
        <v>2.7777964681865344</v>
      </c>
      <c r="M20" s="31">
        <f>('TUSD BE'!$M$20+'TUSD BF'!$M$20+'TUSD CVA'!$M$20)*1</f>
        <v>0.74341751902097453</v>
      </c>
      <c r="N20" s="31">
        <f ca="1">('TUSD BE'!$N$20+'TUSD BF'!$N$20+'TUSD CVA'!$N$20)*1</f>
        <v>3.1547205690328037</v>
      </c>
      <c r="O20" s="31">
        <f>('TUSD BE'!$O$20+'TUSD BF'!$O$20+'TUSD CVA'!$O$20)*1</f>
        <v>0</v>
      </c>
      <c r="P20" s="31">
        <f>('TUSD BE'!$P$20+'TUSD BF'!$P$20+'TUSD CVA'!$P$20)*1</f>
        <v>0</v>
      </c>
      <c r="Q20" s="31">
        <f>('TUSD BE'!$Q$20+'TUSD BF'!$Q$20+'TUSD CVA'!$Q$20)*1</f>
        <v>109.58621999463429</v>
      </c>
      <c r="R20" s="31">
        <f>('TUSD BE'!$R$20+'TUSD BF'!$R$20+'TUSD CVA'!$R$20)*1</f>
        <v>18.30558713038598</v>
      </c>
      <c r="S20" s="31">
        <f>('TUSD BE'!$S$20+'TUSD BF'!$S$20+'TUSD CVA'!$S$20)*1</f>
        <v>0</v>
      </c>
      <c r="T20" s="31">
        <f>('TUSD BE'!$U$20+'TUSD BF'!$U$20+'TUSD CVA'!$U$20)*1</f>
        <v>0</v>
      </c>
      <c r="U20" s="31">
        <f>('TUSD BE'!$V$20+'TUSD BF'!$V$20+'TUSD CVA'!$V$20)*1</f>
        <v>0</v>
      </c>
      <c r="V20" s="31">
        <f>('TUSD BE'!$W$20+'TUSD BF'!$W$20+'TUSD CVA'!$W$20)*1</f>
        <v>0</v>
      </c>
      <c r="W20" s="31">
        <f>('TUSD BE'!$X$20+'TUSD BF'!$X$20+'TUSD CVA'!$X$20)*1</f>
        <v>0</v>
      </c>
      <c r="X20" s="31">
        <f>('TUSD BE'!$Y$20+'TUSD BF'!$Y$20+'TUSD CVA'!$Y$20)*1</f>
        <v>125.35536259898578</v>
      </c>
      <c r="Y20" s="31">
        <f>('TUSD BE'!$Z$20+'TUSD BF'!$Z$20+'TUSD CVA'!$Z$20)*1</f>
        <v>0</v>
      </c>
      <c r="Z20" s="31">
        <f>('TUSD BE'!$AA$20+'TUSD BF'!$AA$20+'TUSD CVA'!$AA$20)*1</f>
        <v>0</v>
      </c>
      <c r="AA20" s="31">
        <f>('TUSD BE'!$AC$20+'TUSD BF'!$AC$20+'TUSD CVA'!$AC$20)*1</f>
        <v>135.88233847304991</v>
      </c>
      <c r="AB20" s="31">
        <f ca="1">('TUSD BE'!$AE$20+'TUSD BF'!$AE$20+'TUSD CVA'!$AE$20)*1</f>
        <v>-41.54862394577416</v>
      </c>
      <c r="AC20" s="31">
        <f ca="1">('TUSD BE'!$AF$20+'TUSD BF'!$AF$20+'TUSD CVA'!$AF$20)*1</f>
        <v>0</v>
      </c>
      <c r="AD20" s="31">
        <f>('TUSD BE'!$AH$20+'TUSD BF'!$AH$20+'TUSD CVA'!$AH$20)*1</f>
        <v>18.91311470066363</v>
      </c>
      <c r="AE20" s="31">
        <f>('TUSD BE'!$AI$20+'TUSD BF'!$AI$20+'TUSD CVA'!$AI$20)*1</f>
        <v>0.60822014155514181</v>
      </c>
      <c r="AF20" s="31">
        <f ca="1">('TUSD BE'!$AJ$20+'TUSD BF'!$AJ$20+'TUSD CVA'!$AJ$20)*1</f>
        <v>1.9993404138402762</v>
      </c>
      <c r="AG20" s="31">
        <f ca="1">('TUSD BE'!$AK$20+'TUSD BF'!$AK$20+'TUSD CVA'!$AK$20)*1</f>
        <v>0.35594188478283317</v>
      </c>
      <c r="AI20" s="31">
        <v>2.4709698336827</v>
      </c>
      <c r="AJ20" s="31">
        <v>0.78074237966437599</v>
      </c>
      <c r="AK20" s="31">
        <v>3.2737788449326799</v>
      </c>
      <c r="AL20" s="31">
        <v>0</v>
      </c>
      <c r="AM20" s="31">
        <v>0</v>
      </c>
      <c r="AN20" s="31">
        <v>65.458437221371398</v>
      </c>
      <c r="AO20" s="31">
        <v>10.5430570546017</v>
      </c>
      <c r="AP20" s="31">
        <v>0</v>
      </c>
      <c r="AQ20" s="31">
        <v>0</v>
      </c>
      <c r="AR20" s="31">
        <v>0</v>
      </c>
      <c r="AS20" s="31">
        <v>0</v>
      </c>
      <c r="AT20" s="31">
        <v>0</v>
      </c>
      <c r="AU20" s="31">
        <v>117.372337182146</v>
      </c>
      <c r="AV20" s="31">
        <v>0</v>
      </c>
      <c r="AW20" s="31">
        <v>0</v>
      </c>
      <c r="AX20" s="31">
        <v>129.51363569915401</v>
      </c>
      <c r="AY20" s="31">
        <v>-18.113067727142699</v>
      </c>
      <c r="AZ20" s="31">
        <v>0</v>
      </c>
      <c r="BA20" s="31">
        <v>18.8686155417412</v>
      </c>
      <c r="BB20" s="31">
        <v>0.53873544897843295</v>
      </c>
      <c r="BC20" s="31">
        <v>2.5275723718963099</v>
      </c>
      <c r="BD20" s="31">
        <v>-8.3240895030772602E-2</v>
      </c>
    </row>
    <row r="21" spans="1:56" ht="11.25" customHeight="1" x14ac:dyDescent="0.25">
      <c r="A21" s="137"/>
      <c r="B21" s="137"/>
      <c r="C21" s="137"/>
      <c r="D21" s="42" t="s">
        <v>28</v>
      </c>
      <c r="E21" s="42" t="s">
        <v>25</v>
      </c>
      <c r="F21" s="42" t="s">
        <v>25</v>
      </c>
      <c r="G21" s="41" t="s">
        <v>74</v>
      </c>
      <c r="H21" s="41" t="s">
        <v>70</v>
      </c>
      <c r="I21" s="41">
        <f>'MERCADO TUSD'!$U$18</f>
        <v>165.006</v>
      </c>
      <c r="J21" s="15"/>
      <c r="L21" s="31">
        <f>('TUSD BE'!$L$21+'TUSD BF'!$L$21+'TUSD CVA'!$L$21)*(1 - 0.65)</f>
        <v>0</v>
      </c>
      <c r="M21" s="31">
        <f>('TUSD BE'!$M$21+'TUSD BF'!$M$21+'TUSD CVA'!$M$21)*(1 - 0.65)</f>
        <v>0.26019613165734107</v>
      </c>
      <c r="N21" s="31">
        <f ca="1">('TUSD BE'!$N$21+'TUSD BF'!$N$21+'TUSD CVA'!$N$21)*(1 - 0.65)</f>
        <v>1.1002120908466921</v>
      </c>
      <c r="O21" s="31">
        <f>('TUSD BE'!$O$21+'TUSD BF'!$O$21+'TUSD CVA'!$O$21)*(1 - 0.65)</f>
        <v>0</v>
      </c>
      <c r="P21" s="31">
        <v>0</v>
      </c>
      <c r="Q21" s="31">
        <f>('TUSD BE'!$Q$21+'TUSD BF'!$Q$21+'TUSD CVA'!$Q$21)*(1 - 0.65)</f>
        <v>0</v>
      </c>
      <c r="R21" s="31">
        <v>0</v>
      </c>
      <c r="S21" s="31">
        <f>('TUSD BE'!$S$21+'TUSD BF'!$S$21+'TUSD CVA'!$S$21)*(1 - 0.65)</f>
        <v>0</v>
      </c>
      <c r="T21" s="31">
        <f>('TUSD BE'!$U$21+'TUSD BF'!$U$21+'TUSD CVA'!$U$21)*(1 - 0.65)</f>
        <v>0</v>
      </c>
      <c r="U21" s="31">
        <f>('TUSD BE'!$V$21+'TUSD BF'!$V$21+'TUSD CVA'!$V$21)*(1 - 0.65)</f>
        <v>0</v>
      </c>
      <c r="V21" s="31">
        <f>('TUSD BE'!$W$21+'TUSD BF'!$W$21+'TUSD CVA'!$W$21)*(1 - 0.65)</f>
        <v>0</v>
      </c>
      <c r="W21" s="31">
        <f>('TUSD BE'!$X$21+'TUSD BF'!$X$21+'TUSD CVA'!$X$21)*(1 - 0.65)</f>
        <v>0</v>
      </c>
      <c r="X21" s="31">
        <f>('TUSD BE'!$Y$21+'TUSD BF'!$Y$21+'TUSD CVA'!$Y$21)*(1 - 0.65)</f>
        <v>43.874376909645022</v>
      </c>
      <c r="Y21" s="31">
        <f>('TUSD BE'!$Z$21+'TUSD BF'!$Z$21+'TUSD CVA'!$Z$21)*(1 - 0.65)</f>
        <v>0</v>
      </c>
      <c r="Z21" s="31">
        <f>('TUSD BE'!$AA$21+'TUSD BF'!$AA$21+'TUSD CVA'!$AA$21)*(1 - 0.65)</f>
        <v>0</v>
      </c>
      <c r="AA21" s="31">
        <f>('TUSD BE'!$AC$21+'TUSD BF'!$AC$21+'TUSD CVA'!$AC$21)*(1 - 0.65)</f>
        <v>47.55881846556747</v>
      </c>
      <c r="AB21" s="31">
        <f ca="1">('TUSD BE'!$AE$21+'TUSD BF'!$AE$21+'TUSD CVA'!$AE$21)*(1 - 0.65)</f>
        <v>-10.44287231899122</v>
      </c>
      <c r="AC21" s="31">
        <f ca="1">('TUSD BE'!$AF$21+'TUSD BF'!$AF$21+'TUSD CVA'!$AF$21)*(1 - 0.65)</f>
        <v>0</v>
      </c>
      <c r="AD21" s="31">
        <f>('TUSD BE'!$AH$21+'TUSD BF'!$AH$21+'TUSD CVA'!$AH$21)*(1 - 0.65)</f>
        <v>6.6195901452322703</v>
      </c>
      <c r="AE21" s="31">
        <f>('TUSD BE'!$AI$21+'TUSD BF'!$AI$21+'TUSD CVA'!$AI$21)*(1 - 0.65)</f>
        <v>0.21287704954429962</v>
      </c>
      <c r="AF21" s="31">
        <f ca="1">('TUSD BE'!$AJ$21+'TUSD BF'!$AJ$21+'TUSD CVA'!$AJ$21)*(1 - 0.65)</f>
        <v>0.69976914484409658</v>
      </c>
      <c r="AG21" s="31">
        <f ca="1">('TUSD BE'!$AK$21+'TUSD BF'!$AK$21+'TUSD CVA'!$AK$21)*(1 - 0.65)</f>
        <v>0.12457965967399161</v>
      </c>
      <c r="AI21" s="31">
        <v>0</v>
      </c>
      <c r="AJ21" s="31">
        <v>0.27325983288253097</v>
      </c>
      <c r="AK21" s="31">
        <v>1.14064041950879</v>
      </c>
      <c r="AL21" s="31">
        <v>0</v>
      </c>
      <c r="AM21" s="31">
        <v>0</v>
      </c>
      <c r="AN21" s="31">
        <v>0</v>
      </c>
      <c r="AO21" s="31">
        <v>0</v>
      </c>
      <c r="AP21" s="31">
        <v>0</v>
      </c>
      <c r="AQ21" s="31">
        <v>0</v>
      </c>
      <c r="AR21" s="31">
        <v>0</v>
      </c>
      <c r="AS21" s="31">
        <v>0</v>
      </c>
      <c r="AT21" s="31">
        <v>0</v>
      </c>
      <c r="AU21" s="31">
        <v>41.080318013751103</v>
      </c>
      <c r="AV21" s="31">
        <v>0</v>
      </c>
      <c r="AW21" s="31">
        <v>0</v>
      </c>
      <c r="AX21" s="31">
        <v>45.329772494704002</v>
      </c>
      <c r="AY21" s="31">
        <v>-4.9673824612926296</v>
      </c>
      <c r="AZ21" s="31">
        <v>0</v>
      </c>
      <c r="BA21" s="31">
        <v>6.6040154396094204</v>
      </c>
      <c r="BB21" s="31">
        <v>0.188557407142452</v>
      </c>
      <c r="BC21" s="31">
        <v>0.88465033016370898</v>
      </c>
      <c r="BD21" s="31">
        <v>-2.91343132607704E-2</v>
      </c>
    </row>
    <row r="22" spans="1:56" ht="11.25" customHeight="1" x14ac:dyDescent="0.25">
      <c r="A22" s="137"/>
      <c r="B22" s="137"/>
      <c r="C22" s="137"/>
      <c r="D22" s="42" t="s">
        <v>29</v>
      </c>
      <c r="E22" s="42" t="s">
        <v>25</v>
      </c>
      <c r="F22" s="42" t="s">
        <v>25</v>
      </c>
      <c r="G22" s="41" t="s">
        <v>74</v>
      </c>
      <c r="H22" s="41" t="s">
        <v>70</v>
      </c>
      <c r="I22" s="41">
        <f>'MERCADO TUSD'!$U$19</f>
        <v>350.56600000000003</v>
      </c>
      <c r="J22" s="15"/>
      <c r="L22" s="31">
        <f>('TUSD BE'!$L$22+'TUSD BF'!$L$22+'TUSD CVA'!$L$22)*(1 - 0.4)</f>
        <v>0</v>
      </c>
      <c r="M22" s="31">
        <f>('TUSD BE'!$M$22+'TUSD BF'!$M$22+'TUSD CVA'!$M$22)*(1 - 0.4)</f>
        <v>0.44605051141258473</v>
      </c>
      <c r="N22" s="31">
        <f ca="1">('TUSD BE'!$N$22+'TUSD BF'!$N$22+'TUSD CVA'!$N$22)*(1 - 0.4)</f>
        <v>1.8860778700229008</v>
      </c>
      <c r="O22" s="31">
        <f>('TUSD BE'!$O$22+'TUSD BF'!$O$22+'TUSD CVA'!$O$22)*(1 - 0.4)</f>
        <v>0</v>
      </c>
      <c r="P22" s="31">
        <v>0</v>
      </c>
      <c r="Q22" s="31">
        <f>('TUSD BE'!$Q$22+'TUSD BF'!$Q$22+'TUSD CVA'!$Q$22)*(1 - 0.4)</f>
        <v>0</v>
      </c>
      <c r="R22" s="31">
        <v>0</v>
      </c>
      <c r="S22" s="31">
        <f>('TUSD BE'!$S$22+'TUSD BF'!$S$22+'TUSD CVA'!$S$22)*(1 - 0.4)</f>
        <v>0</v>
      </c>
      <c r="T22" s="31">
        <f>('TUSD BE'!$U$22+'TUSD BF'!$U$22+'TUSD CVA'!$U$22)*(1 - 0.4)</f>
        <v>0</v>
      </c>
      <c r="U22" s="31">
        <f>('TUSD BE'!$V$22+'TUSD BF'!$V$22+'TUSD CVA'!$V$22)*(1 - 0.4)</f>
        <v>0</v>
      </c>
      <c r="V22" s="31">
        <f>('TUSD BE'!$W$22+'TUSD BF'!$W$22+'TUSD CVA'!$W$22)*(1 - 0.4)</f>
        <v>0</v>
      </c>
      <c r="W22" s="31">
        <f>('TUSD BE'!$X$22+'TUSD BF'!$X$22+'TUSD CVA'!$X$22)*(1 - 0.4)</f>
        <v>0</v>
      </c>
      <c r="X22" s="31">
        <f>('TUSD BE'!$Y$22+'TUSD BF'!$Y$22+'TUSD CVA'!$Y$22)*(1 - 0.4)</f>
        <v>75.213217559391467</v>
      </c>
      <c r="Y22" s="31">
        <f>('TUSD BE'!$Z$22+'TUSD BF'!$Z$22+'TUSD CVA'!$Z$22)*(1 - 0.4)</f>
        <v>0</v>
      </c>
      <c r="Z22" s="31">
        <f>('TUSD BE'!$AA$22+'TUSD BF'!$AA$22+'TUSD CVA'!$AA$22)*(1 - 0.4)</f>
        <v>0</v>
      </c>
      <c r="AA22" s="31">
        <f>('TUSD BE'!$AC$22+'TUSD BF'!$AC$22+'TUSD CVA'!$AC$22)*(1 - 0.4)</f>
        <v>81.529403083829948</v>
      </c>
      <c r="AB22" s="31">
        <f ca="1">('TUSD BE'!$AE$22+'TUSD BF'!$AE$22+'TUSD CVA'!$AE$22)*(1 - 0.4)</f>
        <v>-17.902066832556379</v>
      </c>
      <c r="AC22" s="31">
        <f ca="1">('TUSD BE'!$AF$22+'TUSD BF'!$AF$22+'TUSD CVA'!$AF$22)*(1 - 0.4)</f>
        <v>0</v>
      </c>
      <c r="AD22" s="31">
        <f>('TUSD BE'!$AH$22+'TUSD BF'!$AH$22+'TUSD CVA'!$AH$22)*(1 - 0.4)</f>
        <v>11.347868820398178</v>
      </c>
      <c r="AE22" s="31">
        <f>('TUSD BE'!$AI$22+'TUSD BF'!$AI$22+'TUSD CVA'!$AI$22)*(1 - 0.4)</f>
        <v>0.3649320849330851</v>
      </c>
      <c r="AF22" s="31">
        <f ca="1">('TUSD BE'!$AJ$22+'TUSD BF'!$AJ$22+'TUSD CVA'!$AJ$22)*(1 - 0.4)</f>
        <v>1.1996042483041656</v>
      </c>
      <c r="AG22" s="31">
        <f ca="1">('TUSD BE'!$AK$22+'TUSD BF'!$AK$22+'TUSD CVA'!$AK$22)*(1 - 0.4)</f>
        <v>0.21356513086969989</v>
      </c>
      <c r="AI22" s="31">
        <v>0</v>
      </c>
      <c r="AJ22" s="31">
        <v>0.46844542779862502</v>
      </c>
      <c r="AK22" s="31">
        <v>1.9553835763007901</v>
      </c>
      <c r="AL22" s="31">
        <v>0</v>
      </c>
      <c r="AM22" s="31">
        <v>0</v>
      </c>
      <c r="AN22" s="31">
        <v>0</v>
      </c>
      <c r="AO22" s="31">
        <v>0</v>
      </c>
      <c r="AP22" s="31">
        <v>0</v>
      </c>
      <c r="AQ22" s="31">
        <v>0</v>
      </c>
      <c r="AR22" s="31">
        <v>0</v>
      </c>
      <c r="AS22" s="31">
        <v>0</v>
      </c>
      <c r="AT22" s="31">
        <v>0</v>
      </c>
      <c r="AU22" s="31">
        <v>70.423402309287596</v>
      </c>
      <c r="AV22" s="31">
        <v>0</v>
      </c>
      <c r="AW22" s="31">
        <v>0</v>
      </c>
      <c r="AX22" s="31">
        <v>77.708181419492604</v>
      </c>
      <c r="AY22" s="31">
        <v>-8.5155127907873691</v>
      </c>
      <c r="AZ22" s="31">
        <v>0</v>
      </c>
      <c r="BA22" s="31">
        <v>11.3211693250447</v>
      </c>
      <c r="BB22" s="31">
        <v>0.32324126938705999</v>
      </c>
      <c r="BC22" s="31">
        <v>1.5165434231377899</v>
      </c>
      <c r="BD22" s="31">
        <v>-4.9944537018463603E-2</v>
      </c>
    </row>
    <row r="23" spans="1:56" ht="11.25" customHeight="1" x14ac:dyDescent="0.25">
      <c r="A23" s="137"/>
      <c r="B23" s="137"/>
      <c r="C23" s="137"/>
      <c r="D23" s="42" t="s">
        <v>30</v>
      </c>
      <c r="E23" s="42" t="s">
        <v>25</v>
      </c>
      <c r="F23" s="42" t="s">
        <v>25</v>
      </c>
      <c r="G23" s="41" t="s">
        <v>74</v>
      </c>
      <c r="H23" s="41" t="s">
        <v>70</v>
      </c>
      <c r="I23" s="41">
        <f>'MERCADO TUSD'!$U$20</f>
        <v>338.63600000000002</v>
      </c>
      <c r="J23" s="15"/>
      <c r="L23" s="31">
        <f>('TUSD BE'!$L$23+'TUSD BF'!$L$23+'TUSD CVA'!$L$23)*(1 - 0.1)</f>
        <v>0</v>
      </c>
      <c r="M23" s="31">
        <f>('TUSD BE'!$M$23+'TUSD BF'!$M$23+'TUSD CVA'!$M$23)*(1 - 0.1)</f>
        <v>0.66907576711887706</v>
      </c>
      <c r="N23" s="31">
        <f ca="1">('TUSD BE'!$N$23+'TUSD BF'!$N$23+'TUSD CVA'!$N$23)*(1 - 0.1)</f>
        <v>2.8291168050343516</v>
      </c>
      <c r="O23" s="31">
        <f>('TUSD BE'!$O$23+'TUSD BF'!$O$23+'TUSD CVA'!$O$23)*(1 - 0.1)</f>
        <v>0</v>
      </c>
      <c r="P23" s="31">
        <v>0</v>
      </c>
      <c r="Q23" s="31">
        <f>('TUSD BE'!$Q$23+'TUSD BF'!$Q$23+'TUSD CVA'!$Q$23)*(1 - 0.1)</f>
        <v>0</v>
      </c>
      <c r="R23" s="31">
        <v>0</v>
      </c>
      <c r="S23" s="31">
        <f>('TUSD BE'!$S$23+'TUSD BF'!$S$23+'TUSD CVA'!$S$23)*(1 - 0.1)</f>
        <v>0</v>
      </c>
      <c r="T23" s="31">
        <f>('TUSD BE'!$U$23+'TUSD BF'!$U$23+'TUSD CVA'!$U$23)*(1 - 0.1)</f>
        <v>0</v>
      </c>
      <c r="U23" s="31">
        <f>('TUSD BE'!$V$23+'TUSD BF'!$V$23+'TUSD CVA'!$V$23)*(1 - 0.1)</f>
        <v>0</v>
      </c>
      <c r="V23" s="31">
        <f>('TUSD BE'!$W$23+'TUSD BF'!$W$23+'TUSD CVA'!$W$23)*(1 - 0.1)</f>
        <v>0</v>
      </c>
      <c r="W23" s="31">
        <f>('TUSD BE'!$X$23+'TUSD BF'!$X$23+'TUSD CVA'!$X$23)*(1 - 0.1)</f>
        <v>0</v>
      </c>
      <c r="X23" s="31">
        <f>('TUSD BE'!$Y$23+'TUSD BF'!$Y$23+'TUSD CVA'!$Y$23)*(1 - 0.1)</f>
        <v>112.8198263390872</v>
      </c>
      <c r="Y23" s="31">
        <f>('TUSD BE'!$Z$23+'TUSD BF'!$Z$23+'TUSD CVA'!$Z$23)*(1 - 0.1)</f>
        <v>0</v>
      </c>
      <c r="Z23" s="31">
        <f>('TUSD BE'!$AA$23+'TUSD BF'!$AA$23+'TUSD CVA'!$AA$23)*(1 - 0.1)</f>
        <v>0</v>
      </c>
      <c r="AA23" s="31">
        <f>('TUSD BE'!$AC$23+'TUSD BF'!$AC$23+'TUSD CVA'!$AC$23)*(1 - 0.1)</f>
        <v>122.29410462574492</v>
      </c>
      <c r="AB23" s="31">
        <f ca="1">('TUSD BE'!$AE$23+'TUSD BF'!$AE$23+'TUSD CVA'!$AE$23)*(1 - 0.1)</f>
        <v>-26.853100248834572</v>
      </c>
      <c r="AC23" s="31">
        <f ca="1">('TUSD BE'!$AF$23+'TUSD BF'!$AF$23+'TUSD CVA'!$AF$23)*(1 - 0.1)</f>
        <v>0</v>
      </c>
      <c r="AD23" s="31">
        <f>('TUSD BE'!$AH$23+'TUSD BF'!$AH$23+'TUSD CVA'!$AH$23)*(1 - 0.1)</f>
        <v>17.021803230597268</v>
      </c>
      <c r="AE23" s="31">
        <f>('TUSD BE'!$AI$23+'TUSD BF'!$AI$23+'TUSD CVA'!$AI$23)*(1 - 0.1)</f>
        <v>0.54739812739962768</v>
      </c>
      <c r="AF23" s="31">
        <f ca="1">('TUSD BE'!$AJ$23+'TUSD BF'!$AJ$23+'TUSD CVA'!$AJ$23)*(1 - 0.1)</f>
        <v>1.7994063724562486</v>
      </c>
      <c r="AG23" s="31">
        <f ca="1">('TUSD BE'!$AK$23+'TUSD BF'!$AK$23+'TUSD CVA'!$AK$23)*(1 - 0.1)</f>
        <v>0.32034769630454984</v>
      </c>
      <c r="AI23" s="31">
        <v>0</v>
      </c>
      <c r="AJ23" s="31">
        <v>0.70266814169793801</v>
      </c>
      <c r="AK23" s="31">
        <v>2.93307536445118</v>
      </c>
      <c r="AL23" s="31">
        <v>0</v>
      </c>
      <c r="AM23" s="31">
        <v>0</v>
      </c>
      <c r="AN23" s="31">
        <v>0</v>
      </c>
      <c r="AO23" s="31">
        <v>0</v>
      </c>
      <c r="AP23" s="31">
        <v>0</v>
      </c>
      <c r="AQ23" s="31">
        <v>0</v>
      </c>
      <c r="AR23" s="31">
        <v>0</v>
      </c>
      <c r="AS23" s="31">
        <v>0</v>
      </c>
      <c r="AT23" s="31">
        <v>0</v>
      </c>
      <c r="AU23" s="31">
        <v>105.635103463931</v>
      </c>
      <c r="AV23" s="31">
        <v>0</v>
      </c>
      <c r="AW23" s="31">
        <v>0</v>
      </c>
      <c r="AX23" s="31">
        <v>116.56227212923901</v>
      </c>
      <c r="AY23" s="31">
        <v>-12.773269186181</v>
      </c>
      <c r="AZ23" s="31">
        <v>0</v>
      </c>
      <c r="BA23" s="31">
        <v>16.9817539875671</v>
      </c>
      <c r="BB23" s="31">
        <v>0.48486190408058999</v>
      </c>
      <c r="BC23" s="31">
        <v>2.2748151347066798</v>
      </c>
      <c r="BD23" s="31">
        <v>-7.4916805527695293E-2</v>
      </c>
    </row>
    <row r="24" spans="1:56" ht="11.25" customHeight="1" x14ac:dyDescent="0.25">
      <c r="A24" s="137"/>
      <c r="B24" s="137"/>
      <c r="C24" s="137"/>
      <c r="D24" s="42" t="s">
        <v>31</v>
      </c>
      <c r="E24" s="42" t="s">
        <v>25</v>
      </c>
      <c r="F24" s="42" t="s">
        <v>25</v>
      </c>
      <c r="G24" s="41" t="s">
        <v>74</v>
      </c>
      <c r="H24" s="41" t="s">
        <v>70</v>
      </c>
      <c r="I24" s="41">
        <f>'MERCADO TUSD'!$U$21</f>
        <v>113.66699999999999</v>
      </c>
      <c r="J24" s="15"/>
      <c r="L24" s="31">
        <f>('TUSD BE'!$L$24+'TUSD BF'!$L$24+'TUSD CVA'!$L$24)*1</f>
        <v>0</v>
      </c>
      <c r="M24" s="31">
        <f>('TUSD BE'!$M$24+'TUSD BF'!$M$24+'TUSD CVA'!$M$24)*1</f>
        <v>0.74341751902097453</v>
      </c>
      <c r="N24" s="31">
        <f ca="1">('TUSD BE'!$N$24+'TUSD BF'!$N$24+'TUSD CVA'!$N$24)*1</f>
        <v>3.1434631167048348</v>
      </c>
      <c r="O24" s="31">
        <f>('TUSD BE'!$O$24+'TUSD BF'!$O$24+'TUSD CVA'!$O$24)*1</f>
        <v>0</v>
      </c>
      <c r="P24" s="31">
        <v>0</v>
      </c>
      <c r="Q24" s="31">
        <f>('TUSD BE'!$Q$24+'TUSD BF'!$Q$24+'TUSD CVA'!$Q$24)*1</f>
        <v>0</v>
      </c>
      <c r="R24" s="31">
        <v>0</v>
      </c>
      <c r="S24" s="31">
        <f>('TUSD BE'!$S$24+'TUSD BF'!$S$24+'TUSD CVA'!$S$24)*1</f>
        <v>0</v>
      </c>
      <c r="T24" s="31">
        <f>('TUSD BE'!$U$24+'TUSD BF'!$U$24+'TUSD CVA'!$U$24)*1</f>
        <v>0</v>
      </c>
      <c r="U24" s="31">
        <f>('TUSD BE'!$V$24+'TUSD BF'!$V$24+'TUSD CVA'!$V$24)*1</f>
        <v>0</v>
      </c>
      <c r="V24" s="31">
        <f>('TUSD BE'!$W$24+'TUSD BF'!$W$24+'TUSD CVA'!$W$24)*1</f>
        <v>0</v>
      </c>
      <c r="W24" s="31">
        <f>('TUSD BE'!$X$24+'TUSD BF'!$X$24+'TUSD CVA'!$X$24)*1</f>
        <v>0</v>
      </c>
      <c r="X24" s="31">
        <f>('TUSD BE'!$Y$24+'TUSD BF'!$Y$24+'TUSD CVA'!$Y$24)*1</f>
        <v>125.35536259898578</v>
      </c>
      <c r="Y24" s="31">
        <f>('TUSD BE'!$Z$24+'TUSD BF'!$Z$24+'TUSD CVA'!$Z$24)*1</f>
        <v>0</v>
      </c>
      <c r="Z24" s="31">
        <f>('TUSD BE'!$AA$24+'TUSD BF'!$AA$24+'TUSD CVA'!$AA$24)*1</f>
        <v>0</v>
      </c>
      <c r="AA24" s="31">
        <f>('TUSD BE'!$AC$24+'TUSD BF'!$AC$24+'TUSD CVA'!$AC$24)*1</f>
        <v>135.88233847304991</v>
      </c>
      <c r="AB24" s="31">
        <f ca="1">('TUSD BE'!$AE$24+'TUSD BF'!$AE$24+'TUSD CVA'!$AE$24)*1</f>
        <v>-29.836778054260634</v>
      </c>
      <c r="AC24" s="31">
        <f ca="1">('TUSD BE'!$AF$24+'TUSD BF'!$AF$24+'TUSD CVA'!$AF$24)*1</f>
        <v>0</v>
      </c>
      <c r="AD24" s="31">
        <f>('TUSD BE'!$AH$24+'TUSD BF'!$AH$24+'TUSD CVA'!$AH$24)*1</f>
        <v>18.91311470066363</v>
      </c>
      <c r="AE24" s="31">
        <f>('TUSD BE'!$AI$24+'TUSD BF'!$AI$24+'TUSD CVA'!$AI$24)*1</f>
        <v>0.60822014155514181</v>
      </c>
      <c r="AF24" s="31">
        <f ca="1">('TUSD BE'!$AJ$24+'TUSD BF'!$AJ$24+'TUSD CVA'!$AJ$24)*1</f>
        <v>1.9993404138402762</v>
      </c>
      <c r="AG24" s="31">
        <f ca="1">('TUSD BE'!$AK$24+'TUSD BF'!$AK$24+'TUSD CVA'!$AK$24)*1</f>
        <v>0.35594188478283317</v>
      </c>
      <c r="AI24" s="31">
        <v>0</v>
      </c>
      <c r="AJ24" s="31">
        <v>0.78074237966437599</v>
      </c>
      <c r="AK24" s="31">
        <v>3.2589726271679802</v>
      </c>
      <c r="AL24" s="31">
        <v>0</v>
      </c>
      <c r="AM24" s="31">
        <v>0</v>
      </c>
      <c r="AN24" s="31">
        <v>0</v>
      </c>
      <c r="AO24" s="31">
        <v>0</v>
      </c>
      <c r="AP24" s="31">
        <v>0</v>
      </c>
      <c r="AQ24" s="31">
        <v>0</v>
      </c>
      <c r="AR24" s="31">
        <v>0</v>
      </c>
      <c r="AS24" s="31">
        <v>0</v>
      </c>
      <c r="AT24" s="31">
        <v>0</v>
      </c>
      <c r="AU24" s="31">
        <v>117.372337182146</v>
      </c>
      <c r="AV24" s="31">
        <v>0</v>
      </c>
      <c r="AW24" s="31">
        <v>0</v>
      </c>
      <c r="AX24" s="31">
        <v>129.51363569915401</v>
      </c>
      <c r="AY24" s="31">
        <v>-14.192521317978899</v>
      </c>
      <c r="AZ24" s="31">
        <v>0</v>
      </c>
      <c r="BA24" s="31">
        <v>18.8686155417412</v>
      </c>
      <c r="BB24" s="31">
        <v>0.53873544897843295</v>
      </c>
      <c r="BC24" s="31">
        <v>2.5275723718963099</v>
      </c>
      <c r="BD24" s="31">
        <v>-8.3240895030772602E-2</v>
      </c>
    </row>
    <row r="25" spans="1:56" ht="11.25" customHeight="1" x14ac:dyDescent="0.25">
      <c r="A25" s="137"/>
      <c r="B25" s="137" t="s">
        <v>85</v>
      </c>
      <c r="C25" s="137" t="s">
        <v>24</v>
      </c>
      <c r="D25" s="42" t="s">
        <v>24</v>
      </c>
      <c r="E25" s="42" t="s">
        <v>25</v>
      </c>
      <c r="F25" s="42" t="s">
        <v>25</v>
      </c>
      <c r="G25" s="41" t="s">
        <v>74</v>
      </c>
      <c r="H25" s="41" t="s">
        <v>70</v>
      </c>
      <c r="I25" s="41">
        <f>'MERCADO TUSD'!$U$22</f>
        <v>0</v>
      </c>
      <c r="J25" s="15"/>
      <c r="L25" s="31">
        <f>('TUSD BE'!$L$25+'TUSD BF'!$L$25+'TUSD CVA'!$L$25)*1</f>
        <v>2.7777964681865344</v>
      </c>
      <c r="M25" s="31">
        <f>('TUSD BE'!$M$25+'TUSD BF'!$M$25+'TUSD CVA'!$M$25)*1</f>
        <v>0.74341751902097453</v>
      </c>
      <c r="N25" s="31">
        <f ca="1">('TUSD BE'!$N$25+'TUSD BF'!$N$25+'TUSD CVA'!$N$25)*1</f>
        <v>3.1547205690328037</v>
      </c>
      <c r="O25" s="31">
        <f>('TUSD BE'!$O$25+'TUSD BF'!$O$25+'TUSD CVA'!$O$25)*1</f>
        <v>0</v>
      </c>
      <c r="P25" s="31">
        <f>('TUSD BE'!$P$25+'TUSD BF'!$P$25+'TUSD CVA'!$P$25)*1</f>
        <v>0</v>
      </c>
      <c r="Q25" s="31">
        <f>('TUSD BE'!$Q$25+'TUSD BF'!$Q$25+'TUSD CVA'!$Q$25)*1</f>
        <v>109.58621999463429</v>
      </c>
      <c r="R25" s="31">
        <f>('TUSD BE'!$R$25+'TUSD BF'!$R$25+'TUSD CVA'!$R$25)*1</f>
        <v>18.30558713038598</v>
      </c>
      <c r="S25" s="31">
        <f>('TUSD BE'!$S$25+'TUSD BF'!$S$25+'TUSD CVA'!$S$25)*1</f>
        <v>0</v>
      </c>
      <c r="T25" s="31">
        <f>('TUSD BE'!$U$25+'TUSD BF'!$U$25+'TUSD CVA'!$U$25)*1</f>
        <v>0</v>
      </c>
      <c r="U25" s="31">
        <f>('TUSD BE'!$V$25+'TUSD BF'!$V$25+'TUSD CVA'!$V$25)*1</f>
        <v>0</v>
      </c>
      <c r="V25" s="31">
        <f>('TUSD BE'!$W$25+'TUSD BF'!$W$25+'TUSD CVA'!$W$25)*1</f>
        <v>0</v>
      </c>
      <c r="W25" s="31">
        <f>('TUSD BE'!$X$25+'TUSD BF'!$X$25+'TUSD CVA'!$X$25)*1</f>
        <v>0</v>
      </c>
      <c r="X25" s="31">
        <f>('TUSD BE'!$Y$25+'TUSD BF'!$Y$25+'TUSD CVA'!$Y$25)*1</f>
        <v>125.35536259898578</v>
      </c>
      <c r="Y25" s="31">
        <f>('TUSD BE'!$Z$25+'TUSD BF'!$Z$25+'TUSD CVA'!$Z$25)*1</f>
        <v>0</v>
      </c>
      <c r="Z25" s="31">
        <f>('TUSD BE'!$AA$25+'TUSD BF'!$AA$25+'TUSD CVA'!$AA$25)*1</f>
        <v>0</v>
      </c>
      <c r="AA25" s="31">
        <f>('TUSD BE'!$AC$25+'TUSD BF'!$AC$25+'TUSD CVA'!$AC$25)*1</f>
        <v>135.88233847304991</v>
      </c>
      <c r="AB25" s="31">
        <f ca="1">('TUSD BE'!$AE$25+'TUSD BF'!$AE$25+'TUSD CVA'!$AE$25)*1</f>
        <v>-41.54862394577416</v>
      </c>
      <c r="AC25" s="31">
        <f ca="1">('TUSD BE'!$AF$25+'TUSD BF'!$AF$25+'TUSD CVA'!$AF$25)*1</f>
        <v>0</v>
      </c>
      <c r="AD25" s="31">
        <f>('TUSD BE'!$AH$25+'TUSD BF'!$AH$25+'TUSD CVA'!$AH$25)*1</f>
        <v>18.91311470066363</v>
      </c>
      <c r="AE25" s="31">
        <f>('TUSD BE'!$AI$25+'TUSD BF'!$AI$25+'TUSD CVA'!$AI$25)*1</f>
        <v>0.60822014155514181</v>
      </c>
      <c r="AF25" s="31">
        <f ca="1">('TUSD BE'!$AJ$25+'TUSD BF'!$AJ$25+'TUSD CVA'!$AJ$25)*1</f>
        <v>1.9993404138402762</v>
      </c>
      <c r="AG25" s="31">
        <f ca="1">('TUSD BE'!$AK$25+'TUSD BF'!$AK$25+'TUSD CVA'!$AK$25)*1</f>
        <v>0.35594188478283317</v>
      </c>
      <c r="AI25" s="31">
        <v>2.4709698336827</v>
      </c>
      <c r="AJ25" s="31">
        <v>0.78074237966437599</v>
      </c>
      <c r="AK25" s="31">
        <v>3.2737788449326799</v>
      </c>
      <c r="AL25" s="31">
        <v>0</v>
      </c>
      <c r="AM25" s="31">
        <v>0</v>
      </c>
      <c r="AN25" s="31">
        <v>65.458437221371398</v>
      </c>
      <c r="AO25" s="31">
        <v>10.5430570546017</v>
      </c>
      <c r="AP25" s="31">
        <v>0</v>
      </c>
      <c r="AQ25" s="31">
        <v>0</v>
      </c>
      <c r="AR25" s="31">
        <v>0</v>
      </c>
      <c r="AS25" s="31">
        <v>0</v>
      </c>
      <c r="AT25" s="31">
        <v>0</v>
      </c>
      <c r="AU25" s="31">
        <v>117.372337182146</v>
      </c>
      <c r="AV25" s="31">
        <v>0</v>
      </c>
      <c r="AW25" s="31">
        <v>0</v>
      </c>
      <c r="AX25" s="31">
        <v>129.51363569915401</v>
      </c>
      <c r="AY25" s="31">
        <v>-18.113067727142699</v>
      </c>
      <c r="AZ25" s="31">
        <v>0</v>
      </c>
      <c r="BA25" s="31">
        <v>18.8686155417412</v>
      </c>
      <c r="BB25" s="31">
        <v>0.53873544897843295</v>
      </c>
      <c r="BC25" s="31">
        <v>2.5275723718963099</v>
      </c>
      <c r="BD25" s="31">
        <v>-8.3240895030772602E-2</v>
      </c>
    </row>
    <row r="26" spans="1:56" ht="11.25" customHeight="1" x14ac:dyDescent="0.25">
      <c r="A26" s="137"/>
      <c r="B26" s="137"/>
      <c r="C26" s="137"/>
      <c r="D26" s="42" t="s">
        <v>28</v>
      </c>
      <c r="E26" s="42" t="s">
        <v>25</v>
      </c>
      <c r="F26" s="42" t="s">
        <v>25</v>
      </c>
      <c r="G26" s="41" t="s">
        <v>74</v>
      </c>
      <c r="H26" s="41" t="s">
        <v>70</v>
      </c>
      <c r="I26" s="41">
        <f>'MERCADO TUSD'!$U$23</f>
        <v>0</v>
      </c>
      <c r="J26" s="15"/>
      <c r="L26" s="31">
        <f>('TUSD BE'!$L$26+'TUSD BF'!$L$26+'TUSD CVA'!$L$26)*(1 - 0.65)</f>
        <v>0</v>
      </c>
      <c r="M26" s="31">
        <f>('TUSD BE'!$M$26+'TUSD BF'!$M$26+'TUSD CVA'!$M$26)*(1 - 0.65)</f>
        <v>0.26019613165734107</v>
      </c>
      <c r="N26" s="31">
        <f ca="1">('TUSD BE'!$N$26+'TUSD BF'!$N$26+'TUSD CVA'!$N$26)*(1 - 0.65)</f>
        <v>1.1002120908466921</v>
      </c>
      <c r="O26" s="31">
        <f>('TUSD BE'!$O$26+'TUSD BF'!$O$26+'TUSD CVA'!$O$26)*(1 - 0.65)</f>
        <v>0</v>
      </c>
      <c r="P26" s="31">
        <v>0</v>
      </c>
      <c r="Q26" s="31">
        <f>('TUSD BE'!$Q$26+'TUSD BF'!$Q$26+'TUSD CVA'!$Q$26)*(1 - 0.65)</f>
        <v>0</v>
      </c>
      <c r="R26" s="31">
        <v>0</v>
      </c>
      <c r="S26" s="31">
        <f>('TUSD BE'!$S$26+'TUSD BF'!$S$26+'TUSD CVA'!$S$26)*(1 - 0.65)</f>
        <v>0</v>
      </c>
      <c r="T26" s="31">
        <f>('TUSD BE'!$U$26+'TUSD BF'!$U$26+'TUSD CVA'!$U$26)*(1 - 0.65)</f>
        <v>0</v>
      </c>
      <c r="U26" s="31">
        <f>('TUSD BE'!$V$26+'TUSD BF'!$V$26+'TUSD CVA'!$V$26)*(1 - 0.65)</f>
        <v>0</v>
      </c>
      <c r="V26" s="31">
        <f>('TUSD BE'!$W$26+'TUSD BF'!$W$26+'TUSD CVA'!$W$26)*(1 - 0.65)</f>
        <v>0</v>
      </c>
      <c r="W26" s="31">
        <f>('TUSD BE'!$X$26+'TUSD BF'!$X$26+'TUSD CVA'!$X$26)*(1 - 0.65)</f>
        <v>0</v>
      </c>
      <c r="X26" s="31">
        <f>('TUSD BE'!$Y$26+'TUSD BF'!$Y$26+'TUSD CVA'!$Y$26)*(1 - 0.65)</f>
        <v>43.874376909645022</v>
      </c>
      <c r="Y26" s="31">
        <f>('TUSD BE'!$Z$26+'TUSD BF'!$Z$26+'TUSD CVA'!$Z$26)*(1 - 0.65)</f>
        <v>0</v>
      </c>
      <c r="Z26" s="31">
        <f>('TUSD BE'!$AA$26+'TUSD BF'!$AA$26+'TUSD CVA'!$AA$26)*(1 - 0.65)</f>
        <v>0</v>
      </c>
      <c r="AA26" s="31">
        <f>('TUSD BE'!$AC$26+'TUSD BF'!$AC$26+'TUSD CVA'!$AC$26)*(1 - 0.65)</f>
        <v>47.55881846556747</v>
      </c>
      <c r="AB26" s="31">
        <f ca="1">('TUSD BE'!$AE$26+'TUSD BF'!$AE$26+'TUSD CVA'!$AE$26)*(1 - 0.65)</f>
        <v>-10.44287231899122</v>
      </c>
      <c r="AC26" s="31">
        <f ca="1">('TUSD BE'!$AF$26+'TUSD BF'!$AF$26+'TUSD CVA'!$AF$26)*(1 - 0.65)</f>
        <v>0</v>
      </c>
      <c r="AD26" s="31">
        <f>('TUSD BE'!$AH$26+'TUSD BF'!$AH$26+'TUSD CVA'!$AH$26)*(1 - 0.65)</f>
        <v>6.6195901452322703</v>
      </c>
      <c r="AE26" s="31">
        <f>('TUSD BE'!$AI$26+'TUSD BF'!$AI$26+'TUSD CVA'!$AI$26)*(1 - 0.65)</f>
        <v>0.21287704954429962</v>
      </c>
      <c r="AF26" s="31">
        <f ca="1">('TUSD BE'!$AJ$26+'TUSD BF'!$AJ$26+'TUSD CVA'!$AJ$26)*(1 - 0.65)</f>
        <v>0.69976914484409658</v>
      </c>
      <c r="AG26" s="31">
        <f ca="1">('TUSD BE'!$AK$26+'TUSD BF'!$AK$26+'TUSD CVA'!$AK$26)*(1 - 0.65)</f>
        <v>0.12457965967399161</v>
      </c>
      <c r="AI26" s="31">
        <v>0</v>
      </c>
      <c r="AJ26" s="31">
        <v>0.27325983288253097</v>
      </c>
      <c r="AK26" s="31">
        <v>1.14064041950879</v>
      </c>
      <c r="AL26" s="31">
        <v>0</v>
      </c>
      <c r="AM26" s="31">
        <v>0</v>
      </c>
      <c r="AN26" s="31">
        <v>0</v>
      </c>
      <c r="AO26" s="31">
        <v>0</v>
      </c>
      <c r="AP26" s="31">
        <v>0</v>
      </c>
      <c r="AQ26" s="31">
        <v>0</v>
      </c>
      <c r="AR26" s="31">
        <v>0</v>
      </c>
      <c r="AS26" s="31">
        <v>0</v>
      </c>
      <c r="AT26" s="31">
        <v>0</v>
      </c>
      <c r="AU26" s="31">
        <v>41.080318013751103</v>
      </c>
      <c r="AV26" s="31">
        <v>0</v>
      </c>
      <c r="AW26" s="31">
        <v>0</v>
      </c>
      <c r="AX26" s="31">
        <v>45.329772494704002</v>
      </c>
      <c r="AY26" s="31">
        <v>-4.9673824612926296</v>
      </c>
      <c r="AZ26" s="31">
        <v>0</v>
      </c>
      <c r="BA26" s="31">
        <v>6.6040154396094204</v>
      </c>
      <c r="BB26" s="31">
        <v>0.188557407142452</v>
      </c>
      <c r="BC26" s="31">
        <v>0.88465033016370898</v>
      </c>
      <c r="BD26" s="31">
        <v>-2.91343132607704E-2</v>
      </c>
    </row>
    <row r="27" spans="1:56" ht="11.25" customHeight="1" x14ac:dyDescent="0.25">
      <c r="A27" s="137"/>
      <c r="B27" s="137"/>
      <c r="C27" s="137"/>
      <c r="D27" s="42" t="s">
        <v>29</v>
      </c>
      <c r="E27" s="42" t="s">
        <v>25</v>
      </c>
      <c r="F27" s="42" t="s">
        <v>25</v>
      </c>
      <c r="G27" s="41" t="s">
        <v>74</v>
      </c>
      <c r="H27" s="41" t="s">
        <v>70</v>
      </c>
      <c r="I27" s="41">
        <f>'MERCADO TUSD'!$U$24</f>
        <v>0</v>
      </c>
      <c r="J27" s="15"/>
      <c r="L27" s="31">
        <f>('TUSD BE'!$L$27+'TUSD BF'!$L$27+'TUSD CVA'!$L$27)*(1 - 0.4)</f>
        <v>0</v>
      </c>
      <c r="M27" s="31">
        <f>('TUSD BE'!$M$27+'TUSD BF'!$M$27+'TUSD CVA'!$M$27)*(1 - 0.4)</f>
        <v>0.44605051141258473</v>
      </c>
      <c r="N27" s="31">
        <f ca="1">('TUSD BE'!$N$27+'TUSD BF'!$N$27+'TUSD CVA'!$N$27)*(1 - 0.4)</f>
        <v>1.8860778700229008</v>
      </c>
      <c r="O27" s="31">
        <f>('TUSD BE'!$O$27+'TUSD BF'!$O$27+'TUSD CVA'!$O$27)*(1 - 0.4)</f>
        <v>0</v>
      </c>
      <c r="P27" s="31">
        <v>0</v>
      </c>
      <c r="Q27" s="31">
        <f>('TUSD BE'!$Q$27+'TUSD BF'!$Q$27+'TUSD CVA'!$Q$27)*(1 - 0.4)</f>
        <v>0</v>
      </c>
      <c r="R27" s="31">
        <v>0</v>
      </c>
      <c r="S27" s="31">
        <f>('TUSD BE'!$S$27+'TUSD BF'!$S$27+'TUSD CVA'!$S$27)*(1 - 0.4)</f>
        <v>0</v>
      </c>
      <c r="T27" s="31">
        <f>('TUSD BE'!$U$27+'TUSD BF'!$U$27+'TUSD CVA'!$U$27)*(1 - 0.4)</f>
        <v>0</v>
      </c>
      <c r="U27" s="31">
        <f>('TUSD BE'!$V$27+'TUSD BF'!$V$27+'TUSD CVA'!$V$27)*(1 - 0.4)</f>
        <v>0</v>
      </c>
      <c r="V27" s="31">
        <f>('TUSD BE'!$W$27+'TUSD BF'!$W$27+'TUSD CVA'!$W$27)*(1 - 0.4)</f>
        <v>0</v>
      </c>
      <c r="W27" s="31">
        <f>('TUSD BE'!$X$27+'TUSD BF'!$X$27+'TUSD CVA'!$X$27)*(1 - 0.4)</f>
        <v>0</v>
      </c>
      <c r="X27" s="31">
        <f>('TUSD BE'!$Y$27+'TUSD BF'!$Y$27+'TUSD CVA'!$Y$27)*(1 - 0.4)</f>
        <v>75.213217559391467</v>
      </c>
      <c r="Y27" s="31">
        <f>('TUSD BE'!$Z$27+'TUSD BF'!$Z$27+'TUSD CVA'!$Z$27)*(1 - 0.4)</f>
        <v>0</v>
      </c>
      <c r="Z27" s="31">
        <f>('TUSD BE'!$AA$27+'TUSD BF'!$AA$27+'TUSD CVA'!$AA$27)*(1 - 0.4)</f>
        <v>0</v>
      </c>
      <c r="AA27" s="31">
        <f>('TUSD BE'!$AC$27+'TUSD BF'!$AC$27+'TUSD CVA'!$AC$27)*(1 - 0.4)</f>
        <v>81.529403083829948</v>
      </c>
      <c r="AB27" s="31">
        <f ca="1">('TUSD BE'!$AE$27+'TUSD BF'!$AE$27+'TUSD CVA'!$AE$27)*(1 - 0.4)</f>
        <v>-17.902066832556379</v>
      </c>
      <c r="AC27" s="31">
        <f ca="1">('TUSD BE'!$AF$27+'TUSD BF'!$AF$27+'TUSD CVA'!$AF$27)*(1 - 0.4)</f>
        <v>0</v>
      </c>
      <c r="AD27" s="31">
        <f>('TUSD BE'!$AH$27+'TUSD BF'!$AH$27+'TUSD CVA'!$AH$27)*(1 - 0.4)</f>
        <v>11.347868820398178</v>
      </c>
      <c r="AE27" s="31">
        <f>('TUSD BE'!$AI$27+'TUSD BF'!$AI$27+'TUSD CVA'!$AI$27)*(1 - 0.4)</f>
        <v>0.3649320849330851</v>
      </c>
      <c r="AF27" s="31">
        <f ca="1">('TUSD BE'!$AJ$27+'TUSD BF'!$AJ$27+'TUSD CVA'!$AJ$27)*(1 - 0.4)</f>
        <v>1.1996042483041656</v>
      </c>
      <c r="AG27" s="31">
        <f ca="1">('TUSD BE'!$AK$27+'TUSD BF'!$AK$27+'TUSD CVA'!$AK$27)*(1 - 0.4)</f>
        <v>0.21356513086969989</v>
      </c>
      <c r="AI27" s="31">
        <v>0</v>
      </c>
      <c r="AJ27" s="31">
        <v>0.46844542779862502</v>
      </c>
      <c r="AK27" s="31">
        <v>1.9553835763007901</v>
      </c>
      <c r="AL27" s="31">
        <v>0</v>
      </c>
      <c r="AM27" s="31">
        <v>0</v>
      </c>
      <c r="AN27" s="31">
        <v>0</v>
      </c>
      <c r="AO27" s="31">
        <v>0</v>
      </c>
      <c r="AP27" s="31">
        <v>0</v>
      </c>
      <c r="AQ27" s="31">
        <v>0</v>
      </c>
      <c r="AR27" s="31">
        <v>0</v>
      </c>
      <c r="AS27" s="31">
        <v>0</v>
      </c>
      <c r="AT27" s="31">
        <v>0</v>
      </c>
      <c r="AU27" s="31">
        <v>70.423402309287596</v>
      </c>
      <c r="AV27" s="31">
        <v>0</v>
      </c>
      <c r="AW27" s="31">
        <v>0</v>
      </c>
      <c r="AX27" s="31">
        <v>77.708181419492604</v>
      </c>
      <c r="AY27" s="31">
        <v>-8.5155127907873691</v>
      </c>
      <c r="AZ27" s="31">
        <v>0</v>
      </c>
      <c r="BA27" s="31">
        <v>11.3211693250447</v>
      </c>
      <c r="BB27" s="31">
        <v>0.32324126938705999</v>
      </c>
      <c r="BC27" s="31">
        <v>1.5165434231377899</v>
      </c>
      <c r="BD27" s="31">
        <v>-4.9944537018463603E-2</v>
      </c>
    </row>
    <row r="28" spans="1:56" ht="11.25" customHeight="1" x14ac:dyDescent="0.25">
      <c r="A28" s="137"/>
      <c r="B28" s="137"/>
      <c r="C28" s="137"/>
      <c r="D28" s="42" t="s">
        <v>30</v>
      </c>
      <c r="E28" s="42" t="s">
        <v>25</v>
      </c>
      <c r="F28" s="42" t="s">
        <v>25</v>
      </c>
      <c r="G28" s="41" t="s">
        <v>74</v>
      </c>
      <c r="H28" s="41" t="s">
        <v>70</v>
      </c>
      <c r="I28" s="41">
        <f>'MERCADO TUSD'!$U$25</f>
        <v>0</v>
      </c>
      <c r="J28" s="15"/>
      <c r="L28" s="31">
        <f>('TUSD BE'!$L$28+'TUSD BF'!$L$28+'TUSD CVA'!$L$28)*(1 - 0.1)</f>
        <v>0</v>
      </c>
      <c r="M28" s="31">
        <f>('TUSD BE'!$M$28+'TUSD BF'!$M$28+'TUSD CVA'!$M$28)*(1 - 0.1)</f>
        <v>0.66907576711887706</v>
      </c>
      <c r="N28" s="31">
        <f ca="1">('TUSD BE'!$N$28+'TUSD BF'!$N$28+'TUSD CVA'!$N$28)*(1 - 0.1)</f>
        <v>2.8291168050343516</v>
      </c>
      <c r="O28" s="31">
        <f>('TUSD BE'!$O$28+'TUSD BF'!$O$28+'TUSD CVA'!$O$28)*(1 - 0.1)</f>
        <v>0</v>
      </c>
      <c r="P28" s="31">
        <v>0</v>
      </c>
      <c r="Q28" s="31">
        <f>('TUSD BE'!$Q$28+'TUSD BF'!$Q$28+'TUSD CVA'!$Q$28)*(1 - 0.1)</f>
        <v>0</v>
      </c>
      <c r="R28" s="31">
        <v>0</v>
      </c>
      <c r="S28" s="31">
        <f>('TUSD BE'!$S$28+'TUSD BF'!$S$28+'TUSD CVA'!$S$28)*(1 - 0.1)</f>
        <v>0</v>
      </c>
      <c r="T28" s="31">
        <f>('TUSD BE'!$U$28+'TUSD BF'!$U$28+'TUSD CVA'!$U$28)*(1 - 0.1)</f>
        <v>0</v>
      </c>
      <c r="U28" s="31">
        <f>('TUSD BE'!$V$28+'TUSD BF'!$V$28+'TUSD CVA'!$V$28)*(1 - 0.1)</f>
        <v>0</v>
      </c>
      <c r="V28" s="31">
        <f>('TUSD BE'!$W$28+'TUSD BF'!$W$28+'TUSD CVA'!$W$28)*(1 - 0.1)</f>
        <v>0</v>
      </c>
      <c r="W28" s="31">
        <f>('TUSD BE'!$X$28+'TUSD BF'!$X$28+'TUSD CVA'!$X$28)*(1 - 0.1)</f>
        <v>0</v>
      </c>
      <c r="X28" s="31">
        <f>('TUSD BE'!$Y$28+'TUSD BF'!$Y$28+'TUSD CVA'!$Y$28)*(1 - 0.1)</f>
        <v>112.8198263390872</v>
      </c>
      <c r="Y28" s="31">
        <f>('TUSD BE'!$Z$28+'TUSD BF'!$Z$28+'TUSD CVA'!$Z$28)*(1 - 0.1)</f>
        <v>0</v>
      </c>
      <c r="Z28" s="31">
        <f>('TUSD BE'!$AA$28+'TUSD BF'!$AA$28+'TUSD CVA'!$AA$28)*(1 - 0.1)</f>
        <v>0</v>
      </c>
      <c r="AA28" s="31">
        <f>('TUSD BE'!$AC$28+'TUSD BF'!$AC$28+'TUSD CVA'!$AC$28)*(1 - 0.1)</f>
        <v>122.29410462574492</v>
      </c>
      <c r="AB28" s="31">
        <f ca="1">('TUSD BE'!$AE$28+'TUSD BF'!$AE$28+'TUSD CVA'!$AE$28)*(1 - 0.1)</f>
        <v>-26.853100248834572</v>
      </c>
      <c r="AC28" s="31">
        <f ca="1">('TUSD BE'!$AF$28+'TUSD BF'!$AF$28+'TUSD CVA'!$AF$28)*(1 - 0.1)</f>
        <v>0</v>
      </c>
      <c r="AD28" s="31">
        <f>('TUSD BE'!$AH$28+'TUSD BF'!$AH$28+'TUSD CVA'!$AH$28)*(1 - 0.1)</f>
        <v>17.021803230597268</v>
      </c>
      <c r="AE28" s="31">
        <f>('TUSD BE'!$AI$28+'TUSD BF'!$AI$28+'TUSD CVA'!$AI$28)*(1 - 0.1)</f>
        <v>0.54739812739962768</v>
      </c>
      <c r="AF28" s="31">
        <f ca="1">('TUSD BE'!$AJ$28+'TUSD BF'!$AJ$28+'TUSD CVA'!$AJ$28)*(1 - 0.1)</f>
        <v>1.7994063724562486</v>
      </c>
      <c r="AG28" s="31">
        <f ca="1">('TUSD BE'!$AK$28+'TUSD BF'!$AK$28+'TUSD CVA'!$AK$28)*(1 - 0.1)</f>
        <v>0.32034769630454984</v>
      </c>
      <c r="AI28" s="31">
        <v>0</v>
      </c>
      <c r="AJ28" s="31">
        <v>0.70266814169793801</v>
      </c>
      <c r="AK28" s="31">
        <v>2.93307536445118</v>
      </c>
      <c r="AL28" s="31">
        <v>0</v>
      </c>
      <c r="AM28" s="31">
        <v>0</v>
      </c>
      <c r="AN28" s="31">
        <v>0</v>
      </c>
      <c r="AO28" s="31">
        <v>0</v>
      </c>
      <c r="AP28" s="31">
        <v>0</v>
      </c>
      <c r="AQ28" s="31">
        <v>0</v>
      </c>
      <c r="AR28" s="31">
        <v>0</v>
      </c>
      <c r="AS28" s="31">
        <v>0</v>
      </c>
      <c r="AT28" s="31">
        <v>0</v>
      </c>
      <c r="AU28" s="31">
        <v>105.635103463931</v>
      </c>
      <c r="AV28" s="31">
        <v>0</v>
      </c>
      <c r="AW28" s="31">
        <v>0</v>
      </c>
      <c r="AX28" s="31">
        <v>116.56227212923901</v>
      </c>
      <c r="AY28" s="31">
        <v>-12.773269186181</v>
      </c>
      <c r="AZ28" s="31">
        <v>0</v>
      </c>
      <c r="BA28" s="31">
        <v>16.9817539875671</v>
      </c>
      <c r="BB28" s="31">
        <v>0.48486190408058999</v>
      </c>
      <c r="BC28" s="31">
        <v>2.2748151347066798</v>
      </c>
      <c r="BD28" s="31">
        <v>-7.4916805527695293E-2</v>
      </c>
    </row>
    <row r="29" spans="1:56" ht="11.25" customHeight="1" x14ac:dyDescent="0.25">
      <c r="A29" s="137"/>
      <c r="B29" s="137"/>
      <c r="C29" s="137"/>
      <c r="D29" s="42" t="s">
        <v>31</v>
      </c>
      <c r="E29" s="42" t="s">
        <v>25</v>
      </c>
      <c r="F29" s="42" t="s">
        <v>25</v>
      </c>
      <c r="G29" s="41" t="s">
        <v>74</v>
      </c>
      <c r="H29" s="41" t="s">
        <v>70</v>
      </c>
      <c r="I29" s="41">
        <f>'MERCADO TUSD'!$U$26</f>
        <v>0</v>
      </c>
      <c r="J29" s="15"/>
      <c r="L29" s="31">
        <f>('TUSD BE'!$L$29+'TUSD BF'!$L$29+'TUSD CVA'!$L$29)*1</f>
        <v>0</v>
      </c>
      <c r="M29" s="31">
        <f>('TUSD BE'!$M$29+'TUSD BF'!$M$29+'TUSD CVA'!$M$29)*1</f>
        <v>0.74341751902097453</v>
      </c>
      <c r="N29" s="31">
        <f ca="1">('TUSD BE'!$N$29+'TUSD BF'!$N$29+'TUSD CVA'!$N$29)*1</f>
        <v>3.1434631167048348</v>
      </c>
      <c r="O29" s="31">
        <f>('TUSD BE'!$O$29+'TUSD BF'!$O$29+'TUSD CVA'!$O$29)*1</f>
        <v>0</v>
      </c>
      <c r="P29" s="31">
        <v>0</v>
      </c>
      <c r="Q29" s="31">
        <f>('TUSD BE'!$Q$29+'TUSD BF'!$Q$29+'TUSD CVA'!$Q$29)*1</f>
        <v>0</v>
      </c>
      <c r="R29" s="31">
        <v>0</v>
      </c>
      <c r="S29" s="31">
        <f>('TUSD BE'!$S$29+'TUSD BF'!$S$29+'TUSD CVA'!$S$29)*1</f>
        <v>0</v>
      </c>
      <c r="T29" s="31">
        <f>('TUSD BE'!$U$29+'TUSD BF'!$U$29+'TUSD CVA'!$U$29)*1</f>
        <v>0</v>
      </c>
      <c r="U29" s="31">
        <f>('TUSD BE'!$V$29+'TUSD BF'!$V$29+'TUSD CVA'!$V$29)*1</f>
        <v>0</v>
      </c>
      <c r="V29" s="31">
        <f>('TUSD BE'!$W$29+'TUSD BF'!$W$29+'TUSD CVA'!$W$29)*1</f>
        <v>0</v>
      </c>
      <c r="W29" s="31">
        <f>('TUSD BE'!$X$29+'TUSD BF'!$X$29+'TUSD CVA'!$X$29)*1</f>
        <v>0</v>
      </c>
      <c r="X29" s="31">
        <f>('TUSD BE'!$Y$29+'TUSD BF'!$Y$29+'TUSD CVA'!$Y$29)*1</f>
        <v>125.35536259898578</v>
      </c>
      <c r="Y29" s="31">
        <f>('TUSD BE'!$Z$29+'TUSD BF'!$Z$29+'TUSD CVA'!$Z$29)*1</f>
        <v>0</v>
      </c>
      <c r="Z29" s="31">
        <f>('TUSD BE'!$AA$29+'TUSD BF'!$AA$29+'TUSD CVA'!$AA$29)*1</f>
        <v>0</v>
      </c>
      <c r="AA29" s="31">
        <f>('TUSD BE'!$AC$29+'TUSD BF'!$AC$29+'TUSD CVA'!$AC$29)*1</f>
        <v>135.88233847304991</v>
      </c>
      <c r="AB29" s="31">
        <f ca="1">('TUSD BE'!$AE$29+'TUSD BF'!$AE$29+'TUSD CVA'!$AE$29)*1</f>
        <v>-29.836778054260634</v>
      </c>
      <c r="AC29" s="31">
        <f ca="1">('TUSD BE'!$AF$29+'TUSD BF'!$AF$29+'TUSD CVA'!$AF$29)*1</f>
        <v>0</v>
      </c>
      <c r="AD29" s="31">
        <f>('TUSD BE'!$AH$29+'TUSD BF'!$AH$29+'TUSD CVA'!$AH$29)*1</f>
        <v>18.91311470066363</v>
      </c>
      <c r="AE29" s="31">
        <f>('TUSD BE'!$AI$29+'TUSD BF'!$AI$29+'TUSD CVA'!$AI$29)*1</f>
        <v>0.60822014155514181</v>
      </c>
      <c r="AF29" s="31">
        <f ca="1">('TUSD BE'!$AJ$29+'TUSD BF'!$AJ$29+'TUSD CVA'!$AJ$29)*1</f>
        <v>1.9993404138402762</v>
      </c>
      <c r="AG29" s="31">
        <f ca="1">('TUSD BE'!$AK$29+'TUSD BF'!$AK$29+'TUSD CVA'!$AK$29)*1</f>
        <v>0.35594188478283317</v>
      </c>
      <c r="AI29" s="31">
        <v>0</v>
      </c>
      <c r="AJ29" s="31">
        <v>0.78074237966437599</v>
      </c>
      <c r="AK29" s="31">
        <v>3.2589726271679802</v>
      </c>
      <c r="AL29" s="31">
        <v>0</v>
      </c>
      <c r="AM29" s="31">
        <v>0</v>
      </c>
      <c r="AN29" s="31">
        <v>0</v>
      </c>
      <c r="AO29" s="31">
        <v>0</v>
      </c>
      <c r="AP29" s="31">
        <v>0</v>
      </c>
      <c r="AQ29" s="31">
        <v>0</v>
      </c>
      <c r="AR29" s="31">
        <v>0</v>
      </c>
      <c r="AS29" s="31">
        <v>0</v>
      </c>
      <c r="AT29" s="31">
        <v>0</v>
      </c>
      <c r="AU29" s="31">
        <v>117.372337182146</v>
      </c>
      <c r="AV29" s="31">
        <v>0</v>
      </c>
      <c r="AW29" s="31">
        <v>0</v>
      </c>
      <c r="AX29" s="31">
        <v>129.51363569915401</v>
      </c>
      <c r="AY29" s="31">
        <v>-14.192521317978899</v>
      </c>
      <c r="AZ29" s="31">
        <v>0</v>
      </c>
      <c r="BA29" s="31">
        <v>18.8686155417412</v>
      </c>
      <c r="BB29" s="31">
        <v>0.53873544897843295</v>
      </c>
      <c r="BC29" s="31">
        <v>2.5275723718963099</v>
      </c>
      <c r="BD29" s="31">
        <v>-8.3240895030772602E-2</v>
      </c>
    </row>
    <row r="30" spans="1:56" ht="11.25" customHeight="1" x14ac:dyDescent="0.25">
      <c r="A30" s="137" t="s">
        <v>39</v>
      </c>
      <c r="B30" s="137" t="s">
        <v>49</v>
      </c>
      <c r="C30" s="137" t="s">
        <v>40</v>
      </c>
      <c r="D30" s="137" t="s">
        <v>25</v>
      </c>
      <c r="E30" s="137" t="s">
        <v>25</v>
      </c>
      <c r="F30" s="137" t="s">
        <v>25</v>
      </c>
      <c r="G30" s="41" t="s">
        <v>71</v>
      </c>
      <c r="H30" s="41" t="s">
        <v>70</v>
      </c>
      <c r="I30" s="41">
        <f>'MERCADO TUSD'!$U$27</f>
        <v>0</v>
      </c>
      <c r="J30" s="15"/>
      <c r="L30" s="31">
        <f>('TUSD BE'!$L$30+'TUSD BF'!$L$30+'TUSD CVA'!$L$30)*(1 - CUSTOS!$M$38)</f>
        <v>2.6111286800953422</v>
      </c>
      <c r="M30" s="31">
        <f>('TUSD BE'!$M$30+'TUSD BF'!$M$30+'TUSD CVA'!$M$30)*(1 - CUSTOS!$M$38)</f>
        <v>0.69881246787971607</v>
      </c>
      <c r="N30" s="31">
        <f ca="1">('TUSD BE'!$N$30+'TUSD BF'!$N$30+'TUSD CVA'!$N$30)*(1 - CUSTOS!$M$38)</f>
        <v>7.1359336218589569</v>
      </c>
      <c r="O30" s="31">
        <f>('TUSD BE'!$O$30+'TUSD BF'!$O$30+'TUSD CVA'!$O$30)*(1 - CUSTOS!$M$38)</f>
        <v>0</v>
      </c>
      <c r="P30" s="31">
        <f>('TUSD BE'!$P$30+'TUSD BF'!$P$30+'TUSD CVA'!$P$30)*(1 - CUSTOS!$M$38)</f>
        <v>0</v>
      </c>
      <c r="Q30" s="31">
        <f>('TUSD BE'!$Q$30+'TUSD BF'!$Q$30+'TUSD CVA'!$Q$30)*(1 - CUSTOS!$M$38)</f>
        <v>103.01104679495623</v>
      </c>
      <c r="R30" s="31">
        <f>('TUSD BE'!$R$30+'TUSD BF'!$R$30+'TUSD CVA'!$R$30)*(1 - CUSTOS!$M$38)</f>
        <v>17.20725190256282</v>
      </c>
      <c r="S30" s="31">
        <f>('TUSD BE'!$S$30+'TUSD BF'!$S$30+'TUSD CVA'!$S$30)*(1 - CUSTOS!$M$38)</f>
        <v>0</v>
      </c>
      <c r="T30" s="31">
        <f>('TUSD BE'!$U$30+'TUSD BF'!$U$30+'TUSD CVA'!$U$30)*(1 - CUSTOS!$M$38)</f>
        <v>0</v>
      </c>
      <c r="U30" s="31">
        <f>('TUSD BE'!$V$30+'TUSD BF'!$V$30+'TUSD CVA'!$V$30)*(1 - CUSTOS!$M$38)</f>
        <v>0</v>
      </c>
      <c r="V30" s="31">
        <f>('TUSD BE'!$W$30+'TUSD BF'!$W$30+'TUSD CVA'!$W$30)*(1 - CUSTOS!$M$38)</f>
        <v>0</v>
      </c>
      <c r="W30" s="31">
        <f>('TUSD BE'!$X$30+'TUSD BF'!$X$30+'TUSD CVA'!$X$30)*(1 - CUSTOS!$M$38)</f>
        <v>0</v>
      </c>
      <c r="X30" s="31">
        <f>('TUSD BE'!$Y$30+'TUSD BF'!$Y$30+'TUSD CVA'!$Y$30)*(1 - CUSTOS!$M$38)</f>
        <v>312.26008567759743</v>
      </c>
      <c r="Y30" s="31">
        <f>('TUSD BE'!$Z$30+'TUSD BF'!$Z$30+'TUSD CVA'!$Z$30)*(1 - CUSTOS!$M$38)</f>
        <v>0</v>
      </c>
      <c r="Z30" s="31">
        <f>('TUSD BE'!$AA$30+'TUSD BF'!$AA$30+'TUSD CVA'!$AA$30)*(1 - CUSTOS!$M$38)</f>
        <v>0</v>
      </c>
      <c r="AA30" s="31">
        <f>('TUSD BE'!$AC$30+'TUSD BF'!$AC$30+'TUSD CVA'!$AC$30)*(1 - CUSTOS!$M$38)</f>
        <v>338.48303949300242</v>
      </c>
      <c r="AB30" s="31">
        <f ca="1">('TUSD BE'!$AE$30+'TUSD BF'!$AE$30+'TUSD CVA'!$AE$30)*(1 - CUSTOS!$M$38)</f>
        <v>-81.716035880030432</v>
      </c>
      <c r="AC30" s="31">
        <f ca="1">('TUSD BE'!$AF$30+'TUSD BF'!$AF$30+'TUSD CVA'!$AF$30)*(1 - CUSTOS!$M$38)</f>
        <v>0</v>
      </c>
      <c r="AD30" s="31">
        <f>('TUSD BE'!$AH$30+'TUSD BF'!$AH$30+'TUSD CVA'!$AH$30)*(1 - CUSTOS!$M$38)</f>
        <v>17.778327818623811</v>
      </c>
      <c r="AE30" s="31">
        <f>('TUSD BE'!$AI$30+'TUSD BF'!$AI$30+'TUSD CVA'!$AI$30)*(1 - CUSTOS!$M$38)</f>
        <v>0.57172693306183331</v>
      </c>
      <c r="AF30" s="31">
        <f ca="1">('TUSD BE'!$AJ$30+'TUSD BF'!$AJ$30+'TUSD CVA'!$AJ$30)*(1 - CUSTOS!$M$38)</f>
        <v>1.8793799890098595</v>
      </c>
      <c r="AG30" s="31">
        <f ca="1">('TUSD BE'!$AK$30+'TUSD BF'!$AK$30+'TUSD CVA'!$AK$30)*(1 - CUSTOS!$M$38)</f>
        <v>0.33458537169586317</v>
      </c>
      <c r="AI30" s="31">
        <v>2.17445345364077</v>
      </c>
      <c r="AJ30" s="31">
        <v>0.68705329410464999</v>
      </c>
      <c r="AK30" s="31">
        <v>7.1163505799021802</v>
      </c>
      <c r="AL30" s="31">
        <v>0</v>
      </c>
      <c r="AM30" s="31">
        <v>0</v>
      </c>
      <c r="AN30" s="31">
        <v>57.603424754806902</v>
      </c>
      <c r="AO30" s="31">
        <v>9.2778902080495094</v>
      </c>
      <c r="AP30" s="31">
        <v>0</v>
      </c>
      <c r="AQ30" s="31">
        <v>0</v>
      </c>
      <c r="AR30" s="31">
        <v>0</v>
      </c>
      <c r="AS30" s="31">
        <v>0</v>
      </c>
      <c r="AT30" s="31">
        <v>0</v>
      </c>
      <c r="AU30" s="31">
        <v>284.04091370110302</v>
      </c>
      <c r="AV30" s="31">
        <v>0</v>
      </c>
      <c r="AW30" s="31">
        <v>0</v>
      </c>
      <c r="AX30" s="31">
        <v>313.423106891001</v>
      </c>
      <c r="AY30" s="31">
        <v>-36.0990212442642</v>
      </c>
      <c r="AZ30" s="31">
        <v>0</v>
      </c>
      <c r="BA30" s="31">
        <v>16.604381676732199</v>
      </c>
      <c r="BB30" s="31">
        <v>0.47408719510102099</v>
      </c>
      <c r="BC30" s="31">
        <v>2.22426368726875</v>
      </c>
      <c r="BD30" s="31">
        <v>-7.3251987627079906E-2</v>
      </c>
    </row>
    <row r="31" spans="1:56" ht="11.25" customHeight="1" x14ac:dyDescent="0.25">
      <c r="A31" s="137"/>
      <c r="B31" s="137"/>
      <c r="C31" s="137"/>
      <c r="D31" s="137"/>
      <c r="E31" s="137"/>
      <c r="F31" s="137"/>
      <c r="G31" s="41" t="s">
        <v>83</v>
      </c>
      <c r="H31" s="41" t="s">
        <v>70</v>
      </c>
      <c r="I31" s="41">
        <f>'MERCADO TUSD'!$U$28</f>
        <v>0</v>
      </c>
      <c r="J31" s="15"/>
      <c r="L31" s="31">
        <f>('TUSD BE'!$L$31+'TUSD BF'!$L$31+'TUSD CVA'!$L$31)*(1 - CUSTOS!$M$38)</f>
        <v>2.6111286800953422</v>
      </c>
      <c r="M31" s="31">
        <f>('TUSD BE'!$M$31+'TUSD BF'!$M$31+'TUSD CVA'!$M$31)*(1 - CUSTOS!$M$38)</f>
        <v>0.69881246787971607</v>
      </c>
      <c r="N31" s="31">
        <f ca="1">('TUSD BE'!$N$31+'TUSD BF'!$N$31+'TUSD CVA'!$N$31)*(1 - CUSTOS!$M$38)</f>
        <v>4.456706416050694</v>
      </c>
      <c r="O31" s="31">
        <f>('TUSD BE'!$O$31+'TUSD BF'!$O$31+'TUSD CVA'!$O$31)*(1 - CUSTOS!$M$38)</f>
        <v>0</v>
      </c>
      <c r="P31" s="31">
        <f>('TUSD BE'!$P$31+'TUSD BF'!$P$31+'TUSD CVA'!$P$31)*(1 - CUSTOS!$M$38)</f>
        <v>0</v>
      </c>
      <c r="Q31" s="31">
        <f>('TUSD BE'!$Q$31+'TUSD BF'!$Q$31+'TUSD CVA'!$Q$31)*(1 - CUSTOS!$M$38)</f>
        <v>103.01104679495623</v>
      </c>
      <c r="R31" s="31">
        <f>('TUSD BE'!$R$31+'TUSD BF'!$R$31+'TUSD CVA'!$R$31)*(1 - CUSTOS!$M$38)</f>
        <v>17.20725190256282</v>
      </c>
      <c r="S31" s="31">
        <f>('TUSD BE'!$S$31+'TUSD BF'!$S$31+'TUSD CVA'!$S$31)*(1 - CUSTOS!$M$38)</f>
        <v>0</v>
      </c>
      <c r="T31" s="31">
        <f>('TUSD BE'!$U$31+'TUSD BF'!$U$31+'TUSD CVA'!$U$31)*(1 - CUSTOS!$M$38)</f>
        <v>0</v>
      </c>
      <c r="U31" s="31">
        <f>('TUSD BE'!$V$31+'TUSD BF'!$V$31+'TUSD CVA'!$V$31)*(1 - CUSTOS!$M$38)</f>
        <v>0</v>
      </c>
      <c r="V31" s="31">
        <f>('TUSD BE'!$W$31+'TUSD BF'!$W$31+'TUSD CVA'!$W$31)*(1 - CUSTOS!$M$38)</f>
        <v>0</v>
      </c>
      <c r="W31" s="31">
        <f>('TUSD BE'!$X$31+'TUSD BF'!$X$31+'TUSD CVA'!$X$31)*(1 - CUSTOS!$M$38)</f>
        <v>0</v>
      </c>
      <c r="X31" s="31">
        <f>('TUSD BE'!$Y$31+'TUSD BF'!$Y$31+'TUSD CVA'!$Y$31)*(1 - CUSTOS!$M$38)</f>
        <v>187.35609597254978</v>
      </c>
      <c r="Y31" s="31">
        <f>('TUSD BE'!$Z$31+'TUSD BF'!$Z$31+'TUSD CVA'!$Z$31)*(1 - CUSTOS!$M$38)</f>
        <v>0</v>
      </c>
      <c r="Z31" s="31">
        <f>('TUSD BE'!$AA$31+'TUSD BF'!$AA$31+'TUSD CVA'!$AA$31)*(1 - CUSTOS!$M$38)</f>
        <v>0</v>
      </c>
      <c r="AA31" s="31">
        <f>('TUSD BE'!$AC$31+'TUSD BF'!$AC$31+'TUSD CVA'!$AC$31)*(1 - CUSTOS!$M$38)</f>
        <v>203.0898428896065</v>
      </c>
      <c r="AB31" s="31">
        <f ca="1">('TUSD BE'!$AE$31+'TUSD BF'!$AE$31+'TUSD CVA'!$AE$31)*(1 - CUSTOS!$M$38)</f>
        <v>-54.310013228540065</v>
      </c>
      <c r="AC31" s="31">
        <f ca="1">('TUSD BE'!$AF$31+'TUSD BF'!$AF$31+'TUSD CVA'!$AF$31)*(1 - CUSTOS!$M$38)</f>
        <v>0</v>
      </c>
      <c r="AD31" s="31">
        <f>('TUSD BE'!$AH$31+'TUSD BF'!$AH$31+'TUSD CVA'!$AH$31)*(1 - CUSTOS!$M$38)</f>
        <v>17.778327818623811</v>
      </c>
      <c r="AE31" s="31">
        <f>('TUSD BE'!$AI$31+'TUSD BF'!$AI$31+'TUSD CVA'!$AI$31)*(1 - CUSTOS!$M$38)</f>
        <v>0.57172693306183331</v>
      </c>
      <c r="AF31" s="31">
        <f ca="1">('TUSD BE'!$AJ$31+'TUSD BF'!$AJ$31+'TUSD CVA'!$AJ$31)*(1 - CUSTOS!$M$38)</f>
        <v>1.8793799890098595</v>
      </c>
      <c r="AG31" s="31">
        <f ca="1">('TUSD BE'!$AK$31+'TUSD BF'!$AK$31+'TUSD CVA'!$AK$31)*(1 - CUSTOS!$M$38)</f>
        <v>0.33458537169586317</v>
      </c>
      <c r="AI31" s="31">
        <v>2.17445345364077</v>
      </c>
      <c r="AJ31" s="31">
        <v>0.68705329410464999</v>
      </c>
      <c r="AK31" s="31">
        <v>4.4540829413472398</v>
      </c>
      <c r="AL31" s="31">
        <v>0</v>
      </c>
      <c r="AM31" s="31">
        <v>0</v>
      </c>
      <c r="AN31" s="31">
        <v>57.603424754806902</v>
      </c>
      <c r="AO31" s="31">
        <v>9.2778902080495094</v>
      </c>
      <c r="AP31" s="31">
        <v>0</v>
      </c>
      <c r="AQ31" s="31">
        <v>0</v>
      </c>
      <c r="AR31" s="31">
        <v>0</v>
      </c>
      <c r="AS31" s="31">
        <v>0</v>
      </c>
      <c r="AT31" s="31">
        <v>0</v>
      </c>
      <c r="AU31" s="31">
        <v>170.42451027941101</v>
      </c>
      <c r="AV31" s="31">
        <v>0</v>
      </c>
      <c r="AW31" s="31">
        <v>0</v>
      </c>
      <c r="AX31" s="31">
        <v>188.053846774753</v>
      </c>
      <c r="AY31" s="31">
        <v>-23.427318714242599</v>
      </c>
      <c r="AZ31" s="31">
        <v>0</v>
      </c>
      <c r="BA31" s="31">
        <v>16.604381676732199</v>
      </c>
      <c r="BB31" s="31">
        <v>0.47408719510102099</v>
      </c>
      <c r="BC31" s="31">
        <v>2.22426368726875</v>
      </c>
      <c r="BD31" s="31">
        <v>-7.3251987627079906E-2</v>
      </c>
    </row>
    <row r="32" spans="1:56" ht="11.25" customHeight="1" x14ac:dyDescent="0.25">
      <c r="A32" s="137"/>
      <c r="B32" s="137"/>
      <c r="C32" s="137"/>
      <c r="D32" s="137"/>
      <c r="E32" s="137"/>
      <c r="F32" s="137"/>
      <c r="G32" s="41" t="s">
        <v>72</v>
      </c>
      <c r="H32" s="41" t="s">
        <v>70</v>
      </c>
      <c r="I32" s="41">
        <f>'MERCADO TUSD'!$U$29</f>
        <v>0</v>
      </c>
      <c r="J32" s="15"/>
      <c r="L32" s="31">
        <f>('TUSD BE'!$L$32+'TUSD BF'!$L$32+'TUSD CVA'!$L$32)*(1 - CUSTOS!$M$38)</f>
        <v>2.6111286800953422</v>
      </c>
      <c r="M32" s="31">
        <f>('TUSD BE'!$M$32+'TUSD BF'!$M$32+'TUSD CVA'!$M$32)*(1 - CUSTOS!$M$38)</f>
        <v>0.69881246787971607</v>
      </c>
      <c r="N32" s="31">
        <f ca="1">('TUSD BE'!$N$32+'TUSD BF'!$N$32+'TUSD CVA'!$N$32)*(1 - CUSTOS!$M$38)</f>
        <v>1.7774781520419136</v>
      </c>
      <c r="O32" s="31">
        <f>('TUSD BE'!$O$32+'TUSD BF'!$O$32+'TUSD CVA'!$O$32)*(1 - CUSTOS!$M$38)</f>
        <v>0</v>
      </c>
      <c r="P32" s="31">
        <f>('TUSD BE'!$P$32+'TUSD BF'!$P$32+'TUSD CVA'!$P$32)*(1 - CUSTOS!$M$38)</f>
        <v>0</v>
      </c>
      <c r="Q32" s="31">
        <f>('TUSD BE'!$Q$32+'TUSD BF'!$Q$32+'TUSD CVA'!$Q$32)*(1 - CUSTOS!$M$38)</f>
        <v>103.01104679495623</v>
      </c>
      <c r="R32" s="31">
        <f>('TUSD BE'!$R$32+'TUSD BF'!$R$32+'TUSD CVA'!$R$32)*(1 - CUSTOS!$M$38)</f>
        <v>17.20725190256282</v>
      </c>
      <c r="S32" s="31">
        <f>('TUSD BE'!$S$32+'TUSD BF'!$S$32+'TUSD CVA'!$S$32)*(1 - CUSTOS!$M$38)</f>
        <v>0</v>
      </c>
      <c r="T32" s="31">
        <f>('TUSD BE'!$U$32+'TUSD BF'!$U$32+'TUSD CVA'!$U$32)*(1 - CUSTOS!$M$38)</f>
        <v>0</v>
      </c>
      <c r="U32" s="31">
        <f>('TUSD BE'!$V$32+'TUSD BF'!$V$32+'TUSD CVA'!$V$32)*(1 - CUSTOS!$M$38)</f>
        <v>0</v>
      </c>
      <c r="V32" s="31">
        <f>('TUSD BE'!$W$32+'TUSD BF'!$W$32+'TUSD CVA'!$W$32)*(1 - CUSTOS!$M$38)</f>
        <v>0</v>
      </c>
      <c r="W32" s="31">
        <f>('TUSD BE'!$X$32+'TUSD BF'!$X$32+'TUSD CVA'!$X$32)*(1 - CUSTOS!$M$38)</f>
        <v>0</v>
      </c>
      <c r="X32" s="31">
        <f>('TUSD BE'!$Y$32+'TUSD BF'!$Y$32+'TUSD CVA'!$Y$32)*(1 - CUSTOS!$M$38)</f>
        <v>62.451994852523825</v>
      </c>
      <c r="Y32" s="31">
        <f>('TUSD BE'!$Z$32+'TUSD BF'!$Z$32+'TUSD CVA'!$Z$32)*(1 - CUSTOS!$M$38)</f>
        <v>0</v>
      </c>
      <c r="Z32" s="31">
        <f>('TUSD BE'!$AA$32+'TUSD BF'!$AA$32+'TUSD CVA'!$AA$32)*(1 - CUSTOS!$M$38)</f>
        <v>0</v>
      </c>
      <c r="AA32" s="31">
        <f>('TUSD BE'!$AC$32+'TUSD BF'!$AC$32+'TUSD CVA'!$AC$32)*(1 - CUSTOS!$M$38)</f>
        <v>67.696646286210523</v>
      </c>
      <c r="AB32" s="31">
        <f ca="1">('TUSD BE'!$AE$32+'TUSD BF'!$AE$32+'TUSD CVA'!$AE$32)*(1 - CUSTOS!$M$38)</f>
        <v>-26.903979225573192</v>
      </c>
      <c r="AC32" s="31">
        <f ca="1">('TUSD BE'!$AF$32+'TUSD BF'!$AF$32+'TUSD CVA'!$AF$32)*(1 - CUSTOS!$M$38)</f>
        <v>0</v>
      </c>
      <c r="AD32" s="31">
        <f>('TUSD BE'!$AH$32+'TUSD BF'!$AH$32+'TUSD CVA'!$AH$32)*(1 - CUSTOS!$M$38)</f>
        <v>17.778327818623811</v>
      </c>
      <c r="AE32" s="31">
        <f>('TUSD BE'!$AI$32+'TUSD BF'!$AI$32+'TUSD CVA'!$AI$32)*(1 - CUSTOS!$M$38)</f>
        <v>0.57172693306183331</v>
      </c>
      <c r="AF32" s="31">
        <f ca="1">('TUSD BE'!$AJ$32+'TUSD BF'!$AJ$32+'TUSD CVA'!$AJ$32)*(1 - CUSTOS!$M$38)</f>
        <v>1.8793799890098595</v>
      </c>
      <c r="AG32" s="31">
        <f ca="1">('TUSD BE'!$AK$32+'TUSD BF'!$AK$32+'TUSD CVA'!$AK$32)*(1 - CUSTOS!$M$38)</f>
        <v>0.33458537169586317</v>
      </c>
      <c r="AI32" s="31">
        <v>2.17445345364077</v>
      </c>
      <c r="AJ32" s="31">
        <v>0.68705329410464999</v>
      </c>
      <c r="AK32" s="31">
        <v>1.79181530279231</v>
      </c>
      <c r="AL32" s="31">
        <v>0</v>
      </c>
      <c r="AM32" s="31">
        <v>0</v>
      </c>
      <c r="AN32" s="31">
        <v>57.603424754806902</v>
      </c>
      <c r="AO32" s="31">
        <v>9.2778902080495094</v>
      </c>
      <c r="AP32" s="31">
        <v>0</v>
      </c>
      <c r="AQ32" s="31">
        <v>0</v>
      </c>
      <c r="AR32" s="31">
        <v>0</v>
      </c>
      <c r="AS32" s="31">
        <v>0</v>
      </c>
      <c r="AT32" s="31">
        <v>0</v>
      </c>
      <c r="AU32" s="31">
        <v>56.808106857718997</v>
      </c>
      <c r="AV32" s="31">
        <v>0</v>
      </c>
      <c r="AW32" s="31">
        <v>0</v>
      </c>
      <c r="AX32" s="31">
        <v>62.684586658504998</v>
      </c>
      <c r="AY32" s="31">
        <v>-10.7556161842209</v>
      </c>
      <c r="AZ32" s="31">
        <v>0</v>
      </c>
      <c r="BA32" s="31">
        <v>16.604381676732199</v>
      </c>
      <c r="BB32" s="31">
        <v>0.47408719510102099</v>
      </c>
      <c r="BC32" s="31">
        <v>2.22426368726875</v>
      </c>
      <c r="BD32" s="31">
        <v>-7.3251987627079906E-2</v>
      </c>
    </row>
    <row r="33" spans="1:56" ht="11.25" customHeight="1" x14ac:dyDescent="0.25">
      <c r="A33" s="137"/>
      <c r="B33" s="42" t="s">
        <v>23</v>
      </c>
      <c r="C33" s="42" t="s">
        <v>40</v>
      </c>
      <c r="D33" s="42" t="s">
        <v>25</v>
      </c>
      <c r="E33" s="42" t="s">
        <v>25</v>
      </c>
      <c r="F33" s="42" t="s">
        <v>25</v>
      </c>
      <c r="G33" s="41" t="s">
        <v>74</v>
      </c>
      <c r="H33" s="41" t="s">
        <v>70</v>
      </c>
      <c r="I33" s="41">
        <f>'MERCADO TUSD'!$U$30</f>
        <v>45.472000000000001</v>
      </c>
      <c r="J33" s="15"/>
      <c r="L33" s="31">
        <f>('TUSD BE'!$L$33+'TUSD BF'!$L$33+'TUSD CVA'!$L$33)*(1 - CUSTOS!$M$38)</f>
        <v>2.6111286800953422</v>
      </c>
      <c r="M33" s="31">
        <f>('TUSD BE'!$M$33+'TUSD BF'!$M$33+'TUSD CVA'!$M$33)*(1 - CUSTOS!$M$38)</f>
        <v>0.69881246787971607</v>
      </c>
      <c r="N33" s="31">
        <f ca="1">('TUSD BE'!$N$33+'TUSD BF'!$N$33+'TUSD CVA'!$N$33)*(1 - CUSTOS!$M$38)</f>
        <v>2.9654373348908352</v>
      </c>
      <c r="O33" s="31">
        <f>('TUSD BE'!$O$33+'TUSD BF'!$O$33+'TUSD CVA'!$O$33)*(1 - CUSTOS!$M$38)</f>
        <v>0</v>
      </c>
      <c r="P33" s="31">
        <f>('TUSD BE'!$P$33+'TUSD BF'!$P$33+'TUSD CVA'!$P$33)*(1 - CUSTOS!$M$38)</f>
        <v>0</v>
      </c>
      <c r="Q33" s="31">
        <f>('TUSD BE'!$Q$33+'TUSD BF'!$Q$33+'TUSD CVA'!$Q$33)*(1 - CUSTOS!$M$38)</f>
        <v>103.01104679495623</v>
      </c>
      <c r="R33" s="31">
        <f>('TUSD BE'!$R$33+'TUSD BF'!$R$33+'TUSD CVA'!$R$33)*(1 - CUSTOS!$M$38)</f>
        <v>17.20725190256282</v>
      </c>
      <c r="S33" s="31">
        <f>('TUSD BE'!$S$33+'TUSD BF'!$S$33+'TUSD CVA'!$S$33)*(1 - CUSTOS!$M$38)</f>
        <v>0</v>
      </c>
      <c r="T33" s="31">
        <f>('TUSD BE'!$U$33+'TUSD BF'!$U$33+'TUSD CVA'!$U$33)*(1 - CUSTOS!$M$38)</f>
        <v>0</v>
      </c>
      <c r="U33" s="31">
        <f>('TUSD BE'!$V$33+'TUSD BF'!$V$33+'TUSD CVA'!$V$33)*(1 - CUSTOS!$M$38)</f>
        <v>0</v>
      </c>
      <c r="V33" s="31">
        <f>('TUSD BE'!$W$33+'TUSD BF'!$W$33+'TUSD CVA'!$W$33)*(1 - CUSTOS!$M$38)</f>
        <v>0</v>
      </c>
      <c r="W33" s="31">
        <f>('TUSD BE'!$X$33+'TUSD BF'!$X$33+'TUSD CVA'!$X$33)*(1 - CUSTOS!$M$38)</f>
        <v>0</v>
      </c>
      <c r="X33" s="31">
        <f>('TUSD BE'!$Y$33+'TUSD BF'!$Y$33+'TUSD CVA'!$Y$33)*(1 - CUSTOS!$M$38)</f>
        <v>117.83404084304662</v>
      </c>
      <c r="Y33" s="31">
        <f>('TUSD BE'!$Z$33+'TUSD BF'!$Z$33+'TUSD CVA'!$Z$33)*(1 - CUSTOS!$M$38)</f>
        <v>0</v>
      </c>
      <c r="Z33" s="31">
        <f>('TUSD BE'!$AA$33+'TUSD BF'!$AA$33+'TUSD CVA'!$AA$33)*(1 - CUSTOS!$M$38)</f>
        <v>0</v>
      </c>
      <c r="AA33" s="31">
        <f>('TUSD BE'!$AC$33+'TUSD BF'!$AC$33+'TUSD CVA'!$AC$33)*(1 - CUSTOS!$M$38)</f>
        <v>127.7293981646669</v>
      </c>
      <c r="AB33" s="31">
        <f ca="1">('TUSD BE'!$AE$33+'TUSD BF'!$AE$33+'TUSD CVA'!$AE$33)*(1 - CUSTOS!$M$38)</f>
        <v>-39.055706509027708</v>
      </c>
      <c r="AC33" s="31">
        <f ca="1">('TUSD BE'!$AF$33+'TUSD BF'!$AF$33+'TUSD CVA'!$AF$33)*(1 - CUSTOS!$M$38)</f>
        <v>0</v>
      </c>
      <c r="AD33" s="31">
        <f>('TUSD BE'!$AH$33+'TUSD BF'!$AH$33+'TUSD CVA'!$AH$33)*(1 - CUSTOS!$M$38)</f>
        <v>17.778327818623811</v>
      </c>
      <c r="AE33" s="31">
        <f>('TUSD BE'!$AI$33+'TUSD BF'!$AI$33+'TUSD CVA'!$AI$33)*(1 - CUSTOS!$M$38)</f>
        <v>0.57172693306183331</v>
      </c>
      <c r="AF33" s="31">
        <f ca="1">('TUSD BE'!$AJ$33+'TUSD BF'!$AJ$33+'TUSD CVA'!$AJ$33)*(1 - CUSTOS!$M$38)</f>
        <v>1.8793799890098595</v>
      </c>
      <c r="AG33" s="31">
        <f ca="1">('TUSD BE'!$AK$33+'TUSD BF'!$AK$33+'TUSD CVA'!$AK$33)*(1 - CUSTOS!$M$38)</f>
        <v>0.33458537169586317</v>
      </c>
      <c r="AI33" s="31">
        <v>2.17445345364077</v>
      </c>
      <c r="AJ33" s="31">
        <v>0.68705329410464999</v>
      </c>
      <c r="AK33" s="31">
        <v>2.88092538354076</v>
      </c>
      <c r="AL33" s="31">
        <v>0</v>
      </c>
      <c r="AM33" s="31">
        <v>0</v>
      </c>
      <c r="AN33" s="31">
        <v>57.603424754806902</v>
      </c>
      <c r="AO33" s="31">
        <v>9.2778902080495094</v>
      </c>
      <c r="AP33" s="31">
        <v>0</v>
      </c>
      <c r="AQ33" s="31">
        <v>0</v>
      </c>
      <c r="AR33" s="31">
        <v>0</v>
      </c>
      <c r="AS33" s="31">
        <v>0</v>
      </c>
      <c r="AT33" s="31">
        <v>0</v>
      </c>
      <c r="AU33" s="31">
        <v>103.287656720288</v>
      </c>
      <c r="AV33" s="31">
        <v>0</v>
      </c>
      <c r="AW33" s="31">
        <v>0</v>
      </c>
      <c r="AX33" s="31">
        <v>113.97199941525599</v>
      </c>
      <c r="AY33" s="31">
        <v>-15.939499599885499</v>
      </c>
      <c r="AZ33" s="31">
        <v>0</v>
      </c>
      <c r="BA33" s="31">
        <v>16.604381676732199</v>
      </c>
      <c r="BB33" s="31">
        <v>0.47408719510102099</v>
      </c>
      <c r="BC33" s="31">
        <v>2.22426368726875</v>
      </c>
      <c r="BD33" s="31">
        <v>-7.3251987627079906E-2</v>
      </c>
    </row>
    <row r="34" spans="1:56" ht="11.25" customHeight="1" x14ac:dyDescent="0.25">
      <c r="A34" s="137"/>
      <c r="B34" s="137" t="s">
        <v>49</v>
      </c>
      <c r="C34" s="137" t="s">
        <v>40</v>
      </c>
      <c r="D34" s="137" t="s">
        <v>86</v>
      </c>
      <c r="E34" s="137" t="s">
        <v>25</v>
      </c>
      <c r="F34" s="137" t="s">
        <v>25</v>
      </c>
      <c r="G34" s="41" t="s">
        <v>71</v>
      </c>
      <c r="H34" s="41" t="s">
        <v>70</v>
      </c>
      <c r="I34" s="41">
        <f>'MERCADO TUSD'!$U$31</f>
        <v>0</v>
      </c>
      <c r="J34" s="15"/>
      <c r="L34" s="31">
        <f>('TUSD BE'!$L$34+'TUSD BF'!$L$34+'TUSD CVA'!$L$34)*(1 - CUSTOS!$M$39)</f>
        <v>2.6111286800953422</v>
      </c>
      <c r="M34" s="31">
        <f>('TUSD BE'!$M$34+'TUSD BF'!$M$34+'TUSD CVA'!$M$34)*(1 - CUSTOS!$M$39)</f>
        <v>0.69881246787971607</v>
      </c>
      <c r="N34" s="31">
        <f ca="1">('TUSD BE'!$N$34+'TUSD BF'!$N$34+'TUSD CVA'!$N$34)*(1 - CUSTOS!$M$39)</f>
        <v>7.1359336218589569</v>
      </c>
      <c r="O34" s="31">
        <f>('TUSD BE'!$O$34+'TUSD BF'!$O$34+'TUSD CVA'!$O$34)*(1 - CUSTOS!$M$39)</f>
        <v>0</v>
      </c>
      <c r="P34" s="31">
        <f>('TUSD BE'!$P$34+'TUSD BF'!$P$34+'TUSD CVA'!$P$34)*(1 - CUSTOS!$M$39)</f>
        <v>0</v>
      </c>
      <c r="Q34" s="31">
        <f>('TUSD BE'!$Q$34+'TUSD BF'!$Q$34+'TUSD CVA'!$Q$34)*(1 - CUSTOS!$M$39)</f>
        <v>103.01104679495623</v>
      </c>
      <c r="R34" s="31">
        <f>('TUSD BE'!$R$34+'TUSD BF'!$R$34+'TUSD CVA'!$R$34)*(1 - CUSTOS!$M$39)</f>
        <v>17.20725190256282</v>
      </c>
      <c r="S34" s="31">
        <f>('TUSD BE'!$S$34+'TUSD BF'!$S$34+'TUSD CVA'!$S$34)*(1 - CUSTOS!$M$39)</f>
        <v>0</v>
      </c>
      <c r="T34" s="31">
        <f>('TUSD BE'!$U$34+'TUSD BF'!$U$34+'TUSD CVA'!$U$34)*(1 - CUSTOS!$M$39)</f>
        <v>0</v>
      </c>
      <c r="U34" s="31">
        <f>('TUSD BE'!$V$34+'TUSD BF'!$V$34+'TUSD CVA'!$V$34)*(1 - CUSTOS!$M$39)</f>
        <v>0</v>
      </c>
      <c r="V34" s="31">
        <f>('TUSD BE'!$W$34+'TUSD BF'!$W$34+'TUSD CVA'!$W$34)*(1 - CUSTOS!$M$39)</f>
        <v>0</v>
      </c>
      <c r="W34" s="31">
        <f>('TUSD BE'!$X$34+'TUSD BF'!$X$34+'TUSD CVA'!$X$34)*(1 - CUSTOS!$M$39)</f>
        <v>0</v>
      </c>
      <c r="X34" s="31">
        <f>('TUSD BE'!$Y$34+'TUSD BF'!$Y$34+'TUSD CVA'!$Y$34)*(1 - CUSTOS!$M$39)</f>
        <v>312.26008567759743</v>
      </c>
      <c r="Y34" s="31">
        <f>('TUSD BE'!$Z$34+'TUSD BF'!$Z$34+'TUSD CVA'!$Z$34)*(1 - CUSTOS!$M$39)</f>
        <v>0</v>
      </c>
      <c r="Z34" s="31">
        <f>('TUSD BE'!$AA$34+'TUSD BF'!$AA$34+'TUSD CVA'!$AA$34)*(1 - CUSTOS!$M$39)</f>
        <v>0</v>
      </c>
      <c r="AA34" s="31">
        <f>('TUSD BE'!$AC$34+'TUSD BF'!$AC$34+'TUSD CVA'!$AC$34)*(1 - CUSTOS!$M$39)</f>
        <v>338.48303949300242</v>
      </c>
      <c r="AB34" s="31">
        <f ca="1">('TUSD BE'!$AE$34+'TUSD BF'!$AE$34+'TUSD CVA'!$AE$34)*(1 - CUSTOS!$M$39)</f>
        <v>-81.716035880030432</v>
      </c>
      <c r="AC34" s="31">
        <f ca="1">('TUSD BE'!$AF$34+'TUSD BF'!$AF$34+'TUSD CVA'!$AF$34)*(1 - CUSTOS!$M$39)</f>
        <v>0</v>
      </c>
      <c r="AD34" s="31">
        <f>('TUSD BE'!$AH$34+'TUSD BF'!$AH$34+'TUSD CVA'!$AH$34)*(1 - CUSTOS!$M$39)</f>
        <v>17.778327818623811</v>
      </c>
      <c r="AE34" s="31">
        <f>('TUSD BE'!$AI$34+'TUSD BF'!$AI$34+'TUSD CVA'!$AI$34)*(1 - CUSTOS!$M$39)</f>
        <v>0.57172693306183331</v>
      </c>
      <c r="AF34" s="31">
        <f ca="1">('TUSD BE'!$AJ$34+'TUSD BF'!$AJ$34+'TUSD CVA'!$AJ$34)*(1 - CUSTOS!$M$39)</f>
        <v>1.8793799890098595</v>
      </c>
      <c r="AG34" s="31">
        <f ca="1">('TUSD BE'!$AK$34+'TUSD BF'!$AK$34+'TUSD CVA'!$AK$34)*(1 - CUSTOS!$M$39)</f>
        <v>0.33458537169586317</v>
      </c>
      <c r="AI34" s="31">
        <v>2.17445345364077</v>
      </c>
      <c r="AJ34" s="31">
        <v>0.68705329410464999</v>
      </c>
      <c r="AK34" s="31">
        <v>7.1163505799021802</v>
      </c>
      <c r="AL34" s="31">
        <v>0</v>
      </c>
      <c r="AM34" s="31">
        <v>0</v>
      </c>
      <c r="AN34" s="31">
        <v>57.603424754806902</v>
      </c>
      <c r="AO34" s="31">
        <v>9.2778902080495094</v>
      </c>
      <c r="AP34" s="31">
        <v>0</v>
      </c>
      <c r="AQ34" s="31">
        <v>0</v>
      </c>
      <c r="AR34" s="31">
        <v>0</v>
      </c>
      <c r="AS34" s="31">
        <v>0</v>
      </c>
      <c r="AT34" s="31">
        <v>0</v>
      </c>
      <c r="AU34" s="31">
        <v>284.04091370110302</v>
      </c>
      <c r="AV34" s="31">
        <v>0</v>
      </c>
      <c r="AW34" s="31">
        <v>0</v>
      </c>
      <c r="AX34" s="31">
        <v>313.423106891001</v>
      </c>
      <c r="AY34" s="31">
        <v>-36.0990212442642</v>
      </c>
      <c r="AZ34" s="31">
        <v>0</v>
      </c>
      <c r="BA34" s="31">
        <v>16.604381676732199</v>
      </c>
      <c r="BB34" s="31">
        <v>0.47408719510102099</v>
      </c>
      <c r="BC34" s="31">
        <v>2.22426368726875</v>
      </c>
      <c r="BD34" s="31">
        <v>-7.3251987627079906E-2</v>
      </c>
    </row>
    <row r="35" spans="1:56" ht="11.25" customHeight="1" x14ac:dyDescent="0.25">
      <c r="A35" s="137"/>
      <c r="B35" s="137"/>
      <c r="C35" s="137"/>
      <c r="D35" s="137"/>
      <c r="E35" s="137"/>
      <c r="F35" s="137"/>
      <c r="G35" s="41" t="s">
        <v>83</v>
      </c>
      <c r="H35" s="41" t="s">
        <v>70</v>
      </c>
      <c r="I35" s="41">
        <f>'MERCADO TUSD'!$U$32</f>
        <v>0</v>
      </c>
      <c r="J35" s="15"/>
      <c r="L35" s="31">
        <f>('TUSD BE'!$L$35+'TUSD BF'!$L$35+'TUSD CVA'!$L$35)*(1 - CUSTOS!$M$39)</f>
        <v>2.6111286800953422</v>
      </c>
      <c r="M35" s="31">
        <f>('TUSD BE'!$M$35+'TUSD BF'!$M$35+'TUSD CVA'!$M$35)*(1 - CUSTOS!$M$39)</f>
        <v>0.69881246787971607</v>
      </c>
      <c r="N35" s="31">
        <f ca="1">('TUSD BE'!$N$35+'TUSD BF'!$N$35+'TUSD CVA'!$N$35)*(1 - CUSTOS!$M$39)</f>
        <v>4.456706416050694</v>
      </c>
      <c r="O35" s="31">
        <f>('TUSD BE'!$O$35+'TUSD BF'!$O$35+'TUSD CVA'!$O$35)*(1 - CUSTOS!$M$39)</f>
        <v>0</v>
      </c>
      <c r="P35" s="31">
        <f>('TUSD BE'!$P$35+'TUSD BF'!$P$35+'TUSD CVA'!$P$35)*(1 - CUSTOS!$M$39)</f>
        <v>0</v>
      </c>
      <c r="Q35" s="31">
        <f>('TUSD BE'!$Q$35+'TUSD BF'!$Q$35+'TUSD CVA'!$Q$35)*(1 - CUSTOS!$M$39)</f>
        <v>103.01104679495623</v>
      </c>
      <c r="R35" s="31">
        <f>('TUSD BE'!$R$35+'TUSD BF'!$R$35+'TUSD CVA'!$R$35)*(1 - CUSTOS!$M$39)</f>
        <v>17.20725190256282</v>
      </c>
      <c r="S35" s="31">
        <f>('TUSD BE'!$S$35+'TUSD BF'!$S$35+'TUSD CVA'!$S$35)*(1 - CUSTOS!$M$39)</f>
        <v>0</v>
      </c>
      <c r="T35" s="31">
        <f>('TUSD BE'!$U$35+'TUSD BF'!$U$35+'TUSD CVA'!$U$35)*(1 - CUSTOS!$M$39)</f>
        <v>0</v>
      </c>
      <c r="U35" s="31">
        <f>('TUSD BE'!$V$35+'TUSD BF'!$V$35+'TUSD CVA'!$V$35)*(1 - CUSTOS!$M$39)</f>
        <v>0</v>
      </c>
      <c r="V35" s="31">
        <f>('TUSD BE'!$W$35+'TUSD BF'!$W$35+'TUSD CVA'!$W$35)*(1 - CUSTOS!$M$39)</f>
        <v>0</v>
      </c>
      <c r="W35" s="31">
        <f>('TUSD BE'!$X$35+'TUSD BF'!$X$35+'TUSD CVA'!$X$35)*(1 - CUSTOS!$M$39)</f>
        <v>0</v>
      </c>
      <c r="X35" s="31">
        <f>('TUSD BE'!$Y$35+'TUSD BF'!$Y$35+'TUSD CVA'!$Y$35)*(1 - CUSTOS!$M$39)</f>
        <v>187.35609597254978</v>
      </c>
      <c r="Y35" s="31">
        <f>('TUSD BE'!$Z$35+'TUSD BF'!$Z$35+'TUSD CVA'!$Z$35)*(1 - CUSTOS!$M$39)</f>
        <v>0</v>
      </c>
      <c r="Z35" s="31">
        <f>('TUSD BE'!$AA$35+'TUSD BF'!$AA$35+'TUSD CVA'!$AA$35)*(1 - CUSTOS!$M$39)</f>
        <v>0</v>
      </c>
      <c r="AA35" s="31">
        <f>('TUSD BE'!$AC$35+'TUSD BF'!$AC$35+'TUSD CVA'!$AC$35)*(1 - CUSTOS!$M$39)</f>
        <v>203.0898428896065</v>
      </c>
      <c r="AB35" s="31">
        <f ca="1">('TUSD BE'!$AE$35+'TUSD BF'!$AE$35+'TUSD CVA'!$AE$35)*(1 - CUSTOS!$M$39)</f>
        <v>-54.310013228540065</v>
      </c>
      <c r="AC35" s="31">
        <f ca="1">('TUSD BE'!$AF$35+'TUSD BF'!$AF$35+'TUSD CVA'!$AF$35)*(1 - CUSTOS!$M$39)</f>
        <v>0</v>
      </c>
      <c r="AD35" s="31">
        <f>('TUSD BE'!$AH$35+'TUSD BF'!$AH$35+'TUSD CVA'!$AH$35)*(1 - CUSTOS!$M$39)</f>
        <v>17.778327818623811</v>
      </c>
      <c r="AE35" s="31">
        <f>('TUSD BE'!$AI$35+'TUSD BF'!$AI$35+'TUSD CVA'!$AI$35)*(1 - CUSTOS!$M$39)</f>
        <v>0.57172693306183331</v>
      </c>
      <c r="AF35" s="31">
        <f ca="1">('TUSD BE'!$AJ$35+'TUSD BF'!$AJ$35+'TUSD CVA'!$AJ$35)*(1 - CUSTOS!$M$39)</f>
        <v>1.8793799890098595</v>
      </c>
      <c r="AG35" s="31">
        <f ca="1">('TUSD BE'!$AK$35+'TUSD BF'!$AK$35+'TUSD CVA'!$AK$35)*(1 - CUSTOS!$M$39)</f>
        <v>0.33458537169586317</v>
      </c>
      <c r="AI35" s="31">
        <v>2.17445345364077</v>
      </c>
      <c r="AJ35" s="31">
        <v>0.68705329410464999</v>
      </c>
      <c r="AK35" s="31">
        <v>4.4540829413472398</v>
      </c>
      <c r="AL35" s="31">
        <v>0</v>
      </c>
      <c r="AM35" s="31">
        <v>0</v>
      </c>
      <c r="AN35" s="31">
        <v>57.603424754806902</v>
      </c>
      <c r="AO35" s="31">
        <v>9.2778902080495094</v>
      </c>
      <c r="AP35" s="31">
        <v>0</v>
      </c>
      <c r="AQ35" s="31">
        <v>0</v>
      </c>
      <c r="AR35" s="31">
        <v>0</v>
      </c>
      <c r="AS35" s="31">
        <v>0</v>
      </c>
      <c r="AT35" s="31">
        <v>0</v>
      </c>
      <c r="AU35" s="31">
        <v>170.42451027941101</v>
      </c>
      <c r="AV35" s="31">
        <v>0</v>
      </c>
      <c r="AW35" s="31">
        <v>0</v>
      </c>
      <c r="AX35" s="31">
        <v>188.053846774753</v>
      </c>
      <c r="AY35" s="31">
        <v>-23.427318714242599</v>
      </c>
      <c r="AZ35" s="31">
        <v>0</v>
      </c>
      <c r="BA35" s="31">
        <v>16.604381676732199</v>
      </c>
      <c r="BB35" s="31">
        <v>0.47408719510102099</v>
      </c>
      <c r="BC35" s="31">
        <v>2.22426368726875</v>
      </c>
      <c r="BD35" s="31">
        <v>-7.3251987627079906E-2</v>
      </c>
    </row>
    <row r="36" spans="1:56" ht="11.25" customHeight="1" x14ac:dyDescent="0.25">
      <c r="A36" s="137"/>
      <c r="B36" s="137"/>
      <c r="C36" s="137"/>
      <c r="D36" s="137"/>
      <c r="E36" s="137"/>
      <c r="F36" s="137"/>
      <c r="G36" s="41" t="s">
        <v>72</v>
      </c>
      <c r="H36" s="41" t="s">
        <v>70</v>
      </c>
      <c r="I36" s="41">
        <f>'MERCADO TUSD'!$U$33</f>
        <v>0</v>
      </c>
      <c r="J36" s="15"/>
      <c r="L36" s="31">
        <f>('TUSD BE'!$L$36+'TUSD BF'!$L$36+'TUSD CVA'!$L$36)*(1 - CUSTOS!$M$39)</f>
        <v>2.6111286800953422</v>
      </c>
      <c r="M36" s="31">
        <f>('TUSD BE'!$M$36+'TUSD BF'!$M$36+'TUSD CVA'!$M$36)*(1 - CUSTOS!$M$39)</f>
        <v>0.69881246787971607</v>
      </c>
      <c r="N36" s="31">
        <f ca="1">('TUSD BE'!$N$36+'TUSD BF'!$N$36+'TUSD CVA'!$N$36)*(1 - CUSTOS!$M$39)</f>
        <v>1.7774781520419136</v>
      </c>
      <c r="O36" s="31">
        <f>('TUSD BE'!$O$36+'TUSD BF'!$O$36+'TUSD CVA'!$O$36)*(1 - CUSTOS!$M$39)</f>
        <v>0</v>
      </c>
      <c r="P36" s="31">
        <f>('TUSD BE'!$P$36+'TUSD BF'!$P$36+'TUSD CVA'!$P$36)*(1 - CUSTOS!$M$39)</f>
        <v>0</v>
      </c>
      <c r="Q36" s="31">
        <f>('TUSD BE'!$Q$36+'TUSD BF'!$Q$36+'TUSD CVA'!$Q$36)*(1 - CUSTOS!$M$39)</f>
        <v>103.01104679495623</v>
      </c>
      <c r="R36" s="31">
        <f>('TUSD BE'!$R$36+'TUSD BF'!$R$36+'TUSD CVA'!$R$36)*(1 - CUSTOS!$M$39)</f>
        <v>17.20725190256282</v>
      </c>
      <c r="S36" s="31">
        <f>('TUSD BE'!$S$36+'TUSD BF'!$S$36+'TUSD CVA'!$S$36)*(1 - CUSTOS!$M$39)</f>
        <v>0</v>
      </c>
      <c r="T36" s="31">
        <f>('TUSD BE'!$U$36+'TUSD BF'!$U$36+'TUSD CVA'!$U$36)*(1 - CUSTOS!$M$39)</f>
        <v>0</v>
      </c>
      <c r="U36" s="31">
        <f>('TUSD BE'!$V$36+'TUSD BF'!$V$36+'TUSD CVA'!$V$36)*(1 - CUSTOS!$M$39)</f>
        <v>0</v>
      </c>
      <c r="V36" s="31">
        <f>('TUSD BE'!$W$36+'TUSD BF'!$W$36+'TUSD CVA'!$W$36)*(1 - CUSTOS!$M$39)</f>
        <v>0</v>
      </c>
      <c r="W36" s="31">
        <f>('TUSD BE'!$X$36+'TUSD BF'!$X$36+'TUSD CVA'!$X$36)*(1 - CUSTOS!$M$39)</f>
        <v>0</v>
      </c>
      <c r="X36" s="31">
        <f>('TUSD BE'!$Y$36+'TUSD BF'!$Y$36+'TUSD CVA'!$Y$36)*(1 - CUSTOS!$M$39)</f>
        <v>62.451994852523825</v>
      </c>
      <c r="Y36" s="31">
        <f>('TUSD BE'!$Z$36+'TUSD BF'!$Z$36+'TUSD CVA'!$Z$36)*(1 - CUSTOS!$M$39)</f>
        <v>0</v>
      </c>
      <c r="Z36" s="31">
        <f>('TUSD BE'!$AA$36+'TUSD BF'!$AA$36+'TUSD CVA'!$AA$36)*(1 - CUSTOS!$M$39)</f>
        <v>0</v>
      </c>
      <c r="AA36" s="31">
        <f>('TUSD BE'!$AC$36+'TUSD BF'!$AC$36+'TUSD CVA'!$AC$36)*(1 - CUSTOS!$M$39)</f>
        <v>67.696646286210523</v>
      </c>
      <c r="AB36" s="31">
        <f ca="1">('TUSD BE'!$AE$36+'TUSD BF'!$AE$36+'TUSD CVA'!$AE$36)*(1 - CUSTOS!$M$39)</f>
        <v>-26.903979225573192</v>
      </c>
      <c r="AC36" s="31">
        <f ca="1">('TUSD BE'!$AF$36+'TUSD BF'!$AF$36+'TUSD CVA'!$AF$36)*(1 - CUSTOS!$M$39)</f>
        <v>0</v>
      </c>
      <c r="AD36" s="31">
        <f>('TUSD BE'!$AH$36+'TUSD BF'!$AH$36+'TUSD CVA'!$AH$36)*(1 - CUSTOS!$M$39)</f>
        <v>17.778327818623811</v>
      </c>
      <c r="AE36" s="31">
        <f>('TUSD BE'!$AI$36+'TUSD BF'!$AI$36+'TUSD CVA'!$AI$36)*(1 - CUSTOS!$M$39)</f>
        <v>0.57172693306183331</v>
      </c>
      <c r="AF36" s="31">
        <f ca="1">('TUSD BE'!$AJ$36+'TUSD BF'!$AJ$36+'TUSD CVA'!$AJ$36)*(1 - CUSTOS!$M$39)</f>
        <v>1.8793799890098595</v>
      </c>
      <c r="AG36" s="31">
        <f ca="1">('TUSD BE'!$AK$36+'TUSD BF'!$AK$36+'TUSD CVA'!$AK$36)*(1 - CUSTOS!$M$39)</f>
        <v>0.33458537169586317</v>
      </c>
      <c r="AI36" s="31">
        <v>2.17445345364077</v>
      </c>
      <c r="AJ36" s="31">
        <v>0.68705329410464999</v>
      </c>
      <c r="AK36" s="31">
        <v>1.79181530279231</v>
      </c>
      <c r="AL36" s="31">
        <v>0</v>
      </c>
      <c r="AM36" s="31">
        <v>0</v>
      </c>
      <c r="AN36" s="31">
        <v>57.603424754806902</v>
      </c>
      <c r="AO36" s="31">
        <v>9.2778902080495094</v>
      </c>
      <c r="AP36" s="31">
        <v>0</v>
      </c>
      <c r="AQ36" s="31">
        <v>0</v>
      </c>
      <c r="AR36" s="31">
        <v>0</v>
      </c>
      <c r="AS36" s="31">
        <v>0</v>
      </c>
      <c r="AT36" s="31">
        <v>0</v>
      </c>
      <c r="AU36" s="31">
        <v>56.808106857718997</v>
      </c>
      <c r="AV36" s="31">
        <v>0</v>
      </c>
      <c r="AW36" s="31">
        <v>0</v>
      </c>
      <c r="AX36" s="31">
        <v>62.684586658504998</v>
      </c>
      <c r="AY36" s="31">
        <v>-10.7556161842209</v>
      </c>
      <c r="AZ36" s="31">
        <v>0</v>
      </c>
      <c r="BA36" s="31">
        <v>16.604381676732199</v>
      </c>
      <c r="BB36" s="31">
        <v>0.47408719510102099</v>
      </c>
      <c r="BC36" s="31">
        <v>2.22426368726875</v>
      </c>
      <c r="BD36" s="31">
        <v>-7.3251987627079906E-2</v>
      </c>
    </row>
    <row r="37" spans="1:56" ht="11.25" customHeight="1" x14ac:dyDescent="0.25">
      <c r="A37" s="137"/>
      <c r="B37" s="42" t="s">
        <v>23</v>
      </c>
      <c r="C37" s="42" t="s">
        <v>40</v>
      </c>
      <c r="D37" s="42" t="s">
        <v>86</v>
      </c>
      <c r="E37" s="42" t="s">
        <v>25</v>
      </c>
      <c r="F37" s="42" t="s">
        <v>25</v>
      </c>
      <c r="G37" s="41" t="s">
        <v>74</v>
      </c>
      <c r="H37" s="41" t="s">
        <v>70</v>
      </c>
      <c r="I37" s="41">
        <f>'MERCADO TUSD'!$U$34</f>
        <v>0</v>
      </c>
      <c r="J37" s="15"/>
      <c r="L37" s="31">
        <f>('TUSD BE'!$L$37+'TUSD BF'!$L$37+'TUSD CVA'!$L$37)*(1 - CUSTOS!$M$39)</f>
        <v>2.6111286800953422</v>
      </c>
      <c r="M37" s="31">
        <f>('TUSD BE'!$M$37+'TUSD BF'!$M$37+'TUSD CVA'!$M$37)*(1 - CUSTOS!$M$39)</f>
        <v>0.69881246787971607</v>
      </c>
      <c r="N37" s="31">
        <f ca="1">('TUSD BE'!$N$37+'TUSD BF'!$N$37+'TUSD CVA'!$N$37)*(1 - CUSTOS!$M$39)</f>
        <v>2.9654373348908352</v>
      </c>
      <c r="O37" s="31">
        <f>('TUSD BE'!$O$37+'TUSD BF'!$O$37+'TUSD CVA'!$O$37)*(1 - CUSTOS!$M$39)</f>
        <v>0</v>
      </c>
      <c r="P37" s="31">
        <f>('TUSD BE'!$P$37+'TUSD BF'!$P$37+'TUSD CVA'!$P$37)*(1 - CUSTOS!$M$39)</f>
        <v>0</v>
      </c>
      <c r="Q37" s="31">
        <f>('TUSD BE'!$Q$37+'TUSD BF'!$Q$37+'TUSD CVA'!$Q$37)*(1 - CUSTOS!$M$39)</f>
        <v>103.01104679495623</v>
      </c>
      <c r="R37" s="31">
        <f>('TUSD BE'!$R$37+'TUSD BF'!$R$37+'TUSD CVA'!$R$37)*(1 - CUSTOS!$M$39)</f>
        <v>17.20725190256282</v>
      </c>
      <c r="S37" s="31">
        <f>('TUSD BE'!$S$37+'TUSD BF'!$S$37+'TUSD CVA'!$S$37)*(1 - CUSTOS!$M$39)</f>
        <v>0</v>
      </c>
      <c r="T37" s="31">
        <f>('TUSD BE'!$U$37+'TUSD BF'!$U$37+'TUSD CVA'!$U$37)*(1 - CUSTOS!$M$39)</f>
        <v>0</v>
      </c>
      <c r="U37" s="31">
        <f>('TUSD BE'!$V$37+'TUSD BF'!$V$37+'TUSD CVA'!$V$37)*(1 - CUSTOS!$M$39)</f>
        <v>0</v>
      </c>
      <c r="V37" s="31">
        <f>('TUSD BE'!$W$37+'TUSD BF'!$W$37+'TUSD CVA'!$W$37)*(1 - CUSTOS!$M$39)</f>
        <v>0</v>
      </c>
      <c r="W37" s="31">
        <f>('TUSD BE'!$X$37+'TUSD BF'!$X$37+'TUSD CVA'!$X$37)*(1 - CUSTOS!$M$39)</f>
        <v>0</v>
      </c>
      <c r="X37" s="31">
        <f>('TUSD BE'!$Y$37+'TUSD BF'!$Y$37+'TUSD CVA'!$Y$37)*(1 - CUSTOS!$M$39)</f>
        <v>117.83404084304662</v>
      </c>
      <c r="Y37" s="31">
        <f>('TUSD BE'!$Z$37+'TUSD BF'!$Z$37+'TUSD CVA'!$Z$37)*(1 - CUSTOS!$M$39)</f>
        <v>0</v>
      </c>
      <c r="Z37" s="31">
        <f>('TUSD BE'!$AA$37+'TUSD BF'!$AA$37+'TUSD CVA'!$AA$37)*(1 - CUSTOS!$M$39)</f>
        <v>0</v>
      </c>
      <c r="AA37" s="31">
        <f>('TUSD BE'!$AC$37+'TUSD BF'!$AC$37+'TUSD CVA'!$AC$37)*(1 - CUSTOS!$M$39)</f>
        <v>127.7293981646669</v>
      </c>
      <c r="AB37" s="31">
        <f ca="1">('TUSD BE'!$AE$37+'TUSD BF'!$AE$37+'TUSD CVA'!$AE$37)*(1 - CUSTOS!$M$39)</f>
        <v>-39.055706509027708</v>
      </c>
      <c r="AC37" s="31">
        <f ca="1">('TUSD BE'!$AF$37+'TUSD BF'!$AF$37+'TUSD CVA'!$AF$37)*(1 - CUSTOS!$M$39)</f>
        <v>0</v>
      </c>
      <c r="AD37" s="31">
        <f>('TUSD BE'!$AH$37+'TUSD BF'!$AH$37+'TUSD CVA'!$AH$37)*(1 - CUSTOS!$M$39)</f>
        <v>17.778327818623811</v>
      </c>
      <c r="AE37" s="31">
        <f>('TUSD BE'!$AI$37+'TUSD BF'!$AI$37+'TUSD CVA'!$AI$37)*(1 - CUSTOS!$M$39)</f>
        <v>0.57172693306183331</v>
      </c>
      <c r="AF37" s="31">
        <f ca="1">('TUSD BE'!$AJ$37+'TUSD BF'!$AJ$37+'TUSD CVA'!$AJ$37)*(1 - CUSTOS!$M$39)</f>
        <v>1.8793799890098595</v>
      </c>
      <c r="AG37" s="31">
        <f ca="1">('TUSD BE'!$AK$37+'TUSD BF'!$AK$37+'TUSD CVA'!$AK$37)*(1 - CUSTOS!$M$39)</f>
        <v>0.33458537169586317</v>
      </c>
      <c r="AI37" s="31">
        <v>2.17445345364077</v>
      </c>
      <c r="AJ37" s="31">
        <v>0.68705329410464999</v>
      </c>
      <c r="AK37" s="31">
        <v>2.88092538354076</v>
      </c>
      <c r="AL37" s="31">
        <v>0</v>
      </c>
      <c r="AM37" s="31">
        <v>0</v>
      </c>
      <c r="AN37" s="31">
        <v>57.603424754806902</v>
      </c>
      <c r="AO37" s="31">
        <v>9.2778902080495094</v>
      </c>
      <c r="AP37" s="31">
        <v>0</v>
      </c>
      <c r="AQ37" s="31">
        <v>0</v>
      </c>
      <c r="AR37" s="31">
        <v>0</v>
      </c>
      <c r="AS37" s="31">
        <v>0</v>
      </c>
      <c r="AT37" s="31">
        <v>0</v>
      </c>
      <c r="AU37" s="31">
        <v>103.287656720288</v>
      </c>
      <c r="AV37" s="31">
        <v>0</v>
      </c>
      <c r="AW37" s="31">
        <v>0</v>
      </c>
      <c r="AX37" s="31">
        <v>113.97199941525599</v>
      </c>
      <c r="AY37" s="31">
        <v>-15.939499599885499</v>
      </c>
      <c r="AZ37" s="31">
        <v>0</v>
      </c>
      <c r="BA37" s="31">
        <v>16.604381676732199</v>
      </c>
      <c r="BB37" s="31">
        <v>0.47408719510102099</v>
      </c>
      <c r="BC37" s="31">
        <v>2.22426368726875</v>
      </c>
      <c r="BD37" s="31">
        <v>-7.3251987627079906E-2</v>
      </c>
    </row>
    <row r="38" spans="1:56" ht="11.25" customHeight="1" x14ac:dyDescent="0.25">
      <c r="A38" s="137"/>
      <c r="B38" s="137" t="s">
        <v>49</v>
      </c>
      <c r="C38" s="137" t="s">
        <v>40</v>
      </c>
      <c r="D38" s="137" t="s">
        <v>87</v>
      </c>
      <c r="E38" s="137" t="s">
        <v>25</v>
      </c>
      <c r="F38" s="137" t="s">
        <v>25</v>
      </c>
      <c r="G38" s="41" t="s">
        <v>71</v>
      </c>
      <c r="H38" s="41" t="s">
        <v>70</v>
      </c>
      <c r="I38" s="41">
        <f>'MERCADO TUSD'!$U$35</f>
        <v>0</v>
      </c>
      <c r="J38" s="15"/>
      <c r="L38" s="31">
        <f>('TUSD BE'!$L$38+'TUSD BF'!$L$38+'TUSD CVA'!$L$38)*(1 - CUSTOS!$M$40)</f>
        <v>2.5555727507316117</v>
      </c>
      <c r="M38" s="31">
        <f>('TUSD BE'!$M$38+'TUSD BF'!$M$38+'TUSD CVA'!$M$38)*(1 - CUSTOS!$M$40)</f>
        <v>0.68394411749929662</v>
      </c>
      <c r="N38" s="31">
        <f ca="1">('TUSD BE'!$N$38+'TUSD BF'!$N$38+'TUSD CVA'!$N$38)*(1 - CUSTOS!$M$40)</f>
        <v>6.9841052469257878</v>
      </c>
      <c r="O38" s="31">
        <f>('TUSD BE'!$O$38+'TUSD BF'!$O$38+'TUSD CVA'!$O$38)*(1 - CUSTOS!$M$40)</f>
        <v>0</v>
      </c>
      <c r="P38" s="31">
        <f>('TUSD BE'!$P$38+'TUSD BF'!$P$38+'TUSD CVA'!$P$38)*(1 - CUSTOS!$M$40)</f>
        <v>0</v>
      </c>
      <c r="Q38" s="31">
        <f>('TUSD BE'!$Q$38+'TUSD BF'!$Q$38+'TUSD CVA'!$Q$38)*(1 - CUSTOS!$M$40)</f>
        <v>100.81932239506355</v>
      </c>
      <c r="R38" s="31">
        <f>('TUSD BE'!$R$38+'TUSD BF'!$R$38+'TUSD CVA'!$R$38)*(1 - CUSTOS!$M$40)</f>
        <v>16.841140159955103</v>
      </c>
      <c r="S38" s="31">
        <f>('TUSD BE'!$S$38+'TUSD BF'!$S$38+'TUSD CVA'!$S$38)*(1 - CUSTOS!$M$40)</f>
        <v>0</v>
      </c>
      <c r="T38" s="31">
        <f>('TUSD BE'!$U$38+'TUSD BF'!$U$38+'TUSD CVA'!$U$38)*(1 - CUSTOS!$M$40)</f>
        <v>0</v>
      </c>
      <c r="U38" s="31">
        <f>('TUSD BE'!$V$38+'TUSD BF'!$V$38+'TUSD CVA'!$V$38)*(1 - CUSTOS!$M$40)</f>
        <v>0</v>
      </c>
      <c r="V38" s="31">
        <f>('TUSD BE'!$W$38+'TUSD BF'!$W$38+'TUSD CVA'!$W$38)*(1 - CUSTOS!$M$40)</f>
        <v>0</v>
      </c>
      <c r="W38" s="31">
        <f>('TUSD BE'!$X$38+'TUSD BF'!$X$38+'TUSD CVA'!$X$38)*(1 - CUSTOS!$M$40)</f>
        <v>0</v>
      </c>
      <c r="X38" s="31">
        <f>('TUSD BE'!$Y$38+'TUSD BF'!$Y$38+'TUSD CVA'!$Y$38)*(1 - CUSTOS!$M$40)</f>
        <v>305.61625406743582</v>
      </c>
      <c r="Y38" s="31">
        <f>('TUSD BE'!$Z$38+'TUSD BF'!$Z$38+'TUSD CVA'!$Z$38)*(1 - CUSTOS!$M$40)</f>
        <v>0</v>
      </c>
      <c r="Z38" s="31">
        <f>('TUSD BE'!$AA$38+'TUSD BF'!$AA$38+'TUSD CVA'!$AA$38)*(1 - CUSTOS!$M$40)</f>
        <v>0</v>
      </c>
      <c r="AA38" s="31">
        <f>('TUSD BE'!$AC$38+'TUSD BF'!$AC$38+'TUSD CVA'!$AC$38)*(1 - CUSTOS!$M$40)</f>
        <v>331.28127269527903</v>
      </c>
      <c r="AB38" s="31">
        <f ca="1">('TUSD BE'!$AE$38+'TUSD BF'!$AE$38+'TUSD CVA'!$AE$38)*(1 - CUSTOS!$M$40)</f>
        <v>-79.977396818753192</v>
      </c>
      <c r="AC38" s="31">
        <f ca="1">('TUSD BE'!$AF$38+'TUSD BF'!$AF$38+'TUSD CVA'!$AF$38)*(1 - CUSTOS!$M$40)</f>
        <v>0</v>
      </c>
      <c r="AD38" s="31">
        <f>('TUSD BE'!$AH$38+'TUSD BF'!$AH$38+'TUSD CVA'!$AH$38)*(1 - CUSTOS!$M$40)</f>
        <v>17.40006552461054</v>
      </c>
      <c r="AE38" s="31">
        <f>('TUSD BE'!$AI$38+'TUSD BF'!$AI$38+'TUSD CVA'!$AI$38)*(1 - CUSTOS!$M$40)</f>
        <v>0.55956253023073044</v>
      </c>
      <c r="AF38" s="31">
        <f ca="1">('TUSD BE'!$AJ$38+'TUSD BF'!$AJ$38+'TUSD CVA'!$AJ$38)*(1 - CUSTOS!$M$40)</f>
        <v>1.8393931807330541</v>
      </c>
      <c r="AG38" s="31">
        <f ca="1">('TUSD BE'!$AK$38+'TUSD BF'!$AK$38+'TUSD CVA'!$AK$38)*(1 - CUSTOS!$M$40)</f>
        <v>0.32746653400020653</v>
      </c>
      <c r="AI38" s="31">
        <v>2.07561466029347</v>
      </c>
      <c r="AJ38" s="31">
        <v>0.65582359891807496</v>
      </c>
      <c r="AK38" s="31">
        <v>6.7928800989975304</v>
      </c>
      <c r="AL38" s="31">
        <v>0</v>
      </c>
      <c r="AM38" s="31">
        <v>0</v>
      </c>
      <c r="AN38" s="31">
        <v>54.985087265951996</v>
      </c>
      <c r="AO38" s="31">
        <v>8.8561679258654404</v>
      </c>
      <c r="AP38" s="31">
        <v>0</v>
      </c>
      <c r="AQ38" s="31">
        <v>0</v>
      </c>
      <c r="AR38" s="31">
        <v>0</v>
      </c>
      <c r="AS38" s="31">
        <v>0</v>
      </c>
      <c r="AT38" s="31">
        <v>0</v>
      </c>
      <c r="AU38" s="31">
        <v>271.12996307832498</v>
      </c>
      <c r="AV38" s="31">
        <v>0</v>
      </c>
      <c r="AW38" s="31">
        <v>0</v>
      </c>
      <c r="AX38" s="31">
        <v>299.17660203231901</v>
      </c>
      <c r="AY38" s="31">
        <v>-34.458156642252199</v>
      </c>
      <c r="AZ38" s="31">
        <v>0</v>
      </c>
      <c r="BA38" s="31">
        <v>15.849637055062599</v>
      </c>
      <c r="BB38" s="31">
        <v>0.45253777714188398</v>
      </c>
      <c r="BC38" s="31">
        <v>2.1231607923929001</v>
      </c>
      <c r="BD38" s="31">
        <v>-6.9922351825848994E-2</v>
      </c>
    </row>
    <row r="39" spans="1:56" ht="11.25" customHeight="1" x14ac:dyDescent="0.25">
      <c r="A39" s="137"/>
      <c r="B39" s="137"/>
      <c r="C39" s="137"/>
      <c r="D39" s="137"/>
      <c r="E39" s="137"/>
      <c r="F39" s="137"/>
      <c r="G39" s="41" t="s">
        <v>83</v>
      </c>
      <c r="H39" s="41" t="s">
        <v>70</v>
      </c>
      <c r="I39" s="41">
        <f>'MERCADO TUSD'!$U$36</f>
        <v>0</v>
      </c>
      <c r="J39" s="15"/>
      <c r="L39" s="31">
        <f>('TUSD BE'!$L$39+'TUSD BF'!$L$39+'TUSD CVA'!$L$39)*(1 - CUSTOS!$M$40)</f>
        <v>2.5555727507316117</v>
      </c>
      <c r="M39" s="31">
        <f>('TUSD BE'!$M$39+'TUSD BF'!$M$39+'TUSD CVA'!$M$39)*(1 - CUSTOS!$M$40)</f>
        <v>0.68394411749929662</v>
      </c>
      <c r="N39" s="31">
        <f ca="1">('TUSD BE'!$N$39+'TUSD BF'!$N$39+'TUSD CVA'!$N$39)*(1 - CUSTOS!$M$40)</f>
        <v>4.3618828752836585</v>
      </c>
      <c r="O39" s="31">
        <f>('TUSD BE'!$O$39+'TUSD BF'!$O$39+'TUSD CVA'!$O$39)*(1 - CUSTOS!$M$40)</f>
        <v>0</v>
      </c>
      <c r="P39" s="31">
        <f>('TUSD BE'!$P$39+'TUSD BF'!$P$39+'TUSD CVA'!$P$39)*(1 - CUSTOS!$M$40)</f>
        <v>0</v>
      </c>
      <c r="Q39" s="31">
        <f>('TUSD BE'!$Q$39+'TUSD BF'!$Q$39+'TUSD CVA'!$Q$39)*(1 - CUSTOS!$M$40)</f>
        <v>100.81932239506355</v>
      </c>
      <c r="R39" s="31">
        <f>('TUSD BE'!$R$39+'TUSD BF'!$R$39+'TUSD CVA'!$R$39)*(1 - CUSTOS!$M$40)</f>
        <v>16.841140159955103</v>
      </c>
      <c r="S39" s="31">
        <f>('TUSD BE'!$S$39+'TUSD BF'!$S$39+'TUSD CVA'!$S$39)*(1 - CUSTOS!$M$40)</f>
        <v>0</v>
      </c>
      <c r="T39" s="31">
        <f>('TUSD BE'!$U$39+'TUSD BF'!$U$39+'TUSD CVA'!$U$39)*(1 - CUSTOS!$M$40)</f>
        <v>0</v>
      </c>
      <c r="U39" s="31">
        <f>('TUSD BE'!$V$39+'TUSD BF'!$V$39+'TUSD CVA'!$V$39)*(1 - CUSTOS!$M$40)</f>
        <v>0</v>
      </c>
      <c r="V39" s="31">
        <f>('TUSD BE'!$W$39+'TUSD BF'!$W$39+'TUSD CVA'!$W$39)*(1 - CUSTOS!$M$40)</f>
        <v>0</v>
      </c>
      <c r="W39" s="31">
        <f>('TUSD BE'!$X$39+'TUSD BF'!$X$39+'TUSD CVA'!$X$39)*(1 - CUSTOS!$M$40)</f>
        <v>0</v>
      </c>
      <c r="X39" s="31">
        <f>('TUSD BE'!$Y$39+'TUSD BF'!$Y$39+'TUSD CVA'!$Y$39)*(1 - CUSTOS!$M$40)</f>
        <v>183.36979605824021</v>
      </c>
      <c r="Y39" s="31">
        <f>('TUSD BE'!$Z$39+'TUSD BF'!$Z$39+'TUSD CVA'!$Z$39)*(1 - CUSTOS!$M$40)</f>
        <v>0</v>
      </c>
      <c r="Z39" s="31">
        <f>('TUSD BE'!$AA$39+'TUSD BF'!$AA$39+'TUSD CVA'!$AA$39)*(1 - CUSTOS!$M$40)</f>
        <v>0</v>
      </c>
      <c r="AA39" s="31">
        <f>('TUSD BE'!$AC$39+'TUSD BF'!$AC$39+'TUSD CVA'!$AC$39)*(1 - CUSTOS!$M$40)</f>
        <v>198.76878240259362</v>
      </c>
      <c r="AB39" s="31">
        <f ca="1">('TUSD BE'!$AE$39+'TUSD BF'!$AE$39+'TUSD CVA'!$AE$39)*(1 - CUSTOS!$M$40)</f>
        <v>-53.154481032188158</v>
      </c>
      <c r="AC39" s="31">
        <f ca="1">('TUSD BE'!$AF$39+'TUSD BF'!$AF$39+'TUSD CVA'!$AF$39)*(1 - CUSTOS!$M$40)</f>
        <v>0</v>
      </c>
      <c r="AD39" s="31">
        <f>('TUSD BE'!$AH$39+'TUSD BF'!$AH$39+'TUSD CVA'!$AH$39)*(1 - CUSTOS!$M$40)</f>
        <v>17.40006552461054</v>
      </c>
      <c r="AE39" s="31">
        <f>('TUSD BE'!$AI$39+'TUSD BF'!$AI$39+'TUSD CVA'!$AI$39)*(1 - CUSTOS!$M$40)</f>
        <v>0.55956253023073044</v>
      </c>
      <c r="AF39" s="31">
        <f ca="1">('TUSD BE'!$AJ$39+'TUSD BF'!$AJ$39+'TUSD CVA'!$AJ$39)*(1 - CUSTOS!$M$40)</f>
        <v>1.8393931807330541</v>
      </c>
      <c r="AG39" s="31">
        <f ca="1">('TUSD BE'!$AK$39+'TUSD BF'!$AK$39+'TUSD CVA'!$AK$39)*(1 - CUSTOS!$M$40)</f>
        <v>0.32746653400020653</v>
      </c>
      <c r="AI39" s="31">
        <v>2.07561466029347</v>
      </c>
      <c r="AJ39" s="31">
        <v>0.65582359891807496</v>
      </c>
      <c r="AK39" s="31">
        <v>4.2516246258314601</v>
      </c>
      <c r="AL39" s="31">
        <v>0</v>
      </c>
      <c r="AM39" s="31">
        <v>0</v>
      </c>
      <c r="AN39" s="31">
        <v>54.985087265951996</v>
      </c>
      <c r="AO39" s="31">
        <v>8.8561679258654404</v>
      </c>
      <c r="AP39" s="31">
        <v>0</v>
      </c>
      <c r="AQ39" s="31">
        <v>0</v>
      </c>
      <c r="AR39" s="31">
        <v>0</v>
      </c>
      <c r="AS39" s="31">
        <v>0</v>
      </c>
      <c r="AT39" s="31">
        <v>0</v>
      </c>
      <c r="AU39" s="31">
        <v>162.67794163034699</v>
      </c>
      <c r="AV39" s="31">
        <v>0</v>
      </c>
      <c r="AW39" s="31">
        <v>0</v>
      </c>
      <c r="AX39" s="31">
        <v>179.505944648628</v>
      </c>
      <c r="AY39" s="31">
        <v>-22.362440590867902</v>
      </c>
      <c r="AZ39" s="31">
        <v>0</v>
      </c>
      <c r="BA39" s="31">
        <v>15.849637055062599</v>
      </c>
      <c r="BB39" s="31">
        <v>0.45253777714188398</v>
      </c>
      <c r="BC39" s="31">
        <v>2.1231607923929001</v>
      </c>
      <c r="BD39" s="31">
        <v>-6.9922351825848994E-2</v>
      </c>
    </row>
    <row r="40" spans="1:56" ht="11.25" customHeight="1" x14ac:dyDescent="0.25">
      <c r="A40" s="137"/>
      <c r="B40" s="137"/>
      <c r="C40" s="137"/>
      <c r="D40" s="137"/>
      <c r="E40" s="137"/>
      <c r="F40" s="137"/>
      <c r="G40" s="41" t="s">
        <v>72</v>
      </c>
      <c r="H40" s="41" t="s">
        <v>70</v>
      </c>
      <c r="I40" s="41">
        <f>'MERCADO TUSD'!$U$37</f>
        <v>0</v>
      </c>
      <c r="J40" s="15"/>
      <c r="L40" s="31">
        <f>('TUSD BE'!$L$40+'TUSD BF'!$L$40+'TUSD CVA'!$L$40)*(1 - CUSTOS!$M$40)</f>
        <v>2.5555727507316117</v>
      </c>
      <c r="M40" s="31">
        <f>('TUSD BE'!$M$40+'TUSD BF'!$M$40+'TUSD CVA'!$M$40)*(1 - CUSTOS!$M$40)</f>
        <v>0.68394411749929662</v>
      </c>
      <c r="N40" s="31">
        <f ca="1">('TUSD BE'!$N$40+'TUSD BF'!$N$40+'TUSD CVA'!$N$40)*(1 - CUSTOS!$M$40)</f>
        <v>1.7396594679559156</v>
      </c>
      <c r="O40" s="31">
        <f>('TUSD BE'!$O$40+'TUSD BF'!$O$40+'TUSD CVA'!$O$40)*(1 - CUSTOS!$M$40)</f>
        <v>0</v>
      </c>
      <c r="P40" s="31">
        <f>('TUSD BE'!$P$40+'TUSD BF'!$P$40+'TUSD CVA'!$P$40)*(1 - CUSTOS!$M$40)</f>
        <v>0</v>
      </c>
      <c r="Q40" s="31">
        <f>('TUSD BE'!$Q$40+'TUSD BF'!$Q$40+'TUSD CVA'!$Q$40)*(1 - CUSTOS!$M$40)</f>
        <v>100.81932239506355</v>
      </c>
      <c r="R40" s="31">
        <f>('TUSD BE'!$R$40+'TUSD BF'!$R$40+'TUSD CVA'!$R$40)*(1 - CUSTOS!$M$40)</f>
        <v>16.841140159955103</v>
      </c>
      <c r="S40" s="31">
        <f>('TUSD BE'!$S$40+'TUSD BF'!$S$40+'TUSD CVA'!$S$40)*(1 - CUSTOS!$M$40)</f>
        <v>0</v>
      </c>
      <c r="T40" s="31">
        <f>('TUSD BE'!$U$40+'TUSD BF'!$U$40+'TUSD CVA'!$U$40)*(1 - CUSTOS!$M$40)</f>
        <v>0</v>
      </c>
      <c r="U40" s="31">
        <f>('TUSD BE'!$V$40+'TUSD BF'!$V$40+'TUSD CVA'!$V$40)*(1 - CUSTOS!$M$40)</f>
        <v>0</v>
      </c>
      <c r="V40" s="31">
        <f>('TUSD BE'!$W$40+'TUSD BF'!$W$40+'TUSD CVA'!$W$40)*(1 - CUSTOS!$M$40)</f>
        <v>0</v>
      </c>
      <c r="W40" s="31">
        <f>('TUSD BE'!$X$40+'TUSD BF'!$X$40+'TUSD CVA'!$X$40)*(1 - CUSTOS!$M$40)</f>
        <v>0</v>
      </c>
      <c r="X40" s="31">
        <f>('TUSD BE'!$Y$40+'TUSD BF'!$Y$40+'TUSD CVA'!$Y$40)*(1 - CUSTOS!$M$40)</f>
        <v>61.123229004597796</v>
      </c>
      <c r="Y40" s="31">
        <f>('TUSD BE'!$Z$40+'TUSD BF'!$Z$40+'TUSD CVA'!$Z$40)*(1 - CUSTOS!$M$40)</f>
        <v>0</v>
      </c>
      <c r="Z40" s="31">
        <f>('TUSD BE'!$AA$40+'TUSD BF'!$AA$40+'TUSD CVA'!$AA$40)*(1 - CUSTOS!$M$40)</f>
        <v>0</v>
      </c>
      <c r="AA40" s="31">
        <f>('TUSD BE'!$AC$40+'TUSD BF'!$AC$40+'TUSD CVA'!$AC$40)*(1 - CUSTOS!$M$40)</f>
        <v>66.256292109908188</v>
      </c>
      <c r="AB40" s="31">
        <f ca="1">('TUSD BE'!$AE$40+'TUSD BF'!$AE$40+'TUSD CVA'!$AE$40)*(1 - CUSTOS!$M$40)</f>
        <v>-26.331554135667382</v>
      </c>
      <c r="AC40" s="31">
        <f ca="1">('TUSD BE'!$AF$40+'TUSD BF'!$AF$40+'TUSD CVA'!$AF$40)*(1 - CUSTOS!$M$40)</f>
        <v>0</v>
      </c>
      <c r="AD40" s="31">
        <f>('TUSD BE'!$AH$40+'TUSD BF'!$AH$40+'TUSD CVA'!$AH$40)*(1 - CUSTOS!$M$40)</f>
        <v>17.40006552461054</v>
      </c>
      <c r="AE40" s="31">
        <f>('TUSD BE'!$AI$40+'TUSD BF'!$AI$40+'TUSD CVA'!$AI$40)*(1 - CUSTOS!$M$40)</f>
        <v>0.55956253023073044</v>
      </c>
      <c r="AF40" s="31">
        <f ca="1">('TUSD BE'!$AJ$40+'TUSD BF'!$AJ$40+'TUSD CVA'!$AJ$40)*(1 - CUSTOS!$M$40)</f>
        <v>1.8393931807330541</v>
      </c>
      <c r="AG40" s="31">
        <f ca="1">('TUSD BE'!$AK$40+'TUSD BF'!$AK$40+'TUSD CVA'!$AK$40)*(1 - CUSTOS!$M$40)</f>
        <v>0.32746653400020653</v>
      </c>
      <c r="AI40" s="31">
        <v>2.07561466029347</v>
      </c>
      <c r="AJ40" s="31">
        <v>0.65582359891807496</v>
      </c>
      <c r="AK40" s="31">
        <v>1.7103691526653799</v>
      </c>
      <c r="AL40" s="31">
        <v>0</v>
      </c>
      <c r="AM40" s="31">
        <v>0</v>
      </c>
      <c r="AN40" s="31">
        <v>54.985087265951996</v>
      </c>
      <c r="AO40" s="31">
        <v>8.8561679258654404</v>
      </c>
      <c r="AP40" s="31">
        <v>0</v>
      </c>
      <c r="AQ40" s="31">
        <v>0</v>
      </c>
      <c r="AR40" s="31">
        <v>0</v>
      </c>
      <c r="AS40" s="31">
        <v>0</v>
      </c>
      <c r="AT40" s="31">
        <v>0</v>
      </c>
      <c r="AU40" s="31">
        <v>54.2259201823681</v>
      </c>
      <c r="AV40" s="31">
        <v>0</v>
      </c>
      <c r="AW40" s="31">
        <v>0</v>
      </c>
      <c r="AX40" s="31">
        <v>59.835287264936603</v>
      </c>
      <c r="AY40" s="31">
        <v>-10.266724539483601</v>
      </c>
      <c r="AZ40" s="31">
        <v>0</v>
      </c>
      <c r="BA40" s="31">
        <v>15.849637055062599</v>
      </c>
      <c r="BB40" s="31">
        <v>0.45253777714188398</v>
      </c>
      <c r="BC40" s="31">
        <v>2.1231607923929001</v>
      </c>
      <c r="BD40" s="31">
        <v>-6.9922351825848994E-2</v>
      </c>
    </row>
    <row r="41" spans="1:56" ht="11.25" customHeight="1" x14ac:dyDescent="0.25">
      <c r="A41" s="137"/>
      <c r="B41" s="42" t="s">
        <v>23</v>
      </c>
      <c r="C41" s="42" t="s">
        <v>40</v>
      </c>
      <c r="D41" s="42" t="s">
        <v>87</v>
      </c>
      <c r="E41" s="42" t="s">
        <v>25</v>
      </c>
      <c r="F41" s="42" t="s">
        <v>25</v>
      </c>
      <c r="G41" s="41" t="s">
        <v>74</v>
      </c>
      <c r="H41" s="41" t="s">
        <v>70</v>
      </c>
      <c r="I41" s="41">
        <f>'MERCADO TUSD'!$U$38</f>
        <v>0</v>
      </c>
      <c r="J41" s="15"/>
      <c r="L41" s="31">
        <f>('TUSD BE'!$L$41+'TUSD BF'!$L$41+'TUSD CVA'!$L$41)*(1 - CUSTOS!$M$40)</f>
        <v>2.5555727507316117</v>
      </c>
      <c r="M41" s="31">
        <f>('TUSD BE'!$M$41+'TUSD BF'!$M$41+'TUSD CVA'!$M$41)*(1 - CUSTOS!$M$40)</f>
        <v>0.68394411749929662</v>
      </c>
      <c r="N41" s="31">
        <f ca="1">('TUSD BE'!$N$41+'TUSD BF'!$N$41+'TUSD CVA'!$N$41)*(1 - CUSTOS!$M$40)</f>
        <v>2.9023429235101794</v>
      </c>
      <c r="O41" s="31">
        <f>('TUSD BE'!$O$41+'TUSD BF'!$O$41+'TUSD CVA'!$O$41)*(1 - CUSTOS!$M$40)</f>
        <v>0</v>
      </c>
      <c r="P41" s="31">
        <f>('TUSD BE'!$P$41+'TUSD BF'!$P$41+'TUSD CVA'!$P$41)*(1 - CUSTOS!$M$40)</f>
        <v>0</v>
      </c>
      <c r="Q41" s="31">
        <f>('TUSD BE'!$Q$41+'TUSD BF'!$Q$41+'TUSD CVA'!$Q$41)*(1 - CUSTOS!$M$40)</f>
        <v>100.81932239506355</v>
      </c>
      <c r="R41" s="31">
        <f>('TUSD BE'!$R$41+'TUSD BF'!$R$41+'TUSD CVA'!$R$41)*(1 - CUSTOS!$M$40)</f>
        <v>16.841140159955103</v>
      </c>
      <c r="S41" s="31">
        <f>('TUSD BE'!$S$41+'TUSD BF'!$S$41+'TUSD CVA'!$S$41)*(1 - CUSTOS!$M$40)</f>
        <v>0</v>
      </c>
      <c r="T41" s="31">
        <f>('TUSD BE'!$U$41+'TUSD BF'!$U$41+'TUSD CVA'!$U$41)*(1 - CUSTOS!$M$40)</f>
        <v>0</v>
      </c>
      <c r="U41" s="31">
        <f>('TUSD BE'!$V$41+'TUSD BF'!$V$41+'TUSD CVA'!$V$41)*(1 - CUSTOS!$M$40)</f>
        <v>0</v>
      </c>
      <c r="V41" s="31">
        <f>('TUSD BE'!$W$41+'TUSD BF'!$W$41+'TUSD CVA'!$W$41)*(1 - CUSTOS!$M$40)</f>
        <v>0</v>
      </c>
      <c r="W41" s="31">
        <f>('TUSD BE'!$X$41+'TUSD BF'!$X$41+'TUSD CVA'!$X$41)*(1 - CUSTOS!$M$40)</f>
        <v>0</v>
      </c>
      <c r="X41" s="31">
        <f>('TUSD BE'!$Y$41+'TUSD BF'!$Y$41+'TUSD CVA'!$Y$41)*(1 - CUSTOS!$M$40)</f>
        <v>115.32693359106692</v>
      </c>
      <c r="Y41" s="31">
        <f>('TUSD BE'!$Z$41+'TUSD BF'!$Z$41+'TUSD CVA'!$Z$41)*(1 - CUSTOS!$M$40)</f>
        <v>0</v>
      </c>
      <c r="Z41" s="31">
        <f>('TUSD BE'!$AA$41+'TUSD BF'!$AA$41+'TUSD CVA'!$AA$41)*(1 - CUSTOS!$M$40)</f>
        <v>0</v>
      </c>
      <c r="AA41" s="31">
        <f>('TUSD BE'!$AC$41+'TUSD BF'!$AC$41+'TUSD CVA'!$AC$41)*(1 - CUSTOS!$M$40)</f>
        <v>125.01175139520592</v>
      </c>
      <c r="AB41" s="31">
        <f ca="1">('TUSD BE'!$AE$41+'TUSD BF'!$AE$41+'TUSD CVA'!$AE$41)*(1 - CUSTOS!$M$40)</f>
        <v>-38.224734030112231</v>
      </c>
      <c r="AC41" s="31">
        <f ca="1">('TUSD BE'!$AF$41+'TUSD BF'!$AF$41+'TUSD CVA'!$AF$41)*(1 - CUSTOS!$M$40)</f>
        <v>0</v>
      </c>
      <c r="AD41" s="31">
        <f>('TUSD BE'!$AH$41+'TUSD BF'!$AH$41+'TUSD CVA'!$AH$41)*(1 - CUSTOS!$M$40)</f>
        <v>17.40006552461054</v>
      </c>
      <c r="AE41" s="31">
        <f>('TUSD BE'!$AI$41+'TUSD BF'!$AI$41+'TUSD CVA'!$AI$41)*(1 - CUSTOS!$M$40)</f>
        <v>0.55956253023073044</v>
      </c>
      <c r="AF41" s="31">
        <f ca="1">('TUSD BE'!$AJ$41+'TUSD BF'!$AJ$41+'TUSD CVA'!$AJ$41)*(1 - CUSTOS!$M$40)</f>
        <v>1.8393931807330541</v>
      </c>
      <c r="AG41" s="31">
        <f ca="1">('TUSD BE'!$AK$41+'TUSD BF'!$AK$41+'TUSD CVA'!$AK$41)*(1 - CUSTOS!$M$40)</f>
        <v>0.32746653400020653</v>
      </c>
      <c r="AI41" s="31">
        <v>2.07561466029347</v>
      </c>
      <c r="AJ41" s="31">
        <v>0.65582359891807496</v>
      </c>
      <c r="AK41" s="31">
        <v>2.7499742297434602</v>
      </c>
      <c r="AL41" s="31">
        <v>0</v>
      </c>
      <c r="AM41" s="31">
        <v>0</v>
      </c>
      <c r="AN41" s="31">
        <v>54.985087265951996</v>
      </c>
      <c r="AO41" s="31">
        <v>8.8561679258654404</v>
      </c>
      <c r="AP41" s="31">
        <v>0</v>
      </c>
      <c r="AQ41" s="31">
        <v>0</v>
      </c>
      <c r="AR41" s="31">
        <v>0</v>
      </c>
      <c r="AS41" s="31">
        <v>0</v>
      </c>
      <c r="AT41" s="31">
        <v>0</v>
      </c>
      <c r="AU41" s="31">
        <v>98.5927632330026</v>
      </c>
      <c r="AV41" s="31">
        <v>0</v>
      </c>
      <c r="AW41" s="31">
        <v>0</v>
      </c>
      <c r="AX41" s="31">
        <v>108.79145398729</v>
      </c>
      <c r="AY41" s="31">
        <v>-15.2149768907998</v>
      </c>
      <c r="AZ41" s="31">
        <v>0</v>
      </c>
      <c r="BA41" s="31">
        <v>15.849637055062599</v>
      </c>
      <c r="BB41" s="31">
        <v>0.45253777714188398</v>
      </c>
      <c r="BC41" s="31">
        <v>2.1231607923929001</v>
      </c>
      <c r="BD41" s="31">
        <v>-6.9922351825848994E-2</v>
      </c>
    </row>
    <row r="42" spans="1:56" ht="11.25" customHeight="1" x14ac:dyDescent="0.25">
      <c r="A42" s="137"/>
      <c r="B42" s="137" t="s">
        <v>85</v>
      </c>
      <c r="C42" s="137" t="s">
        <v>40</v>
      </c>
      <c r="D42" s="42" t="s">
        <v>25</v>
      </c>
      <c r="E42" s="42" t="s">
        <v>25</v>
      </c>
      <c r="F42" s="42" t="s">
        <v>25</v>
      </c>
      <c r="G42" s="41" t="s">
        <v>74</v>
      </c>
      <c r="H42" s="41" t="s">
        <v>70</v>
      </c>
      <c r="I42" s="41">
        <f>'MERCADO TUSD'!$U$39</f>
        <v>0</v>
      </c>
      <c r="J42" s="15"/>
      <c r="L42" s="31">
        <f>('TUSD BE'!$L$42+'TUSD BF'!$L$42+'TUSD CVA'!$L$42)*(1 - CUSTOS!$M$38)</f>
        <v>2.6111286800953422</v>
      </c>
      <c r="M42" s="31">
        <f>('TUSD BE'!$M$42+'TUSD BF'!$M$42+'TUSD CVA'!$M$42)*(1 - CUSTOS!$M$38)</f>
        <v>0.69881246787971607</v>
      </c>
      <c r="N42" s="31">
        <f ca="1">('TUSD BE'!$N$42+'TUSD BF'!$N$42+'TUSD CVA'!$N$42)*(1 - CUSTOS!$M$38)</f>
        <v>2.9654373348908352</v>
      </c>
      <c r="O42" s="31">
        <f>('TUSD BE'!$O$42+'TUSD BF'!$O$42+'TUSD CVA'!$O$42)*(1 - CUSTOS!$M$38)</f>
        <v>0</v>
      </c>
      <c r="P42" s="31">
        <f>('TUSD BE'!$P$42+'TUSD BF'!$P$42+'TUSD CVA'!$P$42)*(1 - CUSTOS!$M$38)</f>
        <v>0</v>
      </c>
      <c r="Q42" s="31">
        <f>('TUSD BE'!$Q$42+'TUSD BF'!$Q$42+'TUSD CVA'!$Q$42)*(1 - CUSTOS!$M$38)</f>
        <v>103.01104679495623</v>
      </c>
      <c r="R42" s="31">
        <f>('TUSD BE'!$R$42+'TUSD BF'!$R$42+'TUSD CVA'!$R$42)*(1 - CUSTOS!$M$38)</f>
        <v>17.20725190256282</v>
      </c>
      <c r="S42" s="31">
        <f>('TUSD BE'!$S$42+'TUSD BF'!$S$42+'TUSD CVA'!$S$42)*(1 - CUSTOS!$M$38)</f>
        <v>0</v>
      </c>
      <c r="T42" s="31">
        <f>('TUSD BE'!$U$42+'TUSD BF'!$U$42+'TUSD CVA'!$U$42)*(1 - CUSTOS!$M$38)</f>
        <v>0</v>
      </c>
      <c r="U42" s="31">
        <f>('TUSD BE'!$V$42+'TUSD BF'!$V$42+'TUSD CVA'!$V$42)*(1 - CUSTOS!$M$38)</f>
        <v>0</v>
      </c>
      <c r="V42" s="31">
        <f>('TUSD BE'!$W$42+'TUSD BF'!$W$42+'TUSD CVA'!$W$42)*(1 - CUSTOS!$M$38)</f>
        <v>0</v>
      </c>
      <c r="W42" s="31">
        <f>('TUSD BE'!$X$42+'TUSD BF'!$X$42+'TUSD CVA'!$X$42)*(1 - CUSTOS!$M$38)</f>
        <v>0</v>
      </c>
      <c r="X42" s="31">
        <f>('TUSD BE'!$Y$42+'TUSD BF'!$Y$42+'TUSD CVA'!$Y$42)*(1 - CUSTOS!$M$38)</f>
        <v>117.83404084304662</v>
      </c>
      <c r="Y42" s="31">
        <f>('TUSD BE'!$Z$42+'TUSD BF'!$Z$42+'TUSD CVA'!$Z$42)*(1 - CUSTOS!$M$38)</f>
        <v>0</v>
      </c>
      <c r="Z42" s="31">
        <f>('TUSD BE'!$AA$42+'TUSD BF'!$AA$42+'TUSD CVA'!$AA$42)*(1 - CUSTOS!$M$38)</f>
        <v>0</v>
      </c>
      <c r="AA42" s="31">
        <f>('TUSD BE'!$AC$42+'TUSD BF'!$AC$42+'TUSD CVA'!$AC$42)*(1 - CUSTOS!$M$38)</f>
        <v>127.7293981646669</v>
      </c>
      <c r="AB42" s="31">
        <f ca="1">('TUSD BE'!$AE$42+'TUSD BF'!$AE$42+'TUSD CVA'!$AE$42)*(1 - CUSTOS!$M$38)</f>
        <v>-39.055706509027708</v>
      </c>
      <c r="AC42" s="31">
        <f ca="1">('TUSD BE'!$AF$42+'TUSD BF'!$AF$42+'TUSD CVA'!$AF$42)*(1 - CUSTOS!$M$38)</f>
        <v>0</v>
      </c>
      <c r="AD42" s="31">
        <f>('TUSD BE'!$AH$42+'TUSD BF'!$AH$42+'TUSD CVA'!$AH$42)*(1 - CUSTOS!$M$38)</f>
        <v>17.778327818623811</v>
      </c>
      <c r="AE42" s="31">
        <f>('TUSD BE'!$AI$42+'TUSD BF'!$AI$42+'TUSD CVA'!$AI$42)*(1 - CUSTOS!$M$38)</f>
        <v>0.57172693306183331</v>
      </c>
      <c r="AF42" s="31">
        <f ca="1">('TUSD BE'!$AJ$42+'TUSD BF'!$AJ$42+'TUSD CVA'!$AJ$42)*(1 - CUSTOS!$M$38)</f>
        <v>1.8793799890098595</v>
      </c>
      <c r="AG42" s="31">
        <f ca="1">('TUSD BE'!$AK$42+'TUSD BF'!$AK$42+'TUSD CVA'!$AK$42)*(1 - CUSTOS!$M$38)</f>
        <v>0.33458537169586317</v>
      </c>
      <c r="AI42" s="31">
        <v>2.17445345364077</v>
      </c>
      <c r="AJ42" s="31">
        <v>0.68705329410464999</v>
      </c>
      <c r="AK42" s="31">
        <v>2.88092538354076</v>
      </c>
      <c r="AL42" s="31">
        <v>0</v>
      </c>
      <c r="AM42" s="31">
        <v>0</v>
      </c>
      <c r="AN42" s="31">
        <v>57.603424754806902</v>
      </c>
      <c r="AO42" s="31">
        <v>9.2778902080495094</v>
      </c>
      <c r="AP42" s="31">
        <v>0</v>
      </c>
      <c r="AQ42" s="31">
        <v>0</v>
      </c>
      <c r="AR42" s="31">
        <v>0</v>
      </c>
      <c r="AS42" s="31">
        <v>0</v>
      </c>
      <c r="AT42" s="31">
        <v>0</v>
      </c>
      <c r="AU42" s="31">
        <v>103.287656720288</v>
      </c>
      <c r="AV42" s="31">
        <v>0</v>
      </c>
      <c r="AW42" s="31">
        <v>0</v>
      </c>
      <c r="AX42" s="31">
        <v>113.97199941525599</v>
      </c>
      <c r="AY42" s="31">
        <v>-15.939499599885499</v>
      </c>
      <c r="AZ42" s="31">
        <v>0</v>
      </c>
      <c r="BA42" s="31">
        <v>16.604381676732199</v>
      </c>
      <c r="BB42" s="31">
        <v>0.47408719510102099</v>
      </c>
      <c r="BC42" s="31">
        <v>2.22426368726875</v>
      </c>
      <c r="BD42" s="31">
        <v>-7.3251987627079906E-2</v>
      </c>
    </row>
    <row r="43" spans="1:56" ht="11.25" customHeight="1" x14ac:dyDescent="0.25">
      <c r="A43" s="137"/>
      <c r="B43" s="137"/>
      <c r="C43" s="137"/>
      <c r="D43" s="42" t="s">
        <v>86</v>
      </c>
      <c r="E43" s="42" t="s">
        <v>25</v>
      </c>
      <c r="F43" s="42" t="s">
        <v>25</v>
      </c>
      <c r="G43" s="41" t="s">
        <v>74</v>
      </c>
      <c r="H43" s="41" t="s">
        <v>70</v>
      </c>
      <c r="I43" s="41">
        <f>'MERCADO TUSD'!$U$40</f>
        <v>0</v>
      </c>
      <c r="J43" s="15"/>
      <c r="L43" s="31">
        <f>('TUSD BE'!$L$43+'TUSD BF'!$L$43+'TUSD CVA'!$L$43)*(1 - CUSTOS!$M$39)</f>
        <v>2.6111286800953422</v>
      </c>
      <c r="M43" s="31">
        <f>('TUSD BE'!$M$43+'TUSD BF'!$M$43+'TUSD CVA'!$M$43)*(1 - CUSTOS!$M$39)</f>
        <v>0.69881246787971607</v>
      </c>
      <c r="N43" s="31">
        <f ca="1">('TUSD BE'!$N$43+'TUSD BF'!$N$43+'TUSD CVA'!$N$43)*(1 - CUSTOS!$M$39)</f>
        <v>2.9654373348908352</v>
      </c>
      <c r="O43" s="31">
        <f>('TUSD BE'!$O$43+'TUSD BF'!$O$43+'TUSD CVA'!$O$43)*(1 - CUSTOS!$M$39)</f>
        <v>0</v>
      </c>
      <c r="P43" s="31">
        <f>('TUSD BE'!$P$43+'TUSD BF'!$P$43+'TUSD CVA'!$P$43)*(1 - CUSTOS!$M$39)</f>
        <v>0</v>
      </c>
      <c r="Q43" s="31">
        <f>('TUSD BE'!$Q$43+'TUSD BF'!$Q$43+'TUSD CVA'!$Q$43)*(1 - CUSTOS!$M$39)</f>
        <v>103.01104679495623</v>
      </c>
      <c r="R43" s="31">
        <f>('TUSD BE'!$R$43+'TUSD BF'!$R$43+'TUSD CVA'!$R$43)*(1 - CUSTOS!$M$39)</f>
        <v>17.20725190256282</v>
      </c>
      <c r="S43" s="31">
        <f>('TUSD BE'!$S$43+'TUSD BF'!$S$43+'TUSD CVA'!$S$43)*(1 - CUSTOS!$M$39)</f>
        <v>0</v>
      </c>
      <c r="T43" s="31">
        <f>('TUSD BE'!$U$43+'TUSD BF'!$U$43+'TUSD CVA'!$U$43)*(1 - CUSTOS!$M$39)</f>
        <v>0</v>
      </c>
      <c r="U43" s="31">
        <f>('TUSD BE'!$V$43+'TUSD BF'!$V$43+'TUSD CVA'!$V$43)*(1 - CUSTOS!$M$39)</f>
        <v>0</v>
      </c>
      <c r="V43" s="31">
        <f>('TUSD BE'!$W$43+'TUSD BF'!$W$43+'TUSD CVA'!$W$43)*(1 - CUSTOS!$M$39)</f>
        <v>0</v>
      </c>
      <c r="W43" s="31">
        <f>('TUSD BE'!$X$43+'TUSD BF'!$X$43+'TUSD CVA'!$X$43)*(1 - CUSTOS!$M$39)</f>
        <v>0</v>
      </c>
      <c r="X43" s="31">
        <f>('TUSD BE'!$Y$43+'TUSD BF'!$Y$43+'TUSD CVA'!$Y$43)*(1 - CUSTOS!$M$39)</f>
        <v>117.83404084304662</v>
      </c>
      <c r="Y43" s="31">
        <f>('TUSD BE'!$Z$43+'TUSD BF'!$Z$43+'TUSD CVA'!$Z$43)*(1 - CUSTOS!$M$39)</f>
        <v>0</v>
      </c>
      <c r="Z43" s="31">
        <f>('TUSD BE'!$AA$43+'TUSD BF'!$AA$43+'TUSD CVA'!$AA$43)*(1 - CUSTOS!$M$39)</f>
        <v>0</v>
      </c>
      <c r="AA43" s="31">
        <f>('TUSD BE'!$AC$43+'TUSD BF'!$AC$43+'TUSD CVA'!$AC$43)*(1 - CUSTOS!$M$39)</f>
        <v>127.7293981646669</v>
      </c>
      <c r="AB43" s="31">
        <f ca="1">('TUSD BE'!$AE$43+'TUSD BF'!$AE$43+'TUSD CVA'!$AE$43)*(1 - CUSTOS!$M$39)</f>
        <v>-39.055706509027708</v>
      </c>
      <c r="AC43" s="31">
        <f ca="1">('TUSD BE'!$AF$43+'TUSD BF'!$AF$43+'TUSD CVA'!$AF$43)*(1 - CUSTOS!$M$39)</f>
        <v>0</v>
      </c>
      <c r="AD43" s="31">
        <f>('TUSD BE'!$AH$43+'TUSD BF'!$AH$43+'TUSD CVA'!$AH$43)*(1 - CUSTOS!$M$39)</f>
        <v>17.778327818623811</v>
      </c>
      <c r="AE43" s="31">
        <f>('TUSD BE'!$AI$43+'TUSD BF'!$AI$43+'TUSD CVA'!$AI$43)*(1 - CUSTOS!$M$39)</f>
        <v>0.57172693306183331</v>
      </c>
      <c r="AF43" s="31">
        <f ca="1">('TUSD BE'!$AJ$43+'TUSD BF'!$AJ$43+'TUSD CVA'!$AJ$43)*(1 - CUSTOS!$M$39)</f>
        <v>1.8793799890098595</v>
      </c>
      <c r="AG43" s="31">
        <f ca="1">('TUSD BE'!$AK$43+'TUSD BF'!$AK$43+'TUSD CVA'!$AK$43)*(1 - CUSTOS!$M$39)</f>
        <v>0.33458537169586317</v>
      </c>
      <c r="AI43" s="31">
        <v>2.17445345364077</v>
      </c>
      <c r="AJ43" s="31">
        <v>0.68705329410464999</v>
      </c>
      <c r="AK43" s="31">
        <v>2.88092538354076</v>
      </c>
      <c r="AL43" s="31">
        <v>0</v>
      </c>
      <c r="AM43" s="31">
        <v>0</v>
      </c>
      <c r="AN43" s="31">
        <v>57.603424754806902</v>
      </c>
      <c r="AO43" s="31">
        <v>9.2778902080495094</v>
      </c>
      <c r="AP43" s="31">
        <v>0</v>
      </c>
      <c r="AQ43" s="31">
        <v>0</v>
      </c>
      <c r="AR43" s="31">
        <v>0</v>
      </c>
      <c r="AS43" s="31">
        <v>0</v>
      </c>
      <c r="AT43" s="31">
        <v>0</v>
      </c>
      <c r="AU43" s="31">
        <v>103.287656720288</v>
      </c>
      <c r="AV43" s="31">
        <v>0</v>
      </c>
      <c r="AW43" s="31">
        <v>0</v>
      </c>
      <c r="AX43" s="31">
        <v>113.97199941525599</v>
      </c>
      <c r="AY43" s="31">
        <v>-15.939499599885499</v>
      </c>
      <c r="AZ43" s="31">
        <v>0</v>
      </c>
      <c r="BA43" s="31">
        <v>16.604381676732199</v>
      </c>
      <c r="BB43" s="31">
        <v>0.47408719510102099</v>
      </c>
      <c r="BC43" s="31">
        <v>2.22426368726875</v>
      </c>
      <c r="BD43" s="31">
        <v>-7.3251987627079906E-2</v>
      </c>
    </row>
    <row r="44" spans="1:56" ht="11.25" customHeight="1" x14ac:dyDescent="0.25">
      <c r="A44" s="137"/>
      <c r="B44" s="137"/>
      <c r="C44" s="137"/>
      <c r="D44" s="42" t="s">
        <v>87</v>
      </c>
      <c r="E44" s="42" t="s">
        <v>25</v>
      </c>
      <c r="F44" s="42" t="s">
        <v>25</v>
      </c>
      <c r="G44" s="41" t="s">
        <v>74</v>
      </c>
      <c r="H44" s="41" t="s">
        <v>70</v>
      </c>
      <c r="I44" s="41">
        <f>'MERCADO TUSD'!$U$41</f>
        <v>0</v>
      </c>
      <c r="J44" s="15"/>
      <c r="L44" s="31">
        <f>('TUSD BE'!$L$44+'TUSD BF'!$L$44+'TUSD CVA'!$L$44)*(1 - CUSTOS!$M$40)</f>
        <v>2.5555727507316117</v>
      </c>
      <c r="M44" s="31">
        <f>('TUSD BE'!$M$44+'TUSD BF'!$M$44+'TUSD CVA'!$M$44)*(1 - CUSTOS!$M$40)</f>
        <v>0.68394411749929662</v>
      </c>
      <c r="N44" s="31">
        <f ca="1">('TUSD BE'!$N$44+'TUSD BF'!$N$44+'TUSD CVA'!$N$44)*(1 - CUSTOS!$M$40)</f>
        <v>2.9023429235101794</v>
      </c>
      <c r="O44" s="31">
        <f>('TUSD BE'!$O$44+'TUSD BF'!$O$44+'TUSD CVA'!$O$44)*(1 - CUSTOS!$M$40)</f>
        <v>0</v>
      </c>
      <c r="P44" s="31">
        <f>('TUSD BE'!$P$44+'TUSD BF'!$P$44+'TUSD CVA'!$P$44)*(1 - CUSTOS!$M$40)</f>
        <v>0</v>
      </c>
      <c r="Q44" s="31">
        <f>('TUSD BE'!$Q$44+'TUSD BF'!$Q$44+'TUSD CVA'!$Q$44)*(1 - CUSTOS!$M$40)</f>
        <v>100.81932239506355</v>
      </c>
      <c r="R44" s="31">
        <f>('TUSD BE'!$R$44+'TUSD BF'!$R$44+'TUSD CVA'!$R$44)*(1 - CUSTOS!$M$40)</f>
        <v>16.841140159955103</v>
      </c>
      <c r="S44" s="31">
        <f>('TUSD BE'!$S$44+'TUSD BF'!$S$44+'TUSD CVA'!$S$44)*(1 - CUSTOS!$M$40)</f>
        <v>0</v>
      </c>
      <c r="T44" s="31">
        <f>('TUSD BE'!$U$44+'TUSD BF'!$U$44+'TUSD CVA'!$U$44)*(1 - CUSTOS!$M$40)</f>
        <v>0</v>
      </c>
      <c r="U44" s="31">
        <f>('TUSD BE'!$V$44+'TUSD BF'!$V$44+'TUSD CVA'!$V$44)*(1 - CUSTOS!$M$40)</f>
        <v>0</v>
      </c>
      <c r="V44" s="31">
        <f>('TUSD BE'!$W$44+'TUSD BF'!$W$44+'TUSD CVA'!$W$44)*(1 - CUSTOS!$M$40)</f>
        <v>0</v>
      </c>
      <c r="W44" s="31">
        <f>('TUSD BE'!$X$44+'TUSD BF'!$X$44+'TUSD CVA'!$X$44)*(1 - CUSTOS!$M$40)</f>
        <v>0</v>
      </c>
      <c r="X44" s="31">
        <f>('TUSD BE'!$Y$44+'TUSD BF'!$Y$44+'TUSD CVA'!$Y$44)*(1 - CUSTOS!$M$40)</f>
        <v>115.32693359106692</v>
      </c>
      <c r="Y44" s="31">
        <f>('TUSD BE'!$Z$44+'TUSD BF'!$Z$44+'TUSD CVA'!$Z$44)*(1 - CUSTOS!$M$40)</f>
        <v>0</v>
      </c>
      <c r="Z44" s="31">
        <f>('TUSD BE'!$AA$44+'TUSD BF'!$AA$44+'TUSD CVA'!$AA$44)*(1 - CUSTOS!$M$40)</f>
        <v>0</v>
      </c>
      <c r="AA44" s="31">
        <f>('TUSD BE'!$AC$44+'TUSD BF'!$AC$44+'TUSD CVA'!$AC$44)*(1 - CUSTOS!$M$40)</f>
        <v>125.01175139520592</v>
      </c>
      <c r="AB44" s="31">
        <f ca="1">('TUSD BE'!$AE$44+'TUSD BF'!$AE$44+'TUSD CVA'!$AE$44)*(1 - CUSTOS!$M$40)</f>
        <v>-38.224734030112231</v>
      </c>
      <c r="AC44" s="31">
        <f ca="1">('TUSD BE'!$AF$44+'TUSD BF'!$AF$44+'TUSD CVA'!$AF$44)*(1 - CUSTOS!$M$40)</f>
        <v>0</v>
      </c>
      <c r="AD44" s="31">
        <f>('TUSD BE'!$AH$44+'TUSD BF'!$AH$44+'TUSD CVA'!$AH$44)*(1 - CUSTOS!$M$40)</f>
        <v>17.40006552461054</v>
      </c>
      <c r="AE44" s="31">
        <f>('TUSD BE'!$AI$44+'TUSD BF'!$AI$44+'TUSD CVA'!$AI$44)*(1 - CUSTOS!$M$40)</f>
        <v>0.55956253023073044</v>
      </c>
      <c r="AF44" s="31">
        <f ca="1">('TUSD BE'!$AJ$44+'TUSD BF'!$AJ$44+'TUSD CVA'!$AJ$44)*(1 - CUSTOS!$M$40)</f>
        <v>1.8393931807330541</v>
      </c>
      <c r="AG44" s="31">
        <f ca="1">('TUSD BE'!$AK$44+'TUSD BF'!$AK$44+'TUSD CVA'!$AK$44)*(1 - CUSTOS!$M$40)</f>
        <v>0.32746653400020653</v>
      </c>
      <c r="AI44" s="31">
        <v>2.07561466029347</v>
      </c>
      <c r="AJ44" s="31">
        <v>0.65582359891807496</v>
      </c>
      <c r="AK44" s="31">
        <v>2.7499742297434602</v>
      </c>
      <c r="AL44" s="31">
        <v>0</v>
      </c>
      <c r="AM44" s="31">
        <v>0</v>
      </c>
      <c r="AN44" s="31">
        <v>54.985087265951996</v>
      </c>
      <c r="AO44" s="31">
        <v>8.8561679258654404</v>
      </c>
      <c r="AP44" s="31">
        <v>0</v>
      </c>
      <c r="AQ44" s="31">
        <v>0</v>
      </c>
      <c r="AR44" s="31">
        <v>0</v>
      </c>
      <c r="AS44" s="31">
        <v>0</v>
      </c>
      <c r="AT44" s="31">
        <v>0</v>
      </c>
      <c r="AU44" s="31">
        <v>98.5927632330026</v>
      </c>
      <c r="AV44" s="31">
        <v>0</v>
      </c>
      <c r="AW44" s="31">
        <v>0</v>
      </c>
      <c r="AX44" s="31">
        <v>108.79145398729</v>
      </c>
      <c r="AY44" s="31">
        <v>-15.2149768907998</v>
      </c>
      <c r="AZ44" s="31">
        <v>0</v>
      </c>
      <c r="BA44" s="31">
        <v>15.849637055062599</v>
      </c>
      <c r="BB44" s="31">
        <v>0.45253777714188398</v>
      </c>
      <c r="BC44" s="31">
        <v>2.1231607923929001</v>
      </c>
      <c r="BD44" s="31">
        <v>-6.9922351825848994E-2</v>
      </c>
    </row>
    <row r="45" spans="1:56" ht="11.25" customHeight="1" x14ac:dyDescent="0.25">
      <c r="A45" s="137" t="s">
        <v>32</v>
      </c>
      <c r="B45" s="137" t="s">
        <v>49</v>
      </c>
      <c r="C45" s="137" t="s">
        <v>25</v>
      </c>
      <c r="D45" s="137" t="s">
        <v>25</v>
      </c>
      <c r="E45" s="137" t="s">
        <v>25</v>
      </c>
      <c r="F45" s="137" t="s">
        <v>25</v>
      </c>
      <c r="G45" s="41" t="s">
        <v>71</v>
      </c>
      <c r="H45" s="41" t="s">
        <v>70</v>
      </c>
      <c r="I45" s="41">
        <f>'MERCADO TUSD'!$U$42</f>
        <v>0.216</v>
      </c>
      <c r="J45" s="15"/>
      <c r="L45" s="31">
        <f>('TUSD BE'!$L$45+'TUSD BF'!$L$45+'TUSD CVA'!$L$45)*1</f>
        <v>2.7777964681865344</v>
      </c>
      <c r="M45" s="31">
        <f>('TUSD BE'!$M$45+'TUSD BF'!$M$45+'TUSD CVA'!$M$45)*1</f>
        <v>0.74341751902097453</v>
      </c>
      <c r="N45" s="31">
        <f ca="1">('TUSD BE'!$N$45+'TUSD BF'!$N$45+'TUSD CVA'!$N$45)*1</f>
        <v>12.942344759545566</v>
      </c>
      <c r="O45" s="31">
        <f>('TUSD BE'!$O$45+'TUSD BF'!$O$45+'TUSD CVA'!$O$45)*1</f>
        <v>0</v>
      </c>
      <c r="P45" s="31">
        <f>('TUSD BE'!$P$45+'TUSD BF'!$P$45+'TUSD CVA'!$P$45)*1</f>
        <v>0</v>
      </c>
      <c r="Q45" s="31">
        <f>('TUSD BE'!$Q$45+'TUSD BF'!$Q$45+'TUSD CVA'!$Q$45)*1</f>
        <v>109.58621999463429</v>
      </c>
      <c r="R45" s="31">
        <f>('TUSD BE'!$R$45+'TUSD BF'!$R$45+'TUSD CVA'!$R$45)*1</f>
        <v>18.30558713038598</v>
      </c>
      <c r="S45" s="31">
        <f>('TUSD BE'!$S$45+'TUSD BF'!$S$45+'TUSD CVA'!$S$45)*1</f>
        <v>0</v>
      </c>
      <c r="T45" s="31">
        <f>('TUSD BE'!$U$45+'TUSD BF'!$U$45+'TUSD CVA'!$U$45)*1</f>
        <v>0</v>
      </c>
      <c r="U45" s="31">
        <f>('TUSD BE'!$V$45+'TUSD BF'!$V$45+'TUSD CVA'!$V$45)*1</f>
        <v>0</v>
      </c>
      <c r="V45" s="31">
        <f>('TUSD BE'!$W$45+'TUSD BF'!$W$45+'TUSD CVA'!$W$45)*1</f>
        <v>0</v>
      </c>
      <c r="W45" s="31">
        <f>('TUSD BE'!$X$45+'TUSD BF'!$X$45+'TUSD CVA'!$X$45)*1</f>
        <v>0</v>
      </c>
      <c r="X45" s="31">
        <f>('TUSD BE'!$Y$45+'TUSD BF'!$Y$45+'TUSD CVA'!$Y$45)*1</f>
        <v>581.6486501472117</v>
      </c>
      <c r="Y45" s="31">
        <f>('TUSD BE'!$Z$45+'TUSD BF'!$Z$45+'TUSD CVA'!$Z$45)*1</f>
        <v>0</v>
      </c>
      <c r="Z45" s="31">
        <f>('TUSD BE'!$AA$45+'TUSD BF'!$AA$45+'TUSD CVA'!$AA$45)*1</f>
        <v>0</v>
      </c>
      <c r="AA45" s="31">
        <f>('TUSD BE'!$AC$45+'TUSD BF'!$AC$45+'TUSD CVA'!$AC$45)*1</f>
        <v>630.49423836921346</v>
      </c>
      <c r="AB45" s="31">
        <f ca="1">('TUSD BE'!$AE$45+'TUSD BF'!$AE$45+'TUSD CVA'!$AE$45)*1</f>
        <v>-141.66699030010204</v>
      </c>
      <c r="AC45" s="31">
        <f ca="1">('TUSD BE'!$AF$45+'TUSD BF'!$AF$45+'TUSD CVA'!$AF$45)*1</f>
        <v>0</v>
      </c>
      <c r="AD45" s="31">
        <f>('TUSD BE'!$AH$45+'TUSD BF'!$AH$45+'TUSD CVA'!$AH$45)*1</f>
        <v>18.91311470066363</v>
      </c>
      <c r="AE45" s="31">
        <f>('TUSD BE'!$AI$45+'TUSD BF'!$AI$45+'TUSD CVA'!$AI$45)*1</f>
        <v>0.60822014155514181</v>
      </c>
      <c r="AF45" s="31">
        <f ca="1">('TUSD BE'!$AJ$45+'TUSD BF'!$AJ$45+'TUSD CVA'!$AJ$45)*1</f>
        <v>1.9993404138402762</v>
      </c>
      <c r="AG45" s="31">
        <f ca="1">('TUSD BE'!$AK$45+'TUSD BF'!$AK$45+'TUSD CVA'!$AK$45)*1</f>
        <v>0.35594188478283317</v>
      </c>
      <c r="AI45" s="31">
        <v>2.4709698336827</v>
      </c>
      <c r="AJ45" s="31">
        <v>0.78074237966437599</v>
      </c>
      <c r="AK45" s="31">
        <v>9.59941260935509</v>
      </c>
      <c r="AL45" s="31">
        <v>0</v>
      </c>
      <c r="AM45" s="31">
        <v>0</v>
      </c>
      <c r="AN45" s="31">
        <v>65.458437221371398</v>
      </c>
      <c r="AO45" s="31">
        <v>10.5430570546017</v>
      </c>
      <c r="AP45" s="31">
        <v>0</v>
      </c>
      <c r="AQ45" s="31">
        <v>0</v>
      </c>
      <c r="AR45" s="31">
        <v>0</v>
      </c>
      <c r="AS45" s="31">
        <v>0</v>
      </c>
      <c r="AT45" s="31">
        <v>0</v>
      </c>
      <c r="AU45" s="31">
        <v>387.32843245320697</v>
      </c>
      <c r="AV45" s="31">
        <v>0</v>
      </c>
      <c r="AW45" s="31">
        <v>0</v>
      </c>
      <c r="AX45" s="31">
        <v>427.39510630625603</v>
      </c>
      <c r="AY45" s="31">
        <v>-48.221437810088197</v>
      </c>
      <c r="AZ45" s="31">
        <v>0</v>
      </c>
      <c r="BA45" s="31">
        <v>18.8686155417412</v>
      </c>
      <c r="BB45" s="31">
        <v>0.53873544897843295</v>
      </c>
      <c r="BC45" s="31">
        <v>2.5275723718963099</v>
      </c>
      <c r="BD45" s="31">
        <v>-8.3240895030772602E-2</v>
      </c>
    </row>
    <row r="46" spans="1:56" ht="11.25" customHeight="1" x14ac:dyDescent="0.25">
      <c r="A46" s="137"/>
      <c r="B46" s="137"/>
      <c r="C46" s="137"/>
      <c r="D46" s="137"/>
      <c r="E46" s="137"/>
      <c r="F46" s="137"/>
      <c r="G46" s="41" t="s">
        <v>83</v>
      </c>
      <c r="H46" s="41" t="s">
        <v>70</v>
      </c>
      <c r="I46" s="41">
        <f>'MERCADO TUSD'!$U$43</f>
        <v>0.24</v>
      </c>
      <c r="J46" s="15"/>
      <c r="L46" s="31">
        <f>('TUSD BE'!$L$46+'TUSD BF'!$L$46+'TUSD CVA'!$L$46)*1</f>
        <v>2.7777964681865344</v>
      </c>
      <c r="M46" s="31">
        <f>('TUSD BE'!$M$46+'TUSD BF'!$M$46+'TUSD CVA'!$M$46)*1</f>
        <v>0.74341751902097453</v>
      </c>
      <c r="N46" s="31">
        <f ca="1">('TUSD BE'!$N$46+'TUSD BF'!$N$46+'TUSD CVA'!$N$46)*1</f>
        <v>5.1445124175939663</v>
      </c>
      <c r="O46" s="31">
        <f>('TUSD BE'!$O$46+'TUSD BF'!$O$46+'TUSD CVA'!$O$46)*1</f>
        <v>0</v>
      </c>
      <c r="P46" s="31">
        <f>('TUSD BE'!$P$46+'TUSD BF'!$P$46+'TUSD CVA'!$P$46)*1</f>
        <v>0</v>
      </c>
      <c r="Q46" s="31">
        <f>('TUSD BE'!$Q$46+'TUSD BF'!$Q$46+'TUSD CVA'!$Q$46)*1</f>
        <v>109.58621999463429</v>
      </c>
      <c r="R46" s="31">
        <f>('TUSD BE'!$R$46+'TUSD BF'!$R$46+'TUSD CVA'!$R$46)*1</f>
        <v>18.30558713038598</v>
      </c>
      <c r="S46" s="31">
        <f>('TUSD BE'!$S$46+'TUSD BF'!$S$46+'TUSD CVA'!$S$46)*1</f>
        <v>0</v>
      </c>
      <c r="T46" s="31">
        <f>('TUSD BE'!$U$46+'TUSD BF'!$U$46+'TUSD CVA'!$U$46)*1</f>
        <v>0</v>
      </c>
      <c r="U46" s="31">
        <f>('TUSD BE'!$V$46+'TUSD BF'!$V$46+'TUSD CVA'!$V$46)*1</f>
        <v>0</v>
      </c>
      <c r="V46" s="31">
        <f>('TUSD BE'!$W$46+'TUSD BF'!$W$46+'TUSD CVA'!$W$46)*1</f>
        <v>0</v>
      </c>
      <c r="W46" s="31">
        <f>('TUSD BE'!$X$46+'TUSD BF'!$X$46+'TUSD CVA'!$X$46)*1</f>
        <v>0</v>
      </c>
      <c r="X46" s="31">
        <f>('TUSD BE'!$Y$46+'TUSD BF'!$Y$46+'TUSD CVA'!$Y$46)*1</f>
        <v>218.11828825266909</v>
      </c>
      <c r="Y46" s="31">
        <f>('TUSD BE'!$Z$46+'TUSD BF'!$Z$46+'TUSD CVA'!$Z$46)*1</f>
        <v>0</v>
      </c>
      <c r="Z46" s="31">
        <f>('TUSD BE'!$AA$46+'TUSD BF'!$AA$46+'TUSD CVA'!$AA$46)*1</f>
        <v>0</v>
      </c>
      <c r="AA46" s="31">
        <f>('TUSD BE'!$AC$46+'TUSD BF'!$AC$46+'TUSD CVA'!$AC$46)*1</f>
        <v>236.43531386477815</v>
      </c>
      <c r="AB46" s="31">
        <f ca="1">('TUSD BE'!$AE$46+'TUSD BF'!$AE$46+'TUSD CVA'!$AE$46)*1</f>
        <v>-61.902358959399308</v>
      </c>
      <c r="AC46" s="31">
        <f ca="1">('TUSD BE'!$AF$46+'TUSD BF'!$AF$46+'TUSD CVA'!$AF$46)*1</f>
        <v>0</v>
      </c>
      <c r="AD46" s="31">
        <f>('TUSD BE'!$AH$46+'TUSD BF'!$AH$46+'TUSD CVA'!$AH$46)*1</f>
        <v>18.91311470066363</v>
      </c>
      <c r="AE46" s="31">
        <f>('TUSD BE'!$AI$46+'TUSD BF'!$AI$46+'TUSD CVA'!$AI$46)*1</f>
        <v>0.60822014155514181</v>
      </c>
      <c r="AF46" s="31">
        <f ca="1">('TUSD BE'!$AJ$46+'TUSD BF'!$AJ$46+'TUSD CVA'!$AJ$46)*1</f>
        <v>1.9993404138402762</v>
      </c>
      <c r="AG46" s="31">
        <f ca="1">('TUSD BE'!$AK$46+'TUSD BF'!$AK$46+'TUSD CVA'!$AK$46)*1</f>
        <v>0.35594188478283317</v>
      </c>
      <c r="AI46" s="31">
        <v>2.4709698336827</v>
      </c>
      <c r="AJ46" s="31">
        <v>0.78074237966437599</v>
      </c>
      <c r="AK46" s="31">
        <v>5.9690494244353998</v>
      </c>
      <c r="AL46" s="31">
        <v>0</v>
      </c>
      <c r="AM46" s="31">
        <v>0</v>
      </c>
      <c r="AN46" s="31">
        <v>65.458437221371398</v>
      </c>
      <c r="AO46" s="31">
        <v>10.5430570546017</v>
      </c>
      <c r="AP46" s="31">
        <v>0</v>
      </c>
      <c r="AQ46" s="31">
        <v>0</v>
      </c>
      <c r="AR46" s="31">
        <v>0</v>
      </c>
      <c r="AS46" s="31">
        <v>0</v>
      </c>
      <c r="AT46" s="31">
        <v>0</v>
      </c>
      <c r="AU46" s="31">
        <v>232.397059471924</v>
      </c>
      <c r="AV46" s="31">
        <v>0</v>
      </c>
      <c r="AW46" s="31">
        <v>0</v>
      </c>
      <c r="AX46" s="31">
        <v>256.43710323795301</v>
      </c>
      <c r="AY46" s="31">
        <v>-30.941852182121899</v>
      </c>
      <c r="AZ46" s="31">
        <v>0</v>
      </c>
      <c r="BA46" s="31">
        <v>18.8686155417412</v>
      </c>
      <c r="BB46" s="31">
        <v>0.53873544897843295</v>
      </c>
      <c r="BC46" s="31">
        <v>2.5275723718963099</v>
      </c>
      <c r="BD46" s="31">
        <v>-8.3240895030772602E-2</v>
      </c>
    </row>
    <row r="47" spans="1:56" ht="11.25" customHeight="1" x14ac:dyDescent="0.25">
      <c r="A47" s="137"/>
      <c r="B47" s="137"/>
      <c r="C47" s="137"/>
      <c r="D47" s="137"/>
      <c r="E47" s="137"/>
      <c r="F47" s="137"/>
      <c r="G47" s="41" t="s">
        <v>72</v>
      </c>
      <c r="H47" s="41" t="s">
        <v>70</v>
      </c>
      <c r="I47" s="41">
        <f>'MERCADO TUSD'!$U$44</f>
        <v>3.742</v>
      </c>
      <c r="J47" s="15"/>
      <c r="L47" s="31">
        <f>('TUSD BE'!$L$47+'TUSD BF'!$L$47+'TUSD CVA'!$L$47)*1</f>
        <v>2.7777964681865344</v>
      </c>
      <c r="M47" s="31">
        <f>('TUSD BE'!$M$47+'TUSD BF'!$M$47+'TUSD CVA'!$M$47)*1</f>
        <v>0.74341751902097453</v>
      </c>
      <c r="N47" s="31">
        <f ca="1">('TUSD BE'!$N$47+'TUSD BF'!$N$47+'TUSD CVA'!$N$47)*1</f>
        <v>2.0253797059623739</v>
      </c>
      <c r="O47" s="31">
        <f>('TUSD BE'!$O$47+'TUSD BF'!$O$47+'TUSD CVA'!$O$47)*1</f>
        <v>0</v>
      </c>
      <c r="P47" s="31">
        <f>('TUSD BE'!$P$47+'TUSD BF'!$P$47+'TUSD CVA'!$P$47)*1</f>
        <v>0</v>
      </c>
      <c r="Q47" s="31">
        <f>('TUSD BE'!$Q$47+'TUSD BF'!$Q$47+'TUSD CVA'!$Q$47)*1</f>
        <v>109.58621999463429</v>
      </c>
      <c r="R47" s="31">
        <f>('TUSD BE'!$R$47+'TUSD BF'!$R$47+'TUSD CVA'!$R$47)*1</f>
        <v>18.30558713038598</v>
      </c>
      <c r="S47" s="31">
        <f>('TUSD BE'!$S$47+'TUSD BF'!$S$47+'TUSD CVA'!$S$47)*1</f>
        <v>0</v>
      </c>
      <c r="T47" s="31">
        <f>('TUSD BE'!$U$47+'TUSD BF'!$U$47+'TUSD CVA'!$U$47)*1</f>
        <v>0</v>
      </c>
      <c r="U47" s="31">
        <f>('TUSD BE'!$V$47+'TUSD BF'!$V$47+'TUSD CVA'!$V$47)*1</f>
        <v>0</v>
      </c>
      <c r="V47" s="31">
        <f>('TUSD BE'!$W$47+'TUSD BF'!$W$47+'TUSD CVA'!$W$47)*1</f>
        <v>0</v>
      </c>
      <c r="W47" s="31">
        <f>('TUSD BE'!$X$47+'TUSD BF'!$X$47+'TUSD CVA'!$X$47)*1</f>
        <v>0</v>
      </c>
      <c r="X47" s="31">
        <f>('TUSD BE'!$Y$47+'TUSD BF'!$Y$47+'TUSD CVA'!$Y$47)*1</f>
        <v>72.706096084223034</v>
      </c>
      <c r="Y47" s="31">
        <f>('TUSD BE'!$Z$47+'TUSD BF'!$Z$47+'TUSD CVA'!$Z$47)*1</f>
        <v>0</v>
      </c>
      <c r="Z47" s="31">
        <f>('TUSD BE'!$AA$47+'TUSD BF'!$AA$47+'TUSD CVA'!$AA$47)*1</f>
        <v>0</v>
      </c>
      <c r="AA47" s="31">
        <f>('TUSD BE'!$AC$47+'TUSD BF'!$AC$47+'TUSD CVA'!$AC$47)*1</f>
        <v>78.811805319828579</v>
      </c>
      <c r="AB47" s="31">
        <f ca="1">('TUSD BE'!$AE$47+'TUSD BF'!$AE$47+'TUSD CVA'!$AE$47)*1</f>
        <v>-29.996508234571408</v>
      </c>
      <c r="AC47" s="31">
        <f ca="1">('TUSD BE'!$AF$47+'TUSD BF'!$AF$47+'TUSD CVA'!$AF$47)*1</f>
        <v>0</v>
      </c>
      <c r="AD47" s="31">
        <f>('TUSD BE'!$AH$47+'TUSD BF'!$AH$47+'TUSD CVA'!$AH$47)*1</f>
        <v>18.91311470066363</v>
      </c>
      <c r="AE47" s="31">
        <f>('TUSD BE'!$AI$47+'TUSD BF'!$AI$47+'TUSD CVA'!$AI$47)*1</f>
        <v>0.60822014155514181</v>
      </c>
      <c r="AF47" s="31">
        <f ca="1">('TUSD BE'!$AJ$47+'TUSD BF'!$AJ$47+'TUSD CVA'!$AJ$47)*1</f>
        <v>1.9993404138402762</v>
      </c>
      <c r="AG47" s="31">
        <f ca="1">('TUSD BE'!$AK$47+'TUSD BF'!$AK$47+'TUSD CVA'!$AK$47)*1</f>
        <v>0.35594188478283317</v>
      </c>
      <c r="AI47" s="31">
        <v>2.4709698336827</v>
      </c>
      <c r="AJ47" s="31">
        <v>0.78074237966437599</v>
      </c>
      <c r="AK47" s="31">
        <v>2.3386847588939399</v>
      </c>
      <c r="AL47" s="31">
        <v>0</v>
      </c>
      <c r="AM47" s="31">
        <v>0</v>
      </c>
      <c r="AN47" s="31">
        <v>65.458437221371398</v>
      </c>
      <c r="AO47" s="31">
        <v>10.5430570546017</v>
      </c>
      <c r="AP47" s="31">
        <v>0</v>
      </c>
      <c r="AQ47" s="31">
        <v>0</v>
      </c>
      <c r="AR47" s="31">
        <v>0</v>
      </c>
      <c r="AS47" s="31">
        <v>0</v>
      </c>
      <c r="AT47" s="31">
        <v>0</v>
      </c>
      <c r="AU47" s="31">
        <v>77.465686490641303</v>
      </c>
      <c r="AV47" s="31">
        <v>0</v>
      </c>
      <c r="AW47" s="31">
        <v>0</v>
      </c>
      <c r="AX47" s="31">
        <v>85.479001534151806</v>
      </c>
      <c r="AY47" s="31">
        <v>-13.662261172628099</v>
      </c>
      <c r="AZ47" s="31">
        <v>0</v>
      </c>
      <c r="BA47" s="31">
        <v>18.8686155417412</v>
      </c>
      <c r="BB47" s="31">
        <v>0.53873544897843295</v>
      </c>
      <c r="BC47" s="31">
        <v>2.5275723718963099</v>
      </c>
      <c r="BD47" s="31">
        <v>-8.3240895030772602E-2</v>
      </c>
    </row>
    <row r="48" spans="1:56" ht="11.25" customHeight="1" x14ac:dyDescent="0.25">
      <c r="A48" s="137"/>
      <c r="B48" s="42" t="s">
        <v>23</v>
      </c>
      <c r="C48" s="42" t="s">
        <v>25</v>
      </c>
      <c r="D48" s="42" t="s">
        <v>25</v>
      </c>
      <c r="E48" s="42" t="s">
        <v>25</v>
      </c>
      <c r="F48" s="42" t="s">
        <v>25</v>
      </c>
      <c r="G48" s="41" t="s">
        <v>74</v>
      </c>
      <c r="H48" s="41" t="s">
        <v>70</v>
      </c>
      <c r="I48" s="41">
        <f>'MERCADO TUSD'!$U$45</f>
        <v>12398.925999999999</v>
      </c>
      <c r="J48" s="15"/>
      <c r="L48" s="31">
        <f>('TUSD BE'!$L$48+'TUSD BF'!$L$48+'TUSD CVA'!$L$48)*1</f>
        <v>2.7777964681865344</v>
      </c>
      <c r="M48" s="31">
        <f>('TUSD BE'!$M$48+'TUSD BF'!$M$48+'TUSD CVA'!$M$48)*1</f>
        <v>0.74341751902097453</v>
      </c>
      <c r="N48" s="31">
        <f ca="1">('TUSD BE'!$N$48+'TUSD BF'!$N$48+'TUSD CVA'!$N$48)*1</f>
        <v>3.1547205690328037</v>
      </c>
      <c r="O48" s="31">
        <f>('TUSD BE'!$O$48+'TUSD BF'!$O$48+'TUSD CVA'!$O$48)*1</f>
        <v>0</v>
      </c>
      <c r="P48" s="31">
        <f>('TUSD BE'!$P$48+'TUSD BF'!$P$48+'TUSD CVA'!$P$48)*1</f>
        <v>0</v>
      </c>
      <c r="Q48" s="31">
        <f>('TUSD BE'!$Q$48+'TUSD BF'!$Q$48+'TUSD CVA'!$Q$48)*1</f>
        <v>109.58621999463429</v>
      </c>
      <c r="R48" s="31">
        <f>('TUSD BE'!$R$48+'TUSD BF'!$R$48+'TUSD CVA'!$R$48)*1</f>
        <v>18.30558713038598</v>
      </c>
      <c r="S48" s="31">
        <f>('TUSD BE'!$S$48+'TUSD BF'!$S$48+'TUSD CVA'!$S$48)*1</f>
        <v>0</v>
      </c>
      <c r="T48" s="31">
        <f>('TUSD BE'!$U$48+'TUSD BF'!$U$48+'TUSD CVA'!$U$48)*1</f>
        <v>0</v>
      </c>
      <c r="U48" s="31">
        <f>('TUSD BE'!$V$48+'TUSD BF'!$V$48+'TUSD CVA'!$V$48)*1</f>
        <v>0</v>
      </c>
      <c r="V48" s="31">
        <f>('TUSD BE'!$W$48+'TUSD BF'!$W$48+'TUSD CVA'!$W$48)*1</f>
        <v>0</v>
      </c>
      <c r="W48" s="31">
        <f>('TUSD BE'!$X$48+'TUSD BF'!$X$48+'TUSD CVA'!$X$48)*1</f>
        <v>0</v>
      </c>
      <c r="X48" s="31">
        <f>('TUSD BE'!$Y$48+'TUSD BF'!$Y$48+'TUSD CVA'!$Y$48)*1</f>
        <v>125.35536259898578</v>
      </c>
      <c r="Y48" s="31">
        <f>('TUSD BE'!$Z$48+'TUSD BF'!$Z$48+'TUSD CVA'!$Z$48)*1</f>
        <v>0</v>
      </c>
      <c r="Z48" s="31">
        <f>('TUSD BE'!$AA$48+'TUSD BF'!$AA$48+'TUSD CVA'!$AA$48)*1</f>
        <v>0</v>
      </c>
      <c r="AA48" s="31">
        <f>('TUSD BE'!$AC$48+'TUSD BF'!$AC$48+'TUSD CVA'!$AC$48)*1</f>
        <v>135.88233847304991</v>
      </c>
      <c r="AB48" s="31">
        <f ca="1">('TUSD BE'!$AE$48+'TUSD BF'!$AE$48+'TUSD CVA'!$AE$48)*1</f>
        <v>-41.54862394577416</v>
      </c>
      <c r="AC48" s="31">
        <f ca="1">('TUSD BE'!$AF$48+'TUSD BF'!$AF$48+'TUSD CVA'!$AF$48)*1</f>
        <v>0</v>
      </c>
      <c r="AD48" s="31">
        <f>('TUSD BE'!$AH$48+'TUSD BF'!$AH$48+'TUSD CVA'!$AH$48)*1</f>
        <v>18.91311470066363</v>
      </c>
      <c r="AE48" s="31">
        <f>('TUSD BE'!$AI$48+'TUSD BF'!$AI$48+'TUSD CVA'!$AI$48)*1</f>
        <v>0.60822014155514181</v>
      </c>
      <c r="AF48" s="31">
        <f ca="1">('TUSD BE'!$AJ$48+'TUSD BF'!$AJ$48+'TUSD CVA'!$AJ$48)*1</f>
        <v>1.9993404138402762</v>
      </c>
      <c r="AG48" s="31">
        <f ca="1">('TUSD BE'!$AK$48+'TUSD BF'!$AK$48+'TUSD CVA'!$AK$48)*1</f>
        <v>0.35594188478283317</v>
      </c>
      <c r="AI48" s="31">
        <v>2.4709698336827</v>
      </c>
      <c r="AJ48" s="31">
        <v>0.78074237966437599</v>
      </c>
      <c r="AK48" s="31">
        <v>3.2737788449326799</v>
      </c>
      <c r="AL48" s="31">
        <v>0</v>
      </c>
      <c r="AM48" s="31">
        <v>0</v>
      </c>
      <c r="AN48" s="31">
        <v>65.458437221371398</v>
      </c>
      <c r="AO48" s="31">
        <v>10.5430570546017</v>
      </c>
      <c r="AP48" s="31">
        <v>0</v>
      </c>
      <c r="AQ48" s="31">
        <v>0</v>
      </c>
      <c r="AR48" s="31">
        <v>0</v>
      </c>
      <c r="AS48" s="31">
        <v>0</v>
      </c>
      <c r="AT48" s="31">
        <v>0</v>
      </c>
      <c r="AU48" s="31">
        <v>117.372337182146</v>
      </c>
      <c r="AV48" s="31">
        <v>0</v>
      </c>
      <c r="AW48" s="31">
        <v>0</v>
      </c>
      <c r="AX48" s="31">
        <v>129.51363569915401</v>
      </c>
      <c r="AY48" s="31">
        <v>-18.113067727142699</v>
      </c>
      <c r="AZ48" s="31">
        <v>0</v>
      </c>
      <c r="BA48" s="31">
        <v>18.8686155417412</v>
      </c>
      <c r="BB48" s="31">
        <v>0.53873544897843295</v>
      </c>
      <c r="BC48" s="31">
        <v>2.5275723718963099</v>
      </c>
      <c r="BD48" s="31">
        <v>-8.3240895030772602E-2</v>
      </c>
    </row>
    <row r="49" spans="1:56" ht="11.25" customHeight="1" x14ac:dyDescent="0.25">
      <c r="A49" s="137"/>
      <c r="B49" s="42" t="s">
        <v>85</v>
      </c>
      <c r="C49" s="42" t="s">
        <v>25</v>
      </c>
      <c r="D49" s="42" t="s">
        <v>25</v>
      </c>
      <c r="E49" s="42" t="s">
        <v>25</v>
      </c>
      <c r="F49" s="42" t="s">
        <v>25</v>
      </c>
      <c r="G49" s="41" t="s">
        <v>74</v>
      </c>
      <c r="H49" s="41" t="s">
        <v>70</v>
      </c>
      <c r="I49" s="41">
        <f>'MERCADO TUSD'!$U$46</f>
        <v>0</v>
      </c>
      <c r="J49" s="15"/>
      <c r="L49" s="31">
        <f>('TUSD BE'!$L$49+'TUSD BF'!$L$49+'TUSD CVA'!$L$49)*1</f>
        <v>2.7777964681865344</v>
      </c>
      <c r="M49" s="31">
        <f>('TUSD BE'!$M$49+'TUSD BF'!$M$49+'TUSD CVA'!$M$49)*1</f>
        <v>0.74341751902097453</v>
      </c>
      <c r="N49" s="31">
        <f ca="1">('TUSD BE'!$N$49+'TUSD BF'!$N$49+'TUSD CVA'!$N$49)*1</f>
        <v>3.1547205690328037</v>
      </c>
      <c r="O49" s="31">
        <f>('TUSD BE'!$O$49+'TUSD BF'!$O$49+'TUSD CVA'!$O$49)*1</f>
        <v>0</v>
      </c>
      <c r="P49" s="31">
        <f>('TUSD BE'!$P$49+'TUSD BF'!$P$49+'TUSD CVA'!$P$49)*1</f>
        <v>0</v>
      </c>
      <c r="Q49" s="31">
        <f>('TUSD BE'!$Q$49+'TUSD BF'!$Q$49+'TUSD CVA'!$Q$49)*1</f>
        <v>109.58621999463429</v>
      </c>
      <c r="R49" s="31">
        <f>('TUSD BE'!$R$49+'TUSD BF'!$R$49+'TUSD CVA'!$R$49)*1</f>
        <v>18.30558713038598</v>
      </c>
      <c r="S49" s="31">
        <f>('TUSD BE'!$S$49+'TUSD BF'!$S$49+'TUSD CVA'!$S$49)*1</f>
        <v>0</v>
      </c>
      <c r="T49" s="31">
        <f>('TUSD BE'!$U$49+'TUSD BF'!$U$49+'TUSD CVA'!$U$49)*1</f>
        <v>0</v>
      </c>
      <c r="U49" s="31">
        <f>('TUSD BE'!$V$49+'TUSD BF'!$V$49+'TUSD CVA'!$V$49)*1</f>
        <v>0</v>
      </c>
      <c r="V49" s="31">
        <f>('TUSD BE'!$W$49+'TUSD BF'!$W$49+'TUSD CVA'!$W$49)*1</f>
        <v>0</v>
      </c>
      <c r="W49" s="31">
        <f>('TUSD BE'!$X$49+'TUSD BF'!$X$49+'TUSD CVA'!$X$49)*1</f>
        <v>0</v>
      </c>
      <c r="X49" s="31">
        <f>('TUSD BE'!$Y$49+'TUSD BF'!$Y$49+'TUSD CVA'!$Y$49)*1</f>
        <v>125.35536259898578</v>
      </c>
      <c r="Y49" s="31">
        <f>('TUSD BE'!$Z$49+'TUSD BF'!$Z$49+'TUSD CVA'!$Z$49)*1</f>
        <v>0</v>
      </c>
      <c r="Z49" s="31">
        <f>('TUSD BE'!$AA$49+'TUSD BF'!$AA$49+'TUSD CVA'!$AA$49)*1</f>
        <v>0</v>
      </c>
      <c r="AA49" s="31">
        <f>('TUSD BE'!$AC$49+'TUSD BF'!$AC$49+'TUSD CVA'!$AC$49)*1</f>
        <v>135.88233847304991</v>
      </c>
      <c r="AB49" s="31">
        <f ca="1">('TUSD BE'!$AE$49+'TUSD BF'!$AE$49+'TUSD CVA'!$AE$49)*1</f>
        <v>-41.54862394577416</v>
      </c>
      <c r="AC49" s="31">
        <f ca="1">('TUSD BE'!$AF$49+'TUSD BF'!$AF$49+'TUSD CVA'!$AF$49)*1</f>
        <v>0</v>
      </c>
      <c r="AD49" s="31">
        <f>('TUSD BE'!$AH$49+'TUSD BF'!$AH$49+'TUSD CVA'!$AH$49)*1</f>
        <v>18.91311470066363</v>
      </c>
      <c r="AE49" s="31">
        <f>('TUSD BE'!$AI$49+'TUSD BF'!$AI$49+'TUSD CVA'!$AI$49)*1</f>
        <v>0.60822014155514181</v>
      </c>
      <c r="AF49" s="31">
        <f ca="1">('TUSD BE'!$AJ$49+'TUSD BF'!$AJ$49+'TUSD CVA'!$AJ$49)*1</f>
        <v>1.9993404138402762</v>
      </c>
      <c r="AG49" s="31">
        <f ca="1">('TUSD BE'!$AK$49+'TUSD BF'!$AK$49+'TUSD CVA'!$AK$49)*1</f>
        <v>0.35594188478283317</v>
      </c>
      <c r="AI49" s="31">
        <v>2.4709698336827</v>
      </c>
      <c r="AJ49" s="31">
        <v>0.78074237966437599</v>
      </c>
      <c r="AK49" s="31">
        <v>3.2737788449326799</v>
      </c>
      <c r="AL49" s="31">
        <v>0</v>
      </c>
      <c r="AM49" s="31">
        <v>0</v>
      </c>
      <c r="AN49" s="31">
        <v>65.458437221371398</v>
      </c>
      <c r="AO49" s="31">
        <v>10.5430570546017</v>
      </c>
      <c r="AP49" s="31">
        <v>0</v>
      </c>
      <c r="AQ49" s="31">
        <v>0</v>
      </c>
      <c r="AR49" s="31">
        <v>0</v>
      </c>
      <c r="AS49" s="31">
        <v>0</v>
      </c>
      <c r="AT49" s="31">
        <v>0</v>
      </c>
      <c r="AU49" s="31">
        <v>117.372337182146</v>
      </c>
      <c r="AV49" s="31">
        <v>0</v>
      </c>
      <c r="AW49" s="31">
        <v>0</v>
      </c>
      <c r="AX49" s="31">
        <v>129.51363569915401</v>
      </c>
      <c r="AY49" s="31">
        <v>-18.113067727142699</v>
      </c>
      <c r="AZ49" s="31">
        <v>0</v>
      </c>
      <c r="BA49" s="31">
        <v>18.8686155417412</v>
      </c>
      <c r="BB49" s="31">
        <v>0.53873544897843295</v>
      </c>
      <c r="BC49" s="31">
        <v>2.5275723718963099</v>
      </c>
      <c r="BD49" s="31">
        <v>-8.3240895030772602E-2</v>
      </c>
    </row>
    <row r="50" spans="1:56" ht="11.25" customHeight="1" x14ac:dyDescent="0.25">
      <c r="A50" s="137" t="s">
        <v>42</v>
      </c>
      <c r="B50" s="137" t="s">
        <v>23</v>
      </c>
      <c r="C50" s="137" t="s">
        <v>43</v>
      </c>
      <c r="D50" s="42" t="s">
        <v>44</v>
      </c>
      <c r="E50" s="42" t="s">
        <v>25</v>
      </c>
      <c r="F50" s="42" t="s">
        <v>25</v>
      </c>
      <c r="G50" s="41" t="s">
        <v>74</v>
      </c>
      <c r="H50" s="41" t="s">
        <v>70</v>
      </c>
      <c r="I50" s="41">
        <f>'MERCADO TUSD'!$U$47</f>
        <v>3575.7699999999995</v>
      </c>
      <c r="J50" s="15"/>
      <c r="L50" s="31">
        <f>('TUSD BE'!$L$50+'TUSD BF'!$L$50+'TUSD CVA'!$L$50)*1</f>
        <v>1.5277880575025939</v>
      </c>
      <c r="M50" s="31">
        <f>('TUSD BE'!$M$50+'TUSD BF'!$M$50+'TUSD CVA'!$M$50)*1</f>
        <v>0.40887963546153611</v>
      </c>
      <c r="N50" s="31">
        <f ca="1">('TUSD BE'!$N$50+'TUSD BF'!$N$50+'TUSD CVA'!$N$50)*1</f>
        <v>1.7350963129680423</v>
      </c>
      <c r="O50" s="31">
        <f>('TUSD BE'!$O$50+'TUSD BF'!$O$50+'TUSD CVA'!$O$50)*1</f>
        <v>0</v>
      </c>
      <c r="P50" s="31">
        <f>('TUSD BE'!$P$50+'TUSD BF'!$P$50+'TUSD CVA'!$P$50)*1</f>
        <v>0</v>
      </c>
      <c r="Q50" s="31">
        <f>('TUSD BE'!$Q$50+'TUSD BF'!$Q$50+'TUSD CVA'!$Q$50)*1</f>
        <v>60.272420997048876</v>
      </c>
      <c r="R50" s="31">
        <f>('TUSD BE'!$R$50+'TUSD BF'!$R$50+'TUSD CVA'!$R$50)*1</f>
        <v>10.068072921712291</v>
      </c>
      <c r="S50" s="31">
        <f>('TUSD BE'!$S$50+'TUSD BF'!$S$50+'TUSD CVA'!$S$50)*1</f>
        <v>0</v>
      </c>
      <c r="T50" s="31">
        <f>('TUSD BE'!$U$50+'TUSD BF'!$U$50+'TUSD CVA'!$U$50)*1</f>
        <v>0</v>
      </c>
      <c r="U50" s="31">
        <f>('TUSD BE'!$V$50+'TUSD BF'!$V$50+'TUSD CVA'!$V$50)*1</f>
        <v>0</v>
      </c>
      <c r="V50" s="31">
        <f>('TUSD BE'!$W$50+'TUSD BF'!$W$50+'TUSD CVA'!$W$50)*1</f>
        <v>0</v>
      </c>
      <c r="W50" s="31">
        <f>('TUSD BE'!$X$50+'TUSD BF'!$X$50+'TUSD CVA'!$X$50)*1</f>
        <v>0</v>
      </c>
      <c r="X50" s="31">
        <f>('TUSD BE'!$Y$50+'TUSD BF'!$Y$50+'TUSD CVA'!$Y$50)*1</f>
        <v>68.945449429442192</v>
      </c>
      <c r="Y50" s="31">
        <f>('TUSD BE'!$Z$50+'TUSD BF'!$Z$50+'TUSD CVA'!$Z$50)*1</f>
        <v>0</v>
      </c>
      <c r="Z50" s="31">
        <f>('TUSD BE'!$AA$50+'TUSD BF'!$AA$50+'TUSD CVA'!$AA$50)*1</f>
        <v>0</v>
      </c>
      <c r="AA50" s="31">
        <f>('TUSD BE'!$AC$50+'TUSD BF'!$AC$50+'TUSD CVA'!$AC$50)*1</f>
        <v>74.735286160177466</v>
      </c>
      <c r="AB50" s="31">
        <f ca="1">('TUSD BE'!$AE$50+'TUSD BF'!$AE$50+'TUSD CVA'!$AE$50)*1</f>
        <v>-22.851743170175794</v>
      </c>
      <c r="AC50" s="31">
        <f ca="1">('TUSD BE'!$AF$50+'TUSD BF'!$AF$50+'TUSD CVA'!$AF$50)*1</f>
        <v>0</v>
      </c>
      <c r="AD50" s="31">
        <f>('TUSD BE'!$AH$50+'TUSD BF'!$AH$50+'TUSD CVA'!$AH$50)*1</f>
        <v>10.402213085364997</v>
      </c>
      <c r="AE50" s="31">
        <f>('TUSD BE'!$AI$50+'TUSD BF'!$AI$50+'TUSD CVA'!$AI$50)*1</f>
        <v>0.33452107785532814</v>
      </c>
      <c r="AF50" s="31">
        <f ca="1">('TUSD BE'!$AJ$50+'TUSD BF'!$AJ$50+'TUSD CVA'!$AJ$50)*1</f>
        <v>1.099637227612152</v>
      </c>
      <c r="AG50" s="31">
        <f ca="1">('TUSD BE'!$AK$50+'TUSD BF'!$AK$50+'TUSD CVA'!$AK$50)*1</f>
        <v>0.19576803663055825</v>
      </c>
      <c r="AI50" s="31">
        <v>1.35903340852548</v>
      </c>
      <c r="AJ50" s="31">
        <v>0.42940830881540698</v>
      </c>
      <c r="AK50" s="31">
        <v>1.8005783647129801</v>
      </c>
      <c r="AL50" s="31">
        <v>0</v>
      </c>
      <c r="AM50" s="31">
        <v>0</v>
      </c>
      <c r="AN50" s="31">
        <v>36.002140471754302</v>
      </c>
      <c r="AO50" s="31">
        <v>5.79868138003095</v>
      </c>
      <c r="AP50" s="31">
        <v>0</v>
      </c>
      <c r="AQ50" s="31">
        <v>0</v>
      </c>
      <c r="AR50" s="31">
        <v>0</v>
      </c>
      <c r="AS50" s="31">
        <v>0</v>
      </c>
      <c r="AT50" s="31">
        <v>0</v>
      </c>
      <c r="AU50" s="31">
        <v>64.554785450180304</v>
      </c>
      <c r="AV50" s="31">
        <v>0</v>
      </c>
      <c r="AW50" s="31">
        <v>0</v>
      </c>
      <c r="AX50" s="31">
        <v>71.232499634534904</v>
      </c>
      <c r="AY50" s="31">
        <v>-9.9621872499284603</v>
      </c>
      <c r="AZ50" s="31">
        <v>0</v>
      </c>
      <c r="BA50" s="31">
        <v>10.3777385479577</v>
      </c>
      <c r="BB50" s="31">
        <v>0.29630449693813798</v>
      </c>
      <c r="BC50" s="31">
        <v>1.39016480454297</v>
      </c>
      <c r="BD50" s="31">
        <v>-4.57824922669249E-2</v>
      </c>
    </row>
    <row r="51" spans="1:56" ht="11.25" customHeight="1" x14ac:dyDescent="0.25">
      <c r="A51" s="137"/>
      <c r="B51" s="137"/>
      <c r="C51" s="137"/>
      <c r="D51" s="41" t="s">
        <v>88</v>
      </c>
      <c r="E51" s="41" t="s">
        <v>25</v>
      </c>
      <c r="F51" s="41" t="s">
        <v>25</v>
      </c>
      <c r="G51" s="41" t="s">
        <v>74</v>
      </c>
      <c r="H51" s="41" t="s">
        <v>70</v>
      </c>
      <c r="I51" s="41">
        <f>'MERCADO TUSD'!$U$48</f>
        <v>0</v>
      </c>
      <c r="J51" s="15"/>
      <c r="L51" s="31">
        <f>('TUSD BE'!$L$51+'TUSD BF'!$L$51+'TUSD CVA'!$L$51)*1</f>
        <v>1.6666778809119203</v>
      </c>
      <c r="M51" s="31">
        <f>('TUSD BE'!$M$51+'TUSD BF'!$M$51+'TUSD CVA'!$M$51)*1</f>
        <v>0.44605051141258478</v>
      </c>
      <c r="N51" s="31">
        <f ca="1">('TUSD BE'!$N$51+'TUSD BF'!$N$51+'TUSD CVA'!$N$51)*1</f>
        <v>1.8928323414196822</v>
      </c>
      <c r="O51" s="31">
        <f>('TUSD BE'!$O$51+'TUSD BF'!$O$51+'TUSD CVA'!$O$51)*1</f>
        <v>0</v>
      </c>
      <c r="P51" s="31">
        <f>('TUSD BE'!$P$51+'TUSD BF'!$P$51+'TUSD CVA'!$P$51)*1</f>
        <v>0</v>
      </c>
      <c r="Q51" s="31">
        <f>('TUSD BE'!$Q$51+'TUSD BF'!$Q$51+'TUSD CVA'!$Q$51)*1</f>
        <v>65.751731996780578</v>
      </c>
      <c r="R51" s="31">
        <f>('TUSD BE'!$R$51+'TUSD BF'!$R$51+'TUSD CVA'!$R$51)*1</f>
        <v>10.983352278231589</v>
      </c>
      <c r="S51" s="31">
        <f>('TUSD BE'!$S$51+'TUSD BF'!$S$51+'TUSD CVA'!$S$51)*1</f>
        <v>0</v>
      </c>
      <c r="T51" s="31">
        <f>('TUSD BE'!$U$51+'TUSD BF'!$U$51+'TUSD CVA'!$U$51)*1</f>
        <v>0</v>
      </c>
      <c r="U51" s="31">
        <f>('TUSD BE'!$V$51+'TUSD BF'!$V$51+'TUSD CVA'!$V$51)*1</f>
        <v>0</v>
      </c>
      <c r="V51" s="31">
        <f>('TUSD BE'!$W$51+'TUSD BF'!$W$51+'TUSD CVA'!$W$51)*1</f>
        <v>0</v>
      </c>
      <c r="W51" s="31">
        <f>('TUSD BE'!$X$51+'TUSD BF'!$X$51+'TUSD CVA'!$X$51)*1</f>
        <v>0</v>
      </c>
      <c r="X51" s="31">
        <f>('TUSD BE'!$Y$51+'TUSD BF'!$Y$51+'TUSD CVA'!$Y$51)*1</f>
        <v>75.213217559391467</v>
      </c>
      <c r="Y51" s="31">
        <f>('TUSD BE'!$Z$51+'TUSD BF'!$Z$51+'TUSD CVA'!$Z$51)*1</f>
        <v>0</v>
      </c>
      <c r="Z51" s="31">
        <f>('TUSD BE'!$AA$51+'TUSD BF'!$AA$51+'TUSD CVA'!$AA$51)*1</f>
        <v>0</v>
      </c>
      <c r="AA51" s="31">
        <f>('TUSD BE'!$AC$51+'TUSD BF'!$AC$51+'TUSD CVA'!$AC$51)*1</f>
        <v>81.529403083829948</v>
      </c>
      <c r="AB51" s="31">
        <f ca="1">('TUSD BE'!$AE$51+'TUSD BF'!$AE$51+'TUSD CVA'!$AE$51)*1</f>
        <v>-24.929174367464498</v>
      </c>
      <c r="AC51" s="31">
        <f ca="1">('TUSD BE'!$AF$51+'TUSD BF'!$AF$51+'TUSD CVA'!$AF$51)*1</f>
        <v>0</v>
      </c>
      <c r="AD51" s="31">
        <f>('TUSD BE'!$AH$51+'TUSD BF'!$AH$51+'TUSD CVA'!$AH$51)*1</f>
        <v>11.347868820398176</v>
      </c>
      <c r="AE51" s="31">
        <f>('TUSD BE'!$AI$51+'TUSD BF'!$AI$51+'TUSD CVA'!$AI$51)*1</f>
        <v>0.36493208493308515</v>
      </c>
      <c r="AF51" s="31">
        <f ca="1">('TUSD BE'!$AJ$51+'TUSD BF'!$AJ$51+'TUSD CVA'!$AJ$51)*1</f>
        <v>1.1996042483041656</v>
      </c>
      <c r="AG51" s="31">
        <f ca="1">('TUSD BE'!$AK$51+'TUSD BF'!$AK$51+'TUSD CVA'!$AK$51)*1</f>
        <v>0.21356513086969992</v>
      </c>
      <c r="AI51" s="31">
        <v>1.4825819002096201</v>
      </c>
      <c r="AJ51" s="31">
        <v>0.46844542779862502</v>
      </c>
      <c r="AK51" s="31">
        <v>1.9642673069596099</v>
      </c>
      <c r="AL51" s="31">
        <v>0</v>
      </c>
      <c r="AM51" s="31">
        <v>0</v>
      </c>
      <c r="AN51" s="31">
        <v>39.275062332822898</v>
      </c>
      <c r="AO51" s="31">
        <v>6.3258342327610304</v>
      </c>
      <c r="AP51" s="31">
        <v>0</v>
      </c>
      <c r="AQ51" s="31">
        <v>0</v>
      </c>
      <c r="AR51" s="31">
        <v>0</v>
      </c>
      <c r="AS51" s="31">
        <v>0</v>
      </c>
      <c r="AT51" s="31">
        <v>0</v>
      </c>
      <c r="AU51" s="31">
        <v>70.423402309287596</v>
      </c>
      <c r="AV51" s="31">
        <v>0</v>
      </c>
      <c r="AW51" s="31">
        <v>0</v>
      </c>
      <c r="AX51" s="31">
        <v>77.708181419492604</v>
      </c>
      <c r="AY51" s="31">
        <v>-10.867840636285599</v>
      </c>
      <c r="AZ51" s="31">
        <v>0</v>
      </c>
      <c r="BA51" s="31">
        <v>11.3211693250447</v>
      </c>
      <c r="BB51" s="31">
        <v>0.32324126938705999</v>
      </c>
      <c r="BC51" s="31">
        <v>1.5165434231377899</v>
      </c>
      <c r="BD51" s="31">
        <v>-4.9944537018463499E-2</v>
      </c>
    </row>
    <row r="53" spans="1:56" ht="11.25" customHeight="1" x14ac:dyDescent="0.25">
      <c r="L53" s="134" t="s">
        <v>704</v>
      </c>
      <c r="M53" s="134"/>
      <c r="N53" s="134"/>
      <c r="O53" s="134"/>
      <c r="P53" s="134"/>
      <c r="Q53" s="134"/>
      <c r="R53" s="134"/>
      <c r="S53" s="134"/>
      <c r="T53" s="134"/>
      <c r="U53" s="134"/>
      <c r="V53" s="134"/>
      <c r="W53" s="134"/>
      <c r="X53" s="134"/>
      <c r="Y53" s="134"/>
      <c r="Z53" s="134"/>
      <c r="AA53" s="134"/>
      <c r="AB53" s="134"/>
      <c r="AC53" s="134"/>
      <c r="AD53" s="134"/>
      <c r="AE53" s="134"/>
      <c r="AF53" s="134"/>
      <c r="AG53" s="134"/>
      <c r="AI53" s="134" t="s">
        <v>705</v>
      </c>
      <c r="AJ53" s="134"/>
      <c r="AK53" s="134"/>
      <c r="AL53" s="134"/>
      <c r="AM53" s="134"/>
      <c r="AN53" s="134"/>
      <c r="AO53" s="134"/>
      <c r="AP53" s="134"/>
      <c r="AQ53" s="134"/>
      <c r="AR53" s="134"/>
      <c r="AS53" s="134"/>
      <c r="AT53" s="134"/>
      <c r="AU53" s="134"/>
      <c r="AV53" s="134"/>
      <c r="AW53" s="134"/>
      <c r="AX53" s="134"/>
      <c r="AY53" s="134"/>
      <c r="AZ53" s="134"/>
      <c r="BA53" s="134"/>
      <c r="BB53" s="134"/>
      <c r="BC53" s="134"/>
      <c r="BD53" s="134"/>
    </row>
    <row r="54" spans="1:56" ht="11.25" customHeight="1" x14ac:dyDescent="0.25">
      <c r="L54" s="134" t="s">
        <v>408</v>
      </c>
      <c r="M54" s="134"/>
      <c r="N54" s="134"/>
      <c r="O54" s="134"/>
      <c r="P54" s="134"/>
      <c r="Q54" s="134"/>
      <c r="R54" s="134"/>
      <c r="S54" s="134"/>
      <c r="T54" s="134"/>
      <c r="U54" s="134"/>
      <c r="V54" s="134"/>
      <c r="W54" s="134"/>
      <c r="X54" s="134"/>
      <c r="Y54" s="134"/>
      <c r="Z54" s="134"/>
      <c r="AA54" s="134"/>
      <c r="AB54" s="134"/>
      <c r="AC54" s="134"/>
      <c r="AD54" s="134"/>
      <c r="AE54" s="134"/>
      <c r="AF54" s="134"/>
      <c r="AG54" s="134"/>
      <c r="AI54" s="134" t="s">
        <v>408</v>
      </c>
      <c r="AJ54" s="134"/>
      <c r="AK54" s="134"/>
      <c r="AL54" s="134"/>
      <c r="AM54" s="134"/>
      <c r="AN54" s="134"/>
      <c r="AO54" s="134"/>
      <c r="AP54" s="134"/>
      <c r="AQ54" s="134"/>
      <c r="AR54" s="134"/>
      <c r="AS54" s="134"/>
      <c r="AT54" s="134"/>
      <c r="AU54" s="134"/>
      <c r="AV54" s="134"/>
      <c r="AW54" s="134"/>
      <c r="AX54" s="134"/>
      <c r="AY54" s="134"/>
      <c r="AZ54" s="134"/>
      <c r="BA54" s="134"/>
      <c r="BB54" s="134"/>
      <c r="BC54" s="134"/>
      <c r="BD54" s="134"/>
    </row>
    <row r="55" spans="1:56" ht="11.25" customHeight="1" x14ac:dyDescent="0.25">
      <c r="L55" s="134" t="s">
        <v>409</v>
      </c>
      <c r="M55" s="134"/>
      <c r="N55" s="134"/>
      <c r="O55" s="134"/>
      <c r="P55" s="134"/>
      <c r="Q55" s="134"/>
      <c r="R55" s="134"/>
      <c r="S55" s="134"/>
      <c r="T55" s="134" t="s">
        <v>418</v>
      </c>
      <c r="U55" s="134"/>
      <c r="V55" s="134"/>
      <c r="W55" s="134"/>
      <c r="X55" s="134"/>
      <c r="Y55" s="134"/>
      <c r="Z55" s="134"/>
      <c r="AA55" s="40" t="s">
        <v>426</v>
      </c>
      <c r="AB55" s="134" t="s">
        <v>428</v>
      </c>
      <c r="AC55" s="134"/>
      <c r="AD55" s="134" t="s">
        <v>431</v>
      </c>
      <c r="AE55" s="134"/>
      <c r="AF55" s="134"/>
      <c r="AG55" s="134"/>
      <c r="AI55" s="134" t="s">
        <v>409</v>
      </c>
      <c r="AJ55" s="134"/>
      <c r="AK55" s="134"/>
      <c r="AL55" s="134"/>
      <c r="AM55" s="134"/>
      <c r="AN55" s="134"/>
      <c r="AO55" s="134"/>
      <c r="AP55" s="134"/>
      <c r="AQ55" s="134" t="s">
        <v>418</v>
      </c>
      <c r="AR55" s="134"/>
      <c r="AS55" s="134"/>
      <c r="AT55" s="134"/>
      <c r="AU55" s="134"/>
      <c r="AV55" s="134"/>
      <c r="AW55" s="134"/>
      <c r="AX55" s="40" t="s">
        <v>426</v>
      </c>
      <c r="AY55" s="134" t="s">
        <v>428</v>
      </c>
      <c r="AZ55" s="134"/>
      <c r="BA55" s="134" t="s">
        <v>431</v>
      </c>
      <c r="BB55" s="134"/>
      <c r="BC55" s="134"/>
      <c r="BD55" s="134"/>
    </row>
    <row r="56" spans="1:56" ht="11.25" customHeight="1" x14ac:dyDescent="0.25">
      <c r="L56" s="40" t="s">
        <v>494</v>
      </c>
      <c r="M56" s="40" t="s">
        <v>410</v>
      </c>
      <c r="N56" s="40" t="s">
        <v>411</v>
      </c>
      <c r="O56" s="40" t="s">
        <v>412</v>
      </c>
      <c r="P56" s="40" t="s">
        <v>413</v>
      </c>
      <c r="Q56" s="40" t="s">
        <v>414</v>
      </c>
      <c r="R56" s="40" t="s">
        <v>415</v>
      </c>
      <c r="S56" s="40" t="s">
        <v>416</v>
      </c>
      <c r="T56" s="40" t="s">
        <v>419</v>
      </c>
      <c r="U56" s="40" t="s">
        <v>420</v>
      </c>
      <c r="V56" s="40" t="s">
        <v>421</v>
      </c>
      <c r="W56" s="40" t="s">
        <v>422</v>
      </c>
      <c r="X56" s="40" t="s">
        <v>423</v>
      </c>
      <c r="Y56" s="40" t="s">
        <v>424</v>
      </c>
      <c r="Z56" s="40" t="s">
        <v>425</v>
      </c>
      <c r="AA56" s="40" t="s">
        <v>427</v>
      </c>
      <c r="AB56" s="40" t="s">
        <v>429</v>
      </c>
      <c r="AC56" s="40" t="s">
        <v>430</v>
      </c>
      <c r="AD56" s="40" t="s">
        <v>432</v>
      </c>
      <c r="AE56" s="40" t="s">
        <v>433</v>
      </c>
      <c r="AF56" s="40" t="s">
        <v>434</v>
      </c>
      <c r="AG56" s="40" t="s">
        <v>435</v>
      </c>
      <c r="AI56" s="40" t="s">
        <v>494</v>
      </c>
      <c r="AJ56" s="40" t="s">
        <v>410</v>
      </c>
      <c r="AK56" s="40" t="s">
        <v>411</v>
      </c>
      <c r="AL56" s="40" t="s">
        <v>412</v>
      </c>
      <c r="AM56" s="40" t="s">
        <v>413</v>
      </c>
      <c r="AN56" s="40" t="s">
        <v>414</v>
      </c>
      <c r="AO56" s="40" t="s">
        <v>415</v>
      </c>
      <c r="AP56" s="40" t="s">
        <v>416</v>
      </c>
      <c r="AQ56" s="40" t="s">
        <v>419</v>
      </c>
      <c r="AR56" s="40" t="s">
        <v>420</v>
      </c>
      <c r="AS56" s="40" t="s">
        <v>421</v>
      </c>
      <c r="AT56" s="40" t="s">
        <v>422</v>
      </c>
      <c r="AU56" s="40" t="s">
        <v>423</v>
      </c>
      <c r="AV56" s="40" t="s">
        <v>424</v>
      </c>
      <c r="AW56" s="40" t="s">
        <v>425</v>
      </c>
      <c r="AX56" s="40" t="s">
        <v>427</v>
      </c>
      <c r="AY56" s="40" t="s">
        <v>429</v>
      </c>
      <c r="AZ56" s="40" t="s">
        <v>430</v>
      </c>
      <c r="BA56" s="40" t="s">
        <v>432</v>
      </c>
      <c r="BB56" s="40" t="s">
        <v>433</v>
      </c>
      <c r="BC56" s="40" t="s">
        <v>434</v>
      </c>
      <c r="BD56" s="40" t="s">
        <v>435</v>
      </c>
    </row>
    <row r="57" spans="1:56" ht="11.25" customHeight="1" x14ac:dyDescent="0.25">
      <c r="A57" s="9" t="s">
        <v>34</v>
      </c>
      <c r="B57" s="9" t="s">
        <v>706</v>
      </c>
      <c r="C57" s="9" t="s">
        <v>707</v>
      </c>
      <c r="D57" s="9" t="s">
        <v>708</v>
      </c>
      <c r="E57" s="9" t="s">
        <v>709</v>
      </c>
      <c r="F57" s="9" t="s">
        <v>710</v>
      </c>
      <c r="G57" s="9" t="s">
        <v>711</v>
      </c>
      <c r="L57" s="31">
        <f>$I$5*$L$5</f>
        <v>0</v>
      </c>
      <c r="M57" s="31">
        <f>$I$5*$M$5</f>
        <v>0</v>
      </c>
      <c r="N57" s="31">
        <f ca="1">$I$5*$N$5</f>
        <v>0</v>
      </c>
      <c r="O57" s="31">
        <f>$I$5*$O$5</f>
        <v>0</v>
      </c>
      <c r="P57" s="31">
        <f>$I$5*$P$5</f>
        <v>0</v>
      </c>
      <c r="Q57" s="31">
        <f>$I$5*$Q$5</f>
        <v>0</v>
      </c>
      <c r="R57" s="31">
        <f>$I$5*$R$5</f>
        <v>0</v>
      </c>
      <c r="S57" s="31">
        <f>$I$5*$S$5</f>
        <v>0</v>
      </c>
      <c r="T57" s="31">
        <f>$I$5*$T$5</f>
        <v>0</v>
      </c>
      <c r="U57" s="31">
        <f>$I$5*$U$5</f>
        <v>0</v>
      </c>
      <c r="V57" s="31">
        <f>$I$5*$V$5</f>
        <v>0</v>
      </c>
      <c r="W57" s="31">
        <f>$I$5*$W$5</f>
        <v>0</v>
      </c>
      <c r="X57" s="31">
        <f>$I$5*$X$5</f>
        <v>662835.60886422265</v>
      </c>
      <c r="Y57" s="31">
        <f>$I$5*$Y$5</f>
        <v>0</v>
      </c>
      <c r="Z57" s="31">
        <f>$I$5*$Z$5</f>
        <v>0</v>
      </c>
      <c r="AA57" s="31">
        <f>$I$5*$AA$5</f>
        <v>137603.11985804632</v>
      </c>
      <c r="AB57" s="31">
        <f ca="1">$I$5*$AB$5</f>
        <v>-81628.361190755066</v>
      </c>
      <c r="AC57" s="31">
        <f ca="1">$I$5*$AC$5</f>
        <v>0</v>
      </c>
      <c r="AD57" s="31">
        <f>$I$5*$AD$5</f>
        <v>0</v>
      </c>
      <c r="AE57" s="31">
        <f>$I$5*$AE$5</f>
        <v>0</v>
      </c>
      <c r="AF57" s="31">
        <f ca="1">$I$5*$AF$5</f>
        <v>0</v>
      </c>
      <c r="AG57" s="31">
        <f ca="1">$I$5*$AG$5</f>
        <v>0</v>
      </c>
      <c r="AI57" s="31">
        <f>$I$5*$AI$5</f>
        <v>0</v>
      </c>
      <c r="AJ57" s="31">
        <f>$I$5*$AJ$5</f>
        <v>0</v>
      </c>
      <c r="AK57" s="31">
        <f>$I$5*$AK$5</f>
        <v>0</v>
      </c>
      <c r="AL57" s="31">
        <f>$I$5*$AL$5</f>
        <v>0</v>
      </c>
      <c r="AM57" s="31">
        <f>$I$5*$AM$5</f>
        <v>0</v>
      </c>
      <c r="AN57" s="31">
        <f>$I$5*$AN$5</f>
        <v>0</v>
      </c>
      <c r="AO57" s="31">
        <f>$I$5*$AO$5</f>
        <v>0</v>
      </c>
      <c r="AP57" s="31">
        <f>$I$5*$AP$5</f>
        <v>0</v>
      </c>
      <c r="AQ57" s="31">
        <f>$I$5*$AQ$5</f>
        <v>0</v>
      </c>
      <c r="AR57" s="31">
        <f>$I$5*$AR$5</f>
        <v>0</v>
      </c>
      <c r="AS57" s="31">
        <f>$I$5*$AS$5</f>
        <v>0</v>
      </c>
      <c r="AT57" s="31">
        <f>$I$5*$AT$5</f>
        <v>0</v>
      </c>
      <c r="AU57" s="31">
        <f>$I$5*$AU$5</f>
        <v>607214.50589592068</v>
      </c>
      <c r="AV57" s="31">
        <f>$I$5*$AV$5</f>
        <v>0</v>
      </c>
      <c r="AW57" s="31">
        <f>$I$5*$AW$5</f>
        <v>0</v>
      </c>
      <c r="AX57" s="31">
        <f>$I$5*$AX$5</f>
        <v>160509.83058127627</v>
      </c>
      <c r="AY57" s="31">
        <f>$I$5*$AY$5</f>
        <v>-39570.171467470689</v>
      </c>
      <c r="AZ57" s="31">
        <f>$I$5*$AZ$5</f>
        <v>0</v>
      </c>
      <c r="BA57" s="31">
        <f>$I$5*$BA$5</f>
        <v>0</v>
      </c>
      <c r="BB57" s="31">
        <f>$I$5*$BB$5</f>
        <v>0</v>
      </c>
      <c r="BC57" s="31">
        <f>$I$5*$BC$5</f>
        <v>0</v>
      </c>
      <c r="BD57" s="31">
        <f>$I$5*$BD$5</f>
        <v>0</v>
      </c>
    </row>
    <row r="58" spans="1:56" ht="11.25" customHeight="1" x14ac:dyDescent="0.25">
      <c r="A58" s="9" t="s">
        <v>34</v>
      </c>
      <c r="B58" s="9" t="s">
        <v>706</v>
      </c>
      <c r="C58" s="9" t="s">
        <v>707</v>
      </c>
      <c r="D58" s="9" t="s">
        <v>708</v>
      </c>
      <c r="E58" s="9" t="s">
        <v>709</v>
      </c>
      <c r="F58" s="9" t="s">
        <v>710</v>
      </c>
      <c r="G58" s="9" t="s">
        <v>712</v>
      </c>
      <c r="L58" s="31">
        <f>$I$6*$L$6</f>
        <v>0</v>
      </c>
      <c r="M58" s="31">
        <f>$I$6*$M$6</f>
        <v>0</v>
      </c>
      <c r="N58" s="31">
        <f ca="1">$I$6*$N$6</f>
        <v>0</v>
      </c>
      <c r="O58" s="31">
        <f>$I$6*$O$6</f>
        <v>0</v>
      </c>
      <c r="P58" s="31">
        <f>$I$6*$P$6</f>
        <v>0</v>
      </c>
      <c r="Q58" s="31">
        <f>$I$6*$Q$6</f>
        <v>0</v>
      </c>
      <c r="R58" s="31">
        <f>$I$6*$R$6</f>
        <v>0</v>
      </c>
      <c r="S58" s="31">
        <f>$I$6*$S$6</f>
        <v>0</v>
      </c>
      <c r="T58" s="31">
        <f>$I$6*$T$6</f>
        <v>0</v>
      </c>
      <c r="U58" s="31">
        <f>$I$6*$U$6</f>
        <v>0</v>
      </c>
      <c r="V58" s="31">
        <f>$I$6*$V$6</f>
        <v>0</v>
      </c>
      <c r="W58" s="31">
        <f>$I$6*$W$6</f>
        <v>0</v>
      </c>
      <c r="X58" s="31">
        <f>$I$6*$X$6</f>
        <v>409508.86092435115</v>
      </c>
      <c r="Y58" s="31">
        <f>$I$6*$Y$6</f>
        <v>0</v>
      </c>
      <c r="Z58" s="31">
        <f>$I$6*$Z$6</f>
        <v>0</v>
      </c>
      <c r="AA58" s="31">
        <f>$I$6*$AA$6</f>
        <v>63148.93514001173</v>
      </c>
      <c r="AB58" s="31">
        <f ca="1">$I$6*$AB$6</f>
        <v>-48085.892393269263</v>
      </c>
      <c r="AC58" s="31">
        <f ca="1">$I$6*$AC$6</f>
        <v>0</v>
      </c>
      <c r="AD58" s="31">
        <f>$I$6*$AD$6</f>
        <v>0</v>
      </c>
      <c r="AE58" s="31">
        <f>$I$6*$AE$6</f>
        <v>0</v>
      </c>
      <c r="AF58" s="31">
        <f ca="1">$I$6*$AF$6</f>
        <v>0</v>
      </c>
      <c r="AG58" s="31">
        <f ca="1">$I$6*$AG$6</f>
        <v>0</v>
      </c>
      <c r="AI58" s="31">
        <f>$I$6*$AI$6</f>
        <v>0</v>
      </c>
      <c r="AJ58" s="31">
        <f>$I$6*$AJ$6</f>
        <v>0</v>
      </c>
      <c r="AK58" s="31">
        <f>$I$6*$AK$6</f>
        <v>0</v>
      </c>
      <c r="AL58" s="31">
        <f>$I$6*$AL$6</f>
        <v>0</v>
      </c>
      <c r="AM58" s="31">
        <f>$I$6*$AM$6</f>
        <v>0</v>
      </c>
      <c r="AN58" s="31">
        <f>$I$6*$AN$6</f>
        <v>0</v>
      </c>
      <c r="AO58" s="31">
        <f>$I$6*$AO$6</f>
        <v>0</v>
      </c>
      <c r="AP58" s="31">
        <f>$I$6*$AP$6</f>
        <v>0</v>
      </c>
      <c r="AQ58" s="31">
        <f>$I$6*$AQ$6</f>
        <v>0</v>
      </c>
      <c r="AR58" s="31">
        <f>$I$6*$AR$6</f>
        <v>0</v>
      </c>
      <c r="AS58" s="31">
        <f>$I$6*$AS$6</f>
        <v>0</v>
      </c>
      <c r="AT58" s="31">
        <f>$I$6*$AT$6</f>
        <v>0</v>
      </c>
      <c r="AU58" s="31">
        <f>$I$6*$AU$6</f>
        <v>229541.8475559181</v>
      </c>
      <c r="AV58" s="31">
        <f>$I$6*$AV$6</f>
        <v>0</v>
      </c>
      <c r="AW58" s="31">
        <f>$I$6*$AW$6</f>
        <v>0</v>
      </c>
      <c r="AX58" s="31">
        <f>$I$6*$AX$6</f>
        <v>111170.70078920075</v>
      </c>
      <c r="AY58" s="31">
        <f>$I$6*$AY$6</f>
        <v>-17672.68739506559</v>
      </c>
      <c r="AZ58" s="31">
        <f>$I$6*$AZ$6</f>
        <v>0</v>
      </c>
      <c r="BA58" s="31">
        <f>$I$6*$BA$6</f>
        <v>0</v>
      </c>
      <c r="BB58" s="31">
        <f>$I$6*$BB$6</f>
        <v>0</v>
      </c>
      <c r="BC58" s="31">
        <f>$I$6*$BC$6</f>
        <v>0</v>
      </c>
      <c r="BD58" s="31">
        <f>$I$6*$BD$6</f>
        <v>0</v>
      </c>
    </row>
    <row r="59" spans="1:56" ht="11.25" customHeight="1" x14ac:dyDescent="0.25">
      <c r="A59" s="9" t="s">
        <v>34</v>
      </c>
      <c r="B59" s="9" t="s">
        <v>706</v>
      </c>
      <c r="C59" s="9" t="s">
        <v>707</v>
      </c>
      <c r="D59" s="9" t="s">
        <v>708</v>
      </c>
      <c r="E59" s="9" t="s">
        <v>709</v>
      </c>
      <c r="F59" s="9" t="s">
        <v>710</v>
      </c>
      <c r="G59" s="9" t="s">
        <v>713</v>
      </c>
      <c r="L59" s="31">
        <f>$I$7*$L$7</f>
        <v>20243.993878417521</v>
      </c>
      <c r="M59" s="31">
        <f>$I$7*$M$7</f>
        <v>1085.5525346595484</v>
      </c>
      <c r="N59" s="31">
        <f ca="1">$I$7*$N$7</f>
        <v>2412.781576834203</v>
      </c>
      <c r="O59" s="31">
        <f>$I$7*$O$7</f>
        <v>0</v>
      </c>
      <c r="P59" s="31">
        <f>$I$7*$P$7</f>
        <v>0</v>
      </c>
      <c r="Q59" s="31">
        <f>$I$7*$Q$7</f>
        <v>798641.22232778301</v>
      </c>
      <c r="R59" s="31">
        <f>$I$7*$R$7</f>
        <v>158818.15730241381</v>
      </c>
      <c r="S59" s="31">
        <f>$I$7*$S$7</f>
        <v>0</v>
      </c>
      <c r="T59" s="31">
        <f>$I$7*$T$7</f>
        <v>0</v>
      </c>
      <c r="U59" s="31">
        <f>$I$7*$U$7</f>
        <v>0</v>
      </c>
      <c r="V59" s="31">
        <f>$I$7*$V$7</f>
        <v>0</v>
      </c>
      <c r="W59" s="31">
        <f>$I$7*$W$7</f>
        <v>0</v>
      </c>
      <c r="X59" s="31">
        <f>$I$7*$X$7</f>
        <v>0</v>
      </c>
      <c r="Y59" s="31">
        <f>$I$7*$Y$7</f>
        <v>0</v>
      </c>
      <c r="Z59" s="31">
        <f>$I$7*$Z$7</f>
        <v>0</v>
      </c>
      <c r="AA59" s="31">
        <f>$I$7*$AA$7</f>
        <v>0</v>
      </c>
      <c r="AB59" s="31">
        <f ca="1">$I$7*$AB$7</f>
        <v>-99077.386525413938</v>
      </c>
      <c r="AC59" s="31">
        <f ca="1">$I$7*$AC$7</f>
        <v>0</v>
      </c>
      <c r="AD59" s="31">
        <f>$I$7*$AD$7</f>
        <v>94384.060106836128</v>
      </c>
      <c r="AE59" s="31">
        <f>$I$7*$AE$7</f>
        <v>3035.2634828949995</v>
      </c>
      <c r="AF59" s="31">
        <f ca="1">$I$7*$AF$7</f>
        <v>11613.671257805512</v>
      </c>
      <c r="AG59" s="31">
        <f ca="1">$I$7*$AG$7</f>
        <v>2067.5778912563674</v>
      </c>
      <c r="AI59" s="31">
        <f>$I$7*$AI$7</f>
        <v>18651.045686647998</v>
      </c>
      <c r="AJ59" s="31">
        <f>$I$7*$AJ$7</f>
        <v>1558.9285057208795</v>
      </c>
      <c r="AK59" s="31">
        <f>$I$7*$AK$7</f>
        <v>2699.3400447485255</v>
      </c>
      <c r="AL59" s="31">
        <f>$I$7*$AL$7</f>
        <v>0</v>
      </c>
      <c r="AM59" s="31">
        <f>$I$7*$AM$7</f>
        <v>0</v>
      </c>
      <c r="AN59" s="31">
        <f>$I$7*$AN$7</f>
        <v>494084.66528011527</v>
      </c>
      <c r="AO59" s="31">
        <f>$I$7*$AO$7</f>
        <v>91470.919879244029</v>
      </c>
      <c r="AP59" s="31">
        <f>$I$7*$AP$7</f>
        <v>0</v>
      </c>
      <c r="AQ59" s="31">
        <f>$I$7*$AQ$7</f>
        <v>0</v>
      </c>
      <c r="AR59" s="31">
        <f>$I$7*$AR$7</f>
        <v>0</v>
      </c>
      <c r="AS59" s="31">
        <f>$I$7*$AS$7</f>
        <v>0</v>
      </c>
      <c r="AT59" s="31">
        <f>$I$7*$AT$7</f>
        <v>0</v>
      </c>
      <c r="AU59" s="31">
        <f>$I$7*$AU$7</f>
        <v>0</v>
      </c>
      <c r="AV59" s="31">
        <f>$I$7*$AV$7</f>
        <v>0</v>
      </c>
      <c r="AW59" s="31">
        <f>$I$7*$AW$7</f>
        <v>0</v>
      </c>
      <c r="AX59" s="31">
        <f>$I$7*$AX$7</f>
        <v>0</v>
      </c>
      <c r="AY59" s="31">
        <f>$I$7*$AY$7</f>
        <v>-35563.583761549489</v>
      </c>
      <c r="AZ59" s="31">
        <f>$I$7*$AZ$7</f>
        <v>0</v>
      </c>
      <c r="BA59" s="31">
        <f>$I$7*$BA$7</f>
        <v>94161.668684050237</v>
      </c>
      <c r="BB59" s="31">
        <f>$I$7*$BB$7</f>
        <v>2688.4976665531854</v>
      </c>
      <c r="BC59" s="31">
        <f>$I$7*$BC$7</f>
        <v>13080.391133205731</v>
      </c>
      <c r="BD59" s="31">
        <f>$I$7*$BD$7</f>
        <v>-430.7783537227599</v>
      </c>
    </row>
    <row r="60" spans="1:56" ht="11.25" customHeight="1" x14ac:dyDescent="0.25">
      <c r="A60" s="9" t="s">
        <v>34</v>
      </c>
      <c r="B60" s="9" t="s">
        <v>706</v>
      </c>
      <c r="C60" s="9" t="s">
        <v>707</v>
      </c>
      <c r="D60" s="9" t="s">
        <v>708</v>
      </c>
      <c r="E60" s="9" t="s">
        <v>714</v>
      </c>
      <c r="F60" s="9" t="s">
        <v>715</v>
      </c>
      <c r="G60" s="9" t="s">
        <v>716</v>
      </c>
      <c r="L60" s="31">
        <f>$I$8*$L$8</f>
        <v>0</v>
      </c>
      <c r="M60" s="31">
        <f>$I$8*$M$8</f>
        <v>0</v>
      </c>
      <c r="N60" s="31">
        <f ca="1">$I$8*$N$8</f>
        <v>0</v>
      </c>
      <c r="O60" s="31">
        <f>$I$8*$O$8</f>
        <v>0</v>
      </c>
      <c r="P60" s="31">
        <f>$I$8*$P$8</f>
        <v>0</v>
      </c>
      <c r="Q60" s="31">
        <f>$I$8*$Q$8</f>
        <v>0</v>
      </c>
      <c r="R60" s="31">
        <f>$I$8*$R$8</f>
        <v>0</v>
      </c>
      <c r="S60" s="31">
        <f>$I$8*$S$8</f>
        <v>0</v>
      </c>
      <c r="T60" s="31">
        <f>$I$8*$T$8</f>
        <v>0</v>
      </c>
      <c r="U60" s="31">
        <f>$I$8*$U$8</f>
        <v>0</v>
      </c>
      <c r="V60" s="31">
        <f>$I$8*$V$8</f>
        <v>0</v>
      </c>
      <c r="W60" s="31">
        <f>$I$8*$W$8</f>
        <v>0</v>
      </c>
      <c r="X60" s="31">
        <f>$I$8*$X$8</f>
        <v>0</v>
      </c>
      <c r="Y60" s="31">
        <f>$I$8*$Y$8</f>
        <v>0</v>
      </c>
      <c r="Z60" s="31">
        <f>$I$8*$Z$8</f>
        <v>0</v>
      </c>
      <c r="AA60" s="31">
        <f>$I$8*$AA$8</f>
        <v>0</v>
      </c>
      <c r="AB60" s="31">
        <f ca="1">$I$8*$AB$8</f>
        <v>0</v>
      </c>
      <c r="AC60" s="31">
        <f ca="1">$I$8*$AC$8</f>
        <v>0</v>
      </c>
      <c r="AD60" s="31">
        <f>$I$8*$AD$8</f>
        <v>0</v>
      </c>
      <c r="AE60" s="31">
        <f>$I$8*$AE$8</f>
        <v>0</v>
      </c>
      <c r="AF60" s="31">
        <f ca="1">$I$8*$AF$8</f>
        <v>0</v>
      </c>
      <c r="AG60" s="31">
        <f ca="1">$I$8*$AG$8</f>
        <v>0</v>
      </c>
      <c r="AI60" s="31">
        <f>$I$8*$AI$8</f>
        <v>0</v>
      </c>
      <c r="AJ60" s="31">
        <f>$I$8*$AJ$8</f>
        <v>0</v>
      </c>
      <c r="AK60" s="31">
        <f>$I$8*$AK$8</f>
        <v>0</v>
      </c>
      <c r="AL60" s="31">
        <f>$I$8*$AL$8</f>
        <v>0</v>
      </c>
      <c r="AM60" s="31">
        <f>$I$8*$AM$8</f>
        <v>0</v>
      </c>
      <c r="AN60" s="31">
        <f>$I$8*$AN$8</f>
        <v>0</v>
      </c>
      <c r="AO60" s="31">
        <f>$I$8*$AO$8</f>
        <v>0</v>
      </c>
      <c r="AP60" s="31">
        <f>$I$8*$AP$8</f>
        <v>0</v>
      </c>
      <c r="AQ60" s="31">
        <f>$I$8*$AQ$8</f>
        <v>0</v>
      </c>
      <c r="AR60" s="31">
        <f>$I$8*$AR$8</f>
        <v>0</v>
      </c>
      <c r="AS60" s="31">
        <f>$I$8*$AS$8</f>
        <v>0</v>
      </c>
      <c r="AT60" s="31">
        <f>$I$8*$AT$8</f>
        <v>0</v>
      </c>
      <c r="AU60" s="31">
        <f>$I$8*$AU$8</f>
        <v>0</v>
      </c>
      <c r="AV60" s="31">
        <f>$I$8*$AV$8</f>
        <v>0</v>
      </c>
      <c r="AW60" s="31">
        <f>$I$8*$AW$8</f>
        <v>0</v>
      </c>
      <c r="AX60" s="31">
        <f>$I$8*$AX$8</f>
        <v>0</v>
      </c>
      <c r="AY60" s="31">
        <f>$I$8*$AY$8</f>
        <v>0</v>
      </c>
      <c r="AZ60" s="31">
        <f>$I$8*$AZ$8</f>
        <v>0</v>
      </c>
      <c r="BA60" s="31">
        <f>$I$8*$BA$8</f>
        <v>0</v>
      </c>
      <c r="BB60" s="31">
        <f>$I$8*$BB$8</f>
        <v>0</v>
      </c>
      <c r="BC60" s="31">
        <f>$I$8*$BC$8</f>
        <v>0</v>
      </c>
      <c r="BD60" s="31">
        <f>$I$8*$BD$8</f>
        <v>0</v>
      </c>
    </row>
    <row r="61" spans="1:56" ht="11.25" customHeight="1" x14ac:dyDescent="0.25">
      <c r="A61" s="9" t="s">
        <v>34</v>
      </c>
      <c r="B61" s="9" t="s">
        <v>717</v>
      </c>
      <c r="C61" s="9" t="s">
        <v>718</v>
      </c>
      <c r="D61" s="9" t="s">
        <v>719</v>
      </c>
      <c r="E61" s="9" t="s">
        <v>720</v>
      </c>
      <c r="F61" s="9" t="s">
        <v>721</v>
      </c>
      <c r="G61" s="9" t="s">
        <v>722</v>
      </c>
      <c r="L61" s="31">
        <f>$I$9*$L$9</f>
        <v>0</v>
      </c>
      <c r="M61" s="31">
        <f>$I$9*$M$9</f>
        <v>0</v>
      </c>
      <c r="N61" s="31">
        <f ca="1">$I$9*$N$9</f>
        <v>0</v>
      </c>
      <c r="O61" s="31">
        <f>$I$9*$O$9</f>
        <v>0</v>
      </c>
      <c r="P61" s="31">
        <f>$I$9*$P$9</f>
        <v>0</v>
      </c>
      <c r="Q61" s="31">
        <f>$I$9*$Q$9</f>
        <v>0</v>
      </c>
      <c r="R61" s="31">
        <f>$I$9*$R$9</f>
        <v>0</v>
      </c>
      <c r="S61" s="31">
        <f>$I$9*$S$9</f>
        <v>0</v>
      </c>
      <c r="T61" s="31">
        <f>$I$9*$T$9</f>
        <v>0</v>
      </c>
      <c r="U61" s="31">
        <f>$I$9*$U$9</f>
        <v>0</v>
      </c>
      <c r="V61" s="31">
        <f>$I$9*$V$9</f>
        <v>0</v>
      </c>
      <c r="W61" s="31">
        <f>$I$9*$W$9</f>
        <v>0</v>
      </c>
      <c r="X61" s="31">
        <f>$I$9*$X$9</f>
        <v>0</v>
      </c>
      <c r="Y61" s="31">
        <f>$I$9*$Y$9</f>
        <v>0</v>
      </c>
      <c r="Z61" s="31">
        <f>$I$9*$Z$9</f>
        <v>0</v>
      </c>
      <c r="AA61" s="31">
        <f>$I$9*$AA$9</f>
        <v>0</v>
      </c>
      <c r="AB61" s="31">
        <f ca="1">$I$9*$AB$9</f>
        <v>0</v>
      </c>
      <c r="AC61" s="31">
        <f ca="1">$I$9*$AC$9</f>
        <v>0</v>
      </c>
      <c r="AD61" s="31">
        <f>$I$9*$AD$9</f>
        <v>0</v>
      </c>
      <c r="AE61" s="31">
        <f>$I$9*$AE$9</f>
        <v>0</v>
      </c>
      <c r="AF61" s="31">
        <f ca="1">$I$9*$AF$9</f>
        <v>0</v>
      </c>
      <c r="AG61" s="31">
        <f ca="1">$I$9*$AG$9</f>
        <v>0</v>
      </c>
      <c r="AI61" s="31">
        <f>$I$9*$AI$9</f>
        <v>0</v>
      </c>
      <c r="AJ61" s="31">
        <f>$I$9*$AJ$9</f>
        <v>0</v>
      </c>
      <c r="AK61" s="31">
        <f>$I$9*$AK$9</f>
        <v>0</v>
      </c>
      <c r="AL61" s="31">
        <f>$I$9*$AL$9</f>
        <v>0</v>
      </c>
      <c r="AM61" s="31">
        <f>$I$9*$AM$9</f>
        <v>0</v>
      </c>
      <c r="AN61" s="31">
        <f>$I$9*$AN$9</f>
        <v>0</v>
      </c>
      <c r="AO61" s="31">
        <f>$I$9*$AO$9</f>
        <v>0</v>
      </c>
      <c r="AP61" s="31">
        <f>$I$9*$AP$9</f>
        <v>0</v>
      </c>
      <c r="AQ61" s="31">
        <f>$I$9*$AQ$9</f>
        <v>0</v>
      </c>
      <c r="AR61" s="31">
        <f>$I$9*$AR$9</f>
        <v>0</v>
      </c>
      <c r="AS61" s="31">
        <f>$I$9*$AS$9</f>
        <v>0</v>
      </c>
      <c r="AT61" s="31">
        <f>$I$9*$AT$9</f>
        <v>0</v>
      </c>
      <c r="AU61" s="31">
        <f>$I$9*$AU$9</f>
        <v>0</v>
      </c>
      <c r="AV61" s="31">
        <f>$I$9*$AV$9</f>
        <v>0</v>
      </c>
      <c r="AW61" s="31">
        <f>$I$9*$AW$9</f>
        <v>0</v>
      </c>
      <c r="AX61" s="31">
        <f>$I$9*$AX$9</f>
        <v>0</v>
      </c>
      <c r="AY61" s="31">
        <f>$I$9*$AY$9</f>
        <v>0</v>
      </c>
      <c r="AZ61" s="31">
        <f>$I$9*$AZ$9</f>
        <v>0</v>
      </c>
      <c r="BA61" s="31">
        <f>$I$9*$BA$9</f>
        <v>0</v>
      </c>
      <c r="BB61" s="31">
        <f>$I$9*$BB$9</f>
        <v>0</v>
      </c>
      <c r="BC61" s="31">
        <f>$I$9*$BC$9</f>
        <v>0</v>
      </c>
      <c r="BD61" s="31">
        <f>$I$9*$BD$9</f>
        <v>0</v>
      </c>
    </row>
    <row r="62" spans="1:56" ht="11.25" customHeight="1" x14ac:dyDescent="0.25">
      <c r="A62" s="9" t="s">
        <v>34</v>
      </c>
      <c r="B62" s="9" t="s">
        <v>723</v>
      </c>
      <c r="C62" s="9" t="s">
        <v>724</v>
      </c>
      <c r="D62" s="9" t="s">
        <v>725</v>
      </c>
      <c r="E62" s="9" t="s">
        <v>726</v>
      </c>
      <c r="F62" s="9" t="s">
        <v>727</v>
      </c>
      <c r="G62" s="9" t="s">
        <v>728</v>
      </c>
      <c r="L62" s="31">
        <f>$I$10*$L$10</f>
        <v>0</v>
      </c>
      <c r="M62" s="31">
        <f>$I$10*$M$10</f>
        <v>0</v>
      </c>
      <c r="N62" s="31">
        <f ca="1">$I$10*$N$10</f>
        <v>0</v>
      </c>
      <c r="O62" s="31">
        <f>$I$10*$O$10</f>
        <v>0</v>
      </c>
      <c r="P62" s="31">
        <f>$I$10*$P$10</f>
        <v>0</v>
      </c>
      <c r="Q62" s="31">
        <f>$I$10*$Q$10</f>
        <v>0</v>
      </c>
      <c r="R62" s="31">
        <f>$I$10*$R$10</f>
        <v>0</v>
      </c>
      <c r="S62" s="31">
        <f>$I$10*$S$10</f>
        <v>0</v>
      </c>
      <c r="T62" s="31">
        <f>$I$10*$T$10</f>
        <v>0</v>
      </c>
      <c r="U62" s="31">
        <f>$I$10*$U$10</f>
        <v>0</v>
      </c>
      <c r="V62" s="31">
        <f>$I$10*$V$10</f>
        <v>0</v>
      </c>
      <c r="W62" s="31">
        <f>$I$10*$W$10</f>
        <v>0</v>
      </c>
      <c r="X62" s="31">
        <f>$I$10*$X$10</f>
        <v>1586392.3312417669</v>
      </c>
      <c r="Y62" s="31">
        <f>$I$10*$Y$10</f>
        <v>0</v>
      </c>
      <c r="Z62" s="31">
        <f>$I$10*$Z$10</f>
        <v>0</v>
      </c>
      <c r="AA62" s="31">
        <f>$I$10*$AA$10</f>
        <v>244632.03605917696</v>
      </c>
      <c r="AB62" s="31">
        <f ca="1">$I$10*$AB$10</f>
        <v>-186279.46355400354</v>
      </c>
      <c r="AC62" s="31">
        <f ca="1">$I$10*$AC$10</f>
        <v>0</v>
      </c>
      <c r="AD62" s="31">
        <f>$I$10*$AD$10</f>
        <v>0</v>
      </c>
      <c r="AE62" s="31">
        <f>$I$10*$AE$10</f>
        <v>0</v>
      </c>
      <c r="AF62" s="31">
        <f ca="1">$I$10*$AF$10</f>
        <v>0</v>
      </c>
      <c r="AG62" s="31">
        <f ca="1">$I$10*$AG$10</f>
        <v>0</v>
      </c>
      <c r="AI62" s="31">
        <f>$I$10*$AI$10</f>
        <v>0</v>
      </c>
      <c r="AJ62" s="31">
        <f>$I$10*$AJ$10</f>
        <v>0</v>
      </c>
      <c r="AK62" s="31">
        <f>$I$10*$AK$10</f>
        <v>0</v>
      </c>
      <c r="AL62" s="31">
        <f>$I$10*$AL$10</f>
        <v>0</v>
      </c>
      <c r="AM62" s="31">
        <f>$I$10*$AM$10</f>
        <v>0</v>
      </c>
      <c r="AN62" s="31">
        <f>$I$10*$AN$10</f>
        <v>0</v>
      </c>
      <c r="AO62" s="31">
        <f>$I$10*$AO$10</f>
        <v>0</v>
      </c>
      <c r="AP62" s="31">
        <f>$I$10*$AP$10</f>
        <v>0</v>
      </c>
      <c r="AQ62" s="31">
        <f>$I$10*$AQ$10</f>
        <v>0</v>
      </c>
      <c r="AR62" s="31">
        <f>$I$10*$AR$10</f>
        <v>0</v>
      </c>
      <c r="AS62" s="31">
        <f>$I$10*$AS$10</f>
        <v>0</v>
      </c>
      <c r="AT62" s="31">
        <f>$I$10*$AT$10</f>
        <v>0</v>
      </c>
      <c r="AU62" s="31">
        <f>$I$10*$AU$10</f>
        <v>889219.89585237252</v>
      </c>
      <c r="AV62" s="31">
        <f>$I$10*$AV$10</f>
        <v>0</v>
      </c>
      <c r="AW62" s="31">
        <f>$I$10*$AW$10</f>
        <v>0</v>
      </c>
      <c r="AX62" s="31">
        <f>$I$10*$AX$10</f>
        <v>430663.07965272648</v>
      </c>
      <c r="AY62" s="31">
        <f>$I$10*$AY$10</f>
        <v>-68462.04913046844</v>
      </c>
      <c r="AZ62" s="31">
        <f>$I$10*$AZ$10</f>
        <v>0</v>
      </c>
      <c r="BA62" s="31">
        <f>$I$10*$BA$10</f>
        <v>0</v>
      </c>
      <c r="BB62" s="31">
        <f>$I$10*$BB$10</f>
        <v>0</v>
      </c>
      <c r="BC62" s="31">
        <f>$I$10*$BC$10</f>
        <v>0</v>
      </c>
      <c r="BD62" s="31">
        <f>$I$10*$BD$10</f>
        <v>0</v>
      </c>
    </row>
    <row r="63" spans="1:56" ht="11.25" customHeight="1" x14ac:dyDescent="0.25">
      <c r="A63" s="9" t="s">
        <v>34</v>
      </c>
      <c r="B63" s="9" t="s">
        <v>723</v>
      </c>
      <c r="C63" s="9" t="s">
        <v>724</v>
      </c>
      <c r="D63" s="9" t="s">
        <v>725</v>
      </c>
      <c r="E63" s="9" t="s">
        <v>726</v>
      </c>
      <c r="F63" s="9" t="s">
        <v>727</v>
      </c>
      <c r="G63" s="9" t="s">
        <v>729</v>
      </c>
      <c r="L63" s="31">
        <f>$I$11*$L$11</f>
        <v>5992.8733230594162</v>
      </c>
      <c r="M63" s="31">
        <f>$I$11*$M$11</f>
        <v>321.35846635858019</v>
      </c>
      <c r="N63" s="31">
        <f ca="1">$I$11*$N$11</f>
        <v>24270.087109961274</v>
      </c>
      <c r="O63" s="31">
        <f>$I$11*$O$11</f>
        <v>0</v>
      </c>
      <c r="P63" s="31">
        <f>$I$11*$P$11</f>
        <v>0</v>
      </c>
      <c r="Q63" s="31">
        <f>$I$11*$Q$11</f>
        <v>236423.48959047749</v>
      </c>
      <c r="R63" s="31">
        <f>$I$11*$R$11</f>
        <v>47015.282845436748</v>
      </c>
      <c r="S63" s="31">
        <f>$I$11*$S$11</f>
        <v>0</v>
      </c>
      <c r="T63" s="31">
        <f>$I$11*$T$11</f>
        <v>0</v>
      </c>
      <c r="U63" s="31">
        <f>$I$11*$U$11</f>
        <v>0</v>
      </c>
      <c r="V63" s="31">
        <f>$I$11*$V$11</f>
        <v>0</v>
      </c>
      <c r="W63" s="31">
        <f>$I$11*$W$11</f>
        <v>0</v>
      </c>
      <c r="X63" s="31">
        <f>$I$11*$X$11</f>
        <v>1998474.0069198573</v>
      </c>
      <c r="Y63" s="31">
        <f>$I$11*$Y$11</f>
        <v>0</v>
      </c>
      <c r="Z63" s="31">
        <f>$I$11*$Z$11</f>
        <v>0</v>
      </c>
      <c r="AA63" s="31">
        <f>$I$11*$AA$11</f>
        <v>414879.4477813064</v>
      </c>
      <c r="AB63" s="31">
        <f ca="1">$I$11*$AB$11</f>
        <v>-277927.89048393018</v>
      </c>
      <c r="AC63" s="31">
        <f ca="1">$I$11*$AC$11</f>
        <v>0</v>
      </c>
      <c r="AD63" s="31">
        <f>$I$11*$AD$11</f>
        <v>27940.717594235426</v>
      </c>
      <c r="AE63" s="31">
        <f>$I$11*$AE$11</f>
        <v>898.53561823541543</v>
      </c>
      <c r="AF63" s="31">
        <f ca="1">$I$11*$AF$11</f>
        <v>3438.020238579777</v>
      </c>
      <c r="AG63" s="31">
        <f ca="1">$I$11*$AG$11</f>
        <v>612.06955812546971</v>
      </c>
      <c r="AI63" s="31">
        <f>$I$11*$AI$11</f>
        <v>5521.3094221411875</v>
      </c>
      <c r="AJ63" s="31">
        <f>$I$11*$AJ$11</f>
        <v>461.49297962650047</v>
      </c>
      <c r="AK63" s="31">
        <f>$I$11*$AK$11</f>
        <v>20637.737789960043</v>
      </c>
      <c r="AL63" s="31">
        <f>$I$11*$AL$11</f>
        <v>0</v>
      </c>
      <c r="AM63" s="31">
        <f>$I$11*$AM$11</f>
        <v>0</v>
      </c>
      <c r="AN63" s="31">
        <f>$I$11*$AN$11</f>
        <v>146264.95283851592</v>
      </c>
      <c r="AO63" s="31">
        <f>$I$11*$AO$11</f>
        <v>27078.334387585659</v>
      </c>
      <c r="AP63" s="31">
        <f>$I$11*$AP$11</f>
        <v>0</v>
      </c>
      <c r="AQ63" s="31">
        <f>$I$11*$AQ$11</f>
        <v>0</v>
      </c>
      <c r="AR63" s="31">
        <f>$I$11*$AR$11</f>
        <v>0</v>
      </c>
      <c r="AS63" s="31">
        <f>$I$11*$AS$11</f>
        <v>0</v>
      </c>
      <c r="AT63" s="31">
        <f>$I$11*$AT$11</f>
        <v>0</v>
      </c>
      <c r="AU63" s="31">
        <f>$I$11*$AU$11</f>
        <v>1830770.0325071234</v>
      </c>
      <c r="AV63" s="31">
        <f>$I$11*$AV$11</f>
        <v>0</v>
      </c>
      <c r="AW63" s="31">
        <f>$I$11*$AW$11</f>
        <v>0</v>
      </c>
      <c r="AX63" s="31">
        <f>$I$11*$AX$11</f>
        <v>483942.84079926094</v>
      </c>
      <c r="AY63" s="31">
        <f>$I$11*$AY$11</f>
        <v>-130899.67415009692</v>
      </c>
      <c r="AZ63" s="31">
        <f>$I$11*$AZ$11</f>
        <v>0</v>
      </c>
      <c r="BA63" s="31">
        <f>$I$11*$BA$11</f>
        <v>27874.882580013669</v>
      </c>
      <c r="BB63" s="31">
        <f>$I$11*$BB$11</f>
        <v>795.88178309869852</v>
      </c>
      <c r="BC63" s="31">
        <f>$I$11*$BC$11</f>
        <v>3872.2164978000501</v>
      </c>
      <c r="BD63" s="31">
        <f>$I$11*$BD$11</f>
        <v>-127.52424841072839</v>
      </c>
    </row>
    <row r="64" spans="1:56" ht="11.25" customHeight="1" x14ac:dyDescent="0.25">
      <c r="A64" s="9" t="s">
        <v>34</v>
      </c>
      <c r="B64" s="9" t="s">
        <v>723</v>
      </c>
      <c r="C64" s="9" t="s">
        <v>724</v>
      </c>
      <c r="D64" s="9" t="s">
        <v>725</v>
      </c>
      <c r="E64" s="9" t="s">
        <v>726</v>
      </c>
      <c r="F64" s="9" t="s">
        <v>727</v>
      </c>
      <c r="G64" s="9" t="s">
        <v>730</v>
      </c>
      <c r="L64" s="31">
        <f>$I$12*$L$12</f>
        <v>61534.665369444912</v>
      </c>
      <c r="M64" s="31">
        <f>$I$12*$M$12</f>
        <v>3299.7002648002067</v>
      </c>
      <c r="N64" s="31">
        <f ca="1">$I$12*$N$12</f>
        <v>7334.0126376120115</v>
      </c>
      <c r="O64" s="31">
        <f>$I$12*$O$12</f>
        <v>0</v>
      </c>
      <c r="P64" s="31">
        <f>$I$12*$P$12</f>
        <v>0</v>
      </c>
      <c r="Q64" s="31">
        <f>$I$12*$Q$12</f>
        <v>2427590.1613751226</v>
      </c>
      <c r="R64" s="31">
        <f>$I$12*$R$12</f>
        <v>482751.68540802988</v>
      </c>
      <c r="S64" s="31">
        <f>$I$12*$S$12</f>
        <v>0</v>
      </c>
      <c r="T64" s="31">
        <f>$I$12*$T$12</f>
        <v>0</v>
      </c>
      <c r="U64" s="31">
        <f>$I$12*$U$12</f>
        <v>0</v>
      </c>
      <c r="V64" s="31">
        <f>$I$12*$V$12</f>
        <v>0</v>
      </c>
      <c r="W64" s="31">
        <f>$I$12*$W$12</f>
        <v>0</v>
      </c>
      <c r="X64" s="31">
        <f>$I$12*$X$12</f>
        <v>0</v>
      </c>
      <c r="Y64" s="31">
        <f>$I$12*$Y$12</f>
        <v>0</v>
      </c>
      <c r="Z64" s="31">
        <f>$I$12*$Z$12</f>
        <v>0</v>
      </c>
      <c r="AA64" s="31">
        <f>$I$12*$AA$12</f>
        <v>0</v>
      </c>
      <c r="AB64" s="31">
        <f ca="1">$I$12*$AB$12</f>
        <v>-301160.62384410662</v>
      </c>
      <c r="AC64" s="31">
        <f ca="1">$I$12*$AC$12</f>
        <v>0</v>
      </c>
      <c r="AD64" s="31">
        <f>$I$12*$AD$12</f>
        <v>286894.55202195211</v>
      </c>
      <c r="AE64" s="31">
        <f>$I$12*$AE$12</f>
        <v>9226.1400517001057</v>
      </c>
      <c r="AF64" s="31">
        <f ca="1">$I$12*$AF$12</f>
        <v>35301.501218180892</v>
      </c>
      <c r="AG64" s="31">
        <f ca="1">$I$12*$AG$12</f>
        <v>6284.714094848785</v>
      </c>
      <c r="AI64" s="31">
        <f>$I$12*$AI$12</f>
        <v>56692.659660487327</v>
      </c>
      <c r="AJ64" s="31">
        <f>$I$12*$AJ$12</f>
        <v>4738.5977545020787</v>
      </c>
      <c r="AK64" s="31">
        <f>$I$12*$AK$12</f>
        <v>8205.0502173401801</v>
      </c>
      <c r="AL64" s="31">
        <f>$I$12*$AL$12</f>
        <v>0</v>
      </c>
      <c r="AM64" s="31">
        <f>$I$12*$AM$12</f>
        <v>0</v>
      </c>
      <c r="AN64" s="31">
        <f>$I$12*$AN$12</f>
        <v>1501844.6816761596</v>
      </c>
      <c r="AO64" s="31">
        <f>$I$12*$AO$12</f>
        <v>278039.62397980032</v>
      </c>
      <c r="AP64" s="31">
        <f>$I$12*$AP$12</f>
        <v>0</v>
      </c>
      <c r="AQ64" s="31">
        <f>$I$12*$AQ$12</f>
        <v>0</v>
      </c>
      <c r="AR64" s="31">
        <f>$I$12*$AR$12</f>
        <v>0</v>
      </c>
      <c r="AS64" s="31">
        <f>$I$12*$AS$12</f>
        <v>0</v>
      </c>
      <c r="AT64" s="31">
        <f>$I$12*$AT$12</f>
        <v>0</v>
      </c>
      <c r="AU64" s="31">
        <f>$I$12*$AU$12</f>
        <v>0</v>
      </c>
      <c r="AV64" s="31">
        <f>$I$12*$AV$12</f>
        <v>0</v>
      </c>
      <c r="AW64" s="31">
        <f>$I$12*$AW$12</f>
        <v>0</v>
      </c>
      <c r="AX64" s="31">
        <f>$I$12*$AX$12</f>
        <v>0</v>
      </c>
      <c r="AY64" s="31">
        <f>$I$12*$AY$12</f>
        <v>-108100.86385366165</v>
      </c>
      <c r="AZ64" s="31">
        <f>$I$12*$AZ$12</f>
        <v>0</v>
      </c>
      <c r="BA64" s="31">
        <f>$I$12*$BA$12</f>
        <v>286218.55983067042</v>
      </c>
      <c r="BB64" s="31">
        <f>$I$12*$BB$12</f>
        <v>8172.0931774365808</v>
      </c>
      <c r="BC64" s="31">
        <f>$I$12*$BC$12</f>
        <v>39759.816966818209</v>
      </c>
      <c r="BD64" s="31">
        <f>$I$12*$BD$12</f>
        <v>-1309.415622427689</v>
      </c>
    </row>
    <row r="65" spans="1:56" ht="11.25" customHeight="1" x14ac:dyDescent="0.25">
      <c r="A65" s="9" t="s">
        <v>34</v>
      </c>
      <c r="B65" s="9" t="s">
        <v>723</v>
      </c>
      <c r="C65" s="9" t="s">
        <v>724</v>
      </c>
      <c r="D65" s="9" t="s">
        <v>725</v>
      </c>
      <c r="E65" s="9" t="s">
        <v>731</v>
      </c>
      <c r="F65" s="9" t="s">
        <v>732</v>
      </c>
      <c r="G65" s="9" t="s">
        <v>733</v>
      </c>
      <c r="L65" s="31">
        <f>$I$13*$L$13</f>
        <v>0</v>
      </c>
      <c r="M65" s="31">
        <f>$I$13*$M$13</f>
        <v>0</v>
      </c>
      <c r="N65" s="31">
        <f ca="1">$I$13*$N$13</f>
        <v>0</v>
      </c>
      <c r="O65" s="31">
        <f>$I$13*$O$13</f>
        <v>0</v>
      </c>
      <c r="P65" s="31">
        <f>$I$13*$P$13</f>
        <v>0</v>
      </c>
      <c r="Q65" s="31">
        <f>$I$13*$Q$13</f>
        <v>0</v>
      </c>
      <c r="R65" s="31">
        <f>$I$13*$R$13</f>
        <v>0</v>
      </c>
      <c r="S65" s="31">
        <f>$I$13*$S$13</f>
        <v>0</v>
      </c>
      <c r="T65" s="31">
        <f>$I$13*$T$13</f>
        <v>0</v>
      </c>
      <c r="U65" s="31">
        <f>$I$13*$U$13</f>
        <v>0</v>
      </c>
      <c r="V65" s="31">
        <f>$I$13*$V$13</f>
        <v>0</v>
      </c>
      <c r="W65" s="31">
        <f>$I$13*$W$13</f>
        <v>0</v>
      </c>
      <c r="X65" s="31">
        <f>$I$13*$X$13</f>
        <v>0</v>
      </c>
      <c r="Y65" s="31">
        <f>$I$13*$Y$13</f>
        <v>0</v>
      </c>
      <c r="Z65" s="31">
        <f>$I$13*$Z$13</f>
        <v>0</v>
      </c>
      <c r="AA65" s="31">
        <f>$I$13*$AA$13</f>
        <v>0</v>
      </c>
      <c r="AB65" s="31">
        <f ca="1">$I$13*$AB$13</f>
        <v>0</v>
      </c>
      <c r="AC65" s="31">
        <f ca="1">$I$13*$AC$13</f>
        <v>0</v>
      </c>
      <c r="AD65" s="31">
        <f>$I$13*$AD$13</f>
        <v>0</v>
      </c>
      <c r="AE65" s="31">
        <f>$I$13*$AE$13</f>
        <v>0</v>
      </c>
      <c r="AF65" s="31">
        <f ca="1">$I$13*$AF$13</f>
        <v>0</v>
      </c>
      <c r="AG65" s="31">
        <f ca="1">$I$13*$AG$13</f>
        <v>0</v>
      </c>
      <c r="AI65" s="31">
        <f>$I$13*$AI$13</f>
        <v>0</v>
      </c>
      <c r="AJ65" s="31">
        <f>$I$13*$AJ$13</f>
        <v>0</v>
      </c>
      <c r="AK65" s="31">
        <f>$I$13*$AK$13</f>
        <v>0</v>
      </c>
      <c r="AL65" s="31">
        <f>$I$13*$AL$13</f>
        <v>0</v>
      </c>
      <c r="AM65" s="31">
        <f>$I$13*$AM$13</f>
        <v>0</v>
      </c>
      <c r="AN65" s="31">
        <f>$I$13*$AN$13</f>
        <v>0</v>
      </c>
      <c r="AO65" s="31">
        <f>$I$13*$AO$13</f>
        <v>0</v>
      </c>
      <c r="AP65" s="31">
        <f>$I$13*$AP$13</f>
        <v>0</v>
      </c>
      <c r="AQ65" s="31">
        <f>$I$13*$AQ$13</f>
        <v>0</v>
      </c>
      <c r="AR65" s="31">
        <f>$I$13*$AR$13</f>
        <v>0</v>
      </c>
      <c r="AS65" s="31">
        <f>$I$13*$AS$13</f>
        <v>0</v>
      </c>
      <c r="AT65" s="31">
        <f>$I$13*$AT$13</f>
        <v>0</v>
      </c>
      <c r="AU65" s="31">
        <f>$I$13*$AU$13</f>
        <v>0</v>
      </c>
      <c r="AV65" s="31">
        <f>$I$13*$AV$13</f>
        <v>0</v>
      </c>
      <c r="AW65" s="31">
        <f>$I$13*$AW$13</f>
        <v>0</v>
      </c>
      <c r="AX65" s="31">
        <f>$I$13*$AX$13</f>
        <v>0</v>
      </c>
      <c r="AY65" s="31">
        <f>$I$13*$AY$13</f>
        <v>0</v>
      </c>
      <c r="AZ65" s="31">
        <f>$I$13*$AZ$13</f>
        <v>0</v>
      </c>
      <c r="BA65" s="31">
        <f>$I$13*$BA$13</f>
        <v>0</v>
      </c>
      <c r="BB65" s="31">
        <f>$I$13*$BB$13</f>
        <v>0</v>
      </c>
      <c r="BC65" s="31">
        <f>$I$13*$BC$13</f>
        <v>0</v>
      </c>
      <c r="BD65" s="31">
        <f>$I$13*$BD$13</f>
        <v>0</v>
      </c>
    </row>
    <row r="66" spans="1:56" ht="11.25" customHeight="1" x14ac:dyDescent="0.25">
      <c r="A66" s="9" t="s">
        <v>34</v>
      </c>
      <c r="B66" s="9" t="s">
        <v>723</v>
      </c>
      <c r="C66" s="9" t="s">
        <v>724</v>
      </c>
      <c r="D66" s="9" t="s">
        <v>725</v>
      </c>
      <c r="E66" s="9" t="s">
        <v>731</v>
      </c>
      <c r="F66" s="9" t="s">
        <v>732</v>
      </c>
      <c r="G66" s="9" t="s">
        <v>734</v>
      </c>
      <c r="L66" s="31">
        <f>$I$14*$L$14</f>
        <v>0</v>
      </c>
      <c r="M66" s="31">
        <f>$I$14*$M$14</f>
        <v>0</v>
      </c>
      <c r="N66" s="31">
        <f ca="1">$I$14*$N$14</f>
        <v>0</v>
      </c>
      <c r="O66" s="31">
        <f>$I$14*$O$14</f>
        <v>0</v>
      </c>
      <c r="P66" s="31">
        <f>$I$14*$P$14</f>
        <v>0</v>
      </c>
      <c r="Q66" s="31">
        <f>$I$14*$Q$14</f>
        <v>0</v>
      </c>
      <c r="R66" s="31">
        <f>$I$14*$R$14</f>
        <v>0</v>
      </c>
      <c r="S66" s="31">
        <f>$I$14*$S$14</f>
        <v>0</v>
      </c>
      <c r="T66" s="31">
        <f>$I$14*$T$14</f>
        <v>0</v>
      </c>
      <c r="U66" s="31">
        <f>$I$14*$U$14</f>
        <v>0</v>
      </c>
      <c r="V66" s="31">
        <f>$I$14*$V$14</f>
        <v>0</v>
      </c>
      <c r="W66" s="31">
        <f>$I$14*$W$14</f>
        <v>0</v>
      </c>
      <c r="X66" s="31">
        <f>$I$14*$X$14</f>
        <v>0</v>
      </c>
      <c r="Y66" s="31">
        <f>$I$14*$Y$14</f>
        <v>0</v>
      </c>
      <c r="Z66" s="31">
        <f>$I$14*$Z$14</f>
        <v>0</v>
      </c>
      <c r="AA66" s="31">
        <f>$I$14*$AA$14</f>
        <v>0</v>
      </c>
      <c r="AB66" s="31">
        <f ca="1">$I$14*$AB$14</f>
        <v>0</v>
      </c>
      <c r="AC66" s="31">
        <f ca="1">$I$14*$AC$14</f>
        <v>0</v>
      </c>
      <c r="AD66" s="31">
        <f>$I$14*$AD$14</f>
        <v>0</v>
      </c>
      <c r="AE66" s="31">
        <f>$I$14*$AE$14</f>
        <v>0</v>
      </c>
      <c r="AF66" s="31">
        <f ca="1">$I$14*$AF$14</f>
        <v>0</v>
      </c>
      <c r="AG66" s="31">
        <f ca="1">$I$14*$AG$14</f>
        <v>0</v>
      </c>
      <c r="AI66" s="31">
        <f>$I$14*$AI$14</f>
        <v>0</v>
      </c>
      <c r="AJ66" s="31">
        <f>$I$14*$AJ$14</f>
        <v>0</v>
      </c>
      <c r="AK66" s="31">
        <f>$I$14*$AK$14</f>
        <v>0</v>
      </c>
      <c r="AL66" s="31">
        <f>$I$14*$AL$14</f>
        <v>0</v>
      </c>
      <c r="AM66" s="31">
        <f>$I$14*$AM$14</f>
        <v>0</v>
      </c>
      <c r="AN66" s="31">
        <f>$I$14*$AN$14</f>
        <v>0</v>
      </c>
      <c r="AO66" s="31">
        <f>$I$14*$AO$14</f>
        <v>0</v>
      </c>
      <c r="AP66" s="31">
        <f>$I$14*$AP$14</f>
        <v>0</v>
      </c>
      <c r="AQ66" s="31">
        <f>$I$14*$AQ$14</f>
        <v>0</v>
      </c>
      <c r="AR66" s="31">
        <f>$I$14*$AR$14</f>
        <v>0</v>
      </c>
      <c r="AS66" s="31">
        <f>$I$14*$AS$14</f>
        <v>0</v>
      </c>
      <c r="AT66" s="31">
        <f>$I$14*$AT$14</f>
        <v>0</v>
      </c>
      <c r="AU66" s="31">
        <f>$I$14*$AU$14</f>
        <v>0</v>
      </c>
      <c r="AV66" s="31">
        <f>$I$14*$AV$14</f>
        <v>0</v>
      </c>
      <c r="AW66" s="31">
        <f>$I$14*$AW$14</f>
        <v>0</v>
      </c>
      <c r="AX66" s="31">
        <f>$I$14*$AX$14</f>
        <v>0</v>
      </c>
      <c r="AY66" s="31">
        <f>$I$14*$AY$14</f>
        <v>0</v>
      </c>
      <c r="AZ66" s="31">
        <f>$I$14*$AZ$14</f>
        <v>0</v>
      </c>
      <c r="BA66" s="31">
        <f>$I$14*$BA$14</f>
        <v>0</v>
      </c>
      <c r="BB66" s="31">
        <f>$I$14*$BB$14</f>
        <v>0</v>
      </c>
      <c r="BC66" s="31">
        <f>$I$14*$BC$14</f>
        <v>0</v>
      </c>
      <c r="BD66" s="31">
        <f>$I$14*$BD$14</f>
        <v>0</v>
      </c>
    </row>
    <row r="67" spans="1:56" ht="11.25" customHeight="1" x14ac:dyDescent="0.25">
      <c r="A67" s="9" t="s">
        <v>80</v>
      </c>
      <c r="B67" s="9" t="s">
        <v>735</v>
      </c>
      <c r="C67" s="9" t="s">
        <v>736</v>
      </c>
      <c r="D67" s="9" t="s">
        <v>737</v>
      </c>
      <c r="E67" s="9" t="s">
        <v>738</v>
      </c>
      <c r="F67" s="9" t="s">
        <v>739</v>
      </c>
      <c r="G67" s="9" t="s">
        <v>740</v>
      </c>
      <c r="L67" s="31">
        <f>$I$15*$L$15</f>
        <v>0</v>
      </c>
      <c r="M67" s="31">
        <f>$I$15*$M$15</f>
        <v>2.0201626026786549E-10</v>
      </c>
      <c r="N67" s="31">
        <f ca="1">$I$15*$N$15</f>
        <v>5.6287261639843838E-10</v>
      </c>
      <c r="O67" s="31">
        <f>$I$15*$O$15</f>
        <v>0</v>
      </c>
      <c r="P67" s="31">
        <f>$I$15*$P$15</f>
        <v>0</v>
      </c>
      <c r="Q67" s="31">
        <f>$I$15*$Q$15</f>
        <v>0</v>
      </c>
      <c r="R67" s="31">
        <f>$I$15*$R$15</f>
        <v>0</v>
      </c>
      <c r="S67" s="31">
        <f>$I$15*$S$15</f>
        <v>0</v>
      </c>
      <c r="T67" s="31">
        <f>$I$15*$T$15</f>
        <v>0</v>
      </c>
      <c r="U67" s="31">
        <f>$I$15*$U$15</f>
        <v>0</v>
      </c>
      <c r="V67" s="31">
        <f>$I$15*$V$15</f>
        <v>0</v>
      </c>
      <c r="W67" s="31">
        <f>$I$15*$W$15</f>
        <v>0</v>
      </c>
      <c r="X67" s="31">
        <f>$I$15*$X$15</f>
        <v>0</v>
      </c>
      <c r="Y67" s="31">
        <f>$I$15*$Y$15</f>
        <v>0</v>
      </c>
      <c r="Z67" s="31">
        <f>$I$15*$Z$15</f>
        <v>0</v>
      </c>
      <c r="AA67" s="31">
        <f>$I$15*$AA$15</f>
        <v>5.084724815853844E-8</v>
      </c>
      <c r="AB67" s="31">
        <f ca="1">$I$15*$AB$15</f>
        <v>-5.535220909900297E-9</v>
      </c>
      <c r="AC67" s="31">
        <f ca="1">$I$15*$AC$15</f>
        <v>0</v>
      </c>
      <c r="AD67" s="31">
        <f>$I$15*$AD$15</f>
        <v>0</v>
      </c>
      <c r="AE67" s="31">
        <f>$I$15*$AE$15</f>
        <v>0</v>
      </c>
      <c r="AF67" s="31">
        <f ca="1">$I$15*$AF$15</f>
        <v>0</v>
      </c>
      <c r="AG67" s="31">
        <f ca="1">$I$15*$AG$15</f>
        <v>0</v>
      </c>
      <c r="AI67" s="31">
        <f>$I$15*$AI$15</f>
        <v>0</v>
      </c>
      <c r="AJ67" s="31">
        <f>$I$15*$AJ$15</f>
        <v>2.6577407992329299E-10</v>
      </c>
      <c r="AK67" s="31">
        <f>$I$15*$AK$15</f>
        <v>9.6536539825868403E-10</v>
      </c>
      <c r="AL67" s="31">
        <f>$I$15*$AL$15</f>
        <v>0</v>
      </c>
      <c r="AM67" s="31">
        <f>$I$15*$AM$15</f>
        <v>0</v>
      </c>
      <c r="AN67" s="31">
        <f>$I$15*$AN$15</f>
        <v>0</v>
      </c>
      <c r="AO67" s="31">
        <f>$I$15*$AO$15</f>
        <v>0</v>
      </c>
      <c r="AP67" s="31">
        <f>$I$15*$AP$15</f>
        <v>0</v>
      </c>
      <c r="AQ67" s="31">
        <f>$I$15*$AQ$15</f>
        <v>0</v>
      </c>
      <c r="AR67" s="31">
        <f>$I$15*$AR$15</f>
        <v>0</v>
      </c>
      <c r="AS67" s="31">
        <f>$I$15*$AS$15</f>
        <v>0</v>
      </c>
      <c r="AT67" s="31">
        <f>$I$15*$AT$15</f>
        <v>0</v>
      </c>
      <c r="AU67" s="31">
        <f>$I$15*$AU$15</f>
        <v>0</v>
      </c>
      <c r="AV67" s="31">
        <f>$I$15*$AV$15</f>
        <v>0</v>
      </c>
      <c r="AW67" s="31">
        <f>$I$15*$AW$15</f>
        <v>0</v>
      </c>
      <c r="AX67" s="31">
        <f>$I$15*$AX$15</f>
        <v>6.4007533293973809E-8</v>
      </c>
      <c r="AY67" s="31">
        <f>$I$15*$AY$15</f>
        <v>-3.5069816789153502E-9</v>
      </c>
      <c r="AZ67" s="31">
        <f>$I$15*$AZ$15</f>
        <v>0</v>
      </c>
      <c r="BA67" s="31">
        <f>$I$15*$BA$15</f>
        <v>0</v>
      </c>
      <c r="BB67" s="31">
        <f>$I$15*$BB$15</f>
        <v>0</v>
      </c>
      <c r="BC67" s="31">
        <f>$I$15*$BC$15</f>
        <v>0</v>
      </c>
      <c r="BD67" s="31">
        <f>$I$15*$BD$15</f>
        <v>0</v>
      </c>
    </row>
    <row r="68" spans="1:56" ht="11.25" customHeight="1" x14ac:dyDescent="0.25">
      <c r="A68" s="9" t="s">
        <v>80</v>
      </c>
      <c r="B68" s="9" t="s">
        <v>735</v>
      </c>
      <c r="C68" s="9" t="s">
        <v>736</v>
      </c>
      <c r="D68" s="9" t="s">
        <v>737</v>
      </c>
      <c r="E68" s="9" t="s">
        <v>741</v>
      </c>
      <c r="F68" s="9" t="s">
        <v>742</v>
      </c>
      <c r="G68" s="9" t="s">
        <v>743</v>
      </c>
      <c r="L68" s="31">
        <f>$I$16*$L$16</f>
        <v>0</v>
      </c>
      <c r="M68" s="31">
        <f>$I$16*$M$16</f>
        <v>2.0201626026786549E-10</v>
      </c>
      <c r="N68" s="31">
        <f ca="1">$I$16*$N$16</f>
        <v>5.6287261639843838E-10</v>
      </c>
      <c r="O68" s="31">
        <f>$I$16*$O$16</f>
        <v>0</v>
      </c>
      <c r="P68" s="31">
        <f>$I$16*$P$16</f>
        <v>0</v>
      </c>
      <c r="Q68" s="31">
        <f>$I$16*$Q$16</f>
        <v>0</v>
      </c>
      <c r="R68" s="31">
        <f>$I$16*$R$16</f>
        <v>0</v>
      </c>
      <c r="S68" s="31">
        <f>$I$16*$S$16</f>
        <v>0</v>
      </c>
      <c r="T68" s="31">
        <f>$I$16*$T$16</f>
        <v>0</v>
      </c>
      <c r="U68" s="31">
        <f>$I$16*$U$16</f>
        <v>0</v>
      </c>
      <c r="V68" s="31">
        <f>$I$16*$V$16</f>
        <v>0</v>
      </c>
      <c r="W68" s="31">
        <f>$I$16*$W$16</f>
        <v>0</v>
      </c>
      <c r="X68" s="31">
        <f>$I$16*$X$16</f>
        <v>0</v>
      </c>
      <c r="Y68" s="31">
        <f>$I$16*$Y$16</f>
        <v>0</v>
      </c>
      <c r="Z68" s="31">
        <f>$I$16*$Z$16</f>
        <v>0</v>
      </c>
      <c r="AA68" s="31">
        <f>$I$16*$AA$16</f>
        <v>8.7490059652757828E-8</v>
      </c>
      <c r="AB68" s="31">
        <f ca="1">$I$16*$AB$16</f>
        <v>-9.4656494849153004E-9</v>
      </c>
      <c r="AC68" s="31">
        <f ca="1">$I$16*$AC$16</f>
        <v>0</v>
      </c>
      <c r="AD68" s="31">
        <f>$I$16*$AD$16</f>
        <v>0</v>
      </c>
      <c r="AE68" s="31">
        <f>$I$16*$AE$16</f>
        <v>0</v>
      </c>
      <c r="AF68" s="31">
        <f ca="1">$I$16*$AF$16</f>
        <v>0</v>
      </c>
      <c r="AG68" s="31">
        <f ca="1">$I$16*$AG$16</f>
        <v>0</v>
      </c>
      <c r="AI68" s="31">
        <f>$I$16*$AI$16</f>
        <v>0</v>
      </c>
      <c r="AJ68" s="31">
        <f>$I$16*$AJ$16</f>
        <v>2.6577407992329299E-10</v>
      </c>
      <c r="AK68" s="31">
        <f>$I$16*$AK$16</f>
        <v>9.6536539825868403E-10</v>
      </c>
      <c r="AL68" s="31">
        <f>$I$16*$AL$16</f>
        <v>0</v>
      </c>
      <c r="AM68" s="31">
        <f>$I$16*$AM$16</f>
        <v>0</v>
      </c>
      <c r="AN68" s="31">
        <f>$I$16*$AN$16</f>
        <v>0</v>
      </c>
      <c r="AO68" s="31">
        <f>$I$16*$AO$16</f>
        <v>0</v>
      </c>
      <c r="AP68" s="31">
        <f>$I$16*$AP$16</f>
        <v>0</v>
      </c>
      <c r="AQ68" s="31">
        <f>$I$16*$AQ$16</f>
        <v>0</v>
      </c>
      <c r="AR68" s="31">
        <f>$I$16*$AR$16</f>
        <v>0</v>
      </c>
      <c r="AS68" s="31">
        <f>$I$16*$AS$16</f>
        <v>0</v>
      </c>
      <c r="AT68" s="31">
        <f>$I$16*$AT$16</f>
        <v>0</v>
      </c>
      <c r="AU68" s="31">
        <f>$I$16*$AU$16</f>
        <v>0</v>
      </c>
      <c r="AV68" s="31">
        <f>$I$16*$AV$16</f>
        <v>0</v>
      </c>
      <c r="AW68" s="31">
        <f>$I$16*$AW$16</f>
        <v>0</v>
      </c>
      <c r="AX68" s="31">
        <f>$I$16*$AX$16</f>
        <v>9.2719340216974504E-8</v>
      </c>
      <c r="AY68" s="31">
        <f>$I$16*$AY$16</f>
        <v>-5.0503229130330098E-9</v>
      </c>
      <c r="AZ68" s="31">
        <f>$I$16*$AZ$16</f>
        <v>0</v>
      </c>
      <c r="BA68" s="31">
        <f>$I$16*$BA$16</f>
        <v>0</v>
      </c>
      <c r="BB68" s="31">
        <f>$I$16*$BB$16</f>
        <v>0</v>
      </c>
      <c r="BC68" s="31">
        <f>$I$16*$BC$16</f>
        <v>0</v>
      </c>
      <c r="BD68" s="31">
        <f>$I$16*$BD$16</f>
        <v>0</v>
      </c>
    </row>
    <row r="69" spans="1:56" ht="11.25" customHeight="1" x14ac:dyDescent="0.25">
      <c r="A69" s="9" t="s">
        <v>22</v>
      </c>
      <c r="B69" s="9" t="s">
        <v>744</v>
      </c>
      <c r="C69" s="9" t="s">
        <v>745</v>
      </c>
      <c r="D69" s="9" t="s">
        <v>746</v>
      </c>
      <c r="E69" s="9" t="s">
        <v>747</v>
      </c>
      <c r="F69" s="9" t="s">
        <v>748</v>
      </c>
      <c r="G69" s="9" t="s">
        <v>749</v>
      </c>
      <c r="L69" s="31">
        <f>$I$17*$L$17</f>
        <v>0</v>
      </c>
      <c r="M69" s="31">
        <f>$I$17*$M$17</f>
        <v>0</v>
      </c>
      <c r="N69" s="31">
        <f ca="1">$I$17*$N$17</f>
        <v>0</v>
      </c>
      <c r="O69" s="31">
        <f>$I$17*$O$17</f>
        <v>0</v>
      </c>
      <c r="P69" s="31">
        <f>$I$17*$P$17</f>
        <v>0</v>
      </c>
      <c r="Q69" s="31">
        <f>$I$17*$Q$17</f>
        <v>0</v>
      </c>
      <c r="R69" s="31">
        <f>$I$17*$R$17</f>
        <v>0</v>
      </c>
      <c r="S69" s="31">
        <f>$I$17*$S$17</f>
        <v>0</v>
      </c>
      <c r="T69" s="31">
        <f>$I$17*$T$17</f>
        <v>0</v>
      </c>
      <c r="U69" s="31">
        <f>$I$17*$U$17</f>
        <v>0</v>
      </c>
      <c r="V69" s="31">
        <f>$I$17*$V$17</f>
        <v>0</v>
      </c>
      <c r="W69" s="31">
        <f>$I$17*$W$17</f>
        <v>0</v>
      </c>
      <c r="X69" s="31">
        <f>$I$17*$X$17</f>
        <v>0</v>
      </c>
      <c r="Y69" s="31">
        <f>$I$17*$Y$17</f>
        <v>0</v>
      </c>
      <c r="Z69" s="31">
        <f>$I$17*$Z$17</f>
        <v>0</v>
      </c>
      <c r="AA69" s="31">
        <f>$I$17*$AA$17</f>
        <v>0</v>
      </c>
      <c r="AB69" s="31">
        <f ca="1">$I$17*$AB$17</f>
        <v>0</v>
      </c>
      <c r="AC69" s="31">
        <f ca="1">$I$17*$AC$17</f>
        <v>0</v>
      </c>
      <c r="AD69" s="31">
        <f>$I$17*$AD$17</f>
        <v>0</v>
      </c>
      <c r="AE69" s="31">
        <f>$I$17*$AE$17</f>
        <v>0</v>
      </c>
      <c r="AF69" s="31">
        <f ca="1">$I$17*$AF$17</f>
        <v>0</v>
      </c>
      <c r="AG69" s="31">
        <f ca="1">$I$17*$AG$17</f>
        <v>0</v>
      </c>
      <c r="AI69" s="31">
        <f>$I$17*$AI$17</f>
        <v>0</v>
      </c>
      <c r="AJ69" s="31">
        <f>$I$17*$AJ$17</f>
        <v>0</v>
      </c>
      <c r="AK69" s="31">
        <f>$I$17*$AK$17</f>
        <v>0</v>
      </c>
      <c r="AL69" s="31">
        <f>$I$17*$AL$17</f>
        <v>0</v>
      </c>
      <c r="AM69" s="31">
        <f>$I$17*$AM$17</f>
        <v>0</v>
      </c>
      <c r="AN69" s="31">
        <f>$I$17*$AN$17</f>
        <v>0</v>
      </c>
      <c r="AO69" s="31">
        <f>$I$17*$AO$17</f>
        <v>0</v>
      </c>
      <c r="AP69" s="31">
        <f>$I$17*$AP$17</f>
        <v>0</v>
      </c>
      <c r="AQ69" s="31">
        <f>$I$17*$AQ$17</f>
        <v>0</v>
      </c>
      <c r="AR69" s="31">
        <f>$I$17*$AR$17</f>
        <v>0</v>
      </c>
      <c r="AS69" s="31">
        <f>$I$17*$AS$17</f>
        <v>0</v>
      </c>
      <c r="AT69" s="31">
        <f>$I$17*$AT$17</f>
        <v>0</v>
      </c>
      <c r="AU69" s="31">
        <f>$I$17*$AU$17</f>
        <v>0</v>
      </c>
      <c r="AV69" s="31">
        <f>$I$17*$AV$17</f>
        <v>0</v>
      </c>
      <c r="AW69" s="31">
        <f>$I$17*$AW$17</f>
        <v>0</v>
      </c>
      <c r="AX69" s="31">
        <f>$I$17*$AX$17</f>
        <v>0</v>
      </c>
      <c r="AY69" s="31">
        <f>$I$17*$AY$17</f>
        <v>0</v>
      </c>
      <c r="AZ69" s="31">
        <f>$I$17*$AZ$17</f>
        <v>0</v>
      </c>
      <c r="BA69" s="31">
        <f>$I$17*$BA$17</f>
        <v>0</v>
      </c>
      <c r="BB69" s="31">
        <f>$I$17*$BB$17</f>
        <v>0</v>
      </c>
      <c r="BC69" s="31">
        <f>$I$17*$BC$17</f>
        <v>0</v>
      </c>
      <c r="BD69" s="31">
        <f>$I$17*$BD$17</f>
        <v>0</v>
      </c>
    </row>
    <row r="70" spans="1:56" ht="11.25" customHeight="1" x14ac:dyDescent="0.25">
      <c r="A70" s="9" t="s">
        <v>22</v>
      </c>
      <c r="B70" s="9" t="s">
        <v>744</v>
      </c>
      <c r="C70" s="9" t="s">
        <v>745</v>
      </c>
      <c r="D70" s="9" t="s">
        <v>746</v>
      </c>
      <c r="E70" s="9" t="s">
        <v>747</v>
      </c>
      <c r="F70" s="9" t="s">
        <v>748</v>
      </c>
      <c r="G70" s="9" t="s">
        <v>750</v>
      </c>
      <c r="L70" s="31">
        <f>$I$18*$L$18</f>
        <v>0</v>
      </c>
      <c r="M70" s="31">
        <f>$I$18*$M$18</f>
        <v>0</v>
      </c>
      <c r="N70" s="31">
        <f ca="1">$I$18*$N$18</f>
        <v>0</v>
      </c>
      <c r="O70" s="31">
        <f>$I$18*$O$18</f>
        <v>0</v>
      </c>
      <c r="P70" s="31">
        <f>$I$18*$P$18</f>
        <v>0</v>
      </c>
      <c r="Q70" s="31">
        <f>$I$18*$Q$18</f>
        <v>0</v>
      </c>
      <c r="R70" s="31">
        <f>$I$18*$R$18</f>
        <v>0</v>
      </c>
      <c r="S70" s="31">
        <f>$I$18*$S$18</f>
        <v>0</v>
      </c>
      <c r="T70" s="31">
        <f>$I$18*$T$18</f>
        <v>0</v>
      </c>
      <c r="U70" s="31">
        <f>$I$18*$U$18</f>
        <v>0</v>
      </c>
      <c r="V70" s="31">
        <f>$I$18*$V$18</f>
        <v>0</v>
      </c>
      <c r="W70" s="31">
        <f>$I$18*$W$18</f>
        <v>0</v>
      </c>
      <c r="X70" s="31">
        <f>$I$18*$X$18</f>
        <v>0</v>
      </c>
      <c r="Y70" s="31">
        <f>$I$18*$Y$18</f>
        <v>0</v>
      </c>
      <c r="Z70" s="31">
        <f>$I$18*$Z$18</f>
        <v>0</v>
      </c>
      <c r="AA70" s="31">
        <f>$I$18*$AA$18</f>
        <v>0</v>
      </c>
      <c r="AB70" s="31">
        <f ca="1">$I$18*$AB$18</f>
        <v>0</v>
      </c>
      <c r="AC70" s="31">
        <f ca="1">$I$18*$AC$18</f>
        <v>0</v>
      </c>
      <c r="AD70" s="31">
        <f>$I$18*$AD$18</f>
        <v>0</v>
      </c>
      <c r="AE70" s="31">
        <f>$I$18*$AE$18</f>
        <v>0</v>
      </c>
      <c r="AF70" s="31">
        <f ca="1">$I$18*$AF$18</f>
        <v>0</v>
      </c>
      <c r="AG70" s="31">
        <f ca="1">$I$18*$AG$18</f>
        <v>0</v>
      </c>
      <c r="AI70" s="31">
        <f>$I$18*$AI$18</f>
        <v>0</v>
      </c>
      <c r="AJ70" s="31">
        <f>$I$18*$AJ$18</f>
        <v>0</v>
      </c>
      <c r="AK70" s="31">
        <f>$I$18*$AK$18</f>
        <v>0</v>
      </c>
      <c r="AL70" s="31">
        <f>$I$18*$AL$18</f>
        <v>0</v>
      </c>
      <c r="AM70" s="31">
        <f>$I$18*$AM$18</f>
        <v>0</v>
      </c>
      <c r="AN70" s="31">
        <f>$I$18*$AN$18</f>
        <v>0</v>
      </c>
      <c r="AO70" s="31">
        <f>$I$18*$AO$18</f>
        <v>0</v>
      </c>
      <c r="AP70" s="31">
        <f>$I$18*$AP$18</f>
        <v>0</v>
      </c>
      <c r="AQ70" s="31">
        <f>$I$18*$AQ$18</f>
        <v>0</v>
      </c>
      <c r="AR70" s="31">
        <f>$I$18*$AR$18</f>
        <v>0</v>
      </c>
      <c r="AS70" s="31">
        <f>$I$18*$AS$18</f>
        <v>0</v>
      </c>
      <c r="AT70" s="31">
        <f>$I$18*$AT$18</f>
        <v>0</v>
      </c>
      <c r="AU70" s="31">
        <f>$I$18*$AU$18</f>
        <v>0</v>
      </c>
      <c r="AV70" s="31">
        <f>$I$18*$AV$18</f>
        <v>0</v>
      </c>
      <c r="AW70" s="31">
        <f>$I$18*$AW$18</f>
        <v>0</v>
      </c>
      <c r="AX70" s="31">
        <f>$I$18*$AX$18</f>
        <v>0</v>
      </c>
      <c r="AY70" s="31">
        <f>$I$18*$AY$18</f>
        <v>0</v>
      </c>
      <c r="AZ70" s="31">
        <f>$I$18*$AZ$18</f>
        <v>0</v>
      </c>
      <c r="BA70" s="31">
        <f>$I$18*$BA$18</f>
        <v>0</v>
      </c>
      <c r="BB70" s="31">
        <f>$I$18*$BB$18</f>
        <v>0</v>
      </c>
      <c r="BC70" s="31">
        <f>$I$18*$BC$18</f>
        <v>0</v>
      </c>
      <c r="BD70" s="31">
        <f>$I$18*$BD$18</f>
        <v>0</v>
      </c>
    </row>
    <row r="71" spans="1:56" ht="11.25" customHeight="1" x14ac:dyDescent="0.25">
      <c r="A71" s="9" t="s">
        <v>22</v>
      </c>
      <c r="B71" s="9" t="s">
        <v>744</v>
      </c>
      <c r="C71" s="9" t="s">
        <v>745</v>
      </c>
      <c r="D71" s="9" t="s">
        <v>746</v>
      </c>
      <c r="E71" s="9" t="s">
        <v>747</v>
      </c>
      <c r="F71" s="9" t="s">
        <v>748</v>
      </c>
      <c r="G71" s="9" t="s">
        <v>751</v>
      </c>
      <c r="L71" s="31">
        <f>$I$19*$L$19</f>
        <v>0</v>
      </c>
      <c r="M71" s="31">
        <f>$I$19*$M$19</f>
        <v>0</v>
      </c>
      <c r="N71" s="31">
        <f ca="1">$I$19*$N$19</f>
        <v>0</v>
      </c>
      <c r="O71" s="31">
        <f>$I$19*$O$19</f>
        <v>0</v>
      </c>
      <c r="P71" s="31">
        <f>$I$19*$P$19</f>
        <v>0</v>
      </c>
      <c r="Q71" s="31">
        <f>$I$19*$Q$19</f>
        <v>0</v>
      </c>
      <c r="R71" s="31">
        <f>$I$19*$R$19</f>
        <v>0</v>
      </c>
      <c r="S71" s="31">
        <f>$I$19*$S$19</f>
        <v>0</v>
      </c>
      <c r="T71" s="31">
        <f>$I$19*$T$19</f>
        <v>0</v>
      </c>
      <c r="U71" s="31">
        <f>$I$19*$U$19</f>
        <v>0</v>
      </c>
      <c r="V71" s="31">
        <f>$I$19*$V$19</f>
        <v>0</v>
      </c>
      <c r="W71" s="31">
        <f>$I$19*$W$19</f>
        <v>0</v>
      </c>
      <c r="X71" s="31">
        <f>$I$19*$X$19</f>
        <v>0</v>
      </c>
      <c r="Y71" s="31">
        <f>$I$19*$Y$19</f>
        <v>0</v>
      </c>
      <c r="Z71" s="31">
        <f>$I$19*$Z$19</f>
        <v>0</v>
      </c>
      <c r="AA71" s="31">
        <f>$I$19*$AA$19</f>
        <v>0</v>
      </c>
      <c r="AB71" s="31">
        <f ca="1">$I$19*$AB$19</f>
        <v>0</v>
      </c>
      <c r="AC71" s="31">
        <f ca="1">$I$19*$AC$19</f>
        <v>0</v>
      </c>
      <c r="AD71" s="31">
        <f>$I$19*$AD$19</f>
        <v>0</v>
      </c>
      <c r="AE71" s="31">
        <f>$I$19*$AE$19</f>
        <v>0</v>
      </c>
      <c r="AF71" s="31">
        <f ca="1">$I$19*$AF$19</f>
        <v>0</v>
      </c>
      <c r="AG71" s="31">
        <f ca="1">$I$19*$AG$19</f>
        <v>0</v>
      </c>
      <c r="AI71" s="31">
        <f>$I$19*$AI$19</f>
        <v>0</v>
      </c>
      <c r="AJ71" s="31">
        <f>$I$19*$AJ$19</f>
        <v>0</v>
      </c>
      <c r="AK71" s="31">
        <f>$I$19*$AK$19</f>
        <v>0</v>
      </c>
      <c r="AL71" s="31">
        <f>$I$19*$AL$19</f>
        <v>0</v>
      </c>
      <c r="AM71" s="31">
        <f>$I$19*$AM$19</f>
        <v>0</v>
      </c>
      <c r="AN71" s="31">
        <f>$I$19*$AN$19</f>
        <v>0</v>
      </c>
      <c r="AO71" s="31">
        <f>$I$19*$AO$19</f>
        <v>0</v>
      </c>
      <c r="AP71" s="31">
        <f>$I$19*$AP$19</f>
        <v>0</v>
      </c>
      <c r="AQ71" s="31">
        <f>$I$19*$AQ$19</f>
        <v>0</v>
      </c>
      <c r="AR71" s="31">
        <f>$I$19*$AR$19</f>
        <v>0</v>
      </c>
      <c r="AS71" s="31">
        <f>$I$19*$AS$19</f>
        <v>0</v>
      </c>
      <c r="AT71" s="31">
        <f>$I$19*$AT$19</f>
        <v>0</v>
      </c>
      <c r="AU71" s="31">
        <f>$I$19*$AU$19</f>
        <v>0</v>
      </c>
      <c r="AV71" s="31">
        <f>$I$19*$AV$19</f>
        <v>0</v>
      </c>
      <c r="AW71" s="31">
        <f>$I$19*$AW$19</f>
        <v>0</v>
      </c>
      <c r="AX71" s="31">
        <f>$I$19*$AX$19</f>
        <v>0</v>
      </c>
      <c r="AY71" s="31">
        <f>$I$19*$AY$19</f>
        <v>0</v>
      </c>
      <c r="AZ71" s="31">
        <f>$I$19*$AZ$19</f>
        <v>0</v>
      </c>
      <c r="BA71" s="31">
        <f>$I$19*$BA$19</f>
        <v>0</v>
      </c>
      <c r="BB71" s="31">
        <f>$I$19*$BB$19</f>
        <v>0</v>
      </c>
      <c r="BC71" s="31">
        <f>$I$19*$BC$19</f>
        <v>0</v>
      </c>
      <c r="BD71" s="31">
        <f>$I$19*$BD$19</f>
        <v>0</v>
      </c>
    </row>
    <row r="72" spans="1:56" ht="11.25" customHeight="1" x14ac:dyDescent="0.25">
      <c r="A72" s="9" t="s">
        <v>22</v>
      </c>
      <c r="B72" s="9" t="s">
        <v>752</v>
      </c>
      <c r="C72" s="9" t="s">
        <v>753</v>
      </c>
      <c r="D72" s="9" t="s">
        <v>754</v>
      </c>
      <c r="E72" s="9" t="s">
        <v>755</v>
      </c>
      <c r="F72" s="9" t="s">
        <v>756</v>
      </c>
      <c r="G72" s="9" t="s">
        <v>757</v>
      </c>
      <c r="L72" s="31">
        <f>$I$20*$L$20</f>
        <v>57030.594841575694</v>
      </c>
      <c r="M72" s="31">
        <f>$I$20*$M$20</f>
        <v>15263.012899247273</v>
      </c>
      <c r="N72" s="31">
        <f ca="1">$I$20*$N$20</f>
        <v>64769.176817461943</v>
      </c>
      <c r="O72" s="31">
        <f>$I$20*$O$20</f>
        <v>0</v>
      </c>
      <c r="P72" s="31">
        <f>$I$20*$P$20</f>
        <v>0</v>
      </c>
      <c r="Q72" s="31">
        <f>$I$20*$Q$20</f>
        <v>2249901.0940185576</v>
      </c>
      <c r="R72" s="31">
        <f>$I$20*$R$20</f>
        <v>375829.73948115046</v>
      </c>
      <c r="S72" s="31">
        <f>$I$20*$S$20</f>
        <v>0</v>
      </c>
      <c r="T72" s="31">
        <f>$I$20*$T$20</f>
        <v>0</v>
      </c>
      <c r="U72" s="31">
        <f>$I$20*$U$20</f>
        <v>0</v>
      </c>
      <c r="V72" s="31">
        <f>$I$20*$V$20</f>
        <v>0</v>
      </c>
      <c r="W72" s="31">
        <f>$I$20*$W$20</f>
        <v>0</v>
      </c>
      <c r="X72" s="31">
        <f>$I$20*$X$20</f>
        <v>2573655.4054548154</v>
      </c>
      <c r="Y72" s="31">
        <f>$I$20*$Y$20</f>
        <v>0</v>
      </c>
      <c r="Z72" s="31">
        <f>$I$20*$Z$20</f>
        <v>0</v>
      </c>
      <c r="AA72" s="31">
        <f>$I$20*$AA$20</f>
        <v>2789783.4417802175</v>
      </c>
      <c r="AB72" s="31">
        <f ca="1">$I$20*$AB$20</f>
        <v>-853029.64620132023</v>
      </c>
      <c r="AC72" s="31">
        <f ca="1">$I$20*$AC$20</f>
        <v>0</v>
      </c>
      <c r="AD72" s="31">
        <f>$I$20*$AD$20</f>
        <v>388302.81269310217</v>
      </c>
      <c r="AE72" s="31">
        <f>$I$20*$AE$20</f>
        <v>12487.292306971067</v>
      </c>
      <c r="AF72" s="31">
        <f ca="1">$I$20*$AF$20</f>
        <v>41048.210118343399</v>
      </c>
      <c r="AG72" s="31">
        <f ca="1">$I$20*$AG$20</f>
        <v>7307.7986996826357</v>
      </c>
      <c r="AI72" s="31">
        <f>$I$20*$AI$20</f>
        <v>50731.175255080147</v>
      </c>
      <c r="AJ72" s="31">
        <f>$I$20*$AJ$20</f>
        <v>16029.324984834228</v>
      </c>
      <c r="AK72" s="31">
        <f>$I$20*$AK$20</f>
        <v>67213.547516736086</v>
      </c>
      <c r="AL72" s="31">
        <f>$I$20*$AL$20</f>
        <v>0</v>
      </c>
      <c r="AM72" s="31">
        <f>$I$20*$AM$20</f>
        <v>0</v>
      </c>
      <c r="AN72" s="31">
        <f>$I$20*$AN$20</f>
        <v>1343919.057745761</v>
      </c>
      <c r="AO72" s="31">
        <f>$I$20*$AO$20</f>
        <v>216458.19704895277</v>
      </c>
      <c r="AP72" s="31">
        <f>$I$20*$AP$20</f>
        <v>0</v>
      </c>
      <c r="AQ72" s="31">
        <f>$I$20*$AQ$20</f>
        <v>0</v>
      </c>
      <c r="AR72" s="31">
        <f>$I$20*$AR$20</f>
        <v>0</v>
      </c>
      <c r="AS72" s="31">
        <f>$I$20*$AS$20</f>
        <v>0</v>
      </c>
      <c r="AT72" s="31">
        <f>$I$20*$AT$20</f>
        <v>0</v>
      </c>
      <c r="AU72" s="31">
        <f>$I$20*$AU$20</f>
        <v>2409756.9005168295</v>
      </c>
      <c r="AV72" s="31">
        <f>$I$20*$AV$20</f>
        <v>0</v>
      </c>
      <c r="AW72" s="31">
        <f>$I$20*$AW$20</f>
        <v>0</v>
      </c>
      <c r="AX72" s="31">
        <f>$I$20*$AX$20</f>
        <v>2659028.3948485046</v>
      </c>
      <c r="AY72" s="31">
        <f>$I$20*$AY$20</f>
        <v>-371877.14748556865</v>
      </c>
      <c r="AZ72" s="31">
        <f>$I$20*$AZ$20</f>
        <v>0</v>
      </c>
      <c r="BA72" s="31">
        <f>$I$20*$BA$20</f>
        <v>387389.20597916149</v>
      </c>
      <c r="BB72" s="31">
        <f>$I$20*$BB$20</f>
        <v>11060.710699780535</v>
      </c>
      <c r="BC72" s="31">
        <f>$I$20*$BC$20</f>
        <v>51893.274948429033</v>
      </c>
      <c r="BD72" s="31">
        <f>$I$20*$BD$20</f>
        <v>-1709.0084940058089</v>
      </c>
    </row>
    <row r="73" spans="1:56" ht="11.25" customHeight="1" x14ac:dyDescent="0.25">
      <c r="A73" s="9" t="s">
        <v>22</v>
      </c>
      <c r="B73" s="9" t="s">
        <v>752</v>
      </c>
      <c r="C73" s="9" t="s">
        <v>753</v>
      </c>
      <c r="D73" s="9" t="s">
        <v>758</v>
      </c>
      <c r="E73" s="9" t="s">
        <v>759</v>
      </c>
      <c r="F73" s="9" t="s">
        <v>760</v>
      </c>
      <c r="G73" s="9" t="s">
        <v>761</v>
      </c>
      <c r="L73" s="31">
        <f>$I$21*$L$21</f>
        <v>0</v>
      </c>
      <c r="M73" s="31">
        <f>$I$21*$M$21</f>
        <v>42.933922900251218</v>
      </c>
      <c r="N73" s="31">
        <f ca="1">$I$21*$N$21</f>
        <v>181.54159626224927</v>
      </c>
      <c r="O73" s="31">
        <f>$I$21*$O$21</f>
        <v>0</v>
      </c>
      <c r="P73" s="31">
        <f>$I$21*$P$21</f>
        <v>0</v>
      </c>
      <c r="Q73" s="31">
        <f>$I$21*$Q$21</f>
        <v>0</v>
      </c>
      <c r="R73" s="31">
        <f>$I$21*$R$21</f>
        <v>0</v>
      </c>
      <c r="S73" s="31">
        <f>$I$21*$S$21</f>
        <v>0</v>
      </c>
      <c r="T73" s="31">
        <f>$I$21*$T$21</f>
        <v>0</v>
      </c>
      <c r="U73" s="31">
        <f>$I$21*$U$21</f>
        <v>0</v>
      </c>
      <c r="V73" s="31">
        <f>$I$21*$V$21</f>
        <v>0</v>
      </c>
      <c r="W73" s="31">
        <f>$I$21*$W$21</f>
        <v>0</v>
      </c>
      <c r="X73" s="31">
        <f>$I$21*$X$21</f>
        <v>7239.5354363528868</v>
      </c>
      <c r="Y73" s="31">
        <f>$I$21*$Y$21</f>
        <v>0</v>
      </c>
      <c r="Z73" s="31">
        <f>$I$21*$Z$21</f>
        <v>0</v>
      </c>
      <c r="AA73" s="31">
        <f>$I$21*$AA$21</f>
        <v>7847.4903997294259</v>
      </c>
      <c r="AB73" s="31">
        <f ca="1">$I$21*$AB$21</f>
        <v>-1723.1365898674653</v>
      </c>
      <c r="AC73" s="31">
        <f ca="1">$I$21*$AC$21</f>
        <v>0</v>
      </c>
      <c r="AD73" s="31">
        <f>$I$21*$AD$21</f>
        <v>1092.2720915041959</v>
      </c>
      <c r="AE73" s="31">
        <f>$I$21*$AE$21</f>
        <v>35.125990437106701</v>
      </c>
      <c r="AF73" s="31">
        <f ca="1">$I$21*$AF$21</f>
        <v>115.46610751414499</v>
      </c>
      <c r="AG73" s="31">
        <f ca="1">$I$21*$AG$21</f>
        <v>20.556391324166658</v>
      </c>
      <c r="AI73" s="31">
        <f>$I$21*$AI$21</f>
        <v>0</v>
      </c>
      <c r="AJ73" s="31">
        <f>$I$21*$AJ$21</f>
        <v>45.089511984614909</v>
      </c>
      <c r="AK73" s="31">
        <f>$I$21*$AK$21</f>
        <v>188.2125130614674</v>
      </c>
      <c r="AL73" s="31">
        <f>$I$21*$AL$21</f>
        <v>0</v>
      </c>
      <c r="AM73" s="31">
        <f>$I$21*$AM$21</f>
        <v>0</v>
      </c>
      <c r="AN73" s="31">
        <f>$I$21*$AN$21</f>
        <v>0</v>
      </c>
      <c r="AO73" s="31">
        <f>$I$21*$AO$21</f>
        <v>0</v>
      </c>
      <c r="AP73" s="31">
        <f>$I$21*$AP$21</f>
        <v>0</v>
      </c>
      <c r="AQ73" s="31">
        <f>$I$21*$AQ$21</f>
        <v>0</v>
      </c>
      <c r="AR73" s="31">
        <f>$I$21*$AR$21</f>
        <v>0</v>
      </c>
      <c r="AS73" s="31">
        <f>$I$21*$AS$21</f>
        <v>0</v>
      </c>
      <c r="AT73" s="31">
        <f>$I$21*$AT$21</f>
        <v>0</v>
      </c>
      <c r="AU73" s="31">
        <f>$I$21*$AU$21</f>
        <v>6778.4989541770146</v>
      </c>
      <c r="AV73" s="31">
        <f>$I$21*$AV$21</f>
        <v>0</v>
      </c>
      <c r="AW73" s="31">
        <f>$I$21*$AW$21</f>
        <v>0</v>
      </c>
      <c r="AX73" s="31">
        <f>$I$21*$AX$21</f>
        <v>7479.6844402611287</v>
      </c>
      <c r="AY73" s="31">
        <f>$I$21*$AY$21</f>
        <v>-819.64791040805164</v>
      </c>
      <c r="AZ73" s="31">
        <f>$I$21*$AZ$21</f>
        <v>0</v>
      </c>
      <c r="BA73" s="31">
        <f>$I$21*$BA$21</f>
        <v>1089.702171628192</v>
      </c>
      <c r="BB73" s="31">
        <f>$I$21*$BB$21</f>
        <v>31.113103522947437</v>
      </c>
      <c r="BC73" s="31">
        <f>$I$21*$BC$21</f>
        <v>145.97261237899298</v>
      </c>
      <c r="BD73" s="31">
        <f>$I$21*$BD$21</f>
        <v>-4.8073364939066803</v>
      </c>
    </row>
    <row r="74" spans="1:56" ht="11.25" customHeight="1" x14ac:dyDescent="0.25">
      <c r="A74" s="9" t="s">
        <v>22</v>
      </c>
      <c r="B74" s="9" t="s">
        <v>752</v>
      </c>
      <c r="C74" s="9" t="s">
        <v>753</v>
      </c>
      <c r="D74" s="9" t="s">
        <v>762</v>
      </c>
      <c r="E74" s="9" t="s">
        <v>763</v>
      </c>
      <c r="F74" s="9" t="s">
        <v>764</v>
      </c>
      <c r="G74" s="9" t="s">
        <v>765</v>
      </c>
      <c r="L74" s="31">
        <f>$I$22*$L$22</f>
        <v>0</v>
      </c>
      <c r="M74" s="31">
        <f>$I$22*$M$22</f>
        <v>156.37014358386418</v>
      </c>
      <c r="N74" s="31">
        <f ca="1">$I$22*$N$22</f>
        <v>661.1947745824483</v>
      </c>
      <c r="O74" s="31">
        <f>$I$22*$O$22</f>
        <v>0</v>
      </c>
      <c r="P74" s="31">
        <f>$I$22*$P$22</f>
        <v>0</v>
      </c>
      <c r="Q74" s="31">
        <f>$I$22*$Q$22</f>
        <v>0</v>
      </c>
      <c r="R74" s="31">
        <f>$I$22*$R$22</f>
        <v>0</v>
      </c>
      <c r="S74" s="31">
        <f>$I$22*$S$22</f>
        <v>0</v>
      </c>
      <c r="T74" s="31">
        <f>$I$22*$T$22</f>
        <v>0</v>
      </c>
      <c r="U74" s="31">
        <f>$I$22*$U$22</f>
        <v>0</v>
      </c>
      <c r="V74" s="31">
        <f>$I$22*$V$22</f>
        <v>0</v>
      </c>
      <c r="W74" s="31">
        <f>$I$22*$W$22</f>
        <v>0</v>
      </c>
      <c r="X74" s="31">
        <f>$I$22*$X$22</f>
        <v>26367.196826925632</v>
      </c>
      <c r="Y74" s="31">
        <f>$I$22*$Y$22</f>
        <v>0</v>
      </c>
      <c r="Z74" s="31">
        <f>$I$22*$Z$22</f>
        <v>0</v>
      </c>
      <c r="AA74" s="31">
        <f>$I$22*$AA$22</f>
        <v>28581.43672148593</v>
      </c>
      <c r="AB74" s="31">
        <f ca="1">$I$22*$AB$22</f>
        <v>-6275.8559612219597</v>
      </c>
      <c r="AC74" s="31">
        <f ca="1">$I$22*$AC$22</f>
        <v>0</v>
      </c>
      <c r="AD74" s="31">
        <f>$I$22*$AD$22</f>
        <v>3978.1769808917079</v>
      </c>
      <c r="AE74" s="31">
        <f>$I$22*$AE$22</f>
        <v>127.93278128665192</v>
      </c>
      <c r="AF74" s="31">
        <f ca="1">$I$22*$AF$22</f>
        <v>420.54046291099814</v>
      </c>
      <c r="AG74" s="31">
        <f ca="1">$I$22*$AG$22</f>
        <v>74.868673668467224</v>
      </c>
      <c r="AI74" s="31">
        <f>$I$22*$AI$22</f>
        <v>0</v>
      </c>
      <c r="AJ74" s="31">
        <f>$I$22*$AJ$22</f>
        <v>164.22103984165278</v>
      </c>
      <c r="AK74" s="31">
        <f>$I$22*$AK$22</f>
        <v>685.49099880946278</v>
      </c>
      <c r="AL74" s="31">
        <f>$I$22*$AL$22</f>
        <v>0</v>
      </c>
      <c r="AM74" s="31">
        <f>$I$22*$AM$22</f>
        <v>0</v>
      </c>
      <c r="AN74" s="31">
        <f>$I$22*$AN$22</f>
        <v>0</v>
      </c>
      <c r="AO74" s="31">
        <f>$I$22*$AO$22</f>
        <v>0</v>
      </c>
      <c r="AP74" s="31">
        <f>$I$22*$AP$22</f>
        <v>0</v>
      </c>
      <c r="AQ74" s="31">
        <f>$I$22*$AQ$22</f>
        <v>0</v>
      </c>
      <c r="AR74" s="31">
        <f>$I$22*$AR$22</f>
        <v>0</v>
      </c>
      <c r="AS74" s="31">
        <f>$I$22*$AS$22</f>
        <v>0</v>
      </c>
      <c r="AT74" s="31">
        <f>$I$22*$AT$22</f>
        <v>0</v>
      </c>
      <c r="AU74" s="31">
        <f>$I$22*$AU$22</f>
        <v>24688.050453957716</v>
      </c>
      <c r="AV74" s="31">
        <f>$I$22*$AV$22</f>
        <v>0</v>
      </c>
      <c r="AW74" s="31">
        <f>$I$22*$AW$22</f>
        <v>0</v>
      </c>
      <c r="AX74" s="31">
        <f>$I$22*$AX$22</f>
        <v>27241.846327505846</v>
      </c>
      <c r="AY74" s="31">
        <f>$I$22*$AY$22</f>
        <v>-2985.2492570151653</v>
      </c>
      <c r="AZ74" s="31">
        <f>$I$22*$AZ$22</f>
        <v>0</v>
      </c>
      <c r="BA74" s="31">
        <f>$I$22*$BA$22</f>
        <v>3968.8170456036205</v>
      </c>
      <c r="BB74" s="31">
        <f>$I$22*$BB$22</f>
        <v>113.31739884394409</v>
      </c>
      <c r="BC74" s="31">
        <f>$I$22*$BC$22</f>
        <v>531.64856167572248</v>
      </c>
      <c r="BD74" s="31">
        <f>$I$22*$BD$22</f>
        <v>-17.508856564414714</v>
      </c>
    </row>
    <row r="75" spans="1:56" ht="11.25" customHeight="1" x14ac:dyDescent="0.25">
      <c r="A75" s="9" t="s">
        <v>22</v>
      </c>
      <c r="B75" s="9" t="s">
        <v>752</v>
      </c>
      <c r="C75" s="9" t="s">
        <v>753</v>
      </c>
      <c r="D75" s="9" t="s">
        <v>766</v>
      </c>
      <c r="E75" s="9" t="s">
        <v>767</v>
      </c>
      <c r="F75" s="9" t="s">
        <v>768</v>
      </c>
      <c r="G75" s="9" t="s">
        <v>769</v>
      </c>
      <c r="L75" s="31">
        <f>$I$23*$L$23</f>
        <v>0</v>
      </c>
      <c r="M75" s="31">
        <f>$I$23*$M$23</f>
        <v>226.57314147406808</v>
      </c>
      <c r="N75" s="31">
        <f ca="1">$I$23*$N$23</f>
        <v>958.04079838961275</v>
      </c>
      <c r="O75" s="31">
        <f>$I$23*$O$23</f>
        <v>0</v>
      </c>
      <c r="P75" s="31">
        <f>$I$23*$P$23</f>
        <v>0</v>
      </c>
      <c r="Q75" s="31">
        <f>$I$23*$Q$23</f>
        <v>0</v>
      </c>
      <c r="R75" s="31">
        <f>$I$23*$R$23</f>
        <v>0</v>
      </c>
      <c r="S75" s="31">
        <f>$I$23*$S$23</f>
        <v>0</v>
      </c>
      <c r="T75" s="31">
        <f>$I$23*$T$23</f>
        <v>0</v>
      </c>
      <c r="U75" s="31">
        <f>$I$23*$U$23</f>
        <v>0</v>
      </c>
      <c r="V75" s="31">
        <f>$I$23*$V$23</f>
        <v>0</v>
      </c>
      <c r="W75" s="31">
        <f>$I$23*$W$23</f>
        <v>0</v>
      </c>
      <c r="X75" s="31">
        <f>$I$23*$X$23</f>
        <v>38204.854712163135</v>
      </c>
      <c r="Y75" s="31">
        <f>$I$23*$Y$23</f>
        <v>0</v>
      </c>
      <c r="Z75" s="31">
        <f>$I$23*$Z$23</f>
        <v>0</v>
      </c>
      <c r="AA75" s="31">
        <f>$I$23*$AA$23</f>
        <v>41413.186414043761</v>
      </c>
      <c r="AB75" s="31">
        <f ca="1">$I$23*$AB$23</f>
        <v>-9093.4264558643445</v>
      </c>
      <c r="AC75" s="31">
        <f ca="1">$I$23*$AC$23</f>
        <v>0</v>
      </c>
      <c r="AD75" s="31">
        <f>$I$23*$AD$23</f>
        <v>5764.1953587965372</v>
      </c>
      <c r="AE75" s="31">
        <f>$I$23*$AE$23</f>
        <v>185.36871227010033</v>
      </c>
      <c r="AF75" s="31">
        <f ca="1">$I$23*$AF$23</f>
        <v>609.34377634309419</v>
      </c>
      <c r="AG75" s="31">
        <f ca="1">$I$23*$AG$23</f>
        <v>108.48126248578755</v>
      </c>
      <c r="AI75" s="31">
        <f>$I$23*$AI$23</f>
        <v>0</v>
      </c>
      <c r="AJ75" s="31">
        <f>$I$23*$AJ$23</f>
        <v>237.94872883202297</v>
      </c>
      <c r="AK75" s="31">
        <f>$I$23*$AK$23</f>
        <v>993.24490911628982</v>
      </c>
      <c r="AL75" s="31">
        <f>$I$23*$AL$23</f>
        <v>0</v>
      </c>
      <c r="AM75" s="31">
        <f>$I$23*$AM$23</f>
        <v>0</v>
      </c>
      <c r="AN75" s="31">
        <f>$I$23*$AN$23</f>
        <v>0</v>
      </c>
      <c r="AO75" s="31">
        <f>$I$23*$AO$23</f>
        <v>0</v>
      </c>
      <c r="AP75" s="31">
        <f>$I$23*$AP$23</f>
        <v>0</v>
      </c>
      <c r="AQ75" s="31">
        <f>$I$23*$AQ$23</f>
        <v>0</v>
      </c>
      <c r="AR75" s="31">
        <f>$I$23*$AR$23</f>
        <v>0</v>
      </c>
      <c r="AS75" s="31">
        <f>$I$23*$AS$23</f>
        <v>0</v>
      </c>
      <c r="AT75" s="31">
        <f>$I$23*$AT$23</f>
        <v>0</v>
      </c>
      <c r="AU75" s="31">
        <f>$I$23*$AU$23</f>
        <v>35771.848896611744</v>
      </c>
      <c r="AV75" s="31">
        <f>$I$23*$AV$23</f>
        <v>0</v>
      </c>
      <c r="AW75" s="31">
        <f>$I$23*$AW$23</f>
        <v>0</v>
      </c>
      <c r="AX75" s="31">
        <f>$I$23*$AX$23</f>
        <v>39472.181584756981</v>
      </c>
      <c r="AY75" s="31">
        <f>$I$23*$AY$23</f>
        <v>-4325.4887841315895</v>
      </c>
      <c r="AZ75" s="31">
        <f>$I$23*$AZ$23</f>
        <v>0</v>
      </c>
      <c r="BA75" s="31">
        <f>$I$23*$BA$23</f>
        <v>5750.633243333773</v>
      </c>
      <c r="BB75" s="31">
        <f>$I$23*$BB$23</f>
        <v>164.19169575023469</v>
      </c>
      <c r="BC75" s="31">
        <f>$I$23*$BC$23</f>
        <v>770.33429795653126</v>
      </c>
      <c r="BD75" s="31">
        <f>$I$23*$BD$23</f>
        <v>-25.369527356676624</v>
      </c>
    </row>
    <row r="76" spans="1:56" ht="11.25" customHeight="1" x14ac:dyDescent="0.25">
      <c r="A76" s="9" t="s">
        <v>22</v>
      </c>
      <c r="B76" s="9" t="s">
        <v>752</v>
      </c>
      <c r="C76" s="9" t="s">
        <v>753</v>
      </c>
      <c r="D76" s="9" t="s">
        <v>770</v>
      </c>
      <c r="E76" s="9" t="s">
        <v>771</v>
      </c>
      <c r="F76" s="9" t="s">
        <v>772</v>
      </c>
      <c r="G76" s="9" t="s">
        <v>773</v>
      </c>
      <c r="L76" s="31">
        <f>$I$24*$L$24</f>
        <v>0</v>
      </c>
      <c r="M76" s="31">
        <f>$I$24*$M$24</f>
        <v>84.502039134557108</v>
      </c>
      <c r="N76" s="31">
        <f ca="1">$I$24*$N$24</f>
        <v>357.30802208648839</v>
      </c>
      <c r="O76" s="31">
        <f>$I$24*$O$24</f>
        <v>0</v>
      </c>
      <c r="P76" s="31">
        <f>$I$24*$P$24</f>
        <v>0</v>
      </c>
      <c r="Q76" s="31">
        <f>$I$24*$Q$24</f>
        <v>0</v>
      </c>
      <c r="R76" s="31">
        <f>$I$24*$R$24</f>
        <v>0</v>
      </c>
      <c r="S76" s="31">
        <f>$I$24*$S$24</f>
        <v>0</v>
      </c>
      <c r="T76" s="31">
        <f>$I$24*$T$24</f>
        <v>0</v>
      </c>
      <c r="U76" s="31">
        <f>$I$24*$U$24</f>
        <v>0</v>
      </c>
      <c r="V76" s="31">
        <f>$I$24*$V$24</f>
        <v>0</v>
      </c>
      <c r="W76" s="31">
        <f>$I$24*$W$24</f>
        <v>0</v>
      </c>
      <c r="X76" s="31">
        <f>$I$24*$X$24</f>
        <v>14248.768000538916</v>
      </c>
      <c r="Y76" s="31">
        <f>$I$24*$Y$24</f>
        <v>0</v>
      </c>
      <c r="Z76" s="31">
        <f>$I$24*$Z$24</f>
        <v>0</v>
      </c>
      <c r="AA76" s="31">
        <f>$I$24*$AA$24</f>
        <v>15445.337767216162</v>
      </c>
      <c r="AB76" s="31">
        <f ca="1">$I$24*$AB$24</f>
        <v>-3391.4570510936433</v>
      </c>
      <c r="AC76" s="31">
        <f ca="1">$I$24*$AC$24</f>
        <v>0</v>
      </c>
      <c r="AD76" s="31">
        <f>$I$24*$AD$24</f>
        <v>2149.7970086803325</v>
      </c>
      <c r="AE76" s="31">
        <f>$I$24*$AE$24</f>
        <v>69.134558830148293</v>
      </c>
      <c r="AF76" s="31">
        <f ca="1">$I$24*$AF$24</f>
        <v>227.25902681998264</v>
      </c>
      <c r="AG76" s="31">
        <f ca="1">$I$24*$AG$24</f>
        <v>40.458846217610294</v>
      </c>
      <c r="AI76" s="31">
        <f>$I$24*$AI$24</f>
        <v>0</v>
      </c>
      <c r="AJ76" s="31">
        <f>$I$24*$AJ$24</f>
        <v>88.74464406931061</v>
      </c>
      <c r="AK76" s="31">
        <f>$I$24*$AK$24</f>
        <v>370.43764161230274</v>
      </c>
      <c r="AL76" s="31">
        <f>$I$24*$AL$24</f>
        <v>0</v>
      </c>
      <c r="AM76" s="31">
        <f>$I$24*$AM$24</f>
        <v>0</v>
      </c>
      <c r="AN76" s="31">
        <f>$I$24*$AN$24</f>
        <v>0</v>
      </c>
      <c r="AO76" s="31">
        <f>$I$24*$AO$24</f>
        <v>0</v>
      </c>
      <c r="AP76" s="31">
        <f>$I$24*$AP$24</f>
        <v>0</v>
      </c>
      <c r="AQ76" s="31">
        <f>$I$24*$AQ$24</f>
        <v>0</v>
      </c>
      <c r="AR76" s="31">
        <f>$I$24*$AR$24</f>
        <v>0</v>
      </c>
      <c r="AS76" s="31">
        <f>$I$24*$AS$24</f>
        <v>0</v>
      </c>
      <c r="AT76" s="31">
        <f>$I$24*$AT$24</f>
        <v>0</v>
      </c>
      <c r="AU76" s="31">
        <f>$I$24*$AU$24</f>
        <v>13341.361450482987</v>
      </c>
      <c r="AV76" s="31">
        <f>$I$24*$AV$24</f>
        <v>0</v>
      </c>
      <c r="AW76" s="31">
        <f>$I$24*$AW$24</f>
        <v>0</v>
      </c>
      <c r="AX76" s="31">
        <f>$I$24*$AX$24</f>
        <v>14721.426429015737</v>
      </c>
      <c r="AY76" s="31">
        <f>$I$24*$AY$24</f>
        <v>-1613.2213206507074</v>
      </c>
      <c r="AZ76" s="31">
        <f>$I$24*$AZ$24</f>
        <v>0</v>
      </c>
      <c r="BA76" s="31">
        <f>$I$24*$BA$24</f>
        <v>2144.7389227830968</v>
      </c>
      <c r="BB76" s="31">
        <f>$I$24*$BB$24</f>
        <v>61.236442279031529</v>
      </c>
      <c r="BC76" s="31">
        <f>$I$24*$BC$24</f>
        <v>287.30156879633785</v>
      </c>
      <c r="BD76" s="31">
        <f>$I$24*$BD$24</f>
        <v>-9.4617428154628289</v>
      </c>
    </row>
    <row r="77" spans="1:56" ht="11.25" customHeight="1" x14ac:dyDescent="0.25">
      <c r="A77" s="9" t="s">
        <v>22</v>
      </c>
      <c r="B77" s="9" t="s">
        <v>774</v>
      </c>
      <c r="C77" s="9" t="s">
        <v>775</v>
      </c>
      <c r="D77" s="9" t="s">
        <v>776</v>
      </c>
      <c r="E77" s="9" t="s">
        <v>777</v>
      </c>
      <c r="F77" s="9" t="s">
        <v>778</v>
      </c>
      <c r="G77" s="9" t="s">
        <v>779</v>
      </c>
      <c r="L77" s="31">
        <f>$I$25*$L$25</f>
        <v>0</v>
      </c>
      <c r="M77" s="31">
        <f>$I$25*$M$25</f>
        <v>0</v>
      </c>
      <c r="N77" s="31">
        <f ca="1">$I$25*$N$25</f>
        <v>0</v>
      </c>
      <c r="O77" s="31">
        <f>$I$25*$O$25</f>
        <v>0</v>
      </c>
      <c r="P77" s="31">
        <f>$I$25*$P$25</f>
        <v>0</v>
      </c>
      <c r="Q77" s="31">
        <f>$I$25*$Q$25</f>
        <v>0</v>
      </c>
      <c r="R77" s="31">
        <f>$I$25*$R$25</f>
        <v>0</v>
      </c>
      <c r="S77" s="31">
        <f>$I$25*$S$25</f>
        <v>0</v>
      </c>
      <c r="T77" s="31">
        <f>$I$25*$T$25</f>
        <v>0</v>
      </c>
      <c r="U77" s="31">
        <f>$I$25*$U$25</f>
        <v>0</v>
      </c>
      <c r="V77" s="31">
        <f>$I$25*$V$25</f>
        <v>0</v>
      </c>
      <c r="W77" s="31">
        <f>$I$25*$W$25</f>
        <v>0</v>
      </c>
      <c r="X77" s="31">
        <f>$I$25*$X$25</f>
        <v>0</v>
      </c>
      <c r="Y77" s="31">
        <f>$I$25*$Y$25</f>
        <v>0</v>
      </c>
      <c r="Z77" s="31">
        <f>$I$25*$Z$25</f>
        <v>0</v>
      </c>
      <c r="AA77" s="31">
        <f>$I$25*$AA$25</f>
        <v>0</v>
      </c>
      <c r="AB77" s="31">
        <f ca="1">$I$25*$AB$25</f>
        <v>0</v>
      </c>
      <c r="AC77" s="31">
        <f ca="1">$I$25*$AC$25</f>
        <v>0</v>
      </c>
      <c r="AD77" s="31">
        <f>$I$25*$AD$25</f>
        <v>0</v>
      </c>
      <c r="AE77" s="31">
        <f>$I$25*$AE$25</f>
        <v>0</v>
      </c>
      <c r="AF77" s="31">
        <f ca="1">$I$25*$AF$25</f>
        <v>0</v>
      </c>
      <c r="AG77" s="31">
        <f ca="1">$I$25*$AG$25</f>
        <v>0</v>
      </c>
      <c r="AI77" s="31">
        <f>$I$25*$AI$25</f>
        <v>0</v>
      </c>
      <c r="AJ77" s="31">
        <f>$I$25*$AJ$25</f>
        <v>0</v>
      </c>
      <c r="AK77" s="31">
        <f>$I$25*$AK$25</f>
        <v>0</v>
      </c>
      <c r="AL77" s="31">
        <f>$I$25*$AL$25</f>
        <v>0</v>
      </c>
      <c r="AM77" s="31">
        <f>$I$25*$AM$25</f>
        <v>0</v>
      </c>
      <c r="AN77" s="31">
        <f>$I$25*$AN$25</f>
        <v>0</v>
      </c>
      <c r="AO77" s="31">
        <f>$I$25*$AO$25</f>
        <v>0</v>
      </c>
      <c r="AP77" s="31">
        <f>$I$25*$AP$25</f>
        <v>0</v>
      </c>
      <c r="AQ77" s="31">
        <f>$I$25*$AQ$25</f>
        <v>0</v>
      </c>
      <c r="AR77" s="31">
        <f>$I$25*$AR$25</f>
        <v>0</v>
      </c>
      <c r="AS77" s="31">
        <f>$I$25*$AS$25</f>
        <v>0</v>
      </c>
      <c r="AT77" s="31">
        <f>$I$25*$AT$25</f>
        <v>0</v>
      </c>
      <c r="AU77" s="31">
        <f>$I$25*$AU$25</f>
        <v>0</v>
      </c>
      <c r="AV77" s="31">
        <f>$I$25*$AV$25</f>
        <v>0</v>
      </c>
      <c r="AW77" s="31">
        <f>$I$25*$AW$25</f>
        <v>0</v>
      </c>
      <c r="AX77" s="31">
        <f>$I$25*$AX$25</f>
        <v>0</v>
      </c>
      <c r="AY77" s="31">
        <f>$I$25*$AY$25</f>
        <v>0</v>
      </c>
      <c r="AZ77" s="31">
        <f>$I$25*$AZ$25</f>
        <v>0</v>
      </c>
      <c r="BA77" s="31">
        <f>$I$25*$BA$25</f>
        <v>0</v>
      </c>
      <c r="BB77" s="31">
        <f>$I$25*$BB$25</f>
        <v>0</v>
      </c>
      <c r="BC77" s="31">
        <f>$I$25*$BC$25</f>
        <v>0</v>
      </c>
      <c r="BD77" s="31">
        <f>$I$25*$BD$25</f>
        <v>0</v>
      </c>
    </row>
    <row r="78" spans="1:56" ht="11.25" customHeight="1" x14ac:dyDescent="0.25">
      <c r="A78" s="9" t="s">
        <v>22</v>
      </c>
      <c r="B78" s="9" t="s">
        <v>774</v>
      </c>
      <c r="C78" s="9" t="s">
        <v>775</v>
      </c>
      <c r="D78" s="9" t="s">
        <v>780</v>
      </c>
      <c r="E78" s="9" t="s">
        <v>781</v>
      </c>
      <c r="F78" s="9" t="s">
        <v>782</v>
      </c>
      <c r="G78" s="9" t="s">
        <v>783</v>
      </c>
      <c r="L78" s="31">
        <f>$I$26*$L$26</f>
        <v>0</v>
      </c>
      <c r="M78" s="31">
        <f>$I$26*$M$26</f>
        <v>0</v>
      </c>
      <c r="N78" s="31">
        <f ca="1">$I$26*$N$26</f>
        <v>0</v>
      </c>
      <c r="O78" s="31">
        <f>$I$26*$O$26</f>
        <v>0</v>
      </c>
      <c r="P78" s="31">
        <f>$I$26*$P$26</f>
        <v>0</v>
      </c>
      <c r="Q78" s="31">
        <f>$I$26*$Q$26</f>
        <v>0</v>
      </c>
      <c r="R78" s="31">
        <f>$I$26*$R$26</f>
        <v>0</v>
      </c>
      <c r="S78" s="31">
        <f>$I$26*$S$26</f>
        <v>0</v>
      </c>
      <c r="T78" s="31">
        <f>$I$26*$T$26</f>
        <v>0</v>
      </c>
      <c r="U78" s="31">
        <f>$I$26*$U$26</f>
        <v>0</v>
      </c>
      <c r="V78" s="31">
        <f>$I$26*$V$26</f>
        <v>0</v>
      </c>
      <c r="W78" s="31">
        <f>$I$26*$W$26</f>
        <v>0</v>
      </c>
      <c r="X78" s="31">
        <f>$I$26*$X$26</f>
        <v>0</v>
      </c>
      <c r="Y78" s="31">
        <f>$I$26*$Y$26</f>
        <v>0</v>
      </c>
      <c r="Z78" s="31">
        <f>$I$26*$Z$26</f>
        <v>0</v>
      </c>
      <c r="AA78" s="31">
        <f>$I$26*$AA$26</f>
        <v>0</v>
      </c>
      <c r="AB78" s="31">
        <f ca="1">$I$26*$AB$26</f>
        <v>0</v>
      </c>
      <c r="AC78" s="31">
        <f ca="1">$I$26*$AC$26</f>
        <v>0</v>
      </c>
      <c r="AD78" s="31">
        <f>$I$26*$AD$26</f>
        <v>0</v>
      </c>
      <c r="AE78" s="31">
        <f>$I$26*$AE$26</f>
        <v>0</v>
      </c>
      <c r="AF78" s="31">
        <f ca="1">$I$26*$AF$26</f>
        <v>0</v>
      </c>
      <c r="AG78" s="31">
        <f ca="1">$I$26*$AG$26</f>
        <v>0</v>
      </c>
      <c r="AI78" s="31">
        <f>$I$26*$AI$26</f>
        <v>0</v>
      </c>
      <c r="AJ78" s="31">
        <f>$I$26*$AJ$26</f>
        <v>0</v>
      </c>
      <c r="AK78" s="31">
        <f>$I$26*$AK$26</f>
        <v>0</v>
      </c>
      <c r="AL78" s="31">
        <f>$I$26*$AL$26</f>
        <v>0</v>
      </c>
      <c r="AM78" s="31">
        <f>$I$26*$AM$26</f>
        <v>0</v>
      </c>
      <c r="AN78" s="31">
        <f>$I$26*$AN$26</f>
        <v>0</v>
      </c>
      <c r="AO78" s="31">
        <f>$I$26*$AO$26</f>
        <v>0</v>
      </c>
      <c r="AP78" s="31">
        <f>$I$26*$AP$26</f>
        <v>0</v>
      </c>
      <c r="AQ78" s="31">
        <f>$I$26*$AQ$26</f>
        <v>0</v>
      </c>
      <c r="AR78" s="31">
        <f>$I$26*$AR$26</f>
        <v>0</v>
      </c>
      <c r="AS78" s="31">
        <f>$I$26*$AS$26</f>
        <v>0</v>
      </c>
      <c r="AT78" s="31">
        <f>$I$26*$AT$26</f>
        <v>0</v>
      </c>
      <c r="AU78" s="31">
        <f>$I$26*$AU$26</f>
        <v>0</v>
      </c>
      <c r="AV78" s="31">
        <f>$I$26*$AV$26</f>
        <v>0</v>
      </c>
      <c r="AW78" s="31">
        <f>$I$26*$AW$26</f>
        <v>0</v>
      </c>
      <c r="AX78" s="31">
        <f>$I$26*$AX$26</f>
        <v>0</v>
      </c>
      <c r="AY78" s="31">
        <f>$I$26*$AY$26</f>
        <v>0</v>
      </c>
      <c r="AZ78" s="31">
        <f>$I$26*$AZ$26</f>
        <v>0</v>
      </c>
      <c r="BA78" s="31">
        <f>$I$26*$BA$26</f>
        <v>0</v>
      </c>
      <c r="BB78" s="31">
        <f>$I$26*$BB$26</f>
        <v>0</v>
      </c>
      <c r="BC78" s="31">
        <f>$I$26*$BC$26</f>
        <v>0</v>
      </c>
      <c r="BD78" s="31">
        <f>$I$26*$BD$26</f>
        <v>0</v>
      </c>
    </row>
    <row r="79" spans="1:56" ht="11.25" customHeight="1" x14ac:dyDescent="0.25">
      <c r="A79" s="9" t="s">
        <v>22</v>
      </c>
      <c r="B79" s="9" t="s">
        <v>774</v>
      </c>
      <c r="C79" s="9" t="s">
        <v>775</v>
      </c>
      <c r="D79" s="9" t="s">
        <v>784</v>
      </c>
      <c r="E79" s="9" t="s">
        <v>785</v>
      </c>
      <c r="F79" s="9" t="s">
        <v>786</v>
      </c>
      <c r="G79" s="9" t="s">
        <v>787</v>
      </c>
      <c r="L79" s="31">
        <f>$I$27*$L$27</f>
        <v>0</v>
      </c>
      <c r="M79" s="31">
        <f>$I$27*$M$27</f>
        <v>0</v>
      </c>
      <c r="N79" s="31">
        <f ca="1">$I$27*$N$27</f>
        <v>0</v>
      </c>
      <c r="O79" s="31">
        <f>$I$27*$O$27</f>
        <v>0</v>
      </c>
      <c r="P79" s="31">
        <f>$I$27*$P$27</f>
        <v>0</v>
      </c>
      <c r="Q79" s="31">
        <f>$I$27*$Q$27</f>
        <v>0</v>
      </c>
      <c r="R79" s="31">
        <f>$I$27*$R$27</f>
        <v>0</v>
      </c>
      <c r="S79" s="31">
        <f>$I$27*$S$27</f>
        <v>0</v>
      </c>
      <c r="T79" s="31">
        <f>$I$27*$T$27</f>
        <v>0</v>
      </c>
      <c r="U79" s="31">
        <f>$I$27*$U$27</f>
        <v>0</v>
      </c>
      <c r="V79" s="31">
        <f>$I$27*$V$27</f>
        <v>0</v>
      </c>
      <c r="W79" s="31">
        <f>$I$27*$W$27</f>
        <v>0</v>
      </c>
      <c r="X79" s="31">
        <f>$I$27*$X$27</f>
        <v>0</v>
      </c>
      <c r="Y79" s="31">
        <f>$I$27*$Y$27</f>
        <v>0</v>
      </c>
      <c r="Z79" s="31">
        <f>$I$27*$Z$27</f>
        <v>0</v>
      </c>
      <c r="AA79" s="31">
        <f>$I$27*$AA$27</f>
        <v>0</v>
      </c>
      <c r="AB79" s="31">
        <f ca="1">$I$27*$AB$27</f>
        <v>0</v>
      </c>
      <c r="AC79" s="31">
        <f ca="1">$I$27*$AC$27</f>
        <v>0</v>
      </c>
      <c r="AD79" s="31">
        <f>$I$27*$AD$27</f>
        <v>0</v>
      </c>
      <c r="AE79" s="31">
        <f>$I$27*$AE$27</f>
        <v>0</v>
      </c>
      <c r="AF79" s="31">
        <f ca="1">$I$27*$AF$27</f>
        <v>0</v>
      </c>
      <c r="AG79" s="31">
        <f ca="1">$I$27*$AG$27</f>
        <v>0</v>
      </c>
      <c r="AI79" s="31">
        <f>$I$27*$AI$27</f>
        <v>0</v>
      </c>
      <c r="AJ79" s="31">
        <f>$I$27*$AJ$27</f>
        <v>0</v>
      </c>
      <c r="AK79" s="31">
        <f>$I$27*$AK$27</f>
        <v>0</v>
      </c>
      <c r="AL79" s="31">
        <f>$I$27*$AL$27</f>
        <v>0</v>
      </c>
      <c r="AM79" s="31">
        <f>$I$27*$AM$27</f>
        <v>0</v>
      </c>
      <c r="AN79" s="31">
        <f>$I$27*$AN$27</f>
        <v>0</v>
      </c>
      <c r="AO79" s="31">
        <f>$I$27*$AO$27</f>
        <v>0</v>
      </c>
      <c r="AP79" s="31">
        <f>$I$27*$AP$27</f>
        <v>0</v>
      </c>
      <c r="AQ79" s="31">
        <f>$I$27*$AQ$27</f>
        <v>0</v>
      </c>
      <c r="AR79" s="31">
        <f>$I$27*$AR$27</f>
        <v>0</v>
      </c>
      <c r="AS79" s="31">
        <f>$I$27*$AS$27</f>
        <v>0</v>
      </c>
      <c r="AT79" s="31">
        <f>$I$27*$AT$27</f>
        <v>0</v>
      </c>
      <c r="AU79" s="31">
        <f>$I$27*$AU$27</f>
        <v>0</v>
      </c>
      <c r="AV79" s="31">
        <f>$I$27*$AV$27</f>
        <v>0</v>
      </c>
      <c r="AW79" s="31">
        <f>$I$27*$AW$27</f>
        <v>0</v>
      </c>
      <c r="AX79" s="31">
        <f>$I$27*$AX$27</f>
        <v>0</v>
      </c>
      <c r="AY79" s="31">
        <f>$I$27*$AY$27</f>
        <v>0</v>
      </c>
      <c r="AZ79" s="31">
        <f>$I$27*$AZ$27</f>
        <v>0</v>
      </c>
      <c r="BA79" s="31">
        <f>$I$27*$BA$27</f>
        <v>0</v>
      </c>
      <c r="BB79" s="31">
        <f>$I$27*$BB$27</f>
        <v>0</v>
      </c>
      <c r="BC79" s="31">
        <f>$I$27*$BC$27</f>
        <v>0</v>
      </c>
      <c r="BD79" s="31">
        <f>$I$27*$BD$27</f>
        <v>0</v>
      </c>
    </row>
    <row r="80" spans="1:56" ht="11.25" customHeight="1" x14ac:dyDescent="0.25">
      <c r="A80" s="9" t="s">
        <v>22</v>
      </c>
      <c r="B80" s="9" t="s">
        <v>774</v>
      </c>
      <c r="C80" s="9" t="s">
        <v>775</v>
      </c>
      <c r="D80" s="9" t="s">
        <v>788</v>
      </c>
      <c r="E80" s="9" t="s">
        <v>789</v>
      </c>
      <c r="F80" s="9" t="s">
        <v>790</v>
      </c>
      <c r="G80" s="9" t="s">
        <v>791</v>
      </c>
      <c r="L80" s="31">
        <f>$I$28*$L$28</f>
        <v>0</v>
      </c>
      <c r="M80" s="31">
        <f>$I$28*$M$28</f>
        <v>0</v>
      </c>
      <c r="N80" s="31">
        <f ca="1">$I$28*$N$28</f>
        <v>0</v>
      </c>
      <c r="O80" s="31">
        <f>$I$28*$O$28</f>
        <v>0</v>
      </c>
      <c r="P80" s="31">
        <f>$I$28*$P$28</f>
        <v>0</v>
      </c>
      <c r="Q80" s="31">
        <f>$I$28*$Q$28</f>
        <v>0</v>
      </c>
      <c r="R80" s="31">
        <f>$I$28*$R$28</f>
        <v>0</v>
      </c>
      <c r="S80" s="31">
        <f>$I$28*$S$28</f>
        <v>0</v>
      </c>
      <c r="T80" s="31">
        <f>$I$28*$T$28</f>
        <v>0</v>
      </c>
      <c r="U80" s="31">
        <f>$I$28*$U$28</f>
        <v>0</v>
      </c>
      <c r="V80" s="31">
        <f>$I$28*$V$28</f>
        <v>0</v>
      </c>
      <c r="W80" s="31">
        <f>$I$28*$W$28</f>
        <v>0</v>
      </c>
      <c r="X80" s="31">
        <f>$I$28*$X$28</f>
        <v>0</v>
      </c>
      <c r="Y80" s="31">
        <f>$I$28*$Y$28</f>
        <v>0</v>
      </c>
      <c r="Z80" s="31">
        <f>$I$28*$Z$28</f>
        <v>0</v>
      </c>
      <c r="AA80" s="31">
        <f>$I$28*$AA$28</f>
        <v>0</v>
      </c>
      <c r="AB80" s="31">
        <f ca="1">$I$28*$AB$28</f>
        <v>0</v>
      </c>
      <c r="AC80" s="31">
        <f ca="1">$I$28*$AC$28</f>
        <v>0</v>
      </c>
      <c r="AD80" s="31">
        <f>$I$28*$AD$28</f>
        <v>0</v>
      </c>
      <c r="AE80" s="31">
        <f>$I$28*$AE$28</f>
        <v>0</v>
      </c>
      <c r="AF80" s="31">
        <f ca="1">$I$28*$AF$28</f>
        <v>0</v>
      </c>
      <c r="AG80" s="31">
        <f ca="1">$I$28*$AG$28</f>
        <v>0</v>
      </c>
      <c r="AI80" s="31">
        <f>$I$28*$AI$28</f>
        <v>0</v>
      </c>
      <c r="AJ80" s="31">
        <f>$I$28*$AJ$28</f>
        <v>0</v>
      </c>
      <c r="AK80" s="31">
        <f>$I$28*$AK$28</f>
        <v>0</v>
      </c>
      <c r="AL80" s="31">
        <f>$I$28*$AL$28</f>
        <v>0</v>
      </c>
      <c r="AM80" s="31">
        <f>$I$28*$AM$28</f>
        <v>0</v>
      </c>
      <c r="AN80" s="31">
        <f>$I$28*$AN$28</f>
        <v>0</v>
      </c>
      <c r="AO80" s="31">
        <f>$I$28*$AO$28</f>
        <v>0</v>
      </c>
      <c r="AP80" s="31">
        <f>$I$28*$AP$28</f>
        <v>0</v>
      </c>
      <c r="AQ80" s="31">
        <f>$I$28*$AQ$28</f>
        <v>0</v>
      </c>
      <c r="AR80" s="31">
        <f>$I$28*$AR$28</f>
        <v>0</v>
      </c>
      <c r="AS80" s="31">
        <f>$I$28*$AS$28</f>
        <v>0</v>
      </c>
      <c r="AT80" s="31">
        <f>$I$28*$AT$28</f>
        <v>0</v>
      </c>
      <c r="AU80" s="31">
        <f>$I$28*$AU$28</f>
        <v>0</v>
      </c>
      <c r="AV80" s="31">
        <f>$I$28*$AV$28</f>
        <v>0</v>
      </c>
      <c r="AW80" s="31">
        <f>$I$28*$AW$28</f>
        <v>0</v>
      </c>
      <c r="AX80" s="31">
        <f>$I$28*$AX$28</f>
        <v>0</v>
      </c>
      <c r="AY80" s="31">
        <f>$I$28*$AY$28</f>
        <v>0</v>
      </c>
      <c r="AZ80" s="31">
        <f>$I$28*$AZ$28</f>
        <v>0</v>
      </c>
      <c r="BA80" s="31">
        <f>$I$28*$BA$28</f>
        <v>0</v>
      </c>
      <c r="BB80" s="31">
        <f>$I$28*$BB$28</f>
        <v>0</v>
      </c>
      <c r="BC80" s="31">
        <f>$I$28*$BC$28</f>
        <v>0</v>
      </c>
      <c r="BD80" s="31">
        <f>$I$28*$BD$28</f>
        <v>0</v>
      </c>
    </row>
    <row r="81" spans="1:56" ht="11.25" customHeight="1" x14ac:dyDescent="0.25">
      <c r="A81" s="9" t="s">
        <v>22</v>
      </c>
      <c r="B81" s="9" t="s">
        <v>774</v>
      </c>
      <c r="C81" s="9" t="s">
        <v>775</v>
      </c>
      <c r="D81" s="9" t="s">
        <v>792</v>
      </c>
      <c r="E81" s="9" t="s">
        <v>793</v>
      </c>
      <c r="F81" s="9" t="s">
        <v>794</v>
      </c>
      <c r="G81" s="9" t="s">
        <v>795</v>
      </c>
      <c r="L81" s="31">
        <f>$I$29*$L$29</f>
        <v>0</v>
      </c>
      <c r="M81" s="31">
        <f>$I$29*$M$29</f>
        <v>0</v>
      </c>
      <c r="N81" s="31">
        <f ca="1">$I$29*$N$29</f>
        <v>0</v>
      </c>
      <c r="O81" s="31">
        <f>$I$29*$O$29</f>
        <v>0</v>
      </c>
      <c r="P81" s="31">
        <f>$I$29*$P$29</f>
        <v>0</v>
      </c>
      <c r="Q81" s="31">
        <f>$I$29*$Q$29</f>
        <v>0</v>
      </c>
      <c r="R81" s="31">
        <f>$I$29*$R$29</f>
        <v>0</v>
      </c>
      <c r="S81" s="31">
        <f>$I$29*$S$29</f>
        <v>0</v>
      </c>
      <c r="T81" s="31">
        <f>$I$29*$T$29</f>
        <v>0</v>
      </c>
      <c r="U81" s="31">
        <f>$I$29*$U$29</f>
        <v>0</v>
      </c>
      <c r="V81" s="31">
        <f>$I$29*$V$29</f>
        <v>0</v>
      </c>
      <c r="W81" s="31">
        <f>$I$29*$W$29</f>
        <v>0</v>
      </c>
      <c r="X81" s="31">
        <f>$I$29*$X$29</f>
        <v>0</v>
      </c>
      <c r="Y81" s="31">
        <f>$I$29*$Y$29</f>
        <v>0</v>
      </c>
      <c r="Z81" s="31">
        <f>$I$29*$Z$29</f>
        <v>0</v>
      </c>
      <c r="AA81" s="31">
        <f>$I$29*$AA$29</f>
        <v>0</v>
      </c>
      <c r="AB81" s="31">
        <f ca="1">$I$29*$AB$29</f>
        <v>0</v>
      </c>
      <c r="AC81" s="31">
        <f ca="1">$I$29*$AC$29</f>
        <v>0</v>
      </c>
      <c r="AD81" s="31">
        <f>$I$29*$AD$29</f>
        <v>0</v>
      </c>
      <c r="AE81" s="31">
        <f>$I$29*$AE$29</f>
        <v>0</v>
      </c>
      <c r="AF81" s="31">
        <f ca="1">$I$29*$AF$29</f>
        <v>0</v>
      </c>
      <c r="AG81" s="31">
        <f ca="1">$I$29*$AG$29</f>
        <v>0</v>
      </c>
      <c r="AI81" s="31">
        <f>$I$29*$AI$29</f>
        <v>0</v>
      </c>
      <c r="AJ81" s="31">
        <f>$I$29*$AJ$29</f>
        <v>0</v>
      </c>
      <c r="AK81" s="31">
        <f>$I$29*$AK$29</f>
        <v>0</v>
      </c>
      <c r="AL81" s="31">
        <f>$I$29*$AL$29</f>
        <v>0</v>
      </c>
      <c r="AM81" s="31">
        <f>$I$29*$AM$29</f>
        <v>0</v>
      </c>
      <c r="AN81" s="31">
        <f>$I$29*$AN$29</f>
        <v>0</v>
      </c>
      <c r="AO81" s="31">
        <f>$I$29*$AO$29</f>
        <v>0</v>
      </c>
      <c r="AP81" s="31">
        <f>$I$29*$AP$29</f>
        <v>0</v>
      </c>
      <c r="AQ81" s="31">
        <f>$I$29*$AQ$29</f>
        <v>0</v>
      </c>
      <c r="AR81" s="31">
        <f>$I$29*$AR$29</f>
        <v>0</v>
      </c>
      <c r="AS81" s="31">
        <f>$I$29*$AS$29</f>
        <v>0</v>
      </c>
      <c r="AT81" s="31">
        <f>$I$29*$AT$29</f>
        <v>0</v>
      </c>
      <c r="AU81" s="31">
        <f>$I$29*$AU$29</f>
        <v>0</v>
      </c>
      <c r="AV81" s="31">
        <f>$I$29*$AV$29</f>
        <v>0</v>
      </c>
      <c r="AW81" s="31">
        <f>$I$29*$AW$29</f>
        <v>0</v>
      </c>
      <c r="AX81" s="31">
        <f>$I$29*$AX$29</f>
        <v>0</v>
      </c>
      <c r="AY81" s="31">
        <f>$I$29*$AY$29</f>
        <v>0</v>
      </c>
      <c r="AZ81" s="31">
        <f>$I$29*$AZ$29</f>
        <v>0</v>
      </c>
      <c r="BA81" s="31">
        <f>$I$29*$BA$29</f>
        <v>0</v>
      </c>
      <c r="BB81" s="31">
        <f>$I$29*$BB$29</f>
        <v>0</v>
      </c>
      <c r="BC81" s="31">
        <f>$I$29*$BC$29</f>
        <v>0</v>
      </c>
      <c r="BD81" s="31">
        <f>$I$29*$BD$29</f>
        <v>0</v>
      </c>
    </row>
    <row r="82" spans="1:56" ht="11.25" customHeight="1" x14ac:dyDescent="0.25">
      <c r="A82" s="9" t="s">
        <v>39</v>
      </c>
      <c r="B82" s="9" t="s">
        <v>796</v>
      </c>
      <c r="C82" s="9" t="s">
        <v>797</v>
      </c>
      <c r="D82" s="9" t="s">
        <v>798</v>
      </c>
      <c r="E82" s="9" t="s">
        <v>799</v>
      </c>
      <c r="F82" s="9" t="s">
        <v>800</v>
      </c>
      <c r="G82" s="9" t="s">
        <v>801</v>
      </c>
      <c r="L82" s="31">
        <f>$I$30*$L$30</f>
        <v>0</v>
      </c>
      <c r="M82" s="31">
        <f>$I$30*$M$30</f>
        <v>0</v>
      </c>
      <c r="N82" s="31">
        <f ca="1">$I$30*$N$30</f>
        <v>0</v>
      </c>
      <c r="O82" s="31">
        <f>$I$30*$O$30</f>
        <v>0</v>
      </c>
      <c r="P82" s="31">
        <f>$I$30*$P$30</f>
        <v>0</v>
      </c>
      <c r="Q82" s="31">
        <f>$I$30*$Q$30</f>
        <v>0</v>
      </c>
      <c r="R82" s="31">
        <f>$I$30*$R$30</f>
        <v>0</v>
      </c>
      <c r="S82" s="31">
        <f>$I$30*$S$30</f>
        <v>0</v>
      </c>
      <c r="T82" s="31">
        <f>$I$30*$T$30</f>
        <v>0</v>
      </c>
      <c r="U82" s="31">
        <f>$I$30*$U$30</f>
        <v>0</v>
      </c>
      <c r="V82" s="31">
        <f>$I$30*$V$30</f>
        <v>0</v>
      </c>
      <c r="W82" s="31">
        <f>$I$30*$W$30</f>
        <v>0</v>
      </c>
      <c r="X82" s="31">
        <f>$I$30*$X$30</f>
        <v>0</v>
      </c>
      <c r="Y82" s="31">
        <f>$I$30*$Y$30</f>
        <v>0</v>
      </c>
      <c r="Z82" s="31">
        <f>$I$30*$Z$30</f>
        <v>0</v>
      </c>
      <c r="AA82" s="31">
        <f>$I$30*$AA$30</f>
        <v>0</v>
      </c>
      <c r="AB82" s="31">
        <f ca="1">$I$30*$AB$30</f>
        <v>0</v>
      </c>
      <c r="AC82" s="31">
        <f ca="1">$I$30*$AC$30</f>
        <v>0</v>
      </c>
      <c r="AD82" s="31">
        <f>$I$30*$AD$30</f>
        <v>0</v>
      </c>
      <c r="AE82" s="31">
        <f>$I$30*$AE$30</f>
        <v>0</v>
      </c>
      <c r="AF82" s="31">
        <f ca="1">$I$30*$AF$30</f>
        <v>0</v>
      </c>
      <c r="AG82" s="31">
        <f ca="1">$I$30*$AG$30</f>
        <v>0</v>
      </c>
      <c r="AI82" s="31">
        <f>$I$30*$AI$30</f>
        <v>0</v>
      </c>
      <c r="AJ82" s="31">
        <f>$I$30*$AJ$30</f>
        <v>0</v>
      </c>
      <c r="AK82" s="31">
        <f>$I$30*$AK$30</f>
        <v>0</v>
      </c>
      <c r="AL82" s="31">
        <f>$I$30*$AL$30</f>
        <v>0</v>
      </c>
      <c r="AM82" s="31">
        <f>$I$30*$AM$30</f>
        <v>0</v>
      </c>
      <c r="AN82" s="31">
        <f>$I$30*$AN$30</f>
        <v>0</v>
      </c>
      <c r="AO82" s="31">
        <f>$I$30*$AO$30</f>
        <v>0</v>
      </c>
      <c r="AP82" s="31">
        <f>$I$30*$AP$30</f>
        <v>0</v>
      </c>
      <c r="AQ82" s="31">
        <f>$I$30*$AQ$30</f>
        <v>0</v>
      </c>
      <c r="AR82" s="31">
        <f>$I$30*$AR$30</f>
        <v>0</v>
      </c>
      <c r="AS82" s="31">
        <f>$I$30*$AS$30</f>
        <v>0</v>
      </c>
      <c r="AT82" s="31">
        <f>$I$30*$AT$30</f>
        <v>0</v>
      </c>
      <c r="AU82" s="31">
        <f>$I$30*$AU$30</f>
        <v>0</v>
      </c>
      <c r="AV82" s="31">
        <f>$I$30*$AV$30</f>
        <v>0</v>
      </c>
      <c r="AW82" s="31">
        <f>$I$30*$AW$30</f>
        <v>0</v>
      </c>
      <c r="AX82" s="31">
        <f>$I$30*$AX$30</f>
        <v>0</v>
      </c>
      <c r="AY82" s="31">
        <f>$I$30*$AY$30</f>
        <v>0</v>
      </c>
      <c r="AZ82" s="31">
        <f>$I$30*$AZ$30</f>
        <v>0</v>
      </c>
      <c r="BA82" s="31">
        <f>$I$30*$BA$30</f>
        <v>0</v>
      </c>
      <c r="BB82" s="31">
        <f>$I$30*$BB$30</f>
        <v>0</v>
      </c>
      <c r="BC82" s="31">
        <f>$I$30*$BC$30</f>
        <v>0</v>
      </c>
      <c r="BD82" s="31">
        <f>$I$30*$BD$30</f>
        <v>0</v>
      </c>
    </row>
    <row r="83" spans="1:56" ht="11.25" customHeight="1" x14ac:dyDescent="0.25">
      <c r="A83" s="9" t="s">
        <v>39</v>
      </c>
      <c r="B83" s="9" t="s">
        <v>796</v>
      </c>
      <c r="C83" s="9" t="s">
        <v>797</v>
      </c>
      <c r="D83" s="9" t="s">
        <v>798</v>
      </c>
      <c r="E83" s="9" t="s">
        <v>799</v>
      </c>
      <c r="F83" s="9" t="s">
        <v>800</v>
      </c>
      <c r="G83" s="9" t="s">
        <v>802</v>
      </c>
      <c r="L83" s="31">
        <f>$I$31*$L$31</f>
        <v>0</v>
      </c>
      <c r="M83" s="31">
        <f>$I$31*$M$31</f>
        <v>0</v>
      </c>
      <c r="N83" s="31">
        <f ca="1">$I$31*$N$31</f>
        <v>0</v>
      </c>
      <c r="O83" s="31">
        <f>$I$31*$O$31</f>
        <v>0</v>
      </c>
      <c r="P83" s="31">
        <f>$I$31*$P$31</f>
        <v>0</v>
      </c>
      <c r="Q83" s="31">
        <f>$I$31*$Q$31</f>
        <v>0</v>
      </c>
      <c r="R83" s="31">
        <f>$I$31*$R$31</f>
        <v>0</v>
      </c>
      <c r="S83" s="31">
        <f>$I$31*$S$31</f>
        <v>0</v>
      </c>
      <c r="T83" s="31">
        <f>$I$31*$T$31</f>
        <v>0</v>
      </c>
      <c r="U83" s="31">
        <f>$I$31*$U$31</f>
        <v>0</v>
      </c>
      <c r="V83" s="31">
        <f>$I$31*$V$31</f>
        <v>0</v>
      </c>
      <c r="W83" s="31">
        <f>$I$31*$W$31</f>
        <v>0</v>
      </c>
      <c r="X83" s="31">
        <f>$I$31*$X$31</f>
        <v>0</v>
      </c>
      <c r="Y83" s="31">
        <f>$I$31*$Y$31</f>
        <v>0</v>
      </c>
      <c r="Z83" s="31">
        <f>$I$31*$Z$31</f>
        <v>0</v>
      </c>
      <c r="AA83" s="31">
        <f>$I$31*$AA$31</f>
        <v>0</v>
      </c>
      <c r="AB83" s="31">
        <f ca="1">$I$31*$AB$31</f>
        <v>0</v>
      </c>
      <c r="AC83" s="31">
        <f ca="1">$I$31*$AC$31</f>
        <v>0</v>
      </c>
      <c r="AD83" s="31">
        <f>$I$31*$AD$31</f>
        <v>0</v>
      </c>
      <c r="AE83" s="31">
        <f>$I$31*$AE$31</f>
        <v>0</v>
      </c>
      <c r="AF83" s="31">
        <f ca="1">$I$31*$AF$31</f>
        <v>0</v>
      </c>
      <c r="AG83" s="31">
        <f ca="1">$I$31*$AG$31</f>
        <v>0</v>
      </c>
      <c r="AI83" s="31">
        <f>$I$31*$AI$31</f>
        <v>0</v>
      </c>
      <c r="AJ83" s="31">
        <f>$I$31*$AJ$31</f>
        <v>0</v>
      </c>
      <c r="AK83" s="31">
        <f>$I$31*$AK$31</f>
        <v>0</v>
      </c>
      <c r="AL83" s="31">
        <f>$I$31*$AL$31</f>
        <v>0</v>
      </c>
      <c r="AM83" s="31">
        <f>$I$31*$AM$31</f>
        <v>0</v>
      </c>
      <c r="AN83" s="31">
        <f>$I$31*$AN$31</f>
        <v>0</v>
      </c>
      <c r="AO83" s="31">
        <f>$I$31*$AO$31</f>
        <v>0</v>
      </c>
      <c r="AP83" s="31">
        <f>$I$31*$AP$31</f>
        <v>0</v>
      </c>
      <c r="AQ83" s="31">
        <f>$I$31*$AQ$31</f>
        <v>0</v>
      </c>
      <c r="AR83" s="31">
        <f>$I$31*$AR$31</f>
        <v>0</v>
      </c>
      <c r="AS83" s="31">
        <f>$I$31*$AS$31</f>
        <v>0</v>
      </c>
      <c r="AT83" s="31">
        <f>$I$31*$AT$31</f>
        <v>0</v>
      </c>
      <c r="AU83" s="31">
        <f>$I$31*$AU$31</f>
        <v>0</v>
      </c>
      <c r="AV83" s="31">
        <f>$I$31*$AV$31</f>
        <v>0</v>
      </c>
      <c r="AW83" s="31">
        <f>$I$31*$AW$31</f>
        <v>0</v>
      </c>
      <c r="AX83" s="31">
        <f>$I$31*$AX$31</f>
        <v>0</v>
      </c>
      <c r="AY83" s="31">
        <f>$I$31*$AY$31</f>
        <v>0</v>
      </c>
      <c r="AZ83" s="31">
        <f>$I$31*$AZ$31</f>
        <v>0</v>
      </c>
      <c r="BA83" s="31">
        <f>$I$31*$BA$31</f>
        <v>0</v>
      </c>
      <c r="BB83" s="31">
        <f>$I$31*$BB$31</f>
        <v>0</v>
      </c>
      <c r="BC83" s="31">
        <f>$I$31*$BC$31</f>
        <v>0</v>
      </c>
      <c r="BD83" s="31">
        <f>$I$31*$BD$31</f>
        <v>0</v>
      </c>
    </row>
    <row r="84" spans="1:56" ht="11.25" customHeight="1" x14ac:dyDescent="0.25">
      <c r="A84" s="9" t="s">
        <v>39</v>
      </c>
      <c r="B84" s="9" t="s">
        <v>796</v>
      </c>
      <c r="C84" s="9" t="s">
        <v>797</v>
      </c>
      <c r="D84" s="9" t="s">
        <v>798</v>
      </c>
      <c r="E84" s="9" t="s">
        <v>799</v>
      </c>
      <c r="F84" s="9" t="s">
        <v>800</v>
      </c>
      <c r="G84" s="9" t="s">
        <v>803</v>
      </c>
      <c r="L84" s="31">
        <f>$I$32*$L$32</f>
        <v>0</v>
      </c>
      <c r="M84" s="31">
        <f>$I$32*$M$32</f>
        <v>0</v>
      </c>
      <c r="N84" s="31">
        <f ca="1">$I$32*$N$32</f>
        <v>0</v>
      </c>
      <c r="O84" s="31">
        <f>$I$32*$O$32</f>
        <v>0</v>
      </c>
      <c r="P84" s="31">
        <f>$I$32*$P$32</f>
        <v>0</v>
      </c>
      <c r="Q84" s="31">
        <f>$I$32*$Q$32</f>
        <v>0</v>
      </c>
      <c r="R84" s="31">
        <f>$I$32*$R$32</f>
        <v>0</v>
      </c>
      <c r="S84" s="31">
        <f>$I$32*$S$32</f>
        <v>0</v>
      </c>
      <c r="T84" s="31">
        <f>$I$32*$T$32</f>
        <v>0</v>
      </c>
      <c r="U84" s="31">
        <f>$I$32*$U$32</f>
        <v>0</v>
      </c>
      <c r="V84" s="31">
        <f>$I$32*$V$32</f>
        <v>0</v>
      </c>
      <c r="W84" s="31">
        <f>$I$32*$W$32</f>
        <v>0</v>
      </c>
      <c r="X84" s="31">
        <f>$I$32*$X$32</f>
        <v>0</v>
      </c>
      <c r="Y84" s="31">
        <f>$I$32*$Y$32</f>
        <v>0</v>
      </c>
      <c r="Z84" s="31">
        <f>$I$32*$Z$32</f>
        <v>0</v>
      </c>
      <c r="AA84" s="31">
        <f>$I$32*$AA$32</f>
        <v>0</v>
      </c>
      <c r="AB84" s="31">
        <f ca="1">$I$32*$AB$32</f>
        <v>0</v>
      </c>
      <c r="AC84" s="31">
        <f ca="1">$I$32*$AC$32</f>
        <v>0</v>
      </c>
      <c r="AD84" s="31">
        <f>$I$32*$AD$32</f>
        <v>0</v>
      </c>
      <c r="AE84" s="31">
        <f>$I$32*$AE$32</f>
        <v>0</v>
      </c>
      <c r="AF84" s="31">
        <f ca="1">$I$32*$AF$32</f>
        <v>0</v>
      </c>
      <c r="AG84" s="31">
        <f ca="1">$I$32*$AG$32</f>
        <v>0</v>
      </c>
      <c r="AI84" s="31">
        <f>$I$32*$AI$32</f>
        <v>0</v>
      </c>
      <c r="AJ84" s="31">
        <f>$I$32*$AJ$32</f>
        <v>0</v>
      </c>
      <c r="AK84" s="31">
        <f>$I$32*$AK$32</f>
        <v>0</v>
      </c>
      <c r="AL84" s="31">
        <f>$I$32*$AL$32</f>
        <v>0</v>
      </c>
      <c r="AM84" s="31">
        <f>$I$32*$AM$32</f>
        <v>0</v>
      </c>
      <c r="AN84" s="31">
        <f>$I$32*$AN$32</f>
        <v>0</v>
      </c>
      <c r="AO84" s="31">
        <f>$I$32*$AO$32</f>
        <v>0</v>
      </c>
      <c r="AP84" s="31">
        <f>$I$32*$AP$32</f>
        <v>0</v>
      </c>
      <c r="AQ84" s="31">
        <f>$I$32*$AQ$32</f>
        <v>0</v>
      </c>
      <c r="AR84" s="31">
        <f>$I$32*$AR$32</f>
        <v>0</v>
      </c>
      <c r="AS84" s="31">
        <f>$I$32*$AS$32</f>
        <v>0</v>
      </c>
      <c r="AT84" s="31">
        <f>$I$32*$AT$32</f>
        <v>0</v>
      </c>
      <c r="AU84" s="31">
        <f>$I$32*$AU$32</f>
        <v>0</v>
      </c>
      <c r="AV84" s="31">
        <f>$I$32*$AV$32</f>
        <v>0</v>
      </c>
      <c r="AW84" s="31">
        <f>$I$32*$AW$32</f>
        <v>0</v>
      </c>
      <c r="AX84" s="31">
        <f>$I$32*$AX$32</f>
        <v>0</v>
      </c>
      <c r="AY84" s="31">
        <f>$I$32*$AY$32</f>
        <v>0</v>
      </c>
      <c r="AZ84" s="31">
        <f>$I$32*$AZ$32</f>
        <v>0</v>
      </c>
      <c r="BA84" s="31">
        <f>$I$32*$BA$32</f>
        <v>0</v>
      </c>
      <c r="BB84" s="31">
        <f>$I$32*$BB$32</f>
        <v>0</v>
      </c>
      <c r="BC84" s="31">
        <f>$I$32*$BC$32</f>
        <v>0</v>
      </c>
      <c r="BD84" s="31">
        <f>$I$32*$BD$32</f>
        <v>0</v>
      </c>
    </row>
    <row r="85" spans="1:56" ht="11.25" customHeight="1" x14ac:dyDescent="0.25">
      <c r="A85" s="9" t="s">
        <v>39</v>
      </c>
      <c r="B85" s="9" t="s">
        <v>804</v>
      </c>
      <c r="C85" s="9" t="s">
        <v>805</v>
      </c>
      <c r="D85" s="9" t="s">
        <v>806</v>
      </c>
      <c r="E85" s="9" t="s">
        <v>807</v>
      </c>
      <c r="F85" s="9" t="s">
        <v>808</v>
      </c>
      <c r="G85" s="9" t="s">
        <v>809</v>
      </c>
      <c r="L85" s="31">
        <f>$I$33*$L$33</f>
        <v>118.73324334129541</v>
      </c>
      <c r="M85" s="31">
        <f>$I$33*$M$33</f>
        <v>31.776400539426451</v>
      </c>
      <c r="N85" s="31">
        <f ca="1">$I$33*$N$33</f>
        <v>134.84436649215607</v>
      </c>
      <c r="O85" s="31">
        <f>$I$33*$O$33</f>
        <v>0</v>
      </c>
      <c r="P85" s="31">
        <f>$I$33*$P$33</f>
        <v>0</v>
      </c>
      <c r="Q85" s="31">
        <f>$I$33*$Q$33</f>
        <v>4684.1183198602494</v>
      </c>
      <c r="R85" s="31">
        <f>$I$33*$R$33</f>
        <v>782.44815851333658</v>
      </c>
      <c r="S85" s="31">
        <f>$I$33*$S$33</f>
        <v>0</v>
      </c>
      <c r="T85" s="31">
        <f>$I$33*$T$33</f>
        <v>0</v>
      </c>
      <c r="U85" s="31">
        <f>$I$33*$U$33</f>
        <v>0</v>
      </c>
      <c r="V85" s="31">
        <f>$I$33*$V$33</f>
        <v>0</v>
      </c>
      <c r="W85" s="31">
        <f>$I$33*$W$33</f>
        <v>0</v>
      </c>
      <c r="X85" s="31">
        <f>$I$33*$X$33</f>
        <v>5358.1495052150158</v>
      </c>
      <c r="Y85" s="31">
        <f>$I$33*$Y$33</f>
        <v>0</v>
      </c>
      <c r="Z85" s="31">
        <f>$I$33*$Z$33</f>
        <v>0</v>
      </c>
      <c r="AA85" s="31">
        <f>$I$33*$AA$33</f>
        <v>5808.1111933437332</v>
      </c>
      <c r="AB85" s="31">
        <f ca="1">$I$33*$AB$33</f>
        <v>-1775.9410863785081</v>
      </c>
      <c r="AC85" s="31">
        <f ca="1">$I$33*$AC$33</f>
        <v>0</v>
      </c>
      <c r="AD85" s="31">
        <f>$I$33*$AD$33</f>
        <v>808.41612256846201</v>
      </c>
      <c r="AE85" s="31">
        <f>$I$33*$AE$33</f>
        <v>25.997567100187684</v>
      </c>
      <c r="AF85" s="31">
        <f ca="1">$I$33*$AF$33</f>
        <v>85.459166860256332</v>
      </c>
      <c r="AG85" s="31">
        <f ca="1">$I$33*$AG$33</f>
        <v>15.214266021754291</v>
      </c>
      <c r="AI85" s="31">
        <f>$I$33*$AI$33</f>
        <v>98.876747443953093</v>
      </c>
      <c r="AJ85" s="31">
        <f>$I$33*$AJ$33</f>
        <v>31.241687389526646</v>
      </c>
      <c r="AK85" s="31">
        <f>$I$33*$AK$33</f>
        <v>131.00143904036545</v>
      </c>
      <c r="AL85" s="31">
        <f>$I$33*$AL$33</f>
        <v>0</v>
      </c>
      <c r="AM85" s="31">
        <f>$I$33*$AM$33</f>
        <v>0</v>
      </c>
      <c r="AN85" s="31">
        <f>$I$33*$AN$33</f>
        <v>2619.3429304505794</v>
      </c>
      <c r="AO85" s="31">
        <f>$I$33*$AO$33</f>
        <v>421.88422354042729</v>
      </c>
      <c r="AP85" s="31">
        <f>$I$33*$AP$33</f>
        <v>0</v>
      </c>
      <c r="AQ85" s="31">
        <f>$I$33*$AQ$33</f>
        <v>0</v>
      </c>
      <c r="AR85" s="31">
        <f>$I$33*$AR$33</f>
        <v>0</v>
      </c>
      <c r="AS85" s="31">
        <f>$I$33*$AS$33</f>
        <v>0</v>
      </c>
      <c r="AT85" s="31">
        <f>$I$33*$AT$33</f>
        <v>0</v>
      </c>
      <c r="AU85" s="31">
        <f>$I$33*$AU$33</f>
        <v>4696.6963263849357</v>
      </c>
      <c r="AV85" s="31">
        <f>$I$33*$AV$33</f>
        <v>0</v>
      </c>
      <c r="AW85" s="31">
        <f>$I$33*$AW$33</f>
        <v>0</v>
      </c>
      <c r="AX85" s="31">
        <f>$I$33*$AX$33</f>
        <v>5182.5347574105208</v>
      </c>
      <c r="AY85" s="31">
        <f>$I$33*$AY$33</f>
        <v>-724.80092580599342</v>
      </c>
      <c r="AZ85" s="31">
        <f>$I$33*$AZ$33</f>
        <v>0</v>
      </c>
      <c r="BA85" s="31">
        <f>$I$33*$BA$33</f>
        <v>755.03444360436663</v>
      </c>
      <c r="BB85" s="31">
        <f>$I$33*$BB$33</f>
        <v>21.557692935633629</v>
      </c>
      <c r="BC85" s="31">
        <f>$I$33*$BC$33</f>
        <v>101.1417183874846</v>
      </c>
      <c r="BD85" s="31">
        <f>$I$33*$BD$33</f>
        <v>-3.3309143813785775</v>
      </c>
    </row>
    <row r="86" spans="1:56" ht="11.25" customHeight="1" x14ac:dyDescent="0.25">
      <c r="A86" s="9" t="s">
        <v>39</v>
      </c>
      <c r="B86" s="9" t="s">
        <v>796</v>
      </c>
      <c r="C86" s="9" t="s">
        <v>797</v>
      </c>
      <c r="D86" s="9" t="s">
        <v>810</v>
      </c>
      <c r="E86" s="9" t="s">
        <v>811</v>
      </c>
      <c r="F86" s="9" t="s">
        <v>812</v>
      </c>
      <c r="G86" s="9" t="s">
        <v>813</v>
      </c>
      <c r="L86" s="31">
        <f>$I$34*$L$34</f>
        <v>0</v>
      </c>
      <c r="M86" s="31">
        <f>$I$34*$M$34</f>
        <v>0</v>
      </c>
      <c r="N86" s="31">
        <f ca="1">$I$34*$N$34</f>
        <v>0</v>
      </c>
      <c r="O86" s="31">
        <f>$I$34*$O$34</f>
        <v>0</v>
      </c>
      <c r="P86" s="31">
        <f>$I$34*$P$34</f>
        <v>0</v>
      </c>
      <c r="Q86" s="31">
        <f>$I$34*$Q$34</f>
        <v>0</v>
      </c>
      <c r="R86" s="31">
        <f>$I$34*$R$34</f>
        <v>0</v>
      </c>
      <c r="S86" s="31">
        <f>$I$34*$S$34</f>
        <v>0</v>
      </c>
      <c r="T86" s="31">
        <f>$I$34*$T$34</f>
        <v>0</v>
      </c>
      <c r="U86" s="31">
        <f>$I$34*$U$34</f>
        <v>0</v>
      </c>
      <c r="V86" s="31">
        <f>$I$34*$V$34</f>
        <v>0</v>
      </c>
      <c r="W86" s="31">
        <f>$I$34*$W$34</f>
        <v>0</v>
      </c>
      <c r="X86" s="31">
        <f>$I$34*$X$34</f>
        <v>0</v>
      </c>
      <c r="Y86" s="31">
        <f>$I$34*$Y$34</f>
        <v>0</v>
      </c>
      <c r="Z86" s="31">
        <f>$I$34*$Z$34</f>
        <v>0</v>
      </c>
      <c r="AA86" s="31">
        <f>$I$34*$AA$34</f>
        <v>0</v>
      </c>
      <c r="AB86" s="31">
        <f ca="1">$I$34*$AB$34</f>
        <v>0</v>
      </c>
      <c r="AC86" s="31">
        <f ca="1">$I$34*$AC$34</f>
        <v>0</v>
      </c>
      <c r="AD86" s="31">
        <f>$I$34*$AD$34</f>
        <v>0</v>
      </c>
      <c r="AE86" s="31">
        <f>$I$34*$AE$34</f>
        <v>0</v>
      </c>
      <c r="AF86" s="31">
        <f ca="1">$I$34*$AF$34</f>
        <v>0</v>
      </c>
      <c r="AG86" s="31">
        <f ca="1">$I$34*$AG$34</f>
        <v>0</v>
      </c>
      <c r="AI86" s="31">
        <f>$I$34*$AI$34</f>
        <v>0</v>
      </c>
      <c r="AJ86" s="31">
        <f>$I$34*$AJ$34</f>
        <v>0</v>
      </c>
      <c r="AK86" s="31">
        <f>$I$34*$AK$34</f>
        <v>0</v>
      </c>
      <c r="AL86" s="31">
        <f>$I$34*$AL$34</f>
        <v>0</v>
      </c>
      <c r="AM86" s="31">
        <f>$I$34*$AM$34</f>
        <v>0</v>
      </c>
      <c r="AN86" s="31">
        <f>$I$34*$AN$34</f>
        <v>0</v>
      </c>
      <c r="AO86" s="31">
        <f>$I$34*$AO$34</f>
        <v>0</v>
      </c>
      <c r="AP86" s="31">
        <f>$I$34*$AP$34</f>
        <v>0</v>
      </c>
      <c r="AQ86" s="31">
        <f>$I$34*$AQ$34</f>
        <v>0</v>
      </c>
      <c r="AR86" s="31">
        <f>$I$34*$AR$34</f>
        <v>0</v>
      </c>
      <c r="AS86" s="31">
        <f>$I$34*$AS$34</f>
        <v>0</v>
      </c>
      <c r="AT86" s="31">
        <f>$I$34*$AT$34</f>
        <v>0</v>
      </c>
      <c r="AU86" s="31">
        <f>$I$34*$AU$34</f>
        <v>0</v>
      </c>
      <c r="AV86" s="31">
        <f>$I$34*$AV$34</f>
        <v>0</v>
      </c>
      <c r="AW86" s="31">
        <f>$I$34*$AW$34</f>
        <v>0</v>
      </c>
      <c r="AX86" s="31">
        <f>$I$34*$AX$34</f>
        <v>0</v>
      </c>
      <c r="AY86" s="31">
        <f>$I$34*$AY$34</f>
        <v>0</v>
      </c>
      <c r="AZ86" s="31">
        <f>$I$34*$AZ$34</f>
        <v>0</v>
      </c>
      <c r="BA86" s="31">
        <f>$I$34*$BA$34</f>
        <v>0</v>
      </c>
      <c r="BB86" s="31">
        <f>$I$34*$BB$34</f>
        <v>0</v>
      </c>
      <c r="BC86" s="31">
        <f>$I$34*$BC$34</f>
        <v>0</v>
      </c>
      <c r="BD86" s="31">
        <f>$I$34*$BD$34</f>
        <v>0</v>
      </c>
    </row>
    <row r="87" spans="1:56" ht="11.25" customHeight="1" x14ac:dyDescent="0.25">
      <c r="A87" s="9" t="s">
        <v>39</v>
      </c>
      <c r="B87" s="9" t="s">
        <v>796</v>
      </c>
      <c r="C87" s="9" t="s">
        <v>797</v>
      </c>
      <c r="D87" s="9" t="s">
        <v>810</v>
      </c>
      <c r="E87" s="9" t="s">
        <v>811</v>
      </c>
      <c r="F87" s="9" t="s">
        <v>812</v>
      </c>
      <c r="G87" s="9" t="s">
        <v>814</v>
      </c>
      <c r="L87" s="31">
        <f>$I$35*$L$35</f>
        <v>0</v>
      </c>
      <c r="M87" s="31">
        <f>$I$35*$M$35</f>
        <v>0</v>
      </c>
      <c r="N87" s="31">
        <f ca="1">$I$35*$N$35</f>
        <v>0</v>
      </c>
      <c r="O87" s="31">
        <f>$I$35*$O$35</f>
        <v>0</v>
      </c>
      <c r="P87" s="31">
        <f>$I$35*$P$35</f>
        <v>0</v>
      </c>
      <c r="Q87" s="31">
        <f>$I$35*$Q$35</f>
        <v>0</v>
      </c>
      <c r="R87" s="31">
        <f>$I$35*$R$35</f>
        <v>0</v>
      </c>
      <c r="S87" s="31">
        <f>$I$35*$S$35</f>
        <v>0</v>
      </c>
      <c r="T87" s="31">
        <f>$I$35*$T$35</f>
        <v>0</v>
      </c>
      <c r="U87" s="31">
        <f>$I$35*$U$35</f>
        <v>0</v>
      </c>
      <c r="V87" s="31">
        <f>$I$35*$V$35</f>
        <v>0</v>
      </c>
      <c r="W87" s="31">
        <f>$I$35*$W$35</f>
        <v>0</v>
      </c>
      <c r="X87" s="31">
        <f>$I$35*$X$35</f>
        <v>0</v>
      </c>
      <c r="Y87" s="31">
        <f>$I$35*$Y$35</f>
        <v>0</v>
      </c>
      <c r="Z87" s="31">
        <f>$I$35*$Z$35</f>
        <v>0</v>
      </c>
      <c r="AA87" s="31">
        <f>$I$35*$AA$35</f>
        <v>0</v>
      </c>
      <c r="AB87" s="31">
        <f ca="1">$I$35*$AB$35</f>
        <v>0</v>
      </c>
      <c r="AC87" s="31">
        <f ca="1">$I$35*$AC$35</f>
        <v>0</v>
      </c>
      <c r="AD87" s="31">
        <f>$I$35*$AD$35</f>
        <v>0</v>
      </c>
      <c r="AE87" s="31">
        <f>$I$35*$AE$35</f>
        <v>0</v>
      </c>
      <c r="AF87" s="31">
        <f ca="1">$I$35*$AF$35</f>
        <v>0</v>
      </c>
      <c r="AG87" s="31">
        <f ca="1">$I$35*$AG$35</f>
        <v>0</v>
      </c>
      <c r="AI87" s="31">
        <f>$I$35*$AI$35</f>
        <v>0</v>
      </c>
      <c r="AJ87" s="31">
        <f>$I$35*$AJ$35</f>
        <v>0</v>
      </c>
      <c r="AK87" s="31">
        <f>$I$35*$AK$35</f>
        <v>0</v>
      </c>
      <c r="AL87" s="31">
        <f>$I$35*$AL$35</f>
        <v>0</v>
      </c>
      <c r="AM87" s="31">
        <f>$I$35*$AM$35</f>
        <v>0</v>
      </c>
      <c r="AN87" s="31">
        <f>$I$35*$AN$35</f>
        <v>0</v>
      </c>
      <c r="AO87" s="31">
        <f>$I$35*$AO$35</f>
        <v>0</v>
      </c>
      <c r="AP87" s="31">
        <f>$I$35*$AP$35</f>
        <v>0</v>
      </c>
      <c r="AQ87" s="31">
        <f>$I$35*$AQ$35</f>
        <v>0</v>
      </c>
      <c r="AR87" s="31">
        <f>$I$35*$AR$35</f>
        <v>0</v>
      </c>
      <c r="AS87" s="31">
        <f>$I$35*$AS$35</f>
        <v>0</v>
      </c>
      <c r="AT87" s="31">
        <f>$I$35*$AT$35</f>
        <v>0</v>
      </c>
      <c r="AU87" s="31">
        <f>$I$35*$AU$35</f>
        <v>0</v>
      </c>
      <c r="AV87" s="31">
        <f>$I$35*$AV$35</f>
        <v>0</v>
      </c>
      <c r="AW87" s="31">
        <f>$I$35*$AW$35</f>
        <v>0</v>
      </c>
      <c r="AX87" s="31">
        <f>$I$35*$AX$35</f>
        <v>0</v>
      </c>
      <c r="AY87" s="31">
        <f>$I$35*$AY$35</f>
        <v>0</v>
      </c>
      <c r="AZ87" s="31">
        <f>$I$35*$AZ$35</f>
        <v>0</v>
      </c>
      <c r="BA87" s="31">
        <f>$I$35*$BA$35</f>
        <v>0</v>
      </c>
      <c r="BB87" s="31">
        <f>$I$35*$BB$35</f>
        <v>0</v>
      </c>
      <c r="BC87" s="31">
        <f>$I$35*$BC$35</f>
        <v>0</v>
      </c>
      <c r="BD87" s="31">
        <f>$I$35*$BD$35</f>
        <v>0</v>
      </c>
    </row>
    <row r="88" spans="1:56" ht="11.25" customHeight="1" x14ac:dyDescent="0.25">
      <c r="A88" s="9" t="s">
        <v>39</v>
      </c>
      <c r="B88" s="9" t="s">
        <v>796</v>
      </c>
      <c r="C88" s="9" t="s">
        <v>797</v>
      </c>
      <c r="D88" s="9" t="s">
        <v>810</v>
      </c>
      <c r="E88" s="9" t="s">
        <v>811</v>
      </c>
      <c r="F88" s="9" t="s">
        <v>812</v>
      </c>
      <c r="G88" s="9" t="s">
        <v>815</v>
      </c>
      <c r="L88" s="31">
        <f>$I$36*$L$36</f>
        <v>0</v>
      </c>
      <c r="M88" s="31">
        <f>$I$36*$M$36</f>
        <v>0</v>
      </c>
      <c r="N88" s="31">
        <f ca="1">$I$36*$N$36</f>
        <v>0</v>
      </c>
      <c r="O88" s="31">
        <f>$I$36*$O$36</f>
        <v>0</v>
      </c>
      <c r="P88" s="31">
        <f>$I$36*$P$36</f>
        <v>0</v>
      </c>
      <c r="Q88" s="31">
        <f>$I$36*$Q$36</f>
        <v>0</v>
      </c>
      <c r="R88" s="31">
        <f>$I$36*$R$36</f>
        <v>0</v>
      </c>
      <c r="S88" s="31">
        <f>$I$36*$S$36</f>
        <v>0</v>
      </c>
      <c r="T88" s="31">
        <f>$I$36*$T$36</f>
        <v>0</v>
      </c>
      <c r="U88" s="31">
        <f>$I$36*$U$36</f>
        <v>0</v>
      </c>
      <c r="V88" s="31">
        <f>$I$36*$V$36</f>
        <v>0</v>
      </c>
      <c r="W88" s="31">
        <f>$I$36*$W$36</f>
        <v>0</v>
      </c>
      <c r="X88" s="31">
        <f>$I$36*$X$36</f>
        <v>0</v>
      </c>
      <c r="Y88" s="31">
        <f>$I$36*$Y$36</f>
        <v>0</v>
      </c>
      <c r="Z88" s="31">
        <f>$I$36*$Z$36</f>
        <v>0</v>
      </c>
      <c r="AA88" s="31">
        <f>$I$36*$AA$36</f>
        <v>0</v>
      </c>
      <c r="AB88" s="31">
        <f ca="1">$I$36*$AB$36</f>
        <v>0</v>
      </c>
      <c r="AC88" s="31">
        <f ca="1">$I$36*$AC$36</f>
        <v>0</v>
      </c>
      <c r="AD88" s="31">
        <f>$I$36*$AD$36</f>
        <v>0</v>
      </c>
      <c r="AE88" s="31">
        <f>$I$36*$AE$36</f>
        <v>0</v>
      </c>
      <c r="AF88" s="31">
        <f ca="1">$I$36*$AF$36</f>
        <v>0</v>
      </c>
      <c r="AG88" s="31">
        <f ca="1">$I$36*$AG$36</f>
        <v>0</v>
      </c>
      <c r="AI88" s="31">
        <f>$I$36*$AI$36</f>
        <v>0</v>
      </c>
      <c r="AJ88" s="31">
        <f>$I$36*$AJ$36</f>
        <v>0</v>
      </c>
      <c r="AK88" s="31">
        <f>$I$36*$AK$36</f>
        <v>0</v>
      </c>
      <c r="AL88" s="31">
        <f>$I$36*$AL$36</f>
        <v>0</v>
      </c>
      <c r="AM88" s="31">
        <f>$I$36*$AM$36</f>
        <v>0</v>
      </c>
      <c r="AN88" s="31">
        <f>$I$36*$AN$36</f>
        <v>0</v>
      </c>
      <c r="AO88" s="31">
        <f>$I$36*$AO$36</f>
        <v>0</v>
      </c>
      <c r="AP88" s="31">
        <f>$I$36*$AP$36</f>
        <v>0</v>
      </c>
      <c r="AQ88" s="31">
        <f>$I$36*$AQ$36</f>
        <v>0</v>
      </c>
      <c r="AR88" s="31">
        <f>$I$36*$AR$36</f>
        <v>0</v>
      </c>
      <c r="AS88" s="31">
        <f>$I$36*$AS$36</f>
        <v>0</v>
      </c>
      <c r="AT88" s="31">
        <f>$I$36*$AT$36</f>
        <v>0</v>
      </c>
      <c r="AU88" s="31">
        <f>$I$36*$AU$36</f>
        <v>0</v>
      </c>
      <c r="AV88" s="31">
        <f>$I$36*$AV$36</f>
        <v>0</v>
      </c>
      <c r="AW88" s="31">
        <f>$I$36*$AW$36</f>
        <v>0</v>
      </c>
      <c r="AX88" s="31">
        <f>$I$36*$AX$36</f>
        <v>0</v>
      </c>
      <c r="AY88" s="31">
        <f>$I$36*$AY$36</f>
        <v>0</v>
      </c>
      <c r="AZ88" s="31">
        <f>$I$36*$AZ$36</f>
        <v>0</v>
      </c>
      <c r="BA88" s="31">
        <f>$I$36*$BA$36</f>
        <v>0</v>
      </c>
      <c r="BB88" s="31">
        <f>$I$36*$BB$36</f>
        <v>0</v>
      </c>
      <c r="BC88" s="31">
        <f>$I$36*$BC$36</f>
        <v>0</v>
      </c>
      <c r="BD88" s="31">
        <f>$I$36*$BD$36</f>
        <v>0</v>
      </c>
    </row>
    <row r="89" spans="1:56" ht="11.25" customHeight="1" x14ac:dyDescent="0.25">
      <c r="A89" s="9" t="s">
        <v>39</v>
      </c>
      <c r="B89" s="9" t="s">
        <v>804</v>
      </c>
      <c r="C89" s="9" t="s">
        <v>805</v>
      </c>
      <c r="D89" s="9" t="s">
        <v>816</v>
      </c>
      <c r="E89" s="9" t="s">
        <v>817</v>
      </c>
      <c r="F89" s="9" t="s">
        <v>818</v>
      </c>
      <c r="G89" s="9" t="s">
        <v>819</v>
      </c>
      <c r="L89" s="31">
        <f>$I$37*$L$37</f>
        <v>0</v>
      </c>
      <c r="M89" s="31">
        <f>$I$37*$M$37</f>
        <v>0</v>
      </c>
      <c r="N89" s="31">
        <f ca="1">$I$37*$N$37</f>
        <v>0</v>
      </c>
      <c r="O89" s="31">
        <f>$I$37*$O$37</f>
        <v>0</v>
      </c>
      <c r="P89" s="31">
        <f>$I$37*$P$37</f>
        <v>0</v>
      </c>
      <c r="Q89" s="31">
        <f>$I$37*$Q$37</f>
        <v>0</v>
      </c>
      <c r="R89" s="31">
        <f>$I$37*$R$37</f>
        <v>0</v>
      </c>
      <c r="S89" s="31">
        <f>$I$37*$S$37</f>
        <v>0</v>
      </c>
      <c r="T89" s="31">
        <f>$I$37*$T$37</f>
        <v>0</v>
      </c>
      <c r="U89" s="31">
        <f>$I$37*$U$37</f>
        <v>0</v>
      </c>
      <c r="V89" s="31">
        <f>$I$37*$V$37</f>
        <v>0</v>
      </c>
      <c r="W89" s="31">
        <f>$I$37*$W$37</f>
        <v>0</v>
      </c>
      <c r="X89" s="31">
        <f>$I$37*$X$37</f>
        <v>0</v>
      </c>
      <c r="Y89" s="31">
        <f>$I$37*$Y$37</f>
        <v>0</v>
      </c>
      <c r="Z89" s="31">
        <f>$I$37*$Z$37</f>
        <v>0</v>
      </c>
      <c r="AA89" s="31">
        <f>$I$37*$AA$37</f>
        <v>0</v>
      </c>
      <c r="AB89" s="31">
        <f ca="1">$I$37*$AB$37</f>
        <v>0</v>
      </c>
      <c r="AC89" s="31">
        <f ca="1">$I$37*$AC$37</f>
        <v>0</v>
      </c>
      <c r="AD89" s="31">
        <f>$I$37*$AD$37</f>
        <v>0</v>
      </c>
      <c r="AE89" s="31">
        <f>$I$37*$AE$37</f>
        <v>0</v>
      </c>
      <c r="AF89" s="31">
        <f ca="1">$I$37*$AF$37</f>
        <v>0</v>
      </c>
      <c r="AG89" s="31">
        <f ca="1">$I$37*$AG$37</f>
        <v>0</v>
      </c>
      <c r="AI89" s="31">
        <f>$I$37*$AI$37</f>
        <v>0</v>
      </c>
      <c r="AJ89" s="31">
        <f>$I$37*$AJ$37</f>
        <v>0</v>
      </c>
      <c r="AK89" s="31">
        <f>$I$37*$AK$37</f>
        <v>0</v>
      </c>
      <c r="AL89" s="31">
        <f>$I$37*$AL$37</f>
        <v>0</v>
      </c>
      <c r="AM89" s="31">
        <f>$I$37*$AM$37</f>
        <v>0</v>
      </c>
      <c r="AN89" s="31">
        <f>$I$37*$AN$37</f>
        <v>0</v>
      </c>
      <c r="AO89" s="31">
        <f>$I$37*$AO$37</f>
        <v>0</v>
      </c>
      <c r="AP89" s="31">
        <f>$I$37*$AP$37</f>
        <v>0</v>
      </c>
      <c r="AQ89" s="31">
        <f>$I$37*$AQ$37</f>
        <v>0</v>
      </c>
      <c r="AR89" s="31">
        <f>$I$37*$AR$37</f>
        <v>0</v>
      </c>
      <c r="AS89" s="31">
        <f>$I$37*$AS$37</f>
        <v>0</v>
      </c>
      <c r="AT89" s="31">
        <f>$I$37*$AT$37</f>
        <v>0</v>
      </c>
      <c r="AU89" s="31">
        <f>$I$37*$AU$37</f>
        <v>0</v>
      </c>
      <c r="AV89" s="31">
        <f>$I$37*$AV$37</f>
        <v>0</v>
      </c>
      <c r="AW89" s="31">
        <f>$I$37*$AW$37</f>
        <v>0</v>
      </c>
      <c r="AX89" s="31">
        <f>$I$37*$AX$37</f>
        <v>0</v>
      </c>
      <c r="AY89" s="31">
        <f>$I$37*$AY$37</f>
        <v>0</v>
      </c>
      <c r="AZ89" s="31">
        <f>$I$37*$AZ$37</f>
        <v>0</v>
      </c>
      <c r="BA89" s="31">
        <f>$I$37*$BA$37</f>
        <v>0</v>
      </c>
      <c r="BB89" s="31">
        <f>$I$37*$BB$37</f>
        <v>0</v>
      </c>
      <c r="BC89" s="31">
        <f>$I$37*$BC$37</f>
        <v>0</v>
      </c>
      <c r="BD89" s="31">
        <f>$I$37*$BD$37</f>
        <v>0</v>
      </c>
    </row>
    <row r="90" spans="1:56" ht="11.25" customHeight="1" x14ac:dyDescent="0.25">
      <c r="A90" s="9" t="s">
        <v>39</v>
      </c>
      <c r="B90" s="9" t="s">
        <v>796</v>
      </c>
      <c r="C90" s="9" t="s">
        <v>797</v>
      </c>
      <c r="D90" s="9" t="s">
        <v>820</v>
      </c>
      <c r="E90" s="9" t="s">
        <v>821</v>
      </c>
      <c r="F90" s="9" t="s">
        <v>822</v>
      </c>
      <c r="G90" s="9" t="s">
        <v>823</v>
      </c>
      <c r="L90" s="31">
        <f>$I$38*$L$38</f>
        <v>0</v>
      </c>
      <c r="M90" s="31">
        <f>$I$38*$M$38</f>
        <v>0</v>
      </c>
      <c r="N90" s="31">
        <f ca="1">$I$38*$N$38</f>
        <v>0</v>
      </c>
      <c r="O90" s="31">
        <f>$I$38*$O$38</f>
        <v>0</v>
      </c>
      <c r="P90" s="31">
        <f>$I$38*$P$38</f>
        <v>0</v>
      </c>
      <c r="Q90" s="31">
        <f>$I$38*$Q$38</f>
        <v>0</v>
      </c>
      <c r="R90" s="31">
        <f>$I$38*$R$38</f>
        <v>0</v>
      </c>
      <c r="S90" s="31">
        <f>$I$38*$S$38</f>
        <v>0</v>
      </c>
      <c r="T90" s="31">
        <f>$I$38*$T$38</f>
        <v>0</v>
      </c>
      <c r="U90" s="31">
        <f>$I$38*$U$38</f>
        <v>0</v>
      </c>
      <c r="V90" s="31">
        <f>$I$38*$V$38</f>
        <v>0</v>
      </c>
      <c r="W90" s="31">
        <f>$I$38*$W$38</f>
        <v>0</v>
      </c>
      <c r="X90" s="31">
        <f>$I$38*$X$38</f>
        <v>0</v>
      </c>
      <c r="Y90" s="31">
        <f>$I$38*$Y$38</f>
        <v>0</v>
      </c>
      <c r="Z90" s="31">
        <f>$I$38*$Z$38</f>
        <v>0</v>
      </c>
      <c r="AA90" s="31">
        <f>$I$38*$AA$38</f>
        <v>0</v>
      </c>
      <c r="AB90" s="31">
        <f ca="1">$I$38*$AB$38</f>
        <v>0</v>
      </c>
      <c r="AC90" s="31">
        <f ca="1">$I$38*$AC$38</f>
        <v>0</v>
      </c>
      <c r="AD90" s="31">
        <f>$I$38*$AD$38</f>
        <v>0</v>
      </c>
      <c r="AE90" s="31">
        <f>$I$38*$AE$38</f>
        <v>0</v>
      </c>
      <c r="AF90" s="31">
        <f ca="1">$I$38*$AF$38</f>
        <v>0</v>
      </c>
      <c r="AG90" s="31">
        <f ca="1">$I$38*$AG$38</f>
        <v>0</v>
      </c>
      <c r="AI90" s="31">
        <f>$I$38*$AI$38</f>
        <v>0</v>
      </c>
      <c r="AJ90" s="31">
        <f>$I$38*$AJ$38</f>
        <v>0</v>
      </c>
      <c r="AK90" s="31">
        <f>$I$38*$AK$38</f>
        <v>0</v>
      </c>
      <c r="AL90" s="31">
        <f>$I$38*$AL$38</f>
        <v>0</v>
      </c>
      <c r="AM90" s="31">
        <f>$I$38*$AM$38</f>
        <v>0</v>
      </c>
      <c r="AN90" s="31">
        <f>$I$38*$AN$38</f>
        <v>0</v>
      </c>
      <c r="AO90" s="31">
        <f>$I$38*$AO$38</f>
        <v>0</v>
      </c>
      <c r="AP90" s="31">
        <f>$I$38*$AP$38</f>
        <v>0</v>
      </c>
      <c r="AQ90" s="31">
        <f>$I$38*$AQ$38</f>
        <v>0</v>
      </c>
      <c r="AR90" s="31">
        <f>$I$38*$AR$38</f>
        <v>0</v>
      </c>
      <c r="AS90" s="31">
        <f>$I$38*$AS$38</f>
        <v>0</v>
      </c>
      <c r="AT90" s="31">
        <f>$I$38*$AT$38</f>
        <v>0</v>
      </c>
      <c r="AU90" s="31">
        <f>$I$38*$AU$38</f>
        <v>0</v>
      </c>
      <c r="AV90" s="31">
        <f>$I$38*$AV$38</f>
        <v>0</v>
      </c>
      <c r="AW90" s="31">
        <f>$I$38*$AW$38</f>
        <v>0</v>
      </c>
      <c r="AX90" s="31">
        <f>$I$38*$AX$38</f>
        <v>0</v>
      </c>
      <c r="AY90" s="31">
        <f>$I$38*$AY$38</f>
        <v>0</v>
      </c>
      <c r="AZ90" s="31">
        <f>$I$38*$AZ$38</f>
        <v>0</v>
      </c>
      <c r="BA90" s="31">
        <f>$I$38*$BA$38</f>
        <v>0</v>
      </c>
      <c r="BB90" s="31">
        <f>$I$38*$BB$38</f>
        <v>0</v>
      </c>
      <c r="BC90" s="31">
        <f>$I$38*$BC$38</f>
        <v>0</v>
      </c>
      <c r="BD90" s="31">
        <f>$I$38*$BD$38</f>
        <v>0</v>
      </c>
    </row>
    <row r="91" spans="1:56" ht="11.25" customHeight="1" x14ac:dyDescent="0.25">
      <c r="A91" s="9" t="s">
        <v>39</v>
      </c>
      <c r="B91" s="9" t="s">
        <v>796</v>
      </c>
      <c r="C91" s="9" t="s">
        <v>797</v>
      </c>
      <c r="D91" s="9" t="s">
        <v>820</v>
      </c>
      <c r="E91" s="9" t="s">
        <v>821</v>
      </c>
      <c r="F91" s="9" t="s">
        <v>822</v>
      </c>
      <c r="G91" s="9" t="s">
        <v>824</v>
      </c>
      <c r="L91" s="31">
        <f>$I$39*$L$39</f>
        <v>0</v>
      </c>
      <c r="M91" s="31">
        <f>$I$39*$M$39</f>
        <v>0</v>
      </c>
      <c r="N91" s="31">
        <f ca="1">$I$39*$N$39</f>
        <v>0</v>
      </c>
      <c r="O91" s="31">
        <f>$I$39*$O$39</f>
        <v>0</v>
      </c>
      <c r="P91" s="31">
        <f>$I$39*$P$39</f>
        <v>0</v>
      </c>
      <c r="Q91" s="31">
        <f>$I$39*$Q$39</f>
        <v>0</v>
      </c>
      <c r="R91" s="31">
        <f>$I$39*$R$39</f>
        <v>0</v>
      </c>
      <c r="S91" s="31">
        <f>$I$39*$S$39</f>
        <v>0</v>
      </c>
      <c r="T91" s="31">
        <f>$I$39*$T$39</f>
        <v>0</v>
      </c>
      <c r="U91" s="31">
        <f>$I$39*$U$39</f>
        <v>0</v>
      </c>
      <c r="V91" s="31">
        <f>$I$39*$V$39</f>
        <v>0</v>
      </c>
      <c r="W91" s="31">
        <f>$I$39*$W$39</f>
        <v>0</v>
      </c>
      <c r="X91" s="31">
        <f>$I$39*$X$39</f>
        <v>0</v>
      </c>
      <c r="Y91" s="31">
        <f>$I$39*$Y$39</f>
        <v>0</v>
      </c>
      <c r="Z91" s="31">
        <f>$I$39*$Z$39</f>
        <v>0</v>
      </c>
      <c r="AA91" s="31">
        <f>$I$39*$AA$39</f>
        <v>0</v>
      </c>
      <c r="AB91" s="31">
        <f ca="1">$I$39*$AB$39</f>
        <v>0</v>
      </c>
      <c r="AC91" s="31">
        <f ca="1">$I$39*$AC$39</f>
        <v>0</v>
      </c>
      <c r="AD91" s="31">
        <f>$I$39*$AD$39</f>
        <v>0</v>
      </c>
      <c r="AE91" s="31">
        <f>$I$39*$AE$39</f>
        <v>0</v>
      </c>
      <c r="AF91" s="31">
        <f ca="1">$I$39*$AF$39</f>
        <v>0</v>
      </c>
      <c r="AG91" s="31">
        <f ca="1">$I$39*$AG$39</f>
        <v>0</v>
      </c>
      <c r="AI91" s="31">
        <f>$I$39*$AI$39</f>
        <v>0</v>
      </c>
      <c r="AJ91" s="31">
        <f>$I$39*$AJ$39</f>
        <v>0</v>
      </c>
      <c r="AK91" s="31">
        <f>$I$39*$AK$39</f>
        <v>0</v>
      </c>
      <c r="AL91" s="31">
        <f>$I$39*$AL$39</f>
        <v>0</v>
      </c>
      <c r="AM91" s="31">
        <f>$I$39*$AM$39</f>
        <v>0</v>
      </c>
      <c r="AN91" s="31">
        <f>$I$39*$AN$39</f>
        <v>0</v>
      </c>
      <c r="AO91" s="31">
        <f>$I$39*$AO$39</f>
        <v>0</v>
      </c>
      <c r="AP91" s="31">
        <f>$I$39*$AP$39</f>
        <v>0</v>
      </c>
      <c r="AQ91" s="31">
        <f>$I$39*$AQ$39</f>
        <v>0</v>
      </c>
      <c r="AR91" s="31">
        <f>$I$39*$AR$39</f>
        <v>0</v>
      </c>
      <c r="AS91" s="31">
        <f>$I$39*$AS$39</f>
        <v>0</v>
      </c>
      <c r="AT91" s="31">
        <f>$I$39*$AT$39</f>
        <v>0</v>
      </c>
      <c r="AU91" s="31">
        <f>$I$39*$AU$39</f>
        <v>0</v>
      </c>
      <c r="AV91" s="31">
        <f>$I$39*$AV$39</f>
        <v>0</v>
      </c>
      <c r="AW91" s="31">
        <f>$I$39*$AW$39</f>
        <v>0</v>
      </c>
      <c r="AX91" s="31">
        <f>$I$39*$AX$39</f>
        <v>0</v>
      </c>
      <c r="AY91" s="31">
        <f>$I$39*$AY$39</f>
        <v>0</v>
      </c>
      <c r="AZ91" s="31">
        <f>$I$39*$AZ$39</f>
        <v>0</v>
      </c>
      <c r="BA91" s="31">
        <f>$I$39*$BA$39</f>
        <v>0</v>
      </c>
      <c r="BB91" s="31">
        <f>$I$39*$BB$39</f>
        <v>0</v>
      </c>
      <c r="BC91" s="31">
        <f>$I$39*$BC$39</f>
        <v>0</v>
      </c>
      <c r="BD91" s="31">
        <f>$I$39*$BD$39</f>
        <v>0</v>
      </c>
    </row>
    <row r="92" spans="1:56" ht="11.25" customHeight="1" x14ac:dyDescent="0.25">
      <c r="A92" s="9" t="s">
        <v>39</v>
      </c>
      <c r="B92" s="9" t="s">
        <v>796</v>
      </c>
      <c r="C92" s="9" t="s">
        <v>797</v>
      </c>
      <c r="D92" s="9" t="s">
        <v>820</v>
      </c>
      <c r="E92" s="9" t="s">
        <v>821</v>
      </c>
      <c r="F92" s="9" t="s">
        <v>822</v>
      </c>
      <c r="G92" s="9" t="s">
        <v>825</v>
      </c>
      <c r="L92" s="31">
        <f>$I$40*$L$40</f>
        <v>0</v>
      </c>
      <c r="M92" s="31">
        <f>$I$40*$M$40</f>
        <v>0</v>
      </c>
      <c r="N92" s="31">
        <f ca="1">$I$40*$N$40</f>
        <v>0</v>
      </c>
      <c r="O92" s="31">
        <f>$I$40*$O$40</f>
        <v>0</v>
      </c>
      <c r="P92" s="31">
        <f>$I$40*$P$40</f>
        <v>0</v>
      </c>
      <c r="Q92" s="31">
        <f>$I$40*$Q$40</f>
        <v>0</v>
      </c>
      <c r="R92" s="31">
        <f>$I$40*$R$40</f>
        <v>0</v>
      </c>
      <c r="S92" s="31">
        <f>$I$40*$S$40</f>
        <v>0</v>
      </c>
      <c r="T92" s="31">
        <f>$I$40*$T$40</f>
        <v>0</v>
      </c>
      <c r="U92" s="31">
        <f>$I$40*$U$40</f>
        <v>0</v>
      </c>
      <c r="V92" s="31">
        <f>$I$40*$V$40</f>
        <v>0</v>
      </c>
      <c r="W92" s="31">
        <f>$I$40*$W$40</f>
        <v>0</v>
      </c>
      <c r="X92" s="31">
        <f>$I$40*$X$40</f>
        <v>0</v>
      </c>
      <c r="Y92" s="31">
        <f>$I$40*$Y$40</f>
        <v>0</v>
      </c>
      <c r="Z92" s="31">
        <f>$I$40*$Z$40</f>
        <v>0</v>
      </c>
      <c r="AA92" s="31">
        <f>$I$40*$AA$40</f>
        <v>0</v>
      </c>
      <c r="AB92" s="31">
        <f ca="1">$I$40*$AB$40</f>
        <v>0</v>
      </c>
      <c r="AC92" s="31">
        <f ca="1">$I$40*$AC$40</f>
        <v>0</v>
      </c>
      <c r="AD92" s="31">
        <f>$I$40*$AD$40</f>
        <v>0</v>
      </c>
      <c r="AE92" s="31">
        <f>$I$40*$AE$40</f>
        <v>0</v>
      </c>
      <c r="AF92" s="31">
        <f ca="1">$I$40*$AF$40</f>
        <v>0</v>
      </c>
      <c r="AG92" s="31">
        <f ca="1">$I$40*$AG$40</f>
        <v>0</v>
      </c>
      <c r="AI92" s="31">
        <f>$I$40*$AI$40</f>
        <v>0</v>
      </c>
      <c r="AJ92" s="31">
        <f>$I$40*$AJ$40</f>
        <v>0</v>
      </c>
      <c r="AK92" s="31">
        <f>$I$40*$AK$40</f>
        <v>0</v>
      </c>
      <c r="AL92" s="31">
        <f>$I$40*$AL$40</f>
        <v>0</v>
      </c>
      <c r="AM92" s="31">
        <f>$I$40*$AM$40</f>
        <v>0</v>
      </c>
      <c r="AN92" s="31">
        <f>$I$40*$AN$40</f>
        <v>0</v>
      </c>
      <c r="AO92" s="31">
        <f>$I$40*$AO$40</f>
        <v>0</v>
      </c>
      <c r="AP92" s="31">
        <f>$I$40*$AP$40</f>
        <v>0</v>
      </c>
      <c r="AQ92" s="31">
        <f>$I$40*$AQ$40</f>
        <v>0</v>
      </c>
      <c r="AR92" s="31">
        <f>$I$40*$AR$40</f>
        <v>0</v>
      </c>
      <c r="AS92" s="31">
        <f>$I$40*$AS$40</f>
        <v>0</v>
      </c>
      <c r="AT92" s="31">
        <f>$I$40*$AT$40</f>
        <v>0</v>
      </c>
      <c r="AU92" s="31">
        <f>$I$40*$AU$40</f>
        <v>0</v>
      </c>
      <c r="AV92" s="31">
        <f>$I$40*$AV$40</f>
        <v>0</v>
      </c>
      <c r="AW92" s="31">
        <f>$I$40*$AW$40</f>
        <v>0</v>
      </c>
      <c r="AX92" s="31">
        <f>$I$40*$AX$40</f>
        <v>0</v>
      </c>
      <c r="AY92" s="31">
        <f>$I$40*$AY$40</f>
        <v>0</v>
      </c>
      <c r="AZ92" s="31">
        <f>$I$40*$AZ$40</f>
        <v>0</v>
      </c>
      <c r="BA92" s="31">
        <f>$I$40*$BA$40</f>
        <v>0</v>
      </c>
      <c r="BB92" s="31">
        <f>$I$40*$BB$40</f>
        <v>0</v>
      </c>
      <c r="BC92" s="31">
        <f>$I$40*$BC$40</f>
        <v>0</v>
      </c>
      <c r="BD92" s="31">
        <f>$I$40*$BD$40</f>
        <v>0</v>
      </c>
    </row>
    <row r="93" spans="1:56" ht="11.25" customHeight="1" x14ac:dyDescent="0.25">
      <c r="A93" s="9" t="s">
        <v>39</v>
      </c>
      <c r="B93" s="9" t="s">
        <v>804</v>
      </c>
      <c r="C93" s="9" t="s">
        <v>805</v>
      </c>
      <c r="D93" s="9" t="s">
        <v>826</v>
      </c>
      <c r="E93" s="9" t="s">
        <v>827</v>
      </c>
      <c r="F93" s="9" t="s">
        <v>828</v>
      </c>
      <c r="G93" s="9" t="s">
        <v>829</v>
      </c>
      <c r="L93" s="31">
        <f>$I$41*$L$41</f>
        <v>0</v>
      </c>
      <c r="M93" s="31">
        <f>$I$41*$M$41</f>
        <v>0</v>
      </c>
      <c r="N93" s="31">
        <f ca="1">$I$41*$N$41</f>
        <v>0</v>
      </c>
      <c r="O93" s="31">
        <f>$I$41*$O$41</f>
        <v>0</v>
      </c>
      <c r="P93" s="31">
        <f>$I$41*$P$41</f>
        <v>0</v>
      </c>
      <c r="Q93" s="31">
        <f>$I$41*$Q$41</f>
        <v>0</v>
      </c>
      <c r="R93" s="31">
        <f>$I$41*$R$41</f>
        <v>0</v>
      </c>
      <c r="S93" s="31">
        <f>$I$41*$S$41</f>
        <v>0</v>
      </c>
      <c r="T93" s="31">
        <f>$I$41*$T$41</f>
        <v>0</v>
      </c>
      <c r="U93" s="31">
        <f>$I$41*$U$41</f>
        <v>0</v>
      </c>
      <c r="V93" s="31">
        <f>$I$41*$V$41</f>
        <v>0</v>
      </c>
      <c r="W93" s="31">
        <f>$I$41*$W$41</f>
        <v>0</v>
      </c>
      <c r="X93" s="31">
        <f>$I$41*$X$41</f>
        <v>0</v>
      </c>
      <c r="Y93" s="31">
        <f>$I$41*$Y$41</f>
        <v>0</v>
      </c>
      <c r="Z93" s="31">
        <f>$I$41*$Z$41</f>
        <v>0</v>
      </c>
      <c r="AA93" s="31">
        <f>$I$41*$AA$41</f>
        <v>0</v>
      </c>
      <c r="AB93" s="31">
        <f ca="1">$I$41*$AB$41</f>
        <v>0</v>
      </c>
      <c r="AC93" s="31">
        <f ca="1">$I$41*$AC$41</f>
        <v>0</v>
      </c>
      <c r="AD93" s="31">
        <f>$I$41*$AD$41</f>
        <v>0</v>
      </c>
      <c r="AE93" s="31">
        <f>$I$41*$AE$41</f>
        <v>0</v>
      </c>
      <c r="AF93" s="31">
        <f ca="1">$I$41*$AF$41</f>
        <v>0</v>
      </c>
      <c r="AG93" s="31">
        <f ca="1">$I$41*$AG$41</f>
        <v>0</v>
      </c>
      <c r="AI93" s="31">
        <f>$I$41*$AI$41</f>
        <v>0</v>
      </c>
      <c r="AJ93" s="31">
        <f>$I$41*$AJ$41</f>
        <v>0</v>
      </c>
      <c r="AK93" s="31">
        <f>$I$41*$AK$41</f>
        <v>0</v>
      </c>
      <c r="AL93" s="31">
        <f>$I$41*$AL$41</f>
        <v>0</v>
      </c>
      <c r="AM93" s="31">
        <f>$I$41*$AM$41</f>
        <v>0</v>
      </c>
      <c r="AN93" s="31">
        <f>$I$41*$AN$41</f>
        <v>0</v>
      </c>
      <c r="AO93" s="31">
        <f>$I$41*$AO$41</f>
        <v>0</v>
      </c>
      <c r="AP93" s="31">
        <f>$I$41*$AP$41</f>
        <v>0</v>
      </c>
      <c r="AQ93" s="31">
        <f>$I$41*$AQ$41</f>
        <v>0</v>
      </c>
      <c r="AR93" s="31">
        <f>$I$41*$AR$41</f>
        <v>0</v>
      </c>
      <c r="AS93" s="31">
        <f>$I$41*$AS$41</f>
        <v>0</v>
      </c>
      <c r="AT93" s="31">
        <f>$I$41*$AT$41</f>
        <v>0</v>
      </c>
      <c r="AU93" s="31">
        <f>$I$41*$AU$41</f>
        <v>0</v>
      </c>
      <c r="AV93" s="31">
        <f>$I$41*$AV$41</f>
        <v>0</v>
      </c>
      <c r="AW93" s="31">
        <f>$I$41*$AW$41</f>
        <v>0</v>
      </c>
      <c r="AX93" s="31">
        <f>$I$41*$AX$41</f>
        <v>0</v>
      </c>
      <c r="AY93" s="31">
        <f>$I$41*$AY$41</f>
        <v>0</v>
      </c>
      <c r="AZ93" s="31">
        <f>$I$41*$AZ$41</f>
        <v>0</v>
      </c>
      <c r="BA93" s="31">
        <f>$I$41*$BA$41</f>
        <v>0</v>
      </c>
      <c r="BB93" s="31">
        <f>$I$41*$BB$41</f>
        <v>0</v>
      </c>
      <c r="BC93" s="31">
        <f>$I$41*$BC$41</f>
        <v>0</v>
      </c>
      <c r="BD93" s="31">
        <f>$I$41*$BD$41</f>
        <v>0</v>
      </c>
    </row>
    <row r="94" spans="1:56" ht="11.25" customHeight="1" x14ac:dyDescent="0.25">
      <c r="A94" s="9" t="s">
        <v>39</v>
      </c>
      <c r="B94" s="9" t="s">
        <v>830</v>
      </c>
      <c r="C94" s="9" t="s">
        <v>831</v>
      </c>
      <c r="D94" s="9" t="s">
        <v>832</v>
      </c>
      <c r="E94" s="9" t="s">
        <v>833</v>
      </c>
      <c r="F94" s="9" t="s">
        <v>834</v>
      </c>
      <c r="G94" s="9" t="s">
        <v>835</v>
      </c>
      <c r="L94" s="31">
        <f>$I$42*$L$42</f>
        <v>0</v>
      </c>
      <c r="M94" s="31">
        <f>$I$42*$M$42</f>
        <v>0</v>
      </c>
      <c r="N94" s="31">
        <f ca="1">$I$42*$N$42</f>
        <v>0</v>
      </c>
      <c r="O94" s="31">
        <f>$I$42*$O$42</f>
        <v>0</v>
      </c>
      <c r="P94" s="31">
        <f>$I$42*$P$42</f>
        <v>0</v>
      </c>
      <c r="Q94" s="31">
        <f>$I$42*$Q$42</f>
        <v>0</v>
      </c>
      <c r="R94" s="31">
        <f>$I$42*$R$42</f>
        <v>0</v>
      </c>
      <c r="S94" s="31">
        <f>$I$42*$S$42</f>
        <v>0</v>
      </c>
      <c r="T94" s="31">
        <f>$I$42*$T$42</f>
        <v>0</v>
      </c>
      <c r="U94" s="31">
        <f>$I$42*$U$42</f>
        <v>0</v>
      </c>
      <c r="V94" s="31">
        <f>$I$42*$V$42</f>
        <v>0</v>
      </c>
      <c r="W94" s="31">
        <f>$I$42*$W$42</f>
        <v>0</v>
      </c>
      <c r="X94" s="31">
        <f>$I$42*$X$42</f>
        <v>0</v>
      </c>
      <c r="Y94" s="31">
        <f>$I$42*$Y$42</f>
        <v>0</v>
      </c>
      <c r="Z94" s="31">
        <f>$I$42*$Z$42</f>
        <v>0</v>
      </c>
      <c r="AA94" s="31">
        <f>$I$42*$AA$42</f>
        <v>0</v>
      </c>
      <c r="AB94" s="31">
        <f ca="1">$I$42*$AB$42</f>
        <v>0</v>
      </c>
      <c r="AC94" s="31">
        <f ca="1">$I$42*$AC$42</f>
        <v>0</v>
      </c>
      <c r="AD94" s="31">
        <f>$I$42*$AD$42</f>
        <v>0</v>
      </c>
      <c r="AE94" s="31">
        <f>$I$42*$AE$42</f>
        <v>0</v>
      </c>
      <c r="AF94" s="31">
        <f ca="1">$I$42*$AF$42</f>
        <v>0</v>
      </c>
      <c r="AG94" s="31">
        <f ca="1">$I$42*$AG$42</f>
        <v>0</v>
      </c>
      <c r="AI94" s="31">
        <f>$I$42*$AI$42</f>
        <v>0</v>
      </c>
      <c r="AJ94" s="31">
        <f>$I$42*$AJ$42</f>
        <v>0</v>
      </c>
      <c r="AK94" s="31">
        <f>$I$42*$AK$42</f>
        <v>0</v>
      </c>
      <c r="AL94" s="31">
        <f>$I$42*$AL$42</f>
        <v>0</v>
      </c>
      <c r="AM94" s="31">
        <f>$I$42*$AM$42</f>
        <v>0</v>
      </c>
      <c r="AN94" s="31">
        <f>$I$42*$AN$42</f>
        <v>0</v>
      </c>
      <c r="AO94" s="31">
        <f>$I$42*$AO$42</f>
        <v>0</v>
      </c>
      <c r="AP94" s="31">
        <f>$I$42*$AP$42</f>
        <v>0</v>
      </c>
      <c r="AQ94" s="31">
        <f>$I$42*$AQ$42</f>
        <v>0</v>
      </c>
      <c r="AR94" s="31">
        <f>$I$42*$AR$42</f>
        <v>0</v>
      </c>
      <c r="AS94" s="31">
        <f>$I$42*$AS$42</f>
        <v>0</v>
      </c>
      <c r="AT94" s="31">
        <f>$I$42*$AT$42</f>
        <v>0</v>
      </c>
      <c r="AU94" s="31">
        <f>$I$42*$AU$42</f>
        <v>0</v>
      </c>
      <c r="AV94" s="31">
        <f>$I$42*$AV$42</f>
        <v>0</v>
      </c>
      <c r="AW94" s="31">
        <f>$I$42*$AW$42</f>
        <v>0</v>
      </c>
      <c r="AX94" s="31">
        <f>$I$42*$AX$42</f>
        <v>0</v>
      </c>
      <c r="AY94" s="31">
        <f>$I$42*$AY$42</f>
        <v>0</v>
      </c>
      <c r="AZ94" s="31">
        <f>$I$42*$AZ$42</f>
        <v>0</v>
      </c>
      <c r="BA94" s="31">
        <f>$I$42*$BA$42</f>
        <v>0</v>
      </c>
      <c r="BB94" s="31">
        <f>$I$42*$BB$42</f>
        <v>0</v>
      </c>
      <c r="BC94" s="31">
        <f>$I$42*$BC$42</f>
        <v>0</v>
      </c>
      <c r="BD94" s="31">
        <f>$I$42*$BD$42</f>
        <v>0</v>
      </c>
    </row>
    <row r="95" spans="1:56" ht="11.25" customHeight="1" x14ac:dyDescent="0.25">
      <c r="A95" s="9" t="s">
        <v>39</v>
      </c>
      <c r="B95" s="9" t="s">
        <v>830</v>
      </c>
      <c r="C95" s="9" t="s">
        <v>831</v>
      </c>
      <c r="D95" s="9" t="s">
        <v>836</v>
      </c>
      <c r="E95" s="9" t="s">
        <v>837</v>
      </c>
      <c r="F95" s="9" t="s">
        <v>838</v>
      </c>
      <c r="G95" s="9" t="s">
        <v>839</v>
      </c>
      <c r="L95" s="31">
        <f>$I$43*$L$43</f>
        <v>0</v>
      </c>
      <c r="M95" s="31">
        <f>$I$43*$M$43</f>
        <v>0</v>
      </c>
      <c r="N95" s="31">
        <f ca="1">$I$43*$N$43</f>
        <v>0</v>
      </c>
      <c r="O95" s="31">
        <f>$I$43*$O$43</f>
        <v>0</v>
      </c>
      <c r="P95" s="31">
        <f>$I$43*$P$43</f>
        <v>0</v>
      </c>
      <c r="Q95" s="31">
        <f>$I$43*$Q$43</f>
        <v>0</v>
      </c>
      <c r="R95" s="31">
        <f>$I$43*$R$43</f>
        <v>0</v>
      </c>
      <c r="S95" s="31">
        <f>$I$43*$S$43</f>
        <v>0</v>
      </c>
      <c r="T95" s="31">
        <f>$I$43*$T$43</f>
        <v>0</v>
      </c>
      <c r="U95" s="31">
        <f>$I$43*$U$43</f>
        <v>0</v>
      </c>
      <c r="V95" s="31">
        <f>$I$43*$V$43</f>
        <v>0</v>
      </c>
      <c r="W95" s="31">
        <f>$I$43*$W$43</f>
        <v>0</v>
      </c>
      <c r="X95" s="31">
        <f>$I$43*$X$43</f>
        <v>0</v>
      </c>
      <c r="Y95" s="31">
        <f>$I$43*$Y$43</f>
        <v>0</v>
      </c>
      <c r="Z95" s="31">
        <f>$I$43*$Z$43</f>
        <v>0</v>
      </c>
      <c r="AA95" s="31">
        <f>$I$43*$AA$43</f>
        <v>0</v>
      </c>
      <c r="AB95" s="31">
        <f ca="1">$I$43*$AB$43</f>
        <v>0</v>
      </c>
      <c r="AC95" s="31">
        <f ca="1">$I$43*$AC$43</f>
        <v>0</v>
      </c>
      <c r="AD95" s="31">
        <f>$I$43*$AD$43</f>
        <v>0</v>
      </c>
      <c r="AE95" s="31">
        <f>$I$43*$AE$43</f>
        <v>0</v>
      </c>
      <c r="AF95" s="31">
        <f ca="1">$I$43*$AF$43</f>
        <v>0</v>
      </c>
      <c r="AG95" s="31">
        <f ca="1">$I$43*$AG$43</f>
        <v>0</v>
      </c>
      <c r="AI95" s="31">
        <f>$I$43*$AI$43</f>
        <v>0</v>
      </c>
      <c r="AJ95" s="31">
        <f>$I$43*$AJ$43</f>
        <v>0</v>
      </c>
      <c r="AK95" s="31">
        <f>$I$43*$AK$43</f>
        <v>0</v>
      </c>
      <c r="AL95" s="31">
        <f>$I$43*$AL$43</f>
        <v>0</v>
      </c>
      <c r="AM95" s="31">
        <f>$I$43*$AM$43</f>
        <v>0</v>
      </c>
      <c r="AN95" s="31">
        <f>$I$43*$AN$43</f>
        <v>0</v>
      </c>
      <c r="AO95" s="31">
        <f>$I$43*$AO$43</f>
        <v>0</v>
      </c>
      <c r="AP95" s="31">
        <f>$I$43*$AP$43</f>
        <v>0</v>
      </c>
      <c r="AQ95" s="31">
        <f>$I$43*$AQ$43</f>
        <v>0</v>
      </c>
      <c r="AR95" s="31">
        <f>$I$43*$AR$43</f>
        <v>0</v>
      </c>
      <c r="AS95" s="31">
        <f>$I$43*$AS$43</f>
        <v>0</v>
      </c>
      <c r="AT95" s="31">
        <f>$I$43*$AT$43</f>
        <v>0</v>
      </c>
      <c r="AU95" s="31">
        <f>$I$43*$AU$43</f>
        <v>0</v>
      </c>
      <c r="AV95" s="31">
        <f>$I$43*$AV$43</f>
        <v>0</v>
      </c>
      <c r="AW95" s="31">
        <f>$I$43*$AW$43</f>
        <v>0</v>
      </c>
      <c r="AX95" s="31">
        <f>$I$43*$AX$43</f>
        <v>0</v>
      </c>
      <c r="AY95" s="31">
        <f>$I$43*$AY$43</f>
        <v>0</v>
      </c>
      <c r="AZ95" s="31">
        <f>$I$43*$AZ$43</f>
        <v>0</v>
      </c>
      <c r="BA95" s="31">
        <f>$I$43*$BA$43</f>
        <v>0</v>
      </c>
      <c r="BB95" s="31">
        <f>$I$43*$BB$43</f>
        <v>0</v>
      </c>
      <c r="BC95" s="31">
        <f>$I$43*$BC$43</f>
        <v>0</v>
      </c>
      <c r="BD95" s="31">
        <f>$I$43*$BD$43</f>
        <v>0</v>
      </c>
    </row>
    <row r="96" spans="1:56" ht="11.25" customHeight="1" x14ac:dyDescent="0.25">
      <c r="A96" s="9" t="s">
        <v>39</v>
      </c>
      <c r="B96" s="9" t="s">
        <v>830</v>
      </c>
      <c r="C96" s="9" t="s">
        <v>831</v>
      </c>
      <c r="D96" s="9" t="s">
        <v>840</v>
      </c>
      <c r="E96" s="9" t="s">
        <v>841</v>
      </c>
      <c r="F96" s="9" t="s">
        <v>842</v>
      </c>
      <c r="G96" s="9" t="s">
        <v>843</v>
      </c>
      <c r="L96" s="31">
        <f>$I$44*$L$44</f>
        <v>0</v>
      </c>
      <c r="M96" s="31">
        <f>$I$44*$M$44</f>
        <v>0</v>
      </c>
      <c r="N96" s="31">
        <f ca="1">$I$44*$N$44</f>
        <v>0</v>
      </c>
      <c r="O96" s="31">
        <f>$I$44*$O$44</f>
        <v>0</v>
      </c>
      <c r="P96" s="31">
        <f>$I$44*$P$44</f>
        <v>0</v>
      </c>
      <c r="Q96" s="31">
        <f>$I$44*$Q$44</f>
        <v>0</v>
      </c>
      <c r="R96" s="31">
        <f>$I$44*$R$44</f>
        <v>0</v>
      </c>
      <c r="S96" s="31">
        <f>$I$44*$S$44</f>
        <v>0</v>
      </c>
      <c r="T96" s="31">
        <f>$I$44*$T$44</f>
        <v>0</v>
      </c>
      <c r="U96" s="31">
        <f>$I$44*$U$44</f>
        <v>0</v>
      </c>
      <c r="V96" s="31">
        <f>$I$44*$V$44</f>
        <v>0</v>
      </c>
      <c r="W96" s="31">
        <f>$I$44*$W$44</f>
        <v>0</v>
      </c>
      <c r="X96" s="31">
        <f>$I$44*$X$44</f>
        <v>0</v>
      </c>
      <c r="Y96" s="31">
        <f>$I$44*$Y$44</f>
        <v>0</v>
      </c>
      <c r="Z96" s="31">
        <f>$I$44*$Z$44</f>
        <v>0</v>
      </c>
      <c r="AA96" s="31">
        <f>$I$44*$AA$44</f>
        <v>0</v>
      </c>
      <c r="AB96" s="31">
        <f ca="1">$I$44*$AB$44</f>
        <v>0</v>
      </c>
      <c r="AC96" s="31">
        <f ca="1">$I$44*$AC$44</f>
        <v>0</v>
      </c>
      <c r="AD96" s="31">
        <f>$I$44*$AD$44</f>
        <v>0</v>
      </c>
      <c r="AE96" s="31">
        <f>$I$44*$AE$44</f>
        <v>0</v>
      </c>
      <c r="AF96" s="31">
        <f ca="1">$I$44*$AF$44</f>
        <v>0</v>
      </c>
      <c r="AG96" s="31">
        <f ca="1">$I$44*$AG$44</f>
        <v>0</v>
      </c>
      <c r="AI96" s="31">
        <f>$I$44*$AI$44</f>
        <v>0</v>
      </c>
      <c r="AJ96" s="31">
        <f>$I$44*$AJ$44</f>
        <v>0</v>
      </c>
      <c r="AK96" s="31">
        <f>$I$44*$AK$44</f>
        <v>0</v>
      </c>
      <c r="AL96" s="31">
        <f>$I$44*$AL$44</f>
        <v>0</v>
      </c>
      <c r="AM96" s="31">
        <f>$I$44*$AM$44</f>
        <v>0</v>
      </c>
      <c r="AN96" s="31">
        <f>$I$44*$AN$44</f>
        <v>0</v>
      </c>
      <c r="AO96" s="31">
        <f>$I$44*$AO$44</f>
        <v>0</v>
      </c>
      <c r="AP96" s="31">
        <f>$I$44*$AP$44</f>
        <v>0</v>
      </c>
      <c r="AQ96" s="31">
        <f>$I$44*$AQ$44</f>
        <v>0</v>
      </c>
      <c r="AR96" s="31">
        <f>$I$44*$AR$44</f>
        <v>0</v>
      </c>
      <c r="AS96" s="31">
        <f>$I$44*$AS$44</f>
        <v>0</v>
      </c>
      <c r="AT96" s="31">
        <f>$I$44*$AT$44</f>
        <v>0</v>
      </c>
      <c r="AU96" s="31">
        <f>$I$44*$AU$44</f>
        <v>0</v>
      </c>
      <c r="AV96" s="31">
        <f>$I$44*$AV$44</f>
        <v>0</v>
      </c>
      <c r="AW96" s="31">
        <f>$I$44*$AW$44</f>
        <v>0</v>
      </c>
      <c r="AX96" s="31">
        <f>$I$44*$AX$44</f>
        <v>0</v>
      </c>
      <c r="AY96" s="31">
        <f>$I$44*$AY$44</f>
        <v>0</v>
      </c>
      <c r="AZ96" s="31">
        <f>$I$44*$AZ$44</f>
        <v>0</v>
      </c>
      <c r="BA96" s="31">
        <f>$I$44*$BA$44</f>
        <v>0</v>
      </c>
      <c r="BB96" s="31">
        <f>$I$44*$BB$44</f>
        <v>0</v>
      </c>
      <c r="BC96" s="31">
        <f>$I$44*$BC$44</f>
        <v>0</v>
      </c>
      <c r="BD96" s="31">
        <f>$I$44*$BD$44</f>
        <v>0</v>
      </c>
    </row>
    <row r="97" spans="1:56" ht="11.25" customHeight="1" x14ac:dyDescent="0.25">
      <c r="A97" s="9" t="s">
        <v>32</v>
      </c>
      <c r="B97" s="9" t="s">
        <v>844</v>
      </c>
      <c r="C97" s="9" t="s">
        <v>845</v>
      </c>
      <c r="D97" s="9" t="s">
        <v>846</v>
      </c>
      <c r="E97" s="9" t="s">
        <v>847</v>
      </c>
      <c r="F97" s="9" t="s">
        <v>848</v>
      </c>
      <c r="G97" s="9" t="s">
        <v>849</v>
      </c>
      <c r="L97" s="31">
        <f>$I$45*$L$45</f>
        <v>0.60000403712829142</v>
      </c>
      <c r="M97" s="31">
        <f>$I$45*$M$45</f>
        <v>0.1605781841085305</v>
      </c>
      <c r="N97" s="31">
        <f ca="1">$I$45*$N$45</f>
        <v>2.7955464680618425</v>
      </c>
      <c r="O97" s="31">
        <f>$I$45*$O$45</f>
        <v>0</v>
      </c>
      <c r="P97" s="31">
        <f>$I$45*$P$45</f>
        <v>0</v>
      </c>
      <c r="Q97" s="31">
        <f>$I$45*$Q$45</f>
        <v>23.670623518841008</v>
      </c>
      <c r="R97" s="31">
        <f>$I$45*$R$45</f>
        <v>3.9540068201633716</v>
      </c>
      <c r="S97" s="31">
        <f>$I$45*$S$45</f>
        <v>0</v>
      </c>
      <c r="T97" s="31">
        <f>$I$45*$T$45</f>
        <v>0</v>
      </c>
      <c r="U97" s="31">
        <f>$I$45*$U$45</f>
        <v>0</v>
      </c>
      <c r="V97" s="31">
        <f>$I$45*$V$45</f>
        <v>0</v>
      </c>
      <c r="W97" s="31">
        <f>$I$45*$W$45</f>
        <v>0</v>
      </c>
      <c r="X97" s="31">
        <f>$I$45*$X$45</f>
        <v>125.63610843179772</v>
      </c>
      <c r="Y97" s="31">
        <f>$I$45*$Y$45</f>
        <v>0</v>
      </c>
      <c r="Z97" s="31">
        <f>$I$45*$Z$45</f>
        <v>0</v>
      </c>
      <c r="AA97" s="31">
        <f>$I$45*$AA$45</f>
        <v>136.1867554877501</v>
      </c>
      <c r="AB97" s="31">
        <f ca="1">$I$45*$AB$45</f>
        <v>-30.600069904822043</v>
      </c>
      <c r="AC97" s="31">
        <f ca="1">$I$45*$AC$45</f>
        <v>0</v>
      </c>
      <c r="AD97" s="31">
        <f>$I$45*$AD$45</f>
        <v>4.0852327753433437</v>
      </c>
      <c r="AE97" s="31">
        <f>$I$45*$AE$45</f>
        <v>0.13137555057591063</v>
      </c>
      <c r="AF97" s="31">
        <f ca="1">$I$45*$AF$45</f>
        <v>0.43185752938949967</v>
      </c>
      <c r="AG97" s="31">
        <f ca="1">$I$45*$AG$45</f>
        <v>7.688344711309196E-2</v>
      </c>
      <c r="AI97" s="31">
        <f>$I$45*$AI$45</f>
        <v>0.53372948407546317</v>
      </c>
      <c r="AJ97" s="31">
        <f>$I$45*$AJ$45</f>
        <v>0.16864035400750521</v>
      </c>
      <c r="AK97" s="31">
        <f>$I$45*$AK$45</f>
        <v>2.0734731236206994</v>
      </c>
      <c r="AL97" s="31">
        <f>$I$45*$AL$45</f>
        <v>0</v>
      </c>
      <c r="AM97" s="31">
        <f>$I$45*$AM$45</f>
        <v>0</v>
      </c>
      <c r="AN97" s="31">
        <f>$I$45*$AN$45</f>
        <v>14.139022439816221</v>
      </c>
      <c r="AO97" s="31">
        <f>$I$45*$AO$45</f>
        <v>2.2773003237939671</v>
      </c>
      <c r="AP97" s="31">
        <f>$I$45*$AP$45</f>
        <v>0</v>
      </c>
      <c r="AQ97" s="31">
        <f>$I$45*$AQ$45</f>
        <v>0</v>
      </c>
      <c r="AR97" s="31">
        <f>$I$45*$AR$45</f>
        <v>0</v>
      </c>
      <c r="AS97" s="31">
        <f>$I$45*$AS$45</f>
        <v>0</v>
      </c>
      <c r="AT97" s="31">
        <f>$I$45*$AT$45</f>
        <v>0</v>
      </c>
      <c r="AU97" s="31">
        <f>$I$45*$AU$45</f>
        <v>83.66294140989271</v>
      </c>
      <c r="AV97" s="31">
        <f>$I$45*$AV$45</f>
        <v>0</v>
      </c>
      <c r="AW97" s="31">
        <f>$I$45*$AW$45</f>
        <v>0</v>
      </c>
      <c r="AX97" s="31">
        <f>$I$45*$AX$45</f>
        <v>92.317342962151301</v>
      </c>
      <c r="AY97" s="31">
        <f>$I$45*$AY$45</f>
        <v>-10.41583056697905</v>
      </c>
      <c r="AZ97" s="31">
        <f>$I$45*$AZ$45</f>
        <v>0</v>
      </c>
      <c r="BA97" s="31">
        <f>$I$45*$BA$45</f>
        <v>4.0756209570160991</v>
      </c>
      <c r="BB97" s="31">
        <f>$I$45*$BB$45</f>
        <v>0.11636685697934152</v>
      </c>
      <c r="BC97" s="31">
        <f>$I$45*$BC$45</f>
        <v>0.54595563232960298</v>
      </c>
      <c r="BD97" s="31">
        <f>$I$45*$BD$45</f>
        <v>-1.7980033326646883E-2</v>
      </c>
    </row>
    <row r="98" spans="1:56" ht="11.25" customHeight="1" x14ac:dyDescent="0.25">
      <c r="A98" s="9" t="s">
        <v>32</v>
      </c>
      <c r="B98" s="9" t="s">
        <v>844</v>
      </c>
      <c r="C98" s="9" t="s">
        <v>845</v>
      </c>
      <c r="D98" s="9" t="s">
        <v>846</v>
      </c>
      <c r="E98" s="9" t="s">
        <v>847</v>
      </c>
      <c r="F98" s="9" t="s">
        <v>848</v>
      </c>
      <c r="G98" s="9" t="s">
        <v>850</v>
      </c>
      <c r="L98" s="31">
        <f>$I$46*$L$46</f>
        <v>0.66667115236476826</v>
      </c>
      <c r="M98" s="31">
        <f>$I$46*$M$46</f>
        <v>0.17842020456503388</v>
      </c>
      <c r="N98" s="31">
        <f ca="1">$I$46*$N$46</f>
        <v>1.2346829802225519</v>
      </c>
      <c r="O98" s="31">
        <f>$I$46*$O$46</f>
        <v>0</v>
      </c>
      <c r="P98" s="31">
        <f>$I$46*$P$46</f>
        <v>0</v>
      </c>
      <c r="Q98" s="31">
        <f>$I$46*$Q$46</f>
        <v>26.30069279871223</v>
      </c>
      <c r="R98" s="31">
        <f>$I$46*$R$46</f>
        <v>4.3933409112926354</v>
      </c>
      <c r="S98" s="31">
        <f>$I$46*$S$46</f>
        <v>0</v>
      </c>
      <c r="T98" s="31">
        <f>$I$46*$T$46</f>
        <v>0</v>
      </c>
      <c r="U98" s="31">
        <f>$I$46*$U$46</f>
        <v>0</v>
      </c>
      <c r="V98" s="31">
        <f>$I$46*$V$46</f>
        <v>0</v>
      </c>
      <c r="W98" s="31">
        <f>$I$46*$W$46</f>
        <v>0</v>
      </c>
      <c r="X98" s="31">
        <f>$I$46*$X$46</f>
        <v>52.348389180640581</v>
      </c>
      <c r="Y98" s="31">
        <f>$I$46*$Y$46</f>
        <v>0</v>
      </c>
      <c r="Z98" s="31">
        <f>$I$46*$Z$46</f>
        <v>0</v>
      </c>
      <c r="AA98" s="31">
        <f>$I$46*$AA$46</f>
        <v>56.744475327546752</v>
      </c>
      <c r="AB98" s="31">
        <f ca="1">$I$46*$AB$46</f>
        <v>-14.856566150255833</v>
      </c>
      <c r="AC98" s="31">
        <f ca="1">$I$46*$AC$46</f>
        <v>0</v>
      </c>
      <c r="AD98" s="31">
        <f>$I$46*$AD$46</f>
        <v>4.5391475281592708</v>
      </c>
      <c r="AE98" s="31">
        <f>$I$46*$AE$46</f>
        <v>0.14597283397323402</v>
      </c>
      <c r="AF98" s="31">
        <f ca="1">$I$46*$AF$46</f>
        <v>0.47984169932166626</v>
      </c>
      <c r="AG98" s="31">
        <f ca="1">$I$46*$AG$46</f>
        <v>8.5426052347879963E-2</v>
      </c>
      <c r="AI98" s="31">
        <f>$I$46*$AI$46</f>
        <v>0.59303276008384798</v>
      </c>
      <c r="AJ98" s="31">
        <f>$I$46*$AJ$46</f>
        <v>0.18737817111945024</v>
      </c>
      <c r="AK98" s="31">
        <f>$I$46*$AK$46</f>
        <v>1.4325718618644958</v>
      </c>
      <c r="AL98" s="31">
        <f>$I$46*$AL$46</f>
        <v>0</v>
      </c>
      <c r="AM98" s="31">
        <f>$I$46*$AM$46</f>
        <v>0</v>
      </c>
      <c r="AN98" s="31">
        <f>$I$46*$AN$46</f>
        <v>15.710024933129136</v>
      </c>
      <c r="AO98" s="31">
        <f>$I$46*$AO$46</f>
        <v>2.5303336931044078</v>
      </c>
      <c r="AP98" s="31">
        <f>$I$46*$AP$46</f>
        <v>0</v>
      </c>
      <c r="AQ98" s="31">
        <f>$I$46*$AQ$46</f>
        <v>0</v>
      </c>
      <c r="AR98" s="31">
        <f>$I$46*$AR$46</f>
        <v>0</v>
      </c>
      <c r="AS98" s="31">
        <f>$I$46*$AS$46</f>
        <v>0</v>
      </c>
      <c r="AT98" s="31">
        <f>$I$46*$AT$46</f>
        <v>0</v>
      </c>
      <c r="AU98" s="31">
        <f>$I$46*$AU$46</f>
        <v>55.775294273261757</v>
      </c>
      <c r="AV98" s="31">
        <f>$I$46*$AV$46</f>
        <v>0</v>
      </c>
      <c r="AW98" s="31">
        <f>$I$46*$AW$46</f>
        <v>0</v>
      </c>
      <c r="AX98" s="31">
        <f>$I$46*$AX$46</f>
        <v>61.544904777108719</v>
      </c>
      <c r="AY98" s="31">
        <f>$I$46*$AY$46</f>
        <v>-7.4260445237092556</v>
      </c>
      <c r="AZ98" s="31">
        <f>$I$46*$AZ$46</f>
        <v>0</v>
      </c>
      <c r="BA98" s="31">
        <f>$I$46*$BA$46</f>
        <v>4.5284677300178879</v>
      </c>
      <c r="BB98" s="31">
        <f>$I$46*$BB$46</f>
        <v>0.1292965077548239</v>
      </c>
      <c r="BC98" s="31">
        <f>$I$46*$BC$46</f>
        <v>0.60661736925511434</v>
      </c>
      <c r="BD98" s="31">
        <f>$I$46*$BD$46</f>
        <v>-1.9977814807385422E-2</v>
      </c>
    </row>
    <row r="99" spans="1:56" ht="11.25" customHeight="1" x14ac:dyDescent="0.25">
      <c r="A99" s="9" t="s">
        <v>32</v>
      </c>
      <c r="B99" s="9" t="s">
        <v>844</v>
      </c>
      <c r="C99" s="9" t="s">
        <v>845</v>
      </c>
      <c r="D99" s="9" t="s">
        <v>846</v>
      </c>
      <c r="E99" s="9" t="s">
        <v>847</v>
      </c>
      <c r="F99" s="9" t="s">
        <v>848</v>
      </c>
      <c r="G99" s="9" t="s">
        <v>851</v>
      </c>
      <c r="L99" s="31">
        <f>$I$47*$L$47</f>
        <v>10.394514383954011</v>
      </c>
      <c r="M99" s="31">
        <f>$I$47*$M$47</f>
        <v>2.7818683561764868</v>
      </c>
      <c r="N99" s="31">
        <f ca="1">$I$47*$N$47</f>
        <v>7.5789708597112035</v>
      </c>
      <c r="O99" s="31">
        <f>$I$47*$O$47</f>
        <v>0</v>
      </c>
      <c r="P99" s="31">
        <f>$I$47*$P$47</f>
        <v>0</v>
      </c>
      <c r="Q99" s="31">
        <f>$I$47*$Q$47</f>
        <v>410.07163521992152</v>
      </c>
      <c r="R99" s="31">
        <f>$I$47*$R$47</f>
        <v>68.499507041904337</v>
      </c>
      <c r="S99" s="31">
        <f>$I$47*$S$47</f>
        <v>0</v>
      </c>
      <c r="T99" s="31">
        <f>$I$47*$T$47</f>
        <v>0</v>
      </c>
      <c r="U99" s="31">
        <f>$I$47*$U$47</f>
        <v>0</v>
      </c>
      <c r="V99" s="31">
        <f>$I$47*$V$47</f>
        <v>0</v>
      </c>
      <c r="W99" s="31">
        <f>$I$47*$W$47</f>
        <v>0</v>
      </c>
      <c r="X99" s="31">
        <f>$I$47*$X$47</f>
        <v>272.0662115471626</v>
      </c>
      <c r="Y99" s="31">
        <f>$I$47*$Y$47</f>
        <v>0</v>
      </c>
      <c r="Z99" s="31">
        <f>$I$47*$Z$47</f>
        <v>0</v>
      </c>
      <c r="AA99" s="31">
        <f>$I$47*$AA$47</f>
        <v>294.91377550679852</v>
      </c>
      <c r="AB99" s="31">
        <f ca="1">$I$47*$AB$47</f>
        <v>-112.2469338137662</v>
      </c>
      <c r="AC99" s="31">
        <f ca="1">$I$47*$AC$47</f>
        <v>0</v>
      </c>
      <c r="AD99" s="31">
        <f>$I$47*$AD$47</f>
        <v>70.77287520988331</v>
      </c>
      <c r="AE99" s="31">
        <f>$I$47*$AE$47</f>
        <v>2.2759597696993406</v>
      </c>
      <c r="AF99" s="31">
        <f ca="1">$I$47*$AF$47</f>
        <v>7.4815318285903132</v>
      </c>
      <c r="AG99" s="31">
        <f ca="1">$I$47*$AG$47</f>
        <v>1.3319345328573617</v>
      </c>
      <c r="AI99" s="31">
        <f>$I$47*$AI$47</f>
        <v>9.246369117640663</v>
      </c>
      <c r="AJ99" s="31">
        <f>$I$47*$AJ$47</f>
        <v>2.921537984704095</v>
      </c>
      <c r="AK99" s="31">
        <f>$I$47*$AK$47</f>
        <v>8.7513583677811226</v>
      </c>
      <c r="AL99" s="31">
        <f>$I$47*$AL$47</f>
        <v>0</v>
      </c>
      <c r="AM99" s="31">
        <f>$I$47*$AM$47</f>
        <v>0</v>
      </c>
      <c r="AN99" s="31">
        <f>$I$47*$AN$47</f>
        <v>244.94547208237177</v>
      </c>
      <c r="AO99" s="31">
        <f>$I$47*$AO$47</f>
        <v>39.452119498319561</v>
      </c>
      <c r="AP99" s="31">
        <f>$I$47*$AP$47</f>
        <v>0</v>
      </c>
      <c r="AQ99" s="31">
        <f>$I$47*$AQ$47</f>
        <v>0</v>
      </c>
      <c r="AR99" s="31">
        <f>$I$47*$AR$47</f>
        <v>0</v>
      </c>
      <c r="AS99" s="31">
        <f>$I$47*$AS$47</f>
        <v>0</v>
      </c>
      <c r="AT99" s="31">
        <f>$I$47*$AT$47</f>
        <v>0</v>
      </c>
      <c r="AU99" s="31">
        <f>$I$47*$AU$47</f>
        <v>289.87659884797978</v>
      </c>
      <c r="AV99" s="31">
        <f>$I$47*$AV$47</f>
        <v>0</v>
      </c>
      <c r="AW99" s="31">
        <f>$I$47*$AW$47</f>
        <v>0</v>
      </c>
      <c r="AX99" s="31">
        <f>$I$47*$AX$47</f>
        <v>319.86242374079603</v>
      </c>
      <c r="AY99" s="31">
        <f>$I$47*$AY$47</f>
        <v>-51.124181307974347</v>
      </c>
      <c r="AZ99" s="31">
        <f>$I$47*$AZ$47</f>
        <v>0</v>
      </c>
      <c r="BA99" s="31">
        <f>$I$47*$BA$47</f>
        <v>70.606359357195572</v>
      </c>
      <c r="BB99" s="31">
        <f>$I$47*$BB$47</f>
        <v>2.0159480500772959</v>
      </c>
      <c r="BC99" s="31">
        <f>$I$47*$BC$47</f>
        <v>9.4581758156359914</v>
      </c>
      <c r="BD99" s="31">
        <f>$I$47*$BD$47</f>
        <v>-0.3114874292051511</v>
      </c>
    </row>
    <row r="100" spans="1:56" ht="11.25" customHeight="1" x14ac:dyDescent="0.25">
      <c r="A100" s="9" t="s">
        <v>32</v>
      </c>
      <c r="B100" s="9" t="s">
        <v>852</v>
      </c>
      <c r="C100" s="9" t="s">
        <v>853</v>
      </c>
      <c r="D100" s="9" t="s">
        <v>854</v>
      </c>
      <c r="E100" s="9" t="s">
        <v>855</v>
      </c>
      <c r="F100" s="9" t="s">
        <v>856</v>
      </c>
      <c r="G100" s="9" t="s">
        <v>857</v>
      </c>
      <c r="L100" s="31">
        <f>$I$48*$L$48</f>
        <v>34441.692852106193</v>
      </c>
      <c r="M100" s="31">
        <f>$I$48*$M$48</f>
        <v>9217.5788054446548</v>
      </c>
      <c r="N100" s="31">
        <f ca="1">$I$48*$N$48</f>
        <v>39115.146886115625</v>
      </c>
      <c r="O100" s="31">
        <f>$I$48*$O$48</f>
        <v>0</v>
      </c>
      <c r="P100" s="31">
        <f>$I$48*$P$48</f>
        <v>0</v>
      </c>
      <c r="Q100" s="31">
        <f>$I$48*$Q$48</f>
        <v>1358751.4323331909</v>
      </c>
      <c r="R100" s="31">
        <f>$I$48*$R$48</f>
        <v>226969.6202162081</v>
      </c>
      <c r="S100" s="31">
        <f>$I$48*$S$48</f>
        <v>0</v>
      </c>
      <c r="T100" s="31">
        <f>$I$48*$T$48</f>
        <v>0</v>
      </c>
      <c r="U100" s="31">
        <f>$I$48*$U$48</f>
        <v>0</v>
      </c>
      <c r="V100" s="31">
        <f>$I$48*$V$48</f>
        <v>0</v>
      </c>
      <c r="W100" s="31">
        <f>$I$48*$W$48</f>
        <v>0</v>
      </c>
      <c r="X100" s="31">
        <f>$I$48*$X$48</f>
        <v>1554271.8645679923</v>
      </c>
      <c r="Y100" s="31">
        <f>$I$48*$Y$48</f>
        <v>0</v>
      </c>
      <c r="Z100" s="31">
        <f>$I$48*$Z$48</f>
        <v>0</v>
      </c>
      <c r="AA100" s="31">
        <f>$I$48*$AA$48</f>
        <v>1684795.0594342989</v>
      </c>
      <c r="AB100" s="31">
        <f ca="1">$I$48*$AB$48</f>
        <v>-515158.31370548182</v>
      </c>
      <c r="AC100" s="31">
        <f ca="1">$I$48*$AC$48</f>
        <v>0</v>
      </c>
      <c r="AD100" s="31">
        <f>$I$48*$AD$48</f>
        <v>234502.30960304048</v>
      </c>
      <c r="AE100" s="31">
        <f>$I$48*$AE$48</f>
        <v>7541.2765268517278</v>
      </c>
      <c r="AF100" s="31">
        <f ca="1">$I$48*$AF$48</f>
        <v>24789.673840014959</v>
      </c>
      <c r="AG100" s="31">
        <f ca="1">$I$48*$AG$48</f>
        <v>4413.2970897228743</v>
      </c>
      <c r="AI100" s="31">
        <f>$I$48*$AI$48</f>
        <v>30637.372116064103</v>
      </c>
      <c r="AJ100" s="31">
        <f>$I$48*$AJ$48</f>
        <v>9680.3669905225015</v>
      </c>
      <c r="AK100" s="31">
        <f>$I$48*$AK$48</f>
        <v>40591.341638685772</v>
      </c>
      <c r="AL100" s="31">
        <f>$I$48*$AL$48</f>
        <v>0</v>
      </c>
      <c r="AM100" s="31">
        <f>$I$48*$AM$48</f>
        <v>0</v>
      </c>
      <c r="AN100" s="31">
        <f>$I$48*$AN$48</f>
        <v>811614.31918342959</v>
      </c>
      <c r="AO100" s="31">
        <f>$I$48*$AO$48</f>
        <v>130722.58423378444</v>
      </c>
      <c r="AP100" s="31">
        <f>$I$48*$AP$48</f>
        <v>0</v>
      </c>
      <c r="AQ100" s="31">
        <f>$I$48*$AQ$48</f>
        <v>0</v>
      </c>
      <c r="AR100" s="31">
        <f>$I$48*$AR$48</f>
        <v>0</v>
      </c>
      <c r="AS100" s="31">
        <f>$I$48*$AS$48</f>
        <v>0</v>
      </c>
      <c r="AT100" s="31">
        <f>$I$48*$AT$48</f>
        <v>0</v>
      </c>
      <c r="AU100" s="31">
        <f>$I$48*$AU$48</f>
        <v>1455290.9231684767</v>
      </c>
      <c r="AV100" s="31">
        <f>$I$48*$AV$48</f>
        <v>0</v>
      </c>
      <c r="AW100" s="31">
        <f>$I$48*$AW$48</f>
        <v>0</v>
      </c>
      <c r="AX100" s="31">
        <f>$I$48*$AX$48</f>
        <v>1605829.9850247689</v>
      </c>
      <c r="AY100" s="31">
        <f>$I$48*$AY$48</f>
        <v>-224582.58638183051</v>
      </c>
      <c r="AZ100" s="31">
        <f>$I$48*$AZ$48</f>
        <v>0</v>
      </c>
      <c r="BA100" s="31">
        <f>$I$48*$BA$48</f>
        <v>233950.56782449904</v>
      </c>
      <c r="BB100" s="31">
        <f>$I$48*$BB$48</f>
        <v>6679.7409654603653</v>
      </c>
      <c r="BC100" s="31">
        <f>$I$48*$BC$48</f>
        <v>31339.182798786824</v>
      </c>
      <c r="BD100" s="31">
        <f>$I$48*$BD$48</f>
        <v>-1032.0976976603172</v>
      </c>
    </row>
    <row r="101" spans="1:56" ht="11.25" customHeight="1" x14ac:dyDescent="0.25">
      <c r="A101" s="9" t="s">
        <v>32</v>
      </c>
      <c r="B101" s="9" t="s">
        <v>858</v>
      </c>
      <c r="C101" s="9" t="s">
        <v>859</v>
      </c>
      <c r="D101" s="9" t="s">
        <v>860</v>
      </c>
      <c r="E101" s="9" t="s">
        <v>861</v>
      </c>
      <c r="F101" s="9" t="s">
        <v>862</v>
      </c>
      <c r="G101" s="9" t="s">
        <v>863</v>
      </c>
      <c r="L101" s="31">
        <f>$I$49*$L$49</f>
        <v>0</v>
      </c>
      <c r="M101" s="31">
        <f>$I$49*$M$49</f>
        <v>0</v>
      </c>
      <c r="N101" s="31">
        <f ca="1">$I$49*$N$49</f>
        <v>0</v>
      </c>
      <c r="O101" s="31">
        <f>$I$49*$O$49</f>
        <v>0</v>
      </c>
      <c r="P101" s="31">
        <f>$I$49*$P$49</f>
        <v>0</v>
      </c>
      <c r="Q101" s="31">
        <f>$I$49*$Q$49</f>
        <v>0</v>
      </c>
      <c r="R101" s="31">
        <f>$I$49*$R$49</f>
        <v>0</v>
      </c>
      <c r="S101" s="31">
        <f>$I$49*$S$49</f>
        <v>0</v>
      </c>
      <c r="T101" s="31">
        <f>$I$49*$T$49</f>
        <v>0</v>
      </c>
      <c r="U101" s="31">
        <f>$I$49*$U$49</f>
        <v>0</v>
      </c>
      <c r="V101" s="31">
        <f>$I$49*$V$49</f>
        <v>0</v>
      </c>
      <c r="W101" s="31">
        <f>$I$49*$W$49</f>
        <v>0</v>
      </c>
      <c r="X101" s="31">
        <f>$I$49*$X$49</f>
        <v>0</v>
      </c>
      <c r="Y101" s="31">
        <f>$I$49*$Y$49</f>
        <v>0</v>
      </c>
      <c r="Z101" s="31">
        <f>$I$49*$Z$49</f>
        <v>0</v>
      </c>
      <c r="AA101" s="31">
        <f>$I$49*$AA$49</f>
        <v>0</v>
      </c>
      <c r="AB101" s="31">
        <f ca="1">$I$49*$AB$49</f>
        <v>0</v>
      </c>
      <c r="AC101" s="31">
        <f ca="1">$I$49*$AC$49</f>
        <v>0</v>
      </c>
      <c r="AD101" s="31">
        <f>$I$49*$AD$49</f>
        <v>0</v>
      </c>
      <c r="AE101" s="31">
        <f>$I$49*$AE$49</f>
        <v>0</v>
      </c>
      <c r="AF101" s="31">
        <f ca="1">$I$49*$AF$49</f>
        <v>0</v>
      </c>
      <c r="AG101" s="31">
        <f ca="1">$I$49*$AG$49</f>
        <v>0</v>
      </c>
      <c r="AI101" s="31">
        <f>$I$49*$AI$49</f>
        <v>0</v>
      </c>
      <c r="AJ101" s="31">
        <f>$I$49*$AJ$49</f>
        <v>0</v>
      </c>
      <c r="AK101" s="31">
        <f>$I$49*$AK$49</f>
        <v>0</v>
      </c>
      <c r="AL101" s="31">
        <f>$I$49*$AL$49</f>
        <v>0</v>
      </c>
      <c r="AM101" s="31">
        <f>$I$49*$AM$49</f>
        <v>0</v>
      </c>
      <c r="AN101" s="31">
        <f>$I$49*$AN$49</f>
        <v>0</v>
      </c>
      <c r="AO101" s="31">
        <f>$I$49*$AO$49</f>
        <v>0</v>
      </c>
      <c r="AP101" s="31">
        <f>$I$49*$AP$49</f>
        <v>0</v>
      </c>
      <c r="AQ101" s="31">
        <f>$I$49*$AQ$49</f>
        <v>0</v>
      </c>
      <c r="AR101" s="31">
        <f>$I$49*$AR$49</f>
        <v>0</v>
      </c>
      <c r="AS101" s="31">
        <f>$I$49*$AS$49</f>
        <v>0</v>
      </c>
      <c r="AT101" s="31">
        <f>$I$49*$AT$49</f>
        <v>0</v>
      </c>
      <c r="AU101" s="31">
        <f>$I$49*$AU$49</f>
        <v>0</v>
      </c>
      <c r="AV101" s="31">
        <f>$I$49*$AV$49</f>
        <v>0</v>
      </c>
      <c r="AW101" s="31">
        <f>$I$49*$AW$49</f>
        <v>0</v>
      </c>
      <c r="AX101" s="31">
        <f>$I$49*$AX$49</f>
        <v>0</v>
      </c>
      <c r="AY101" s="31">
        <f>$I$49*$AY$49</f>
        <v>0</v>
      </c>
      <c r="AZ101" s="31">
        <f>$I$49*$AZ$49</f>
        <v>0</v>
      </c>
      <c r="BA101" s="31">
        <f>$I$49*$BA$49</f>
        <v>0</v>
      </c>
      <c r="BB101" s="31">
        <f>$I$49*$BB$49</f>
        <v>0</v>
      </c>
      <c r="BC101" s="31">
        <f>$I$49*$BC$49</f>
        <v>0</v>
      </c>
      <c r="BD101" s="31">
        <f>$I$49*$BD$49</f>
        <v>0</v>
      </c>
    </row>
    <row r="102" spans="1:56" ht="11.25" customHeight="1" x14ac:dyDescent="0.25">
      <c r="A102" s="9" t="s">
        <v>42</v>
      </c>
      <c r="B102" s="9" t="s">
        <v>864</v>
      </c>
      <c r="C102" s="9" t="s">
        <v>865</v>
      </c>
      <c r="D102" s="9" t="s">
        <v>866</v>
      </c>
      <c r="E102" s="9" t="s">
        <v>867</v>
      </c>
      <c r="F102" s="9" t="s">
        <v>868</v>
      </c>
      <c r="G102" s="9" t="s">
        <v>869</v>
      </c>
      <c r="L102" s="31">
        <f>$I$50*$L$50</f>
        <v>5463.01870237605</v>
      </c>
      <c r="M102" s="31">
        <f>$I$50*$M$50</f>
        <v>1462.0595340942969</v>
      </c>
      <c r="N102" s="31">
        <f ca="1">$I$50*$N$50</f>
        <v>6204.305343021736</v>
      </c>
      <c r="O102" s="31">
        <f>$I$50*$O$50</f>
        <v>0</v>
      </c>
      <c r="P102" s="31">
        <f>$I$50*$P$50</f>
        <v>0</v>
      </c>
      <c r="Q102" s="31">
        <f>$I$50*$Q$50</f>
        <v>215520.31482861744</v>
      </c>
      <c r="R102" s="31">
        <f>$I$50*$R$50</f>
        <v>36001.113111271152</v>
      </c>
      <c r="S102" s="31">
        <f>$I$50*$S$50</f>
        <v>0</v>
      </c>
      <c r="T102" s="31">
        <f>$I$50*$T$50</f>
        <v>0</v>
      </c>
      <c r="U102" s="31">
        <f>$I$50*$U$50</f>
        <v>0</v>
      </c>
      <c r="V102" s="31">
        <f>$I$50*$V$50</f>
        <v>0</v>
      </c>
      <c r="W102" s="31">
        <f>$I$50*$W$50</f>
        <v>0</v>
      </c>
      <c r="X102" s="31">
        <f>$I$50*$X$50</f>
        <v>246533.06970631648</v>
      </c>
      <c r="Y102" s="31">
        <f>$I$50*$Y$50</f>
        <v>0</v>
      </c>
      <c r="Z102" s="31">
        <f>$I$50*$Z$50</f>
        <v>0</v>
      </c>
      <c r="AA102" s="31">
        <f>$I$50*$AA$50</f>
        <v>267236.19419297774</v>
      </c>
      <c r="AB102" s="31">
        <f ca="1">$I$50*$AB$50</f>
        <v>-81712.577675619483</v>
      </c>
      <c r="AC102" s="31">
        <f ca="1">$I$50*$AC$50</f>
        <v>0</v>
      </c>
      <c r="AD102" s="31">
        <f>$I$50*$AD$50</f>
        <v>37195.921484255588</v>
      </c>
      <c r="AE102" s="31">
        <f>$I$50*$AE$50</f>
        <v>1196.1704345627466</v>
      </c>
      <c r="AF102" s="31">
        <f ca="1">$I$50*$AF$50</f>
        <v>3932.0498093787041</v>
      </c>
      <c r="AG102" s="31">
        <f ca="1">$I$50*$AG$50</f>
        <v>700.02147234245115</v>
      </c>
      <c r="AI102" s="31">
        <f>$I$50*$AI$50</f>
        <v>4859.5908912031555</v>
      </c>
      <c r="AJ102" s="31">
        <f>$I$50*$AJ$50</f>
        <v>1535.4653484128676</v>
      </c>
      <c r="AK102" s="31">
        <f>$I$50*$AK$50</f>
        <v>6438.454099189732</v>
      </c>
      <c r="AL102" s="31">
        <f>$I$50*$AL$50</f>
        <v>0</v>
      </c>
      <c r="AM102" s="31">
        <f>$I$50*$AM$50</f>
        <v>0</v>
      </c>
      <c r="AN102" s="31">
        <f>$I$50*$AN$50</f>
        <v>128735.37383468487</v>
      </c>
      <c r="AO102" s="31">
        <f>$I$50*$AO$50</f>
        <v>20734.750918273268</v>
      </c>
      <c r="AP102" s="31">
        <f>$I$50*$AP$50</f>
        <v>0</v>
      </c>
      <c r="AQ102" s="31">
        <f>$I$50*$AQ$50</f>
        <v>0</v>
      </c>
      <c r="AR102" s="31">
        <f>$I$50*$AR$50</f>
        <v>0</v>
      </c>
      <c r="AS102" s="31">
        <f>$I$50*$AS$50</f>
        <v>0</v>
      </c>
      <c r="AT102" s="31">
        <f>$I$50*$AT$50</f>
        <v>0</v>
      </c>
      <c r="AU102" s="31">
        <f>$I$50*$AU$50</f>
        <v>230833.06516919119</v>
      </c>
      <c r="AV102" s="31">
        <f>$I$50*$AV$50</f>
        <v>0</v>
      </c>
      <c r="AW102" s="31">
        <f>$I$50*$AW$50</f>
        <v>0</v>
      </c>
      <c r="AX102" s="31">
        <f>$I$50*$AX$50</f>
        <v>254711.03521818083</v>
      </c>
      <c r="AY102" s="31">
        <f>$I$50*$AY$50</f>
        <v>-35622.490302676684</v>
      </c>
      <c r="AZ102" s="31">
        <f>$I$50*$AZ$50</f>
        <v>0</v>
      </c>
      <c r="BA102" s="31">
        <f>$I$50*$BA$50</f>
        <v>37108.406167630696</v>
      </c>
      <c r="BB102" s="31">
        <f>$I$50*$BB$50</f>
        <v>1059.5167310164854</v>
      </c>
      <c r="BC102" s="31">
        <f>$I$50*$BC$50</f>
        <v>4970.9096031406152</v>
      </c>
      <c r="BD102" s="31">
        <f>$I$50*$BD$50</f>
        <v>-163.70766237330201</v>
      </c>
    </row>
    <row r="103" spans="1:56" ht="11.25" customHeight="1" x14ac:dyDescent="0.25">
      <c r="A103" s="9" t="s">
        <v>42</v>
      </c>
      <c r="B103" s="9" t="s">
        <v>864</v>
      </c>
      <c r="C103" s="9" t="s">
        <v>865</v>
      </c>
      <c r="D103" s="9" t="s">
        <v>870</v>
      </c>
      <c r="E103" s="9" t="s">
        <v>871</v>
      </c>
      <c r="F103" s="9" t="s">
        <v>872</v>
      </c>
      <c r="G103" s="9" t="s">
        <v>873</v>
      </c>
      <c r="L103" s="31">
        <f>$I$51*$L$51</f>
        <v>0</v>
      </c>
      <c r="M103" s="31">
        <f>$I$51*$M$51</f>
        <v>0</v>
      </c>
      <c r="N103" s="31">
        <f ca="1">$I$51*$N$51</f>
        <v>0</v>
      </c>
      <c r="O103" s="31">
        <f>$I$51*$O$51</f>
        <v>0</v>
      </c>
      <c r="P103" s="31">
        <f>$I$51*$P$51</f>
        <v>0</v>
      </c>
      <c r="Q103" s="31">
        <f>$I$51*$Q$51</f>
        <v>0</v>
      </c>
      <c r="R103" s="31">
        <f>$I$51*$R$51</f>
        <v>0</v>
      </c>
      <c r="S103" s="31">
        <f>$I$51*$S$51</f>
        <v>0</v>
      </c>
      <c r="T103" s="31">
        <f>$I$51*$T$51</f>
        <v>0</v>
      </c>
      <c r="U103" s="31">
        <f>$I$51*$U$51</f>
        <v>0</v>
      </c>
      <c r="V103" s="31">
        <f>$I$51*$V$51</f>
        <v>0</v>
      </c>
      <c r="W103" s="31">
        <f>$I$51*$W$51</f>
        <v>0</v>
      </c>
      <c r="X103" s="31">
        <f>$I$51*$X$51</f>
        <v>0</v>
      </c>
      <c r="Y103" s="31">
        <f>$I$51*$Y$51</f>
        <v>0</v>
      </c>
      <c r="Z103" s="31">
        <f>$I$51*$Z$51</f>
        <v>0</v>
      </c>
      <c r="AA103" s="31">
        <f>$I$51*$AA$51</f>
        <v>0</v>
      </c>
      <c r="AB103" s="31">
        <f ca="1">$I$51*$AB$51</f>
        <v>0</v>
      </c>
      <c r="AC103" s="31">
        <f ca="1">$I$51*$AC$51</f>
        <v>0</v>
      </c>
      <c r="AD103" s="31">
        <f>$I$51*$AD$51</f>
        <v>0</v>
      </c>
      <c r="AE103" s="31">
        <f>$I$51*$AE$51</f>
        <v>0</v>
      </c>
      <c r="AF103" s="31">
        <f ca="1">$I$51*$AF$51</f>
        <v>0</v>
      </c>
      <c r="AG103" s="31">
        <f ca="1">$I$51*$AG$51</f>
        <v>0</v>
      </c>
      <c r="AI103" s="31">
        <f>$I$51*$AI$51</f>
        <v>0</v>
      </c>
      <c r="AJ103" s="31">
        <f>$I$51*$AJ$51</f>
        <v>0</v>
      </c>
      <c r="AK103" s="31">
        <f>$I$51*$AK$51</f>
        <v>0</v>
      </c>
      <c r="AL103" s="31">
        <f>$I$51*$AL$51</f>
        <v>0</v>
      </c>
      <c r="AM103" s="31">
        <f>$I$51*$AM$51</f>
        <v>0</v>
      </c>
      <c r="AN103" s="31">
        <f>$I$51*$AN$51</f>
        <v>0</v>
      </c>
      <c r="AO103" s="31">
        <f>$I$51*$AO$51</f>
        <v>0</v>
      </c>
      <c r="AP103" s="31">
        <f>$I$51*$AP$51</f>
        <v>0</v>
      </c>
      <c r="AQ103" s="31">
        <f>$I$51*$AQ$51</f>
        <v>0</v>
      </c>
      <c r="AR103" s="31">
        <f>$I$51*$AR$51</f>
        <v>0</v>
      </c>
      <c r="AS103" s="31">
        <f>$I$51*$AS$51</f>
        <v>0</v>
      </c>
      <c r="AT103" s="31">
        <f>$I$51*$AT$51</f>
        <v>0</v>
      </c>
      <c r="AU103" s="31">
        <f>$I$51*$AU$51</f>
        <v>0</v>
      </c>
      <c r="AV103" s="31">
        <f>$I$51*$AV$51</f>
        <v>0</v>
      </c>
      <c r="AW103" s="31">
        <f>$I$51*$AW$51</f>
        <v>0</v>
      </c>
      <c r="AX103" s="31">
        <f>$I$51*$AX$51</f>
        <v>0</v>
      </c>
      <c r="AY103" s="31">
        <f>$I$51*$AY$51</f>
        <v>0</v>
      </c>
      <c r="AZ103" s="31">
        <f>$I$51*$AZ$51</f>
        <v>0</v>
      </c>
      <c r="BA103" s="31">
        <f>$I$51*$BA$51</f>
        <v>0</v>
      </c>
      <c r="BB103" s="31">
        <f>$I$51*$BB$51</f>
        <v>0</v>
      </c>
      <c r="BC103" s="31">
        <f>$I$51*$BC$51</f>
        <v>0</v>
      </c>
      <c r="BD103" s="31">
        <f>$I$51*$BD$51</f>
        <v>0</v>
      </c>
    </row>
  </sheetData>
  <mergeCells count="88">
    <mergeCell ref="AQ55:AW55"/>
    <mergeCell ref="AY55:AZ55"/>
    <mergeCell ref="BA55:BD55"/>
    <mergeCell ref="BA3:BD3"/>
    <mergeCell ref="L53:AG53"/>
    <mergeCell ref="AI53:BD53"/>
    <mergeCell ref="L54:AG54"/>
    <mergeCell ref="AI54:BD54"/>
    <mergeCell ref="L55:S55"/>
    <mergeCell ref="T55:Z55"/>
    <mergeCell ref="AB55:AC55"/>
    <mergeCell ref="AD55:AG55"/>
    <mergeCell ref="AI55:AP55"/>
    <mergeCell ref="AB3:AC3"/>
    <mergeCell ref="AD3:AG3"/>
    <mergeCell ref="E45:E47"/>
    <mergeCell ref="F45:F47"/>
    <mergeCell ref="A50:A51"/>
    <mergeCell ref="B50:B51"/>
    <mergeCell ref="C50:C51"/>
    <mergeCell ref="D45:D47"/>
    <mergeCell ref="AI1:BD1"/>
    <mergeCell ref="AI2:BD2"/>
    <mergeCell ref="AI3:AP3"/>
    <mergeCell ref="AQ3:AW3"/>
    <mergeCell ref="AY3:AZ3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5:A14"/>
    <mergeCell ref="B5:B8"/>
    <mergeCell ref="C5:C8"/>
    <mergeCell ref="D5:D8"/>
    <mergeCell ref="E5:E7"/>
    <mergeCell ref="C10:C14"/>
    <mergeCell ref="D10:D14"/>
    <mergeCell ref="E10:E12"/>
    <mergeCell ref="E13:E14"/>
    <mergeCell ref="F5:F7"/>
    <mergeCell ref="B10:B14"/>
    <mergeCell ref="G1:G4"/>
    <mergeCell ref="H1:H4"/>
    <mergeCell ref="I1:I4"/>
    <mergeCell ref="F1:F4"/>
    <mergeCell ref="F10:F12"/>
    <mergeCell ref="F13:F14"/>
    <mergeCell ref="J1:J4"/>
    <mergeCell ref="L1:AG1"/>
    <mergeCell ref="L2:AG2"/>
    <mergeCell ref="L3:S3"/>
    <mergeCell ref="T3:Z3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73EC7-5FFB-44CC-9FBB-47A880D8922B}">
  <dimension ref="A1:AH85"/>
  <sheetViews>
    <sheetView showGridLines="0" topLeftCell="M16" workbookViewId="0">
      <selection activeCell="V43" sqref="V43"/>
    </sheetView>
  </sheetViews>
  <sheetFormatPr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7.85546875" style="9" bestFit="1" customWidth="1"/>
    <col min="13" max="13" width="8.7109375" style="9" bestFit="1" customWidth="1"/>
    <col min="14" max="14" width="6" style="9" bestFit="1" customWidth="1"/>
    <col min="15" max="15" width="11.140625" style="9" bestFit="1" customWidth="1"/>
    <col min="16" max="16" width="9.28515625" style="9" bestFit="1" customWidth="1"/>
    <col min="17" max="17" width="15" style="9" bestFit="1" customWidth="1"/>
    <col min="18" max="18" width="8.7109375" style="9" bestFit="1" customWidth="1"/>
    <col min="19" max="19" width="10.42578125" style="9" bestFit="1" customWidth="1"/>
    <col min="20" max="20" width="7" style="9" bestFit="1" customWidth="1"/>
    <col min="21" max="21" width="11.140625" style="9" bestFit="1" customWidth="1"/>
    <col min="22" max="22" width="11" style="9" bestFit="1" customWidth="1"/>
    <col min="23" max="23" width="9.140625" style="9"/>
    <col min="24" max="24" width="7.85546875" style="9" bestFit="1" customWidth="1"/>
    <col min="25" max="25" width="8.7109375" style="9" bestFit="1" customWidth="1"/>
    <col min="26" max="26" width="6" style="9" bestFit="1" customWidth="1"/>
    <col min="27" max="27" width="11.140625" style="9" bestFit="1" customWidth="1"/>
    <col min="28" max="28" width="9.28515625" style="9" bestFit="1" customWidth="1"/>
    <col min="29" max="29" width="15" style="9" bestFit="1" customWidth="1"/>
    <col min="30" max="30" width="8.7109375" style="9" bestFit="1" customWidth="1"/>
    <col min="31" max="31" width="10.42578125" style="9" bestFit="1" customWidth="1"/>
    <col min="32" max="32" width="7" style="9" bestFit="1" customWidth="1"/>
    <col min="33" max="33" width="11.140625" style="9" bestFit="1" customWidth="1"/>
    <col min="34" max="34" width="11" style="9" bestFit="1" customWidth="1"/>
    <col min="35" max="16384" width="9.140625" style="9"/>
  </cols>
  <sheetData>
    <row r="1" spans="1:34" ht="11.25" customHeight="1" x14ac:dyDescent="0.25">
      <c r="A1" s="142" t="s">
        <v>60</v>
      </c>
      <c r="B1" s="142" t="s">
        <v>61</v>
      </c>
      <c r="C1" s="142" t="s">
        <v>62</v>
      </c>
      <c r="D1" s="142" t="s">
        <v>63</v>
      </c>
      <c r="E1" s="142" t="s">
        <v>64</v>
      </c>
      <c r="F1" s="142" t="s">
        <v>15</v>
      </c>
      <c r="G1" s="142" t="s">
        <v>66</v>
      </c>
      <c r="H1" s="142" t="s">
        <v>67</v>
      </c>
      <c r="I1" s="142" t="s">
        <v>509</v>
      </c>
      <c r="J1" s="129"/>
      <c r="L1" s="143" t="s">
        <v>874</v>
      </c>
      <c r="M1" s="143"/>
      <c r="N1" s="143"/>
      <c r="O1" s="143"/>
      <c r="P1" s="143"/>
      <c r="Q1" s="143"/>
      <c r="R1" s="143"/>
      <c r="S1" s="143"/>
      <c r="T1" s="143"/>
      <c r="U1" s="143"/>
      <c r="V1" s="143"/>
      <c r="X1" s="143" t="s">
        <v>875</v>
      </c>
      <c r="Y1" s="143"/>
      <c r="Z1" s="143"/>
      <c r="AA1" s="143"/>
      <c r="AB1" s="143"/>
      <c r="AC1" s="143"/>
      <c r="AD1" s="143"/>
      <c r="AE1" s="143"/>
      <c r="AF1" s="143"/>
      <c r="AG1" s="143"/>
      <c r="AH1" s="143"/>
    </row>
    <row r="2" spans="1:34" ht="11.25" customHeight="1" x14ac:dyDescent="0.25">
      <c r="A2" s="142"/>
      <c r="B2" s="142"/>
      <c r="C2" s="142"/>
      <c r="D2" s="142"/>
      <c r="E2" s="142"/>
      <c r="F2" s="142"/>
      <c r="G2" s="142"/>
      <c r="H2" s="142"/>
      <c r="I2" s="142"/>
      <c r="J2" s="129"/>
      <c r="L2" s="143" t="s">
        <v>436</v>
      </c>
      <c r="M2" s="143"/>
      <c r="N2" s="143"/>
      <c r="O2" s="143"/>
      <c r="P2" s="143"/>
      <c r="Q2" s="143"/>
      <c r="R2" s="143"/>
      <c r="S2" s="143"/>
      <c r="T2" s="143"/>
      <c r="U2" s="143"/>
      <c r="V2" s="143"/>
      <c r="X2" s="143" t="s">
        <v>436</v>
      </c>
      <c r="Y2" s="143"/>
      <c r="Z2" s="143"/>
      <c r="AA2" s="143"/>
      <c r="AB2" s="143"/>
      <c r="AC2" s="143"/>
      <c r="AD2" s="143"/>
      <c r="AE2" s="143"/>
      <c r="AF2" s="143"/>
      <c r="AG2" s="143"/>
      <c r="AH2" s="143"/>
    </row>
    <row r="3" spans="1:34" ht="11.25" customHeight="1" x14ac:dyDescent="0.25">
      <c r="A3" s="142"/>
      <c r="B3" s="142"/>
      <c r="C3" s="142"/>
      <c r="D3" s="142"/>
      <c r="E3" s="142"/>
      <c r="F3" s="142"/>
      <c r="G3" s="142"/>
      <c r="H3" s="142"/>
      <c r="I3" s="142"/>
      <c r="J3" s="129"/>
      <c r="L3" s="143" t="s">
        <v>409</v>
      </c>
      <c r="M3" s="143"/>
      <c r="N3" s="143"/>
      <c r="O3" s="143"/>
      <c r="P3" s="143"/>
      <c r="Q3" s="48" t="s">
        <v>440</v>
      </c>
      <c r="R3" s="143" t="s">
        <v>418</v>
      </c>
      <c r="S3" s="143"/>
      <c r="T3" s="143"/>
      <c r="U3" s="48" t="s">
        <v>428</v>
      </c>
      <c r="V3" s="48" t="s">
        <v>431</v>
      </c>
      <c r="X3" s="143" t="s">
        <v>409</v>
      </c>
      <c r="Y3" s="143"/>
      <c r="Z3" s="143"/>
      <c r="AA3" s="143"/>
      <c r="AB3" s="143"/>
      <c r="AC3" s="48" t="s">
        <v>440</v>
      </c>
      <c r="AD3" s="143" t="s">
        <v>418</v>
      </c>
      <c r="AE3" s="143"/>
      <c r="AF3" s="143"/>
      <c r="AG3" s="48" t="s">
        <v>428</v>
      </c>
      <c r="AH3" s="48" t="s">
        <v>431</v>
      </c>
    </row>
    <row r="4" spans="1:34" ht="11.25" customHeight="1" x14ac:dyDescent="0.25">
      <c r="A4" s="142"/>
      <c r="B4" s="142"/>
      <c r="C4" s="142"/>
      <c r="D4" s="142"/>
      <c r="E4" s="142"/>
      <c r="F4" s="142"/>
      <c r="G4" s="142"/>
      <c r="H4" s="142"/>
      <c r="I4" s="142"/>
      <c r="J4" s="129"/>
      <c r="L4" s="48" t="s">
        <v>411</v>
      </c>
      <c r="M4" s="48" t="s">
        <v>437</v>
      </c>
      <c r="N4" s="48" t="s">
        <v>438</v>
      </c>
      <c r="O4" s="48" t="s">
        <v>497</v>
      </c>
      <c r="P4" s="48" t="s">
        <v>439</v>
      </c>
      <c r="Q4" s="48" t="s">
        <v>441</v>
      </c>
      <c r="R4" s="48" t="s">
        <v>442</v>
      </c>
      <c r="S4" s="48" t="s">
        <v>443</v>
      </c>
      <c r="T4" s="48" t="s">
        <v>444</v>
      </c>
      <c r="U4" s="48" t="s">
        <v>429</v>
      </c>
      <c r="V4" s="48" t="s">
        <v>445</v>
      </c>
      <c r="X4" s="48" t="s">
        <v>411</v>
      </c>
      <c r="Y4" s="48" t="s">
        <v>437</v>
      </c>
      <c r="Z4" s="48" t="s">
        <v>438</v>
      </c>
      <c r="AA4" s="48" t="s">
        <v>497</v>
      </c>
      <c r="AB4" s="48" t="s">
        <v>439</v>
      </c>
      <c r="AC4" s="48" t="s">
        <v>441</v>
      </c>
      <c r="AD4" s="48" t="s">
        <v>442</v>
      </c>
      <c r="AE4" s="48" t="s">
        <v>443</v>
      </c>
      <c r="AF4" s="48" t="s">
        <v>444</v>
      </c>
      <c r="AG4" s="48" t="s">
        <v>429</v>
      </c>
      <c r="AH4" s="48" t="s">
        <v>445</v>
      </c>
    </row>
    <row r="5" spans="1:34" ht="11.25" customHeight="1" x14ac:dyDescent="0.25">
      <c r="A5" s="141" t="s">
        <v>34</v>
      </c>
      <c r="B5" s="141" t="s">
        <v>69</v>
      </c>
      <c r="C5" s="141" t="s">
        <v>25</v>
      </c>
      <c r="D5" s="141" t="s">
        <v>25</v>
      </c>
      <c r="E5" s="141" t="s">
        <v>25</v>
      </c>
      <c r="F5" s="141" t="s">
        <v>25</v>
      </c>
      <c r="G5" s="46" t="s">
        <v>71</v>
      </c>
      <c r="H5" s="46" t="s">
        <v>70</v>
      </c>
      <c r="I5" s="46">
        <f>'MERCADO TE'!$U$2</f>
        <v>2156.2699999999995</v>
      </c>
      <c r="J5" s="15"/>
      <c r="L5" s="44">
        <f>('TE BE'!$L$5+'TE BF'!$L$5+'TE CVA'!$L$5)*1</f>
        <v>2.4412324779949426</v>
      </c>
      <c r="M5" s="44">
        <f>('TE BE'!$M$5+'TE BF'!$M$5+'TE CVA'!$M$5)*1</f>
        <v>30.354391548386374</v>
      </c>
      <c r="N5" s="44">
        <f>('TE BE'!$N$5+'TE BF'!$N$5+'TE CVA'!$N$5)*1</f>
        <v>0</v>
      </c>
      <c r="O5" s="44">
        <f>('TE BE'!$O$5+'TE BF'!$O$5+'TE CVA'!$O$5)*1</f>
        <v>2.3960597620650557</v>
      </c>
      <c r="P5" s="44">
        <f>('TE BE'!$P$5+'TE BF'!$P$5+'TE CVA'!$P$5)*1</f>
        <v>-16.116674696650602</v>
      </c>
      <c r="Q5" s="44">
        <f>('TE BE'!$R$5+'TE BF'!$R$5+'TE CVA'!$R$5)*1</f>
        <v>349.07325233073811</v>
      </c>
      <c r="R5" s="44">
        <f>('TE BE'!$T$5+'TE BF'!$T$5+'TE CVA'!$T$5)*1</f>
        <v>7.319672278681999</v>
      </c>
      <c r="S5" s="44">
        <f>('TE BE'!$U$5+'TE BF'!$U$5+'TE CVA'!$U$5)*1</f>
        <v>4.3062353207929949</v>
      </c>
      <c r="T5" s="44">
        <f>('TE BE'!$V$5+'TE BF'!$V$5+'TE CVA'!$V$5)*1</f>
        <v>0</v>
      </c>
      <c r="U5" s="44">
        <f>('TE BE'!$X$5+'TE BF'!$X$5+'TE CVA'!$X$5)*1</f>
        <v>-38.007996573099831</v>
      </c>
      <c r="V5" s="44">
        <f>('TE BE'!$Z$5+'TE BF'!$Z$5+'TE CVA'!$Z$5)*1</f>
        <v>6.2221680791317731</v>
      </c>
      <c r="X5" s="44">
        <v>2.3461863981627502</v>
      </c>
      <c r="Y5" s="44">
        <v>12.570464315151799</v>
      </c>
      <c r="Z5" s="44">
        <v>0</v>
      </c>
      <c r="AA5" s="44">
        <v>0</v>
      </c>
      <c r="AB5" s="44">
        <v>0</v>
      </c>
      <c r="AC5" s="44">
        <v>360.287817727949</v>
      </c>
      <c r="AD5" s="44">
        <v>4.88218908189664</v>
      </c>
      <c r="AE5" s="44">
        <v>4.3372772858134896</v>
      </c>
      <c r="AF5" s="44">
        <v>0</v>
      </c>
      <c r="AG5" s="44">
        <v>-17.956302959613801</v>
      </c>
      <c r="AH5" s="44">
        <v>5.5790877449544203</v>
      </c>
    </row>
    <row r="6" spans="1:34" ht="11.25" customHeight="1" x14ac:dyDescent="0.25">
      <c r="A6" s="141"/>
      <c r="B6" s="141"/>
      <c r="C6" s="141"/>
      <c r="D6" s="141"/>
      <c r="E6" s="141"/>
      <c r="F6" s="141"/>
      <c r="G6" s="46" t="s">
        <v>72</v>
      </c>
      <c r="H6" s="46" t="s">
        <v>70</v>
      </c>
      <c r="I6" s="46">
        <f>'MERCADO TE'!$U$3</f>
        <v>23356.773000000001</v>
      </c>
      <c r="J6" s="15"/>
      <c r="L6" s="44">
        <f>('TE BE'!$L$6+'TE BF'!$L$6+'TE CVA'!$L$6)*1</f>
        <v>2.4412324779949426</v>
      </c>
      <c r="M6" s="44">
        <f>('TE BE'!$M$6+'TE BF'!$M$6+'TE CVA'!$M$6)*1</f>
        <v>30.354391548386374</v>
      </c>
      <c r="N6" s="44">
        <f>('TE BE'!$N$6+'TE BF'!$N$6+'TE CVA'!$N$6)*1</f>
        <v>0</v>
      </c>
      <c r="O6" s="44">
        <f>('TE BE'!$O$6+'TE BF'!$O$6+'TE CVA'!$O$6)*1</f>
        <v>2.3960597620650557</v>
      </c>
      <c r="P6" s="44">
        <f>('TE BE'!$P$6+'TE BF'!$P$6+'TE CVA'!$P$6)*1</f>
        <v>-16.116674696650602</v>
      </c>
      <c r="Q6" s="44">
        <f>('TE BE'!$R$6+'TE BF'!$R$6+'TE CVA'!$R$6)*1</f>
        <v>202.94956530856868</v>
      </c>
      <c r="R6" s="44">
        <f>('TE BE'!$T$6+'TE BF'!$T$6+'TE CVA'!$T$6)*1</f>
        <v>7.319672278681999</v>
      </c>
      <c r="S6" s="44">
        <f>('TE BE'!$U$6+'TE BF'!$U$6+'TE CVA'!$U$6)*1</f>
        <v>4.3062353207929949</v>
      </c>
      <c r="T6" s="44">
        <f>('TE BE'!$V$6+'TE BF'!$V$6+'TE CVA'!$V$6)*1</f>
        <v>0</v>
      </c>
      <c r="U6" s="44">
        <f>('TE BE'!$X$6+'TE BF'!$X$6+'TE CVA'!$X$6)*1</f>
        <v>-23.270932373544532</v>
      </c>
      <c r="V6" s="44">
        <f>('TE BE'!$Z$6+'TE BF'!$Z$6+'TE CVA'!$Z$6)*1</f>
        <v>6.2221680791317731</v>
      </c>
      <c r="X6" s="44">
        <v>2.3461863981627502</v>
      </c>
      <c r="Y6" s="44">
        <v>12.570464315151799</v>
      </c>
      <c r="Z6" s="44">
        <v>0</v>
      </c>
      <c r="AA6" s="44">
        <v>0</v>
      </c>
      <c r="AB6" s="44">
        <v>0</v>
      </c>
      <c r="AC6" s="44">
        <v>209.46966146973801</v>
      </c>
      <c r="AD6" s="44">
        <v>4.88218908189664</v>
      </c>
      <c r="AE6" s="44">
        <v>4.3372772858134896</v>
      </c>
      <c r="AF6" s="44">
        <v>0</v>
      </c>
      <c r="AG6" s="44">
        <v>-10.977943563274399</v>
      </c>
      <c r="AH6" s="44">
        <v>5.5790877449544203</v>
      </c>
    </row>
    <row r="7" spans="1:34" ht="11.25" customHeight="1" x14ac:dyDescent="0.25">
      <c r="A7" s="141"/>
      <c r="B7" s="47" t="s">
        <v>73</v>
      </c>
      <c r="C7" s="47" t="s">
        <v>25</v>
      </c>
      <c r="D7" s="47" t="s">
        <v>25</v>
      </c>
      <c r="E7" s="47" t="s">
        <v>25</v>
      </c>
      <c r="F7" s="47" t="s">
        <v>25</v>
      </c>
      <c r="G7" s="46" t="s">
        <v>74</v>
      </c>
      <c r="H7" s="46" t="s">
        <v>70</v>
      </c>
      <c r="I7" s="46">
        <f>'MERCADO TE'!$U$4</f>
        <v>0</v>
      </c>
      <c r="J7" s="15"/>
      <c r="L7" s="44">
        <f>('TE BE'!$L$7+'TE BF'!$L$7+'TE CVA'!$L$7)*1</f>
        <v>2.4412324779949426</v>
      </c>
      <c r="M7" s="44">
        <f>('TE BE'!$M$7+'TE BF'!$M$7+'TE CVA'!$M$7)*1</f>
        <v>30.354391548386374</v>
      </c>
      <c r="N7" s="44">
        <f>('TE BE'!$N$7+'TE BF'!$N$7+'TE CVA'!$N$7)*1</f>
        <v>0</v>
      </c>
      <c r="O7" s="44">
        <f>('TE BE'!$O$7+'TE BF'!$O$7+'TE CVA'!$O$7)*1</f>
        <v>2.3960597620650557</v>
      </c>
      <c r="P7" s="44">
        <f>('TE BE'!$P$7+'TE BF'!$P$7+'TE CVA'!$P$7)*1</f>
        <v>-16.116674696650602</v>
      </c>
      <c r="Q7" s="44">
        <f>('TE BE'!$R$7+'TE BF'!$R$7+'TE CVA'!$R$7)*1</f>
        <v>215.12653922708279</v>
      </c>
      <c r="R7" s="44">
        <f>('TE BE'!$T$7+'TE BF'!$T$7+'TE CVA'!$T$7)*1</f>
        <v>7.319672278681999</v>
      </c>
      <c r="S7" s="44">
        <f>('TE BE'!$U$7+'TE BF'!$U$7+'TE CVA'!$U$7)*1</f>
        <v>4.3062353207929949</v>
      </c>
      <c r="T7" s="44">
        <f>('TE BE'!$V$7+'TE BF'!$V$7+'TE CVA'!$V$7)*1</f>
        <v>0</v>
      </c>
      <c r="U7" s="44">
        <f>('TE BE'!$X$7+'TE BF'!$X$7+'TE CVA'!$X$7)*1</f>
        <v>-24.499021056840807</v>
      </c>
      <c r="V7" s="44">
        <f>('TE BE'!$Z$7+'TE BF'!$Z$7+'TE CVA'!$Z$7)*1</f>
        <v>6.2221680791317731</v>
      </c>
      <c r="X7" s="44">
        <v>0</v>
      </c>
      <c r="Y7" s="44">
        <v>0</v>
      </c>
      <c r="Z7" s="44">
        <v>0</v>
      </c>
      <c r="AA7" s="44">
        <v>0</v>
      </c>
      <c r="AB7" s="44">
        <v>0</v>
      </c>
      <c r="AC7" s="44">
        <v>0</v>
      </c>
      <c r="AD7" s="44">
        <v>0</v>
      </c>
      <c r="AE7" s="44">
        <v>0</v>
      </c>
      <c r="AF7" s="44">
        <v>0</v>
      </c>
      <c r="AG7" s="44">
        <v>0</v>
      </c>
      <c r="AH7" s="44">
        <v>0</v>
      </c>
    </row>
    <row r="8" spans="1:34" ht="11.25" customHeight="1" x14ac:dyDescent="0.25">
      <c r="A8" s="141" t="s">
        <v>22</v>
      </c>
      <c r="B8" s="141" t="s">
        <v>69</v>
      </c>
      <c r="C8" s="141" t="s">
        <v>24</v>
      </c>
      <c r="D8" s="141" t="s">
        <v>24</v>
      </c>
      <c r="E8" s="141" t="s">
        <v>25</v>
      </c>
      <c r="F8" s="141" t="s">
        <v>25</v>
      </c>
      <c r="G8" s="46" t="s">
        <v>71</v>
      </c>
      <c r="H8" s="46" t="s">
        <v>70</v>
      </c>
      <c r="I8" s="46">
        <f>'MERCADO TE'!$U$5</f>
        <v>0</v>
      </c>
      <c r="J8" s="15"/>
      <c r="L8" s="44">
        <f>('TE BE'!$L$8+'TE BF'!$L$8+'TE CVA'!$L$8)*1</f>
        <v>2.4412324779949426</v>
      </c>
      <c r="M8" s="44">
        <f>('TE BE'!$M$8+'TE BF'!$M$8+'TE CVA'!$M$8)*1</f>
        <v>30.354391548386374</v>
      </c>
      <c r="N8" s="44">
        <f>('TE BE'!$N$8+'TE BF'!$N$8+'TE CVA'!$N$8)*1</f>
        <v>0</v>
      </c>
      <c r="O8" s="44">
        <f>('TE BE'!$O$8+'TE BF'!$O$8+'TE CVA'!$O$8)*1</f>
        <v>2.3960597620650557</v>
      </c>
      <c r="P8" s="44">
        <f>('TE BE'!$P$8+'TE BF'!$P$8+'TE CVA'!$P$8)*1</f>
        <v>-16.116674696650602</v>
      </c>
      <c r="Q8" s="44">
        <f>('TE BE'!$R$8+'TE BF'!$R$8+'TE CVA'!$R$8)*1</f>
        <v>349.07325233073811</v>
      </c>
      <c r="R8" s="44">
        <f>('TE BE'!$T$8+'TE BF'!$T$8+'TE CVA'!$T$8)*1</f>
        <v>7.319672278681999</v>
      </c>
      <c r="S8" s="44">
        <f>('TE BE'!$U$8+'TE BF'!$U$8+'TE CVA'!$U$8)*1</f>
        <v>4.3062353207929949</v>
      </c>
      <c r="T8" s="44">
        <f>('TE BE'!$V$8+'TE BF'!$V$8+'TE CVA'!$V$8)*1</f>
        <v>0</v>
      </c>
      <c r="U8" s="44">
        <f>('TE BE'!$X$8+'TE BF'!$X$8+'TE CVA'!$X$8)*1</f>
        <v>-38.007996573099831</v>
      </c>
      <c r="V8" s="44">
        <f>('TE BE'!$Z$8+'TE BF'!$Z$8+'TE CVA'!$Z$8)*1</f>
        <v>6.2221680791317731</v>
      </c>
      <c r="X8" s="44">
        <v>2.3461863981627502</v>
      </c>
      <c r="Y8" s="44">
        <v>12.570464315151799</v>
      </c>
      <c r="Z8" s="44">
        <v>0</v>
      </c>
      <c r="AA8" s="44">
        <v>0</v>
      </c>
      <c r="AB8" s="44">
        <v>0</v>
      </c>
      <c r="AC8" s="44">
        <v>360.287817727949</v>
      </c>
      <c r="AD8" s="44">
        <v>4.88218908189664</v>
      </c>
      <c r="AE8" s="44">
        <v>4.3372772858134896</v>
      </c>
      <c r="AF8" s="44">
        <v>0</v>
      </c>
      <c r="AG8" s="44">
        <v>-17.956302959613801</v>
      </c>
      <c r="AH8" s="44">
        <v>5.5790877449544203</v>
      </c>
    </row>
    <row r="9" spans="1:34" ht="11.25" customHeight="1" x14ac:dyDescent="0.25">
      <c r="A9" s="141"/>
      <c r="B9" s="141"/>
      <c r="C9" s="141"/>
      <c r="D9" s="141"/>
      <c r="E9" s="141"/>
      <c r="F9" s="141"/>
      <c r="G9" s="46" t="s">
        <v>83</v>
      </c>
      <c r="H9" s="46" t="s">
        <v>70</v>
      </c>
      <c r="I9" s="46">
        <f>'MERCADO TE'!$U$6</f>
        <v>0</v>
      </c>
      <c r="J9" s="15"/>
      <c r="L9" s="44">
        <f>('TE BE'!$L$9+'TE BF'!$L$9+'TE CVA'!$L$9)*1</f>
        <v>2.4412324779949426</v>
      </c>
      <c r="M9" s="44">
        <f>('TE BE'!$M$9+'TE BF'!$M$9+'TE CVA'!$M$9)*1</f>
        <v>30.354391548386374</v>
      </c>
      <c r="N9" s="44">
        <f>('TE BE'!$N$9+'TE BF'!$N$9+'TE CVA'!$N$9)*1</f>
        <v>0</v>
      </c>
      <c r="O9" s="44">
        <f>('TE BE'!$O$9+'TE BF'!$O$9+'TE CVA'!$O$9)*1</f>
        <v>2.3960597620650557</v>
      </c>
      <c r="P9" s="44">
        <f>('TE BE'!$P$9+'TE BF'!$P$9+'TE CVA'!$P$9)*1</f>
        <v>-16.116674696650602</v>
      </c>
      <c r="Q9" s="44">
        <f>('TE BE'!$R$9+'TE BF'!$R$9+'TE CVA'!$R$9)*1</f>
        <v>202.94956530856868</v>
      </c>
      <c r="R9" s="44">
        <f>('TE BE'!$T$9+'TE BF'!$T$9+'TE CVA'!$T$9)*1</f>
        <v>7.319672278681999</v>
      </c>
      <c r="S9" s="44">
        <f>('TE BE'!$U$9+'TE BF'!$U$9+'TE CVA'!$U$9)*1</f>
        <v>4.3062353207929949</v>
      </c>
      <c r="T9" s="44">
        <f>('TE BE'!$V$9+'TE BF'!$V$9+'TE CVA'!$V$9)*1</f>
        <v>0</v>
      </c>
      <c r="U9" s="44">
        <f>('TE BE'!$X$9+'TE BF'!$X$9+'TE CVA'!$X$9)*1</f>
        <v>-23.270932373544532</v>
      </c>
      <c r="V9" s="44">
        <f>('TE BE'!$Z$9+'TE BF'!$Z$9+'TE CVA'!$Z$9)*1</f>
        <v>6.2221680791317731</v>
      </c>
      <c r="X9" s="44">
        <v>2.3461863981627502</v>
      </c>
      <c r="Y9" s="44">
        <v>12.570464315151799</v>
      </c>
      <c r="Z9" s="44">
        <v>0</v>
      </c>
      <c r="AA9" s="44">
        <v>0</v>
      </c>
      <c r="AB9" s="44">
        <v>0</v>
      </c>
      <c r="AC9" s="44">
        <v>209.46966146973801</v>
      </c>
      <c r="AD9" s="44">
        <v>4.88218908189664</v>
      </c>
      <c r="AE9" s="44">
        <v>4.3372772858134896</v>
      </c>
      <c r="AF9" s="44">
        <v>0</v>
      </c>
      <c r="AG9" s="44">
        <v>-10.977943563274399</v>
      </c>
      <c r="AH9" s="44">
        <v>5.5790877449544203</v>
      </c>
    </row>
    <row r="10" spans="1:34" ht="11.25" customHeight="1" x14ac:dyDescent="0.25">
      <c r="A10" s="141"/>
      <c r="B10" s="141"/>
      <c r="C10" s="141"/>
      <c r="D10" s="141"/>
      <c r="E10" s="141"/>
      <c r="F10" s="141"/>
      <c r="G10" s="46" t="s">
        <v>72</v>
      </c>
      <c r="H10" s="46" t="s">
        <v>70</v>
      </c>
      <c r="I10" s="46">
        <f>'MERCADO TE'!$U$7</f>
        <v>0</v>
      </c>
      <c r="J10" s="15"/>
      <c r="L10" s="44">
        <f>('TE BE'!$L$10+'TE BF'!$L$10+'TE CVA'!$L$10)*1</f>
        <v>2.4412324779949426</v>
      </c>
      <c r="M10" s="44">
        <f>('TE BE'!$M$10+'TE BF'!$M$10+'TE CVA'!$M$10)*1</f>
        <v>30.354391548386374</v>
      </c>
      <c r="N10" s="44">
        <f>('TE BE'!$N$10+'TE BF'!$N$10+'TE CVA'!$N$10)*1</f>
        <v>0</v>
      </c>
      <c r="O10" s="44">
        <f>('TE BE'!$O$10+'TE BF'!$O$10+'TE CVA'!$O$10)*1</f>
        <v>2.3960597620650557</v>
      </c>
      <c r="P10" s="44">
        <f>('TE BE'!$P$10+'TE BF'!$P$10+'TE CVA'!$P$10)*1</f>
        <v>-16.116674696650602</v>
      </c>
      <c r="Q10" s="44">
        <f>('TE BE'!$R$10+'TE BF'!$R$10+'TE CVA'!$R$10)*1</f>
        <v>202.94956530856868</v>
      </c>
      <c r="R10" s="44">
        <f>('TE BE'!$T$10+'TE BF'!$T$10+'TE CVA'!$T$10)*1</f>
        <v>7.319672278681999</v>
      </c>
      <c r="S10" s="44">
        <f>('TE BE'!$U$10+'TE BF'!$U$10+'TE CVA'!$U$10)*1</f>
        <v>4.3062353207929949</v>
      </c>
      <c r="T10" s="44">
        <f>('TE BE'!$V$10+'TE BF'!$V$10+'TE CVA'!$V$10)*1</f>
        <v>0</v>
      </c>
      <c r="U10" s="44">
        <f>('TE BE'!$X$10+'TE BF'!$X$10+'TE CVA'!$X$10)*1</f>
        <v>-23.270932373544532</v>
      </c>
      <c r="V10" s="44">
        <f>('TE BE'!$Z$10+'TE BF'!$Z$10+'TE CVA'!$Z$10)*1</f>
        <v>6.2221680791317731</v>
      </c>
      <c r="X10" s="44">
        <v>2.3461863981627502</v>
      </c>
      <c r="Y10" s="44">
        <v>12.570464315151799</v>
      </c>
      <c r="Z10" s="44">
        <v>0</v>
      </c>
      <c r="AA10" s="44">
        <v>0</v>
      </c>
      <c r="AB10" s="44">
        <v>0</v>
      </c>
      <c r="AC10" s="44">
        <v>209.46966146973801</v>
      </c>
      <c r="AD10" s="44">
        <v>4.88218908189664</v>
      </c>
      <c r="AE10" s="44">
        <v>4.3372772858134896</v>
      </c>
      <c r="AF10" s="44">
        <v>0</v>
      </c>
      <c r="AG10" s="44">
        <v>-10.977943563274399</v>
      </c>
      <c r="AH10" s="44">
        <v>5.5790877449544203</v>
      </c>
    </row>
    <row r="11" spans="1:34" ht="11.25" customHeight="1" x14ac:dyDescent="0.25">
      <c r="A11" s="141"/>
      <c r="B11" s="141" t="s">
        <v>73</v>
      </c>
      <c r="C11" s="141" t="s">
        <v>24</v>
      </c>
      <c r="D11" s="47" t="s">
        <v>24</v>
      </c>
      <c r="E11" s="47" t="s">
        <v>25</v>
      </c>
      <c r="F11" s="47" t="s">
        <v>25</v>
      </c>
      <c r="G11" s="46" t="s">
        <v>74</v>
      </c>
      <c r="H11" s="46" t="s">
        <v>70</v>
      </c>
      <c r="I11" s="46">
        <f>'MERCADO TE'!$U$8</f>
        <v>20530.876000000004</v>
      </c>
      <c r="J11" s="15"/>
      <c r="L11" s="44">
        <f>('TE BE'!$L$11+'TE BF'!$L$11+'TE CVA'!$L$11)*1</f>
        <v>2.4412324779949426</v>
      </c>
      <c r="M11" s="44">
        <f>('TE BE'!$M$11+'TE BF'!$M$11+'TE CVA'!$M$11)*1</f>
        <v>30.354391548386374</v>
      </c>
      <c r="N11" s="44">
        <f>('TE BE'!$N$11+'TE BF'!$N$11+'TE CVA'!$N$11)*1</f>
        <v>0</v>
      </c>
      <c r="O11" s="44">
        <f>('TE BE'!$O$11+'TE BF'!$O$11+'TE CVA'!$O$11)*1</f>
        <v>2.3960597620650557</v>
      </c>
      <c r="P11" s="44">
        <f>('TE BE'!$P$11+'TE BF'!$P$11+'TE CVA'!$P$11)*1</f>
        <v>-16.116674696650602</v>
      </c>
      <c r="Q11" s="44">
        <f>('TE BE'!$R$11+'TE BF'!$R$11+'TE CVA'!$R$11)*1</f>
        <v>215.12653922708279</v>
      </c>
      <c r="R11" s="44">
        <f>('TE BE'!$T$11+'TE BF'!$T$11+'TE CVA'!$T$11)*1</f>
        <v>7.319672278681999</v>
      </c>
      <c r="S11" s="44">
        <f>('TE BE'!$U$11+'TE BF'!$U$11+'TE CVA'!$U$11)*1</f>
        <v>4.3062353207929949</v>
      </c>
      <c r="T11" s="44">
        <f>('TE BE'!$V$11+'TE BF'!$V$11+'TE CVA'!$V$11)*1</f>
        <v>0</v>
      </c>
      <c r="U11" s="44">
        <f>('TE BE'!$X$11+'TE BF'!$X$11+'TE CVA'!$X$11)*1</f>
        <v>-24.499021056840807</v>
      </c>
      <c r="V11" s="44">
        <f>('TE BE'!$Z$11+'TE BF'!$Z$11+'TE CVA'!$Z$11)*1</f>
        <v>6.2221680791317731</v>
      </c>
      <c r="X11" s="44">
        <v>2.3461863981627502</v>
      </c>
      <c r="Y11" s="44">
        <v>12.570464315151799</v>
      </c>
      <c r="Z11" s="44">
        <v>0</v>
      </c>
      <c r="AA11" s="44">
        <v>0</v>
      </c>
      <c r="AB11" s="44">
        <v>0</v>
      </c>
      <c r="AC11" s="44">
        <v>222.037841157922</v>
      </c>
      <c r="AD11" s="44">
        <v>4.88218908189664</v>
      </c>
      <c r="AE11" s="44">
        <v>4.3372772858134896</v>
      </c>
      <c r="AF11" s="44">
        <v>0</v>
      </c>
      <c r="AG11" s="44">
        <v>-11.5594735129693</v>
      </c>
      <c r="AH11" s="44">
        <v>5.5790877449544203</v>
      </c>
    </row>
    <row r="12" spans="1:34" ht="11.25" customHeight="1" x14ac:dyDescent="0.25">
      <c r="A12" s="141"/>
      <c r="B12" s="141"/>
      <c r="C12" s="141"/>
      <c r="D12" s="47" t="s">
        <v>28</v>
      </c>
      <c r="E12" s="47" t="s">
        <v>25</v>
      </c>
      <c r="F12" s="47" t="s">
        <v>25</v>
      </c>
      <c r="G12" s="46" t="s">
        <v>74</v>
      </c>
      <c r="H12" s="46" t="s">
        <v>70</v>
      </c>
      <c r="I12" s="46">
        <f>'MERCADO TE'!$U$9</f>
        <v>165.006</v>
      </c>
      <c r="J12" s="15"/>
      <c r="L12" s="44">
        <f>('TE BE'!$L$12+'TE BF'!$L$12+'TE CVA'!$L$12)*(1 - 0.65)</f>
        <v>0.85443136729822988</v>
      </c>
      <c r="M12" s="44">
        <f>('TE BE'!$M$12+'TE BF'!$M$12+'TE CVA'!$M$12)*(1 - 0.65)</f>
        <v>10.62403704193523</v>
      </c>
      <c r="N12" s="44">
        <f>('TE BE'!$N$12+'TE BF'!$N$12+'TE CVA'!$N$12)*(1 - 0.65)</f>
        <v>0</v>
      </c>
      <c r="O12" s="44">
        <f>('TE BE'!$O$12+'TE BF'!$O$12+'TE CVA'!$O$12)*(1 - 0.65)</f>
        <v>0.83862091672276939</v>
      </c>
      <c r="P12" s="44">
        <f>('TE BE'!$P$12+'TE BF'!$P$12+'TE CVA'!$P$12)*(1 - 0.65)</f>
        <v>-5.6408361438277099</v>
      </c>
      <c r="Q12" s="44">
        <f>('TE BE'!$R$12+'TE BF'!$R$12+'TE CVA'!$R$12)*(1 - 0.65)</f>
        <v>75.294288729478964</v>
      </c>
      <c r="R12" s="44">
        <f>('TE BE'!$T$12+'TE BF'!$T$12+'TE CVA'!$T$12)*(1 - 0.65)</f>
        <v>2.5618852975386996</v>
      </c>
      <c r="S12" s="44">
        <f>('TE BE'!$U$12+'TE BF'!$U$12+'TE CVA'!$U$12)*(1 - 0.65)</f>
        <v>1.5071823622775482</v>
      </c>
      <c r="T12" s="44">
        <f>('TE BE'!$V$12+'TE BF'!$V$12+'TE CVA'!$V$12)*(1 - 0.65)</f>
        <v>0</v>
      </c>
      <c r="U12" s="44">
        <f>('TE BE'!$X$12+'TE BF'!$X$12+'TE CVA'!$X$12)*(1 - 0.65)</f>
        <v>-8.5746573698942825</v>
      </c>
      <c r="V12" s="44">
        <f>('TE BE'!$Z$12+'TE BF'!$Z$12+'TE CVA'!$Z$12)*(1 - 0.65)</f>
        <v>2.1777588276961204</v>
      </c>
      <c r="X12" s="44">
        <v>0.82116523935696395</v>
      </c>
      <c r="Y12" s="44">
        <v>4.3996625103031297</v>
      </c>
      <c r="Z12" s="44">
        <v>0</v>
      </c>
      <c r="AA12" s="44">
        <v>0</v>
      </c>
      <c r="AB12" s="44">
        <v>0</v>
      </c>
      <c r="AC12" s="44">
        <v>77.713244405272803</v>
      </c>
      <c r="AD12" s="44">
        <v>1.70876617866382</v>
      </c>
      <c r="AE12" s="44">
        <v>1.5180470500347201</v>
      </c>
      <c r="AF12" s="44">
        <v>0</v>
      </c>
      <c r="AG12" s="44">
        <v>-4.0458157295392603</v>
      </c>
      <c r="AH12" s="44">
        <v>1.95268071073405</v>
      </c>
    </row>
    <row r="13" spans="1:34" ht="11.25" customHeight="1" x14ac:dyDescent="0.25">
      <c r="A13" s="141"/>
      <c r="B13" s="141"/>
      <c r="C13" s="141"/>
      <c r="D13" s="47" t="s">
        <v>29</v>
      </c>
      <c r="E13" s="47" t="s">
        <v>25</v>
      </c>
      <c r="F13" s="47" t="s">
        <v>25</v>
      </c>
      <c r="G13" s="46" t="s">
        <v>74</v>
      </c>
      <c r="H13" s="46" t="s">
        <v>70</v>
      </c>
      <c r="I13" s="46">
        <f>'MERCADO TE'!$U$10</f>
        <v>350.56600000000003</v>
      </c>
      <c r="J13" s="15"/>
      <c r="L13" s="44">
        <f>('TE BE'!$L$13+'TE BF'!$L$13+'TE CVA'!$L$13)*(1 - 0.4)</f>
        <v>1.4647394867969654</v>
      </c>
      <c r="M13" s="44">
        <f>('TE BE'!$M$13+'TE BF'!$M$13+'TE CVA'!$M$13)*(1 - 0.4)</f>
        <v>18.212634929031825</v>
      </c>
      <c r="N13" s="44">
        <f>('TE BE'!$N$13+'TE BF'!$N$13+'TE CVA'!$N$13)*(1 - 0.4)</f>
        <v>0</v>
      </c>
      <c r="O13" s="44">
        <f>('TE BE'!$O$13+'TE BF'!$O$13+'TE CVA'!$O$13)*(1 - 0.4)</f>
        <v>1.4376358572390333</v>
      </c>
      <c r="P13" s="44">
        <f>('TE BE'!$P$13+'TE BF'!$P$13+'TE CVA'!$P$13)*(1 - 0.4)</f>
        <v>-9.6700048179903604</v>
      </c>
      <c r="Q13" s="44">
        <f>('TE BE'!$R$13+'TE BF'!$R$13+'TE CVA'!$R$13)*(1 - 0.4)</f>
        <v>129.07592353624966</v>
      </c>
      <c r="R13" s="44">
        <f>('TE BE'!$T$13+'TE BF'!$T$13+'TE CVA'!$T$13)*(1 - 0.4)</f>
        <v>4.3918033672091994</v>
      </c>
      <c r="S13" s="44">
        <f>('TE BE'!$U$13+'TE BF'!$U$13+'TE CVA'!$U$13)*(1 - 0.4)</f>
        <v>2.5837411924757969</v>
      </c>
      <c r="T13" s="44">
        <f>('TE BE'!$V$13+'TE BF'!$V$13+'TE CVA'!$V$13)*(1 - 0.4)</f>
        <v>0</v>
      </c>
      <c r="U13" s="44">
        <f>('TE BE'!$X$13+'TE BF'!$X$13+'TE CVA'!$X$13)*(1 - 0.4)</f>
        <v>-14.699412634104483</v>
      </c>
      <c r="V13" s="44">
        <f>('TE BE'!$Z$13+'TE BF'!$Z$13+'TE CVA'!$Z$13)*(1 - 0.4)</f>
        <v>3.7333008474790637</v>
      </c>
      <c r="X13" s="44">
        <v>1.4077118388976499</v>
      </c>
      <c r="Y13" s="44">
        <v>7.5422785890910804</v>
      </c>
      <c r="Z13" s="44">
        <v>0</v>
      </c>
      <c r="AA13" s="44">
        <v>0</v>
      </c>
      <c r="AB13" s="44">
        <v>0</v>
      </c>
      <c r="AC13" s="44">
        <v>133.22270469475299</v>
      </c>
      <c r="AD13" s="44">
        <v>2.9293134491379802</v>
      </c>
      <c r="AE13" s="44">
        <v>2.6023663714880998</v>
      </c>
      <c r="AF13" s="44">
        <v>0</v>
      </c>
      <c r="AG13" s="44">
        <v>-6.9356841077815998</v>
      </c>
      <c r="AH13" s="44">
        <v>3.3474526469726502</v>
      </c>
    </row>
    <row r="14" spans="1:34" ht="11.25" customHeight="1" x14ac:dyDescent="0.25">
      <c r="A14" s="141"/>
      <c r="B14" s="141"/>
      <c r="C14" s="141"/>
      <c r="D14" s="47" t="s">
        <v>30</v>
      </c>
      <c r="E14" s="47" t="s">
        <v>25</v>
      </c>
      <c r="F14" s="47" t="s">
        <v>25</v>
      </c>
      <c r="G14" s="46" t="s">
        <v>74</v>
      </c>
      <c r="H14" s="46" t="s">
        <v>70</v>
      </c>
      <c r="I14" s="46">
        <f>'MERCADO TE'!$U$11</f>
        <v>338.63600000000002</v>
      </c>
      <c r="J14" s="15"/>
      <c r="L14" s="44">
        <f>('TE BE'!$L$14+'TE BF'!$L$14+'TE CVA'!$L$14)*(1 - 0.1)</f>
        <v>2.1971092301954482</v>
      </c>
      <c r="M14" s="44">
        <f>('TE BE'!$M$14+'TE BF'!$M$14+'TE CVA'!$M$14)*(1 - 0.1)</f>
        <v>27.318952393547736</v>
      </c>
      <c r="N14" s="44">
        <f>('TE BE'!$N$14+'TE BF'!$N$14+'TE CVA'!$N$14)*(1 - 0.1)</f>
        <v>0</v>
      </c>
      <c r="O14" s="44">
        <f>('TE BE'!$O$14+'TE BF'!$O$14+'TE CVA'!$O$14)*(1 - 0.1)</f>
        <v>2.1564537858585502</v>
      </c>
      <c r="P14" s="44">
        <f>('TE BE'!$P$14+'TE BF'!$P$14+'TE CVA'!$P$14)*(1 - 0.1)</f>
        <v>-14.505007226985542</v>
      </c>
      <c r="Q14" s="44">
        <f>('TE BE'!$R$14+'TE BF'!$R$14+'TE CVA'!$R$14)*(1 - 0.1)</f>
        <v>193.61388530437452</v>
      </c>
      <c r="R14" s="44">
        <f>('TE BE'!$T$14+'TE BF'!$T$14+'TE CVA'!$T$14)*(1 - 0.1)</f>
        <v>6.5877050508137991</v>
      </c>
      <c r="S14" s="44">
        <f>('TE BE'!$U$14+'TE BF'!$U$14+'TE CVA'!$U$14)*(1 - 0.1)</f>
        <v>3.8756117887136954</v>
      </c>
      <c r="T14" s="44">
        <f>('TE BE'!$V$14+'TE BF'!$V$14+'TE CVA'!$V$14)*(1 - 0.1)</f>
        <v>0</v>
      </c>
      <c r="U14" s="44">
        <f>('TE BE'!$X$14+'TE BF'!$X$14+'TE CVA'!$X$14)*(1 - 0.1)</f>
        <v>-22.049118951156725</v>
      </c>
      <c r="V14" s="44">
        <f>('TE BE'!$Z$14+'TE BF'!$Z$14+'TE CVA'!$Z$14)*(1 - 0.1)</f>
        <v>5.5999512712185959</v>
      </c>
      <c r="X14" s="44">
        <v>2.1115677583464798</v>
      </c>
      <c r="Y14" s="44">
        <v>11.3134178836366</v>
      </c>
      <c r="Z14" s="44">
        <v>0</v>
      </c>
      <c r="AA14" s="44">
        <v>0</v>
      </c>
      <c r="AB14" s="44">
        <v>0</v>
      </c>
      <c r="AC14" s="44">
        <v>199.83405704213001</v>
      </c>
      <c r="AD14" s="44">
        <v>4.3939701737069798</v>
      </c>
      <c r="AE14" s="44">
        <v>3.9035495572321399</v>
      </c>
      <c r="AF14" s="44">
        <v>0</v>
      </c>
      <c r="AG14" s="44">
        <v>-10.403526161672399</v>
      </c>
      <c r="AH14" s="44">
        <v>5.02117897045897</v>
      </c>
    </row>
    <row r="15" spans="1:34" ht="11.25" customHeight="1" x14ac:dyDescent="0.25">
      <c r="A15" s="141"/>
      <c r="B15" s="141"/>
      <c r="C15" s="141"/>
      <c r="D15" s="47" t="s">
        <v>31</v>
      </c>
      <c r="E15" s="47" t="s">
        <v>25</v>
      </c>
      <c r="F15" s="47" t="s">
        <v>25</v>
      </c>
      <c r="G15" s="46" t="s">
        <v>74</v>
      </c>
      <c r="H15" s="46" t="s">
        <v>70</v>
      </c>
      <c r="I15" s="46">
        <f>'MERCADO TE'!$U$12</f>
        <v>113.66699999999999</v>
      </c>
      <c r="J15" s="15"/>
      <c r="L15" s="44">
        <f>('TE BE'!$L$15+'TE BF'!$L$15+'TE CVA'!$L$15)*1</f>
        <v>2.4412324779949426</v>
      </c>
      <c r="M15" s="44">
        <f>('TE BE'!$M$15+'TE BF'!$M$15+'TE CVA'!$M$15)*1</f>
        <v>30.354391548386374</v>
      </c>
      <c r="N15" s="44">
        <f>('TE BE'!$N$15+'TE BF'!$N$15+'TE CVA'!$N$15)*1</f>
        <v>0</v>
      </c>
      <c r="O15" s="44">
        <f>('TE BE'!$O$15+'TE BF'!$O$15+'TE CVA'!$O$15)*1</f>
        <v>2.3960597620650557</v>
      </c>
      <c r="P15" s="44">
        <f>('TE BE'!$P$15+'TE BF'!$P$15+'TE CVA'!$P$15)*1</f>
        <v>-16.116674696650602</v>
      </c>
      <c r="Q15" s="44">
        <f>('TE BE'!$R$15+'TE BF'!$R$15+'TE CVA'!$R$15)*1</f>
        <v>215.12653922708279</v>
      </c>
      <c r="R15" s="44">
        <f>('TE BE'!$T$15+'TE BF'!$T$15+'TE CVA'!$T$15)*1</f>
        <v>7.319672278681999</v>
      </c>
      <c r="S15" s="44">
        <f>('TE BE'!$U$15+'TE BF'!$U$15+'TE CVA'!$U$15)*1</f>
        <v>4.3062353207929949</v>
      </c>
      <c r="T15" s="44">
        <f>('TE BE'!$V$15+'TE BF'!$V$15+'TE CVA'!$V$15)*1</f>
        <v>0</v>
      </c>
      <c r="U15" s="44">
        <f>('TE BE'!$X$15+'TE BF'!$X$15+'TE CVA'!$X$15)*1</f>
        <v>-24.499021056840807</v>
      </c>
      <c r="V15" s="44">
        <f>('TE BE'!$Z$15+'TE BF'!$Z$15+'TE CVA'!$Z$15)*1</f>
        <v>6.2221680791317731</v>
      </c>
      <c r="X15" s="44">
        <v>2.3461863981627502</v>
      </c>
      <c r="Y15" s="44">
        <v>12.570464315151799</v>
      </c>
      <c r="Z15" s="44">
        <v>0</v>
      </c>
      <c r="AA15" s="44">
        <v>0</v>
      </c>
      <c r="AB15" s="44">
        <v>0</v>
      </c>
      <c r="AC15" s="44">
        <v>222.037841157922</v>
      </c>
      <c r="AD15" s="44">
        <v>4.88218908189664</v>
      </c>
      <c r="AE15" s="44">
        <v>4.3372772858134896</v>
      </c>
      <c r="AF15" s="44">
        <v>0</v>
      </c>
      <c r="AG15" s="44">
        <v>-11.5594735129693</v>
      </c>
      <c r="AH15" s="44">
        <v>5.5790877449544203</v>
      </c>
    </row>
    <row r="16" spans="1:34" ht="11.25" customHeight="1" x14ac:dyDescent="0.25">
      <c r="A16" s="141"/>
      <c r="B16" s="141" t="s">
        <v>84</v>
      </c>
      <c r="C16" s="141" t="s">
        <v>24</v>
      </c>
      <c r="D16" s="47" t="s">
        <v>24</v>
      </c>
      <c r="E16" s="47" t="s">
        <v>25</v>
      </c>
      <c r="F16" s="47" t="s">
        <v>25</v>
      </c>
      <c r="G16" s="46" t="s">
        <v>74</v>
      </c>
      <c r="H16" s="46" t="s">
        <v>70</v>
      </c>
      <c r="I16" s="46">
        <f>'MERCADO TE'!$U$13</f>
        <v>0</v>
      </c>
      <c r="J16" s="15"/>
      <c r="L16" s="44">
        <f>('TE BE'!$L$16+'TE BF'!$L$16+'TE CVA'!$L$16)*1</f>
        <v>2.4412324779949426</v>
      </c>
      <c r="M16" s="44">
        <f>('TE BE'!$M$16+'TE BF'!$M$16+'TE CVA'!$M$16)*1</f>
        <v>30.354391548386374</v>
      </c>
      <c r="N16" s="44">
        <f>('TE BE'!$N$16+'TE BF'!$N$16+'TE CVA'!$N$16)*1</f>
        <v>0</v>
      </c>
      <c r="O16" s="44">
        <f>('TE BE'!$O$16+'TE BF'!$O$16+'TE CVA'!$O$16)*1</f>
        <v>2.3960597620650557</v>
      </c>
      <c r="P16" s="44">
        <f>('TE BE'!$P$16+'TE BF'!$P$16+'TE CVA'!$P$16)*1</f>
        <v>-16.116674696650602</v>
      </c>
      <c r="Q16" s="44">
        <f>('TE BE'!$R$16+'TE BF'!$R$16+'TE CVA'!$R$16)*1</f>
        <v>215.12653922708279</v>
      </c>
      <c r="R16" s="44">
        <f>('TE BE'!$T$16+'TE BF'!$T$16+'TE CVA'!$T$16)*1</f>
        <v>7.319672278681999</v>
      </c>
      <c r="S16" s="44">
        <f>('TE BE'!$U$16+'TE BF'!$U$16+'TE CVA'!$U$16)*1</f>
        <v>4.3062353207929949</v>
      </c>
      <c r="T16" s="44">
        <f>('TE BE'!$V$16+'TE BF'!$V$16+'TE CVA'!$V$16)*1</f>
        <v>0</v>
      </c>
      <c r="U16" s="44">
        <f>('TE BE'!$X$16+'TE BF'!$X$16+'TE CVA'!$X$16)*1</f>
        <v>-24.499021056840807</v>
      </c>
      <c r="V16" s="44">
        <f>('TE BE'!$Z$16+'TE BF'!$Z$16+'TE CVA'!$Z$16)*1</f>
        <v>6.2221680791317731</v>
      </c>
      <c r="X16" s="44">
        <v>2.3461863981627502</v>
      </c>
      <c r="Y16" s="44">
        <v>12.570464315151799</v>
      </c>
      <c r="Z16" s="44">
        <v>0</v>
      </c>
      <c r="AA16" s="44">
        <v>0</v>
      </c>
      <c r="AB16" s="44">
        <v>0</v>
      </c>
      <c r="AC16" s="44">
        <v>222.037841157922</v>
      </c>
      <c r="AD16" s="44">
        <v>4.88218908189664</v>
      </c>
      <c r="AE16" s="44">
        <v>4.3372772858134896</v>
      </c>
      <c r="AF16" s="44">
        <v>0</v>
      </c>
      <c r="AG16" s="44">
        <v>-11.5594735129693</v>
      </c>
      <c r="AH16" s="44">
        <v>5.5790877449544203</v>
      </c>
    </row>
    <row r="17" spans="1:34" ht="11.25" customHeight="1" x14ac:dyDescent="0.25">
      <c r="A17" s="141"/>
      <c r="B17" s="141"/>
      <c r="C17" s="141"/>
      <c r="D17" s="47" t="s">
        <v>28</v>
      </c>
      <c r="E17" s="47" t="s">
        <v>25</v>
      </c>
      <c r="F17" s="47" t="s">
        <v>25</v>
      </c>
      <c r="G17" s="46" t="s">
        <v>74</v>
      </c>
      <c r="H17" s="46" t="s">
        <v>70</v>
      </c>
      <c r="I17" s="46">
        <f>'MERCADO TE'!$U$14</f>
        <v>0</v>
      </c>
      <c r="J17" s="15"/>
      <c r="L17" s="44">
        <f>('TE BE'!$L$17+'TE BF'!$L$17+'TE CVA'!$L$17)*(1 - 0.65)</f>
        <v>0.85443136729822988</v>
      </c>
      <c r="M17" s="44">
        <f>('TE BE'!$M$17+'TE BF'!$M$17+'TE CVA'!$M$17)*(1 - 0.65)</f>
        <v>10.62403704193523</v>
      </c>
      <c r="N17" s="44">
        <f>('TE BE'!$N$17+'TE BF'!$N$17+'TE CVA'!$N$17)*(1 - 0.65)</f>
        <v>0</v>
      </c>
      <c r="O17" s="44">
        <f>('TE BE'!$O$17+'TE BF'!$O$17+'TE CVA'!$O$17)*(1 - 0.65)</f>
        <v>0.83862091672276939</v>
      </c>
      <c r="P17" s="44">
        <f>('TE BE'!$P$17+'TE BF'!$P$17+'TE CVA'!$P$17)*(1 - 0.65)</f>
        <v>-5.6408361438277099</v>
      </c>
      <c r="Q17" s="44">
        <f>('TE BE'!$R$17+'TE BF'!$R$17+'TE CVA'!$R$17)*(1 - 0.65)</f>
        <v>75.294288729478964</v>
      </c>
      <c r="R17" s="44">
        <f>('TE BE'!$T$17+'TE BF'!$T$17+'TE CVA'!$T$17)*(1 - 0.65)</f>
        <v>2.5618852975386996</v>
      </c>
      <c r="S17" s="44">
        <f>('TE BE'!$U$17+'TE BF'!$U$17+'TE CVA'!$U$17)*(1 - 0.65)</f>
        <v>1.5071823622775482</v>
      </c>
      <c r="T17" s="44">
        <f>('TE BE'!$V$17+'TE BF'!$V$17+'TE CVA'!$V$17)*(1 - 0.65)</f>
        <v>0</v>
      </c>
      <c r="U17" s="44">
        <f>('TE BE'!$X$17+'TE BF'!$X$17+'TE CVA'!$X$17)*(1 - 0.65)</f>
        <v>-8.5746573698942825</v>
      </c>
      <c r="V17" s="44">
        <f>('TE BE'!$Z$17+'TE BF'!$Z$17+'TE CVA'!$Z$17)*(1 - 0.65)</f>
        <v>2.1777588276961204</v>
      </c>
      <c r="X17" s="44">
        <v>0.82116523935696395</v>
      </c>
      <c r="Y17" s="44">
        <v>4.3996625103031297</v>
      </c>
      <c r="Z17" s="44">
        <v>0</v>
      </c>
      <c r="AA17" s="44">
        <v>0</v>
      </c>
      <c r="AB17" s="44">
        <v>0</v>
      </c>
      <c r="AC17" s="44">
        <v>77.713244405272803</v>
      </c>
      <c r="AD17" s="44">
        <v>1.70876617866382</v>
      </c>
      <c r="AE17" s="44">
        <v>1.5180470500347201</v>
      </c>
      <c r="AF17" s="44">
        <v>0</v>
      </c>
      <c r="AG17" s="44">
        <v>-4.0458157295392603</v>
      </c>
      <c r="AH17" s="44">
        <v>1.95268071073405</v>
      </c>
    </row>
    <row r="18" spans="1:34" ht="11.25" customHeight="1" x14ac:dyDescent="0.25">
      <c r="A18" s="141"/>
      <c r="B18" s="141"/>
      <c r="C18" s="141"/>
      <c r="D18" s="47" t="s">
        <v>29</v>
      </c>
      <c r="E18" s="47" t="s">
        <v>25</v>
      </c>
      <c r="F18" s="47" t="s">
        <v>25</v>
      </c>
      <c r="G18" s="46" t="s">
        <v>74</v>
      </c>
      <c r="H18" s="46" t="s">
        <v>70</v>
      </c>
      <c r="I18" s="46">
        <f>'MERCADO TE'!$U$15</f>
        <v>0</v>
      </c>
      <c r="J18" s="15"/>
      <c r="L18" s="44">
        <f>('TE BE'!$L$18+'TE BF'!$L$18+'TE CVA'!$L$18)*(1 - 0.4)</f>
        <v>1.4647394867969654</v>
      </c>
      <c r="M18" s="44">
        <f>('TE BE'!$M$18+'TE BF'!$M$18+'TE CVA'!$M$18)*(1 - 0.4)</f>
        <v>18.212634929031825</v>
      </c>
      <c r="N18" s="44">
        <f>('TE BE'!$N$18+'TE BF'!$N$18+'TE CVA'!$N$18)*(1 - 0.4)</f>
        <v>0</v>
      </c>
      <c r="O18" s="44">
        <f>('TE BE'!$O$18+'TE BF'!$O$18+'TE CVA'!$O$18)*(1 - 0.4)</f>
        <v>1.4376358572390333</v>
      </c>
      <c r="P18" s="44">
        <f>('TE BE'!$P$18+'TE BF'!$P$18+'TE CVA'!$P$18)*(1 - 0.4)</f>
        <v>-9.6700048179903604</v>
      </c>
      <c r="Q18" s="44">
        <f>('TE BE'!$R$18+'TE BF'!$R$18+'TE CVA'!$R$18)*(1 - 0.4)</f>
        <v>129.07592353624966</v>
      </c>
      <c r="R18" s="44">
        <f>('TE BE'!$T$18+'TE BF'!$T$18+'TE CVA'!$T$18)*(1 - 0.4)</f>
        <v>4.3918033672091994</v>
      </c>
      <c r="S18" s="44">
        <f>('TE BE'!$U$18+'TE BF'!$U$18+'TE CVA'!$U$18)*(1 - 0.4)</f>
        <v>2.5837411924757969</v>
      </c>
      <c r="T18" s="44">
        <f>('TE BE'!$V$18+'TE BF'!$V$18+'TE CVA'!$V$18)*(1 - 0.4)</f>
        <v>0</v>
      </c>
      <c r="U18" s="44">
        <f>('TE BE'!$X$18+'TE BF'!$X$18+'TE CVA'!$X$18)*(1 - 0.4)</f>
        <v>-14.699412634104483</v>
      </c>
      <c r="V18" s="44">
        <f>('TE BE'!$Z$18+'TE BF'!$Z$18+'TE CVA'!$Z$18)*(1 - 0.4)</f>
        <v>3.7333008474790637</v>
      </c>
      <c r="X18" s="44">
        <v>1.4077118388976499</v>
      </c>
      <c r="Y18" s="44">
        <v>7.5422785890910804</v>
      </c>
      <c r="Z18" s="44">
        <v>0</v>
      </c>
      <c r="AA18" s="44">
        <v>0</v>
      </c>
      <c r="AB18" s="44">
        <v>0</v>
      </c>
      <c r="AC18" s="44">
        <v>133.22270469475299</v>
      </c>
      <c r="AD18" s="44">
        <v>2.9293134491379802</v>
      </c>
      <c r="AE18" s="44">
        <v>2.6023663714880998</v>
      </c>
      <c r="AF18" s="44">
        <v>0</v>
      </c>
      <c r="AG18" s="44">
        <v>-6.9356841077815998</v>
      </c>
      <c r="AH18" s="44">
        <v>3.3474526469726502</v>
      </c>
    </row>
    <row r="19" spans="1:34" ht="11.25" customHeight="1" x14ac:dyDescent="0.25">
      <c r="A19" s="141"/>
      <c r="B19" s="141"/>
      <c r="C19" s="141"/>
      <c r="D19" s="47" t="s">
        <v>30</v>
      </c>
      <c r="E19" s="47" t="s">
        <v>25</v>
      </c>
      <c r="F19" s="47" t="s">
        <v>25</v>
      </c>
      <c r="G19" s="46" t="s">
        <v>74</v>
      </c>
      <c r="H19" s="46" t="s">
        <v>70</v>
      </c>
      <c r="I19" s="46">
        <f>'MERCADO TE'!$U$16</f>
        <v>0</v>
      </c>
      <c r="J19" s="15"/>
      <c r="L19" s="44">
        <f>('TE BE'!$L$19+'TE BF'!$L$19+'TE CVA'!$L$19)*(1 - 0.1)</f>
        <v>2.1971092301954482</v>
      </c>
      <c r="M19" s="44">
        <f>('TE BE'!$M$19+'TE BF'!$M$19+'TE CVA'!$M$19)*(1 - 0.1)</f>
        <v>27.318952393547736</v>
      </c>
      <c r="N19" s="44">
        <f>('TE BE'!$N$19+'TE BF'!$N$19+'TE CVA'!$N$19)*(1 - 0.1)</f>
        <v>0</v>
      </c>
      <c r="O19" s="44">
        <f>('TE BE'!$O$19+'TE BF'!$O$19+'TE CVA'!$O$19)*(1 - 0.1)</f>
        <v>2.1564537858585502</v>
      </c>
      <c r="P19" s="44">
        <f>('TE BE'!$P$19+'TE BF'!$P$19+'TE CVA'!$P$19)*(1 - 0.1)</f>
        <v>-14.505007226985542</v>
      </c>
      <c r="Q19" s="44">
        <f>('TE BE'!$R$19+'TE BF'!$R$19+'TE CVA'!$R$19)*(1 - 0.1)</f>
        <v>193.61388530437452</v>
      </c>
      <c r="R19" s="44">
        <f>('TE BE'!$T$19+'TE BF'!$T$19+'TE CVA'!$T$19)*(1 - 0.1)</f>
        <v>6.5877050508137991</v>
      </c>
      <c r="S19" s="44">
        <f>('TE BE'!$U$19+'TE BF'!$U$19+'TE CVA'!$U$19)*(1 - 0.1)</f>
        <v>3.8756117887136954</v>
      </c>
      <c r="T19" s="44">
        <f>('TE BE'!$V$19+'TE BF'!$V$19+'TE CVA'!$V$19)*(1 - 0.1)</f>
        <v>0</v>
      </c>
      <c r="U19" s="44">
        <f>('TE BE'!$X$19+'TE BF'!$X$19+'TE CVA'!$X$19)*(1 - 0.1)</f>
        <v>-22.049118951156725</v>
      </c>
      <c r="V19" s="44">
        <f>('TE BE'!$Z$19+'TE BF'!$Z$19+'TE CVA'!$Z$19)*(1 - 0.1)</f>
        <v>5.5999512712185959</v>
      </c>
      <c r="X19" s="44">
        <v>2.1115677583464798</v>
      </c>
      <c r="Y19" s="44">
        <v>11.3134178836366</v>
      </c>
      <c r="Z19" s="44">
        <v>0</v>
      </c>
      <c r="AA19" s="44">
        <v>0</v>
      </c>
      <c r="AB19" s="44">
        <v>0</v>
      </c>
      <c r="AC19" s="44">
        <v>199.83405704213001</v>
      </c>
      <c r="AD19" s="44">
        <v>4.3939701737069798</v>
      </c>
      <c r="AE19" s="44">
        <v>3.9035495572321399</v>
      </c>
      <c r="AF19" s="44">
        <v>0</v>
      </c>
      <c r="AG19" s="44">
        <v>-10.403526161672399</v>
      </c>
      <c r="AH19" s="44">
        <v>5.02117897045897</v>
      </c>
    </row>
    <row r="20" spans="1:34" ht="11.25" customHeight="1" x14ac:dyDescent="0.25">
      <c r="A20" s="141"/>
      <c r="B20" s="141"/>
      <c r="C20" s="141"/>
      <c r="D20" s="47" t="s">
        <v>31</v>
      </c>
      <c r="E20" s="47" t="s">
        <v>25</v>
      </c>
      <c r="F20" s="47" t="s">
        <v>25</v>
      </c>
      <c r="G20" s="46" t="s">
        <v>74</v>
      </c>
      <c r="H20" s="46" t="s">
        <v>70</v>
      </c>
      <c r="I20" s="46">
        <f>'MERCADO TE'!$U$17</f>
        <v>0</v>
      </c>
      <c r="J20" s="15"/>
      <c r="L20" s="44">
        <f>('TE BE'!$L$20+'TE BF'!$L$20+'TE CVA'!$L$20)*1</f>
        <v>2.4412324779949426</v>
      </c>
      <c r="M20" s="44">
        <f>('TE BE'!$M$20+'TE BF'!$M$20+'TE CVA'!$M$20)*1</f>
        <v>30.354391548386374</v>
      </c>
      <c r="N20" s="44">
        <f>('TE BE'!$N$20+'TE BF'!$N$20+'TE CVA'!$N$20)*1</f>
        <v>0</v>
      </c>
      <c r="O20" s="44">
        <f>('TE BE'!$O$20+'TE BF'!$O$20+'TE CVA'!$O$20)*1</f>
        <v>2.3960597620650557</v>
      </c>
      <c r="P20" s="44">
        <f>('TE BE'!$P$20+'TE BF'!$P$20+'TE CVA'!$P$20)*1</f>
        <v>-16.116674696650602</v>
      </c>
      <c r="Q20" s="44">
        <f>('TE BE'!$R$20+'TE BF'!$R$20+'TE CVA'!$R$20)*1</f>
        <v>215.12653922708279</v>
      </c>
      <c r="R20" s="44">
        <f>('TE BE'!$T$20+'TE BF'!$T$20+'TE CVA'!$T$20)*1</f>
        <v>7.319672278681999</v>
      </c>
      <c r="S20" s="44">
        <f>('TE BE'!$U$20+'TE BF'!$U$20+'TE CVA'!$U$20)*1</f>
        <v>4.3062353207929949</v>
      </c>
      <c r="T20" s="44">
        <f>('TE BE'!$V$20+'TE BF'!$V$20+'TE CVA'!$V$20)*1</f>
        <v>0</v>
      </c>
      <c r="U20" s="44">
        <f>('TE BE'!$X$20+'TE BF'!$X$20+'TE CVA'!$X$20)*1</f>
        <v>-24.499021056840807</v>
      </c>
      <c r="V20" s="44">
        <f>('TE BE'!$Z$20+'TE BF'!$Z$20+'TE CVA'!$Z$20)*1</f>
        <v>6.2221680791317731</v>
      </c>
      <c r="X20" s="44">
        <v>2.3461863981627502</v>
      </c>
      <c r="Y20" s="44">
        <v>12.570464315151799</v>
      </c>
      <c r="Z20" s="44">
        <v>0</v>
      </c>
      <c r="AA20" s="44">
        <v>0</v>
      </c>
      <c r="AB20" s="44">
        <v>0</v>
      </c>
      <c r="AC20" s="44">
        <v>222.037841157922</v>
      </c>
      <c r="AD20" s="44">
        <v>4.88218908189664</v>
      </c>
      <c r="AE20" s="44">
        <v>4.3372772858134896</v>
      </c>
      <c r="AF20" s="44">
        <v>0</v>
      </c>
      <c r="AG20" s="44">
        <v>-11.5594735129693</v>
      </c>
      <c r="AH20" s="44">
        <v>5.5790877449544203</v>
      </c>
    </row>
    <row r="21" spans="1:34" ht="11.25" customHeight="1" x14ac:dyDescent="0.25">
      <c r="A21" s="141" t="s">
        <v>39</v>
      </c>
      <c r="B21" s="141" t="s">
        <v>69</v>
      </c>
      <c r="C21" s="141" t="s">
        <v>40</v>
      </c>
      <c r="D21" s="141" t="s">
        <v>25</v>
      </c>
      <c r="E21" s="141" t="s">
        <v>25</v>
      </c>
      <c r="F21" s="141" t="s">
        <v>25</v>
      </c>
      <c r="G21" s="46" t="s">
        <v>71</v>
      </c>
      <c r="H21" s="46" t="s">
        <v>70</v>
      </c>
      <c r="I21" s="46">
        <f>'MERCADO TE'!$U$18</f>
        <v>0</v>
      </c>
      <c r="J21" s="15"/>
      <c r="L21" s="44">
        <f>('TE BE'!$L$21+'TE BF'!$L$21+'TE CVA'!$L$21)*(1 - CUSTOS!$M$38)</f>
        <v>2.2947585293152457</v>
      </c>
      <c r="M21" s="44">
        <f>('TE BE'!$M$21+'TE BF'!$M$21+'TE CVA'!$M$21)*(1 - CUSTOS!$M$38)</f>
        <v>28.533128055483189</v>
      </c>
      <c r="N21" s="44">
        <f>('TE BE'!$N$21+'TE BF'!$N$21+'TE CVA'!$N$21)*(1 - CUSTOS!$M$38)</f>
        <v>0</v>
      </c>
      <c r="O21" s="44">
        <f>('TE BE'!$O$21+'TE BF'!$O$21+'TE CVA'!$O$21)*(1 - CUSTOS!$M$38)</f>
        <v>2.2522961763411522</v>
      </c>
      <c r="P21" s="44">
        <f>('TE BE'!$P$21+'TE BF'!$P$21+'TE CVA'!$P$21)*(1 - CUSTOS!$M$38)</f>
        <v>-15.149674214851565</v>
      </c>
      <c r="Q21" s="44">
        <f>('TE BE'!$R$21+'TE BF'!$R$21+'TE CVA'!$R$21)*(1 - CUSTOS!$M$38)</f>
        <v>328.12885719089383</v>
      </c>
      <c r="R21" s="44">
        <f>('TE BE'!$T$21+'TE BF'!$T$21+'TE CVA'!$T$21)*(1 - CUSTOS!$M$38)</f>
        <v>6.880491941961079</v>
      </c>
      <c r="S21" s="44">
        <f>('TE BE'!$U$21+'TE BF'!$U$21+'TE CVA'!$U$21)*(1 - CUSTOS!$M$38)</f>
        <v>4.0478612015454152</v>
      </c>
      <c r="T21" s="44">
        <f>('TE BE'!$V$21+'TE BF'!$V$21+'TE CVA'!$V$21)*(1 - CUSTOS!$M$38)</f>
        <v>0</v>
      </c>
      <c r="U21" s="44">
        <f>('TE BE'!$X$21+'TE BF'!$X$21+'TE CVA'!$X$21)*(1 - CUSTOS!$M$38)</f>
        <v>-35.727516778713841</v>
      </c>
      <c r="V21" s="44">
        <f>('TE BE'!$Z$21+'TE BF'!$Z$21+'TE CVA'!$Z$21)*(1 - CUSTOS!$M$38)</f>
        <v>5.8488379943838664</v>
      </c>
      <c r="X21" s="44">
        <v>2.0646440303832199</v>
      </c>
      <c r="Y21" s="44">
        <v>11.0620085973336</v>
      </c>
      <c r="Z21" s="44">
        <v>0</v>
      </c>
      <c r="AA21" s="44">
        <v>0</v>
      </c>
      <c r="AB21" s="44">
        <v>0</v>
      </c>
      <c r="AC21" s="44">
        <v>317.05327960059498</v>
      </c>
      <c r="AD21" s="44">
        <v>4.29632639206904</v>
      </c>
      <c r="AE21" s="44">
        <v>3.8168040115158699</v>
      </c>
      <c r="AF21" s="44">
        <v>0</v>
      </c>
      <c r="AG21" s="44">
        <v>-15.801546604460199</v>
      </c>
      <c r="AH21" s="44">
        <v>4.9095972155598897</v>
      </c>
    </row>
    <row r="22" spans="1:34" ht="11.25" customHeight="1" x14ac:dyDescent="0.25">
      <c r="A22" s="141"/>
      <c r="B22" s="141"/>
      <c r="C22" s="141"/>
      <c r="D22" s="141"/>
      <c r="E22" s="141"/>
      <c r="F22" s="141"/>
      <c r="G22" s="46" t="s">
        <v>83</v>
      </c>
      <c r="H22" s="46" t="s">
        <v>70</v>
      </c>
      <c r="I22" s="46">
        <f>'MERCADO TE'!$U$19</f>
        <v>0</v>
      </c>
      <c r="J22" s="15"/>
      <c r="L22" s="44">
        <f>('TE BE'!$L$22+'TE BF'!$L$22+'TE CVA'!$L$22)*(1 - CUSTOS!$M$38)</f>
        <v>2.2947585293152457</v>
      </c>
      <c r="M22" s="44">
        <f>('TE BE'!$M$22+'TE BF'!$M$22+'TE CVA'!$M$22)*(1 - CUSTOS!$M$38)</f>
        <v>28.533128055483189</v>
      </c>
      <c r="N22" s="44">
        <f>('TE BE'!$N$22+'TE BF'!$N$22+'TE CVA'!$N$22)*(1 - CUSTOS!$M$38)</f>
        <v>0</v>
      </c>
      <c r="O22" s="44">
        <f>('TE BE'!$O$22+'TE BF'!$O$22+'TE CVA'!$O$22)*(1 - CUSTOS!$M$38)</f>
        <v>2.2522961763411522</v>
      </c>
      <c r="P22" s="44">
        <f>('TE BE'!$P$22+'TE BF'!$P$22+'TE CVA'!$P$22)*(1 - CUSTOS!$M$38)</f>
        <v>-15.149674214851565</v>
      </c>
      <c r="Q22" s="44">
        <f>('TE BE'!$R$22+'TE BF'!$R$22+'TE CVA'!$R$22)*(1 - CUSTOS!$M$38)</f>
        <v>190.77259139005454</v>
      </c>
      <c r="R22" s="44">
        <f>('TE BE'!$T$22+'TE BF'!$T$22+'TE CVA'!$T$22)*(1 - CUSTOS!$M$38)</f>
        <v>6.880491941961079</v>
      </c>
      <c r="S22" s="44">
        <f>('TE BE'!$U$22+'TE BF'!$U$22+'TE CVA'!$U$22)*(1 - CUSTOS!$M$38)</f>
        <v>4.0478612015454152</v>
      </c>
      <c r="T22" s="44">
        <f>('TE BE'!$V$22+'TE BF'!$V$22+'TE CVA'!$V$22)*(1 - CUSTOS!$M$38)</f>
        <v>0</v>
      </c>
      <c r="U22" s="44">
        <f>('TE BE'!$X$22+'TE BF'!$X$22+'TE CVA'!$X$22)*(1 - CUSTOS!$M$38)</f>
        <v>-21.87467643113186</v>
      </c>
      <c r="V22" s="44">
        <f>('TE BE'!$Z$22+'TE BF'!$Z$22+'TE CVA'!$Z$22)*(1 - CUSTOS!$M$38)</f>
        <v>5.8488379943838664</v>
      </c>
      <c r="X22" s="44">
        <v>2.0646440303832199</v>
      </c>
      <c r="Y22" s="44">
        <v>11.0620085973336</v>
      </c>
      <c r="Z22" s="44">
        <v>0</v>
      </c>
      <c r="AA22" s="44">
        <v>0</v>
      </c>
      <c r="AB22" s="44">
        <v>0</v>
      </c>
      <c r="AC22" s="44">
        <v>184.33330209336901</v>
      </c>
      <c r="AD22" s="44">
        <v>4.29632639206904</v>
      </c>
      <c r="AE22" s="44">
        <v>3.8168040115158699</v>
      </c>
      <c r="AF22" s="44">
        <v>0</v>
      </c>
      <c r="AG22" s="44">
        <v>-9.6605903356814498</v>
      </c>
      <c r="AH22" s="44">
        <v>4.9095972155598897</v>
      </c>
    </row>
    <row r="23" spans="1:34" ht="11.25" customHeight="1" x14ac:dyDescent="0.25">
      <c r="A23" s="141"/>
      <c r="B23" s="141"/>
      <c r="C23" s="141"/>
      <c r="D23" s="141"/>
      <c r="E23" s="141"/>
      <c r="F23" s="141"/>
      <c r="G23" s="46" t="s">
        <v>72</v>
      </c>
      <c r="H23" s="46" t="s">
        <v>70</v>
      </c>
      <c r="I23" s="46">
        <f>'MERCADO TE'!$U$20</f>
        <v>0</v>
      </c>
      <c r="J23" s="15"/>
      <c r="L23" s="44">
        <f>('TE BE'!$L$23+'TE BF'!$L$23+'TE CVA'!$L$23)*(1 - CUSTOS!$M$38)</f>
        <v>2.2947585293152457</v>
      </c>
      <c r="M23" s="44">
        <f>('TE BE'!$M$23+'TE BF'!$M$23+'TE CVA'!$M$23)*(1 - CUSTOS!$M$38)</f>
        <v>28.533128055483189</v>
      </c>
      <c r="N23" s="44">
        <f>('TE BE'!$N$23+'TE BF'!$N$23+'TE CVA'!$N$23)*(1 - CUSTOS!$M$38)</f>
        <v>0</v>
      </c>
      <c r="O23" s="44">
        <f>('TE BE'!$O$23+'TE BF'!$O$23+'TE CVA'!$O$23)*(1 - CUSTOS!$M$38)</f>
        <v>2.2522961763411522</v>
      </c>
      <c r="P23" s="44">
        <f>('TE BE'!$P$23+'TE BF'!$P$23+'TE CVA'!$P$23)*(1 - CUSTOS!$M$38)</f>
        <v>-15.149674214851565</v>
      </c>
      <c r="Q23" s="44">
        <f>('TE BE'!$R$23+'TE BF'!$R$23+'TE CVA'!$R$23)*(1 - CUSTOS!$M$38)</f>
        <v>190.77259139005454</v>
      </c>
      <c r="R23" s="44">
        <f>('TE BE'!$T$23+'TE BF'!$T$23+'TE CVA'!$T$23)*(1 - CUSTOS!$M$38)</f>
        <v>6.880491941961079</v>
      </c>
      <c r="S23" s="44">
        <f>('TE BE'!$U$23+'TE BF'!$U$23+'TE CVA'!$U$23)*(1 - CUSTOS!$M$38)</f>
        <v>4.0478612015454152</v>
      </c>
      <c r="T23" s="44">
        <f>('TE BE'!$V$23+'TE BF'!$V$23+'TE CVA'!$V$23)*(1 - CUSTOS!$M$38)</f>
        <v>0</v>
      </c>
      <c r="U23" s="44">
        <f>('TE BE'!$X$23+'TE BF'!$X$23+'TE CVA'!$X$23)*(1 - CUSTOS!$M$38)</f>
        <v>-21.87467643113186</v>
      </c>
      <c r="V23" s="44">
        <f>('TE BE'!$Z$23+'TE BF'!$Z$23+'TE CVA'!$Z$23)*(1 - CUSTOS!$M$38)</f>
        <v>5.8488379943838664</v>
      </c>
      <c r="X23" s="44">
        <v>2.0646440303832199</v>
      </c>
      <c r="Y23" s="44">
        <v>11.0620085973336</v>
      </c>
      <c r="Z23" s="44">
        <v>0</v>
      </c>
      <c r="AA23" s="44">
        <v>0</v>
      </c>
      <c r="AB23" s="44">
        <v>0</v>
      </c>
      <c r="AC23" s="44">
        <v>184.33330209336901</v>
      </c>
      <c r="AD23" s="44">
        <v>4.29632639206904</v>
      </c>
      <c r="AE23" s="44">
        <v>3.8168040115158699</v>
      </c>
      <c r="AF23" s="44">
        <v>0</v>
      </c>
      <c r="AG23" s="44">
        <v>-9.6605903356814498</v>
      </c>
      <c r="AH23" s="44">
        <v>4.9095972155598897</v>
      </c>
    </row>
    <row r="24" spans="1:34" ht="11.25" customHeight="1" x14ac:dyDescent="0.25">
      <c r="A24" s="141"/>
      <c r="B24" s="47" t="s">
        <v>73</v>
      </c>
      <c r="C24" s="47" t="s">
        <v>40</v>
      </c>
      <c r="D24" s="47" t="s">
        <v>25</v>
      </c>
      <c r="E24" s="47" t="s">
        <v>25</v>
      </c>
      <c r="F24" s="47" t="s">
        <v>25</v>
      </c>
      <c r="G24" s="46" t="s">
        <v>74</v>
      </c>
      <c r="H24" s="46" t="s">
        <v>70</v>
      </c>
      <c r="I24" s="46">
        <f>'MERCADO TE'!$U$21</f>
        <v>45.472000000000001</v>
      </c>
      <c r="J24" s="15"/>
      <c r="L24" s="44">
        <f>('TE BE'!$L$24+'TE BF'!$L$24+'TE CVA'!$L$24)*(1 - CUSTOS!$M$38)</f>
        <v>2.2947585293152457</v>
      </c>
      <c r="M24" s="44">
        <f>('TE BE'!$M$24+'TE BF'!$M$24+'TE CVA'!$M$24)*(1 - CUSTOS!$M$38)</f>
        <v>28.533128055483189</v>
      </c>
      <c r="N24" s="44">
        <f>('TE BE'!$N$24+'TE BF'!$N$24+'TE CVA'!$N$24)*(1 - CUSTOS!$M$38)</f>
        <v>0</v>
      </c>
      <c r="O24" s="44">
        <f>('TE BE'!$O$24+'TE BF'!$O$24+'TE CVA'!$O$24)*(1 - CUSTOS!$M$38)</f>
        <v>2.2522961763411522</v>
      </c>
      <c r="P24" s="44">
        <f>('TE BE'!$P$24+'TE BF'!$P$24+'TE CVA'!$P$24)*(1 - CUSTOS!$M$38)</f>
        <v>-15.149674214851565</v>
      </c>
      <c r="Q24" s="44">
        <f>('TE BE'!$R$24+'TE BF'!$R$24+'TE CVA'!$R$24)*(1 - CUSTOS!$M$38)</f>
        <v>202.21894687345781</v>
      </c>
      <c r="R24" s="44">
        <f>('TE BE'!$T$24+'TE BF'!$T$24+'TE CVA'!$T$24)*(1 - CUSTOS!$M$38)</f>
        <v>6.880491941961079</v>
      </c>
      <c r="S24" s="44">
        <f>('TE BE'!$U$24+'TE BF'!$U$24+'TE CVA'!$U$24)*(1 - CUSTOS!$M$38)</f>
        <v>4.0478612015454152</v>
      </c>
      <c r="T24" s="44">
        <f>('TE BE'!$V$24+'TE BF'!$V$24+'TE CVA'!$V$24)*(1 - CUSTOS!$M$38)</f>
        <v>0</v>
      </c>
      <c r="U24" s="44">
        <f>('TE BE'!$X$24+'TE BF'!$X$24+'TE CVA'!$X$24)*(1 - CUSTOS!$M$38)</f>
        <v>-23.029079793430355</v>
      </c>
      <c r="V24" s="44">
        <f>('TE BE'!$Z$24+'TE BF'!$Z$24+'TE CVA'!$Z$24)*(1 - CUSTOS!$M$38)</f>
        <v>5.8488379943838664</v>
      </c>
      <c r="X24" s="44">
        <v>2.0646440303832199</v>
      </c>
      <c r="Y24" s="44">
        <v>11.0620085973336</v>
      </c>
      <c r="Z24" s="44">
        <v>0</v>
      </c>
      <c r="AA24" s="44">
        <v>0</v>
      </c>
      <c r="AB24" s="44">
        <v>0</v>
      </c>
      <c r="AC24" s="44">
        <v>195.393300218972</v>
      </c>
      <c r="AD24" s="44">
        <v>4.29632639206904</v>
      </c>
      <c r="AE24" s="44">
        <v>3.8168040115158699</v>
      </c>
      <c r="AF24" s="44">
        <v>0</v>
      </c>
      <c r="AG24" s="44">
        <v>-10.172336691412999</v>
      </c>
      <c r="AH24" s="44">
        <v>4.9095972155598897</v>
      </c>
    </row>
    <row r="25" spans="1:34" ht="11.25" customHeight="1" x14ac:dyDescent="0.25">
      <c r="A25" s="141"/>
      <c r="B25" s="141" t="s">
        <v>69</v>
      </c>
      <c r="C25" s="141" t="s">
        <v>40</v>
      </c>
      <c r="D25" s="141" t="s">
        <v>86</v>
      </c>
      <c r="E25" s="141" t="s">
        <v>25</v>
      </c>
      <c r="F25" s="141" t="s">
        <v>25</v>
      </c>
      <c r="G25" s="46" t="s">
        <v>71</v>
      </c>
      <c r="H25" s="46" t="s">
        <v>70</v>
      </c>
      <c r="I25" s="46">
        <f>'MERCADO TE'!$U$22</f>
        <v>0</v>
      </c>
      <c r="J25" s="15"/>
      <c r="L25" s="44">
        <f>('TE BE'!$L$25+'TE BF'!$L$25+'TE CVA'!$L$25)*(1 - CUSTOS!$M$39)</f>
        <v>2.2947585293152457</v>
      </c>
      <c r="M25" s="44">
        <f>('TE BE'!$M$25+'TE BF'!$M$25+'TE CVA'!$M$25)*(1 - CUSTOS!$M$39)</f>
        <v>28.533128055483189</v>
      </c>
      <c r="N25" s="44">
        <f>('TE BE'!$N$25+'TE BF'!$N$25+'TE CVA'!$N$25)*(1 - CUSTOS!$M$39)</f>
        <v>0</v>
      </c>
      <c r="O25" s="44">
        <f>('TE BE'!$O$25+'TE BF'!$O$25+'TE CVA'!$O$25)*(1 - CUSTOS!$M$39)</f>
        <v>2.2522961763411522</v>
      </c>
      <c r="P25" s="44">
        <f>('TE BE'!$P$25+'TE BF'!$P$25+'TE CVA'!$P$25)*(1 - CUSTOS!$M$39)</f>
        <v>-15.149674214851565</v>
      </c>
      <c r="Q25" s="44">
        <f>('TE BE'!$R$25+'TE BF'!$R$25+'TE CVA'!$R$25)*(1 - CUSTOS!$M$39)</f>
        <v>328.12885719089383</v>
      </c>
      <c r="R25" s="44">
        <f>('TE BE'!$T$25+'TE BF'!$T$25+'TE CVA'!$T$25)*(1 - CUSTOS!$M$39)</f>
        <v>6.880491941961079</v>
      </c>
      <c r="S25" s="44">
        <f>('TE BE'!$U$25+'TE BF'!$U$25+'TE CVA'!$U$25)*(1 - CUSTOS!$M$39)</f>
        <v>4.0478612015454152</v>
      </c>
      <c r="T25" s="44">
        <f>('TE BE'!$V$25+'TE BF'!$V$25+'TE CVA'!$V$25)*(1 - CUSTOS!$M$39)</f>
        <v>0</v>
      </c>
      <c r="U25" s="44">
        <f>('TE BE'!$X$25+'TE BF'!$X$25+'TE CVA'!$X$25)*(1 - CUSTOS!$M$39)</f>
        <v>-35.727516778713841</v>
      </c>
      <c r="V25" s="44">
        <f>('TE BE'!$Z$25+'TE BF'!$Z$25+'TE CVA'!$Z$25)*(1 - CUSTOS!$M$39)</f>
        <v>5.8488379943838664</v>
      </c>
      <c r="X25" s="44">
        <v>2.0646440303832199</v>
      </c>
      <c r="Y25" s="44">
        <v>11.0620085973336</v>
      </c>
      <c r="Z25" s="44">
        <v>0</v>
      </c>
      <c r="AA25" s="44">
        <v>0</v>
      </c>
      <c r="AB25" s="44">
        <v>0</v>
      </c>
      <c r="AC25" s="44">
        <v>317.05327960059498</v>
      </c>
      <c r="AD25" s="44">
        <v>4.29632639206904</v>
      </c>
      <c r="AE25" s="44">
        <v>3.8168040115158699</v>
      </c>
      <c r="AF25" s="44">
        <v>0</v>
      </c>
      <c r="AG25" s="44">
        <v>-15.801546604460199</v>
      </c>
      <c r="AH25" s="44">
        <v>4.9095972155598897</v>
      </c>
    </row>
    <row r="26" spans="1:34" ht="11.25" customHeight="1" x14ac:dyDescent="0.25">
      <c r="A26" s="141"/>
      <c r="B26" s="141"/>
      <c r="C26" s="141"/>
      <c r="D26" s="141"/>
      <c r="E26" s="141"/>
      <c r="F26" s="141"/>
      <c r="G26" s="46" t="s">
        <v>83</v>
      </c>
      <c r="H26" s="46" t="s">
        <v>70</v>
      </c>
      <c r="I26" s="46">
        <f>'MERCADO TE'!$U$23</f>
        <v>0</v>
      </c>
      <c r="J26" s="15"/>
      <c r="L26" s="44">
        <f>('TE BE'!$L$26+'TE BF'!$L$26+'TE CVA'!$L$26)*(1 - CUSTOS!$M$39)</f>
        <v>2.2947585293152457</v>
      </c>
      <c r="M26" s="44">
        <f>('TE BE'!$M$26+'TE BF'!$M$26+'TE CVA'!$M$26)*(1 - CUSTOS!$M$39)</f>
        <v>28.533128055483189</v>
      </c>
      <c r="N26" s="44">
        <f>('TE BE'!$N$26+'TE BF'!$N$26+'TE CVA'!$N$26)*(1 - CUSTOS!$M$39)</f>
        <v>0</v>
      </c>
      <c r="O26" s="44">
        <f>('TE BE'!$O$26+'TE BF'!$O$26+'TE CVA'!$O$26)*(1 - CUSTOS!$M$39)</f>
        <v>2.2522961763411522</v>
      </c>
      <c r="P26" s="44">
        <f>('TE BE'!$P$26+'TE BF'!$P$26+'TE CVA'!$P$26)*(1 - CUSTOS!$M$39)</f>
        <v>-15.149674214851565</v>
      </c>
      <c r="Q26" s="44">
        <f>('TE BE'!$R$26+'TE BF'!$R$26+'TE CVA'!$R$26)*(1 - CUSTOS!$M$39)</f>
        <v>190.77259139005454</v>
      </c>
      <c r="R26" s="44">
        <f>('TE BE'!$T$26+'TE BF'!$T$26+'TE CVA'!$T$26)*(1 - CUSTOS!$M$39)</f>
        <v>6.880491941961079</v>
      </c>
      <c r="S26" s="44">
        <f>('TE BE'!$U$26+'TE BF'!$U$26+'TE CVA'!$U$26)*(1 - CUSTOS!$M$39)</f>
        <v>4.0478612015454152</v>
      </c>
      <c r="T26" s="44">
        <f>('TE BE'!$V$26+'TE BF'!$V$26+'TE CVA'!$V$26)*(1 - CUSTOS!$M$39)</f>
        <v>0</v>
      </c>
      <c r="U26" s="44">
        <f>('TE BE'!$X$26+'TE BF'!$X$26+'TE CVA'!$X$26)*(1 - CUSTOS!$M$39)</f>
        <v>-21.87467643113186</v>
      </c>
      <c r="V26" s="44">
        <f>('TE BE'!$Z$26+'TE BF'!$Z$26+'TE CVA'!$Z$26)*(1 - CUSTOS!$M$39)</f>
        <v>5.8488379943838664</v>
      </c>
      <c r="X26" s="44">
        <v>2.0646440303832199</v>
      </c>
      <c r="Y26" s="44">
        <v>11.0620085973336</v>
      </c>
      <c r="Z26" s="44">
        <v>0</v>
      </c>
      <c r="AA26" s="44">
        <v>0</v>
      </c>
      <c r="AB26" s="44">
        <v>0</v>
      </c>
      <c r="AC26" s="44">
        <v>184.33330209336901</v>
      </c>
      <c r="AD26" s="44">
        <v>4.29632639206904</v>
      </c>
      <c r="AE26" s="44">
        <v>3.8168040115158699</v>
      </c>
      <c r="AF26" s="44">
        <v>0</v>
      </c>
      <c r="AG26" s="44">
        <v>-9.6605903356814498</v>
      </c>
      <c r="AH26" s="44">
        <v>4.9095972155598897</v>
      </c>
    </row>
    <row r="27" spans="1:34" ht="11.25" customHeight="1" x14ac:dyDescent="0.25">
      <c r="A27" s="141"/>
      <c r="B27" s="141"/>
      <c r="C27" s="141"/>
      <c r="D27" s="141"/>
      <c r="E27" s="141"/>
      <c r="F27" s="141"/>
      <c r="G27" s="46" t="s">
        <v>72</v>
      </c>
      <c r="H27" s="46" t="s">
        <v>70</v>
      </c>
      <c r="I27" s="46">
        <f>'MERCADO TE'!$U$24</f>
        <v>0</v>
      </c>
      <c r="J27" s="15"/>
      <c r="L27" s="44">
        <f>('TE BE'!$L$27+'TE BF'!$L$27+'TE CVA'!$L$27)*(1 - CUSTOS!$M$39)</f>
        <v>2.2947585293152457</v>
      </c>
      <c r="M27" s="44">
        <f>('TE BE'!$M$27+'TE BF'!$M$27+'TE CVA'!$M$27)*(1 - CUSTOS!$M$39)</f>
        <v>28.533128055483189</v>
      </c>
      <c r="N27" s="44">
        <f>('TE BE'!$N$27+'TE BF'!$N$27+'TE CVA'!$N$27)*(1 - CUSTOS!$M$39)</f>
        <v>0</v>
      </c>
      <c r="O27" s="44">
        <f>('TE BE'!$O$27+'TE BF'!$O$27+'TE CVA'!$O$27)*(1 - CUSTOS!$M$39)</f>
        <v>2.2522961763411522</v>
      </c>
      <c r="P27" s="44">
        <f>('TE BE'!$P$27+'TE BF'!$P$27+'TE CVA'!$P$27)*(1 - CUSTOS!$M$39)</f>
        <v>-15.149674214851565</v>
      </c>
      <c r="Q27" s="44">
        <f>('TE BE'!$R$27+'TE BF'!$R$27+'TE CVA'!$R$27)*(1 - CUSTOS!$M$39)</f>
        <v>190.77259139005454</v>
      </c>
      <c r="R27" s="44">
        <f>('TE BE'!$T$27+'TE BF'!$T$27+'TE CVA'!$T$27)*(1 - CUSTOS!$M$39)</f>
        <v>6.880491941961079</v>
      </c>
      <c r="S27" s="44">
        <f>('TE BE'!$U$27+'TE BF'!$U$27+'TE CVA'!$U$27)*(1 - CUSTOS!$M$39)</f>
        <v>4.0478612015454152</v>
      </c>
      <c r="T27" s="44">
        <f>('TE BE'!$V$27+'TE BF'!$V$27+'TE CVA'!$V$27)*(1 - CUSTOS!$M$39)</f>
        <v>0</v>
      </c>
      <c r="U27" s="44">
        <f>('TE BE'!$X$27+'TE BF'!$X$27+'TE CVA'!$X$27)*(1 - CUSTOS!$M$39)</f>
        <v>-21.87467643113186</v>
      </c>
      <c r="V27" s="44">
        <f>('TE BE'!$Z$27+'TE BF'!$Z$27+'TE CVA'!$Z$27)*(1 - CUSTOS!$M$39)</f>
        <v>5.8488379943838664</v>
      </c>
      <c r="X27" s="44">
        <v>2.0646440303832199</v>
      </c>
      <c r="Y27" s="44">
        <v>11.0620085973336</v>
      </c>
      <c r="Z27" s="44">
        <v>0</v>
      </c>
      <c r="AA27" s="44">
        <v>0</v>
      </c>
      <c r="AB27" s="44">
        <v>0</v>
      </c>
      <c r="AC27" s="44">
        <v>184.33330209336901</v>
      </c>
      <c r="AD27" s="44">
        <v>4.29632639206904</v>
      </c>
      <c r="AE27" s="44">
        <v>3.8168040115158699</v>
      </c>
      <c r="AF27" s="44">
        <v>0</v>
      </c>
      <c r="AG27" s="44">
        <v>-9.6605903356814498</v>
      </c>
      <c r="AH27" s="44">
        <v>4.9095972155598897</v>
      </c>
    </row>
    <row r="28" spans="1:34" ht="11.25" customHeight="1" x14ac:dyDescent="0.25">
      <c r="A28" s="141"/>
      <c r="B28" s="47" t="s">
        <v>73</v>
      </c>
      <c r="C28" s="47" t="s">
        <v>40</v>
      </c>
      <c r="D28" s="47" t="s">
        <v>86</v>
      </c>
      <c r="E28" s="47" t="s">
        <v>25</v>
      </c>
      <c r="F28" s="47" t="s">
        <v>25</v>
      </c>
      <c r="G28" s="46" t="s">
        <v>74</v>
      </c>
      <c r="H28" s="46" t="s">
        <v>70</v>
      </c>
      <c r="I28" s="46">
        <f>'MERCADO TE'!$U$25</f>
        <v>0</v>
      </c>
      <c r="J28" s="15"/>
      <c r="L28" s="44">
        <f>('TE BE'!$L$28+'TE BF'!$L$28+'TE CVA'!$L$28)*(1 - CUSTOS!$M$39)</f>
        <v>2.2947585293152457</v>
      </c>
      <c r="M28" s="44">
        <f>('TE BE'!$M$28+'TE BF'!$M$28+'TE CVA'!$M$28)*(1 - CUSTOS!$M$39)</f>
        <v>28.533128055483189</v>
      </c>
      <c r="N28" s="44">
        <f>('TE BE'!$N$28+'TE BF'!$N$28+'TE CVA'!$N$28)*(1 - CUSTOS!$M$39)</f>
        <v>0</v>
      </c>
      <c r="O28" s="44">
        <f>('TE BE'!$O$28+'TE BF'!$O$28+'TE CVA'!$O$28)*(1 - CUSTOS!$M$39)</f>
        <v>2.2522961763411522</v>
      </c>
      <c r="P28" s="44">
        <f>('TE BE'!$P$28+'TE BF'!$P$28+'TE CVA'!$P$28)*(1 - CUSTOS!$M$39)</f>
        <v>-15.149674214851565</v>
      </c>
      <c r="Q28" s="44">
        <f>('TE BE'!$R$28+'TE BF'!$R$28+'TE CVA'!$R$28)*(1 - CUSTOS!$M$39)</f>
        <v>202.21894687345781</v>
      </c>
      <c r="R28" s="44">
        <f>('TE BE'!$T$28+'TE BF'!$T$28+'TE CVA'!$T$28)*(1 - CUSTOS!$M$39)</f>
        <v>6.880491941961079</v>
      </c>
      <c r="S28" s="44">
        <f>('TE BE'!$U$28+'TE BF'!$U$28+'TE CVA'!$U$28)*(1 - CUSTOS!$M$39)</f>
        <v>4.0478612015454152</v>
      </c>
      <c r="T28" s="44">
        <f>('TE BE'!$V$28+'TE BF'!$V$28+'TE CVA'!$V$28)*(1 - CUSTOS!$M$39)</f>
        <v>0</v>
      </c>
      <c r="U28" s="44">
        <f>('TE BE'!$X$28+'TE BF'!$X$28+'TE CVA'!$X$28)*(1 - CUSTOS!$M$39)</f>
        <v>-23.029079793430355</v>
      </c>
      <c r="V28" s="44">
        <f>('TE BE'!$Z$28+'TE BF'!$Z$28+'TE CVA'!$Z$28)*(1 - CUSTOS!$M$39)</f>
        <v>5.8488379943838664</v>
      </c>
      <c r="X28" s="44">
        <v>2.0646440303832199</v>
      </c>
      <c r="Y28" s="44">
        <v>11.0620085973336</v>
      </c>
      <c r="Z28" s="44">
        <v>0</v>
      </c>
      <c r="AA28" s="44">
        <v>0</v>
      </c>
      <c r="AB28" s="44">
        <v>0</v>
      </c>
      <c r="AC28" s="44">
        <v>195.393300218972</v>
      </c>
      <c r="AD28" s="44">
        <v>4.29632639206904</v>
      </c>
      <c r="AE28" s="44">
        <v>3.8168040115158699</v>
      </c>
      <c r="AF28" s="44">
        <v>0</v>
      </c>
      <c r="AG28" s="44">
        <v>-10.172336691412999</v>
      </c>
      <c r="AH28" s="44">
        <v>4.9095972155598897</v>
      </c>
    </row>
    <row r="29" spans="1:34" ht="11.25" customHeight="1" x14ac:dyDescent="0.25">
      <c r="A29" s="141"/>
      <c r="B29" s="141" t="s">
        <v>69</v>
      </c>
      <c r="C29" s="141" t="s">
        <v>40</v>
      </c>
      <c r="D29" s="141" t="s">
        <v>87</v>
      </c>
      <c r="E29" s="141" t="s">
        <v>25</v>
      </c>
      <c r="F29" s="141" t="s">
        <v>25</v>
      </c>
      <c r="G29" s="46" t="s">
        <v>71</v>
      </c>
      <c r="H29" s="46" t="s">
        <v>70</v>
      </c>
      <c r="I29" s="46">
        <f>'MERCADO TE'!$U$26</f>
        <v>0</v>
      </c>
      <c r="J29" s="15"/>
      <c r="L29" s="44">
        <f>('TE BE'!$L$29+'TE BF'!$L$29+'TE CVA'!$L$29)*(1 - CUSTOS!$M$40)</f>
        <v>2.2459338797553472</v>
      </c>
      <c r="M29" s="44">
        <f>('TE BE'!$M$29+'TE BF'!$M$29+'TE CVA'!$M$29)*(1 - CUSTOS!$M$40)</f>
        <v>27.926040224515464</v>
      </c>
      <c r="N29" s="44">
        <f>('TE BE'!$N$29+'TE BF'!$N$29+'TE CVA'!$N$29)*(1 - CUSTOS!$M$40)</f>
        <v>0</v>
      </c>
      <c r="O29" s="44">
        <f>('TE BE'!$O$29+'TE BF'!$O$29+'TE CVA'!$O$29)*(1 - CUSTOS!$M$40)</f>
        <v>2.2043749810998512</v>
      </c>
      <c r="P29" s="44">
        <f>('TE BE'!$P$29+'TE BF'!$P$29+'TE CVA'!$P$29)*(1 - CUSTOS!$M$40)</f>
        <v>-14.827340720918555</v>
      </c>
      <c r="Q29" s="44">
        <f>('TE BE'!$R$29+'TE BF'!$R$29+'TE CVA'!$R$29)*(1 - CUSTOS!$M$40)</f>
        <v>321.14739214427908</v>
      </c>
      <c r="R29" s="44">
        <f>('TE BE'!$T$29+'TE BF'!$T$29+'TE CVA'!$T$29)*(1 - CUSTOS!$M$40)</f>
        <v>6.7340984963874391</v>
      </c>
      <c r="S29" s="44">
        <f>('TE BE'!$U$29+'TE BF'!$U$29+'TE CVA'!$U$29)*(1 - CUSTOS!$M$40)</f>
        <v>3.9617364951295553</v>
      </c>
      <c r="T29" s="44">
        <f>('TE BE'!$V$29+'TE BF'!$V$29+'TE CVA'!$V$29)*(1 - CUSTOS!$M$40)</f>
        <v>0</v>
      </c>
      <c r="U29" s="44">
        <f>('TE BE'!$X$29+'TE BF'!$X$29+'TE CVA'!$X$29)*(1 - CUSTOS!$M$40)</f>
        <v>-34.967356847251843</v>
      </c>
      <c r="V29" s="44">
        <f>('TE BE'!$Z$29+'TE BF'!$Z$29+'TE CVA'!$Z$29)*(1 - CUSTOS!$M$40)</f>
        <v>5.7243946328012312</v>
      </c>
      <c r="X29" s="44">
        <v>1.97079657445671</v>
      </c>
      <c r="Y29" s="44">
        <v>10.559190024727499</v>
      </c>
      <c r="Z29" s="44">
        <v>0</v>
      </c>
      <c r="AA29" s="44">
        <v>0</v>
      </c>
      <c r="AB29" s="44">
        <v>0</v>
      </c>
      <c r="AC29" s="44">
        <v>302.641766891477</v>
      </c>
      <c r="AD29" s="44">
        <v>4.1010388287931798</v>
      </c>
      <c r="AE29" s="44">
        <v>3.6433129200833299</v>
      </c>
      <c r="AF29" s="44">
        <v>0</v>
      </c>
      <c r="AG29" s="44">
        <v>-15.0832944860756</v>
      </c>
      <c r="AH29" s="44">
        <v>4.6864337057617096</v>
      </c>
    </row>
    <row r="30" spans="1:34" ht="11.25" customHeight="1" x14ac:dyDescent="0.25">
      <c r="A30" s="141"/>
      <c r="B30" s="141"/>
      <c r="C30" s="141"/>
      <c r="D30" s="141"/>
      <c r="E30" s="141"/>
      <c r="F30" s="141"/>
      <c r="G30" s="46" t="s">
        <v>83</v>
      </c>
      <c r="H30" s="46" t="s">
        <v>70</v>
      </c>
      <c r="I30" s="46">
        <f>'MERCADO TE'!$U$27</f>
        <v>0</v>
      </c>
      <c r="J30" s="15"/>
      <c r="L30" s="44">
        <f>('TE BE'!$L$30+'TE BF'!$L$30+'TE CVA'!$L$30)*(1 - CUSTOS!$M$40)</f>
        <v>2.2459338797553472</v>
      </c>
      <c r="M30" s="44">
        <f>('TE BE'!$M$30+'TE BF'!$M$30+'TE CVA'!$M$30)*(1 - CUSTOS!$M$40)</f>
        <v>27.926040224515464</v>
      </c>
      <c r="N30" s="44">
        <f>('TE BE'!$N$30+'TE BF'!$N$30+'TE CVA'!$N$30)*(1 - CUSTOS!$M$40)</f>
        <v>0</v>
      </c>
      <c r="O30" s="44">
        <f>('TE BE'!$O$30+'TE BF'!$O$30+'TE CVA'!$O$30)*(1 - CUSTOS!$M$40)</f>
        <v>2.2043749810998512</v>
      </c>
      <c r="P30" s="44">
        <f>('TE BE'!$P$30+'TE BF'!$P$30+'TE CVA'!$P$30)*(1 - CUSTOS!$M$40)</f>
        <v>-14.827340720918555</v>
      </c>
      <c r="Q30" s="44">
        <f>('TE BE'!$R$30+'TE BF'!$R$30+'TE CVA'!$R$30)*(1 - CUSTOS!$M$40)</f>
        <v>186.71360008388319</v>
      </c>
      <c r="R30" s="44">
        <f>('TE BE'!$T$30+'TE BF'!$T$30+'TE CVA'!$T$30)*(1 - CUSTOS!$M$40)</f>
        <v>6.7340984963874391</v>
      </c>
      <c r="S30" s="44">
        <f>('TE BE'!$U$30+'TE BF'!$U$30+'TE CVA'!$U$30)*(1 - CUSTOS!$M$40)</f>
        <v>3.9617364951295553</v>
      </c>
      <c r="T30" s="44">
        <f>('TE BE'!$V$30+'TE BF'!$V$30+'TE CVA'!$V$30)*(1 - CUSTOS!$M$40)</f>
        <v>0</v>
      </c>
      <c r="U30" s="44">
        <f>('TE BE'!$X$30+'TE BF'!$X$30+'TE CVA'!$X$30)*(1 - CUSTOS!$M$40)</f>
        <v>-21.409257783660969</v>
      </c>
      <c r="V30" s="44">
        <f>('TE BE'!$Z$30+'TE BF'!$Z$30+'TE CVA'!$Z$30)*(1 - CUSTOS!$M$40)</f>
        <v>5.7243946328012312</v>
      </c>
      <c r="X30" s="44">
        <v>1.97079657445671</v>
      </c>
      <c r="Y30" s="44">
        <v>10.559190024727499</v>
      </c>
      <c r="Z30" s="44">
        <v>0</v>
      </c>
      <c r="AA30" s="44">
        <v>0</v>
      </c>
      <c r="AB30" s="44">
        <v>0</v>
      </c>
      <c r="AC30" s="44">
        <v>175.95451563457999</v>
      </c>
      <c r="AD30" s="44">
        <v>4.1010388287931798</v>
      </c>
      <c r="AE30" s="44">
        <v>3.6433129200833299</v>
      </c>
      <c r="AF30" s="44">
        <v>0</v>
      </c>
      <c r="AG30" s="44">
        <v>-9.2214725931504695</v>
      </c>
      <c r="AH30" s="44">
        <v>4.6864337057617096</v>
      </c>
    </row>
    <row r="31" spans="1:34" ht="11.25" customHeight="1" x14ac:dyDescent="0.25">
      <c r="A31" s="141"/>
      <c r="B31" s="141"/>
      <c r="C31" s="141"/>
      <c r="D31" s="141"/>
      <c r="E31" s="141"/>
      <c r="F31" s="141"/>
      <c r="G31" s="46" t="s">
        <v>72</v>
      </c>
      <c r="H31" s="46" t="s">
        <v>70</v>
      </c>
      <c r="I31" s="46">
        <f>'MERCADO TE'!$U$28</f>
        <v>0</v>
      </c>
      <c r="J31" s="15"/>
      <c r="L31" s="44">
        <f>('TE BE'!$L$31+'TE BF'!$L$31+'TE CVA'!$L$31)*(1 - CUSTOS!$M$40)</f>
        <v>2.2459338797553472</v>
      </c>
      <c r="M31" s="44">
        <f>('TE BE'!$M$31+'TE BF'!$M$31+'TE CVA'!$M$31)*(1 - CUSTOS!$M$40)</f>
        <v>27.926040224515464</v>
      </c>
      <c r="N31" s="44">
        <f>('TE BE'!$N$31+'TE BF'!$N$31+'TE CVA'!$N$31)*(1 - CUSTOS!$M$40)</f>
        <v>0</v>
      </c>
      <c r="O31" s="44">
        <f>('TE BE'!$O$31+'TE BF'!$O$31+'TE CVA'!$O$31)*(1 - CUSTOS!$M$40)</f>
        <v>2.2043749810998512</v>
      </c>
      <c r="P31" s="44">
        <f>('TE BE'!$P$31+'TE BF'!$P$31+'TE CVA'!$P$31)*(1 - CUSTOS!$M$40)</f>
        <v>-14.827340720918555</v>
      </c>
      <c r="Q31" s="44">
        <f>('TE BE'!$R$31+'TE BF'!$R$31+'TE CVA'!$R$31)*(1 - CUSTOS!$M$40)</f>
        <v>186.71360008388319</v>
      </c>
      <c r="R31" s="44">
        <f>('TE BE'!$T$31+'TE BF'!$T$31+'TE CVA'!$T$31)*(1 - CUSTOS!$M$40)</f>
        <v>6.7340984963874391</v>
      </c>
      <c r="S31" s="44">
        <f>('TE BE'!$U$31+'TE BF'!$U$31+'TE CVA'!$U$31)*(1 - CUSTOS!$M$40)</f>
        <v>3.9617364951295553</v>
      </c>
      <c r="T31" s="44">
        <f>('TE BE'!$V$31+'TE BF'!$V$31+'TE CVA'!$V$31)*(1 - CUSTOS!$M$40)</f>
        <v>0</v>
      </c>
      <c r="U31" s="44">
        <f>('TE BE'!$X$31+'TE BF'!$X$31+'TE CVA'!$X$31)*(1 - CUSTOS!$M$40)</f>
        <v>-21.409257783660969</v>
      </c>
      <c r="V31" s="44">
        <f>('TE BE'!$Z$31+'TE BF'!$Z$31+'TE CVA'!$Z$31)*(1 - CUSTOS!$M$40)</f>
        <v>5.7243946328012312</v>
      </c>
      <c r="X31" s="44">
        <v>1.97079657445671</v>
      </c>
      <c r="Y31" s="44">
        <v>10.559190024727499</v>
      </c>
      <c r="Z31" s="44">
        <v>0</v>
      </c>
      <c r="AA31" s="44">
        <v>0</v>
      </c>
      <c r="AB31" s="44">
        <v>0</v>
      </c>
      <c r="AC31" s="44">
        <v>175.95451563457999</v>
      </c>
      <c r="AD31" s="44">
        <v>4.1010388287931798</v>
      </c>
      <c r="AE31" s="44">
        <v>3.6433129200833299</v>
      </c>
      <c r="AF31" s="44">
        <v>0</v>
      </c>
      <c r="AG31" s="44">
        <v>-9.2214725931504695</v>
      </c>
      <c r="AH31" s="44">
        <v>4.6864337057617096</v>
      </c>
    </row>
    <row r="32" spans="1:34" ht="11.25" customHeight="1" x14ac:dyDescent="0.25">
      <c r="A32" s="141"/>
      <c r="B32" s="47" t="s">
        <v>73</v>
      </c>
      <c r="C32" s="47" t="s">
        <v>40</v>
      </c>
      <c r="D32" s="47" t="s">
        <v>87</v>
      </c>
      <c r="E32" s="47" t="s">
        <v>25</v>
      </c>
      <c r="F32" s="47" t="s">
        <v>25</v>
      </c>
      <c r="G32" s="46" t="s">
        <v>74</v>
      </c>
      <c r="H32" s="46" t="s">
        <v>70</v>
      </c>
      <c r="I32" s="46">
        <f>'MERCADO TE'!$U$29</f>
        <v>0</v>
      </c>
      <c r="J32" s="15"/>
      <c r="L32" s="44">
        <f>('TE BE'!$L$32+'TE BF'!$L$32+'TE CVA'!$L$32)*(1 - CUSTOS!$M$40)</f>
        <v>2.2459338797553472</v>
      </c>
      <c r="M32" s="44">
        <f>('TE BE'!$M$32+'TE BF'!$M$32+'TE CVA'!$M$32)*(1 - CUSTOS!$M$40)</f>
        <v>27.926040224515464</v>
      </c>
      <c r="N32" s="44">
        <f>('TE BE'!$N$32+'TE BF'!$N$32+'TE CVA'!$N$32)*(1 - CUSTOS!$M$40)</f>
        <v>0</v>
      </c>
      <c r="O32" s="44">
        <f>('TE BE'!$O$32+'TE BF'!$O$32+'TE CVA'!$O$32)*(1 - CUSTOS!$M$40)</f>
        <v>2.2043749810998512</v>
      </c>
      <c r="P32" s="44">
        <f>('TE BE'!$P$32+'TE BF'!$P$32+'TE CVA'!$P$32)*(1 - CUSTOS!$M$40)</f>
        <v>-14.827340720918555</v>
      </c>
      <c r="Q32" s="44">
        <f>('TE BE'!$R$32+'TE BF'!$R$32+'TE CVA'!$R$32)*(1 - CUSTOS!$M$40)</f>
        <v>197.91641608891618</v>
      </c>
      <c r="R32" s="44">
        <f>('TE BE'!$T$32+'TE BF'!$T$32+'TE CVA'!$T$32)*(1 - CUSTOS!$M$40)</f>
        <v>6.7340984963874391</v>
      </c>
      <c r="S32" s="44">
        <f>('TE BE'!$U$32+'TE BF'!$U$32+'TE CVA'!$U$32)*(1 - CUSTOS!$M$40)</f>
        <v>3.9617364951295553</v>
      </c>
      <c r="T32" s="44">
        <f>('TE BE'!$V$32+'TE BF'!$V$32+'TE CVA'!$V$32)*(1 - CUSTOS!$M$40)</f>
        <v>0</v>
      </c>
      <c r="U32" s="44">
        <f>('TE BE'!$X$32+'TE BF'!$X$32+'TE CVA'!$X$32)*(1 - CUSTOS!$M$40)</f>
        <v>-22.539099372293542</v>
      </c>
      <c r="V32" s="44">
        <f>('TE BE'!$Z$32+'TE BF'!$Z$32+'TE CVA'!$Z$32)*(1 - CUSTOS!$M$40)</f>
        <v>5.7243946328012312</v>
      </c>
      <c r="X32" s="44">
        <v>1.97079657445671</v>
      </c>
      <c r="Y32" s="44">
        <v>10.559190024727499</v>
      </c>
      <c r="Z32" s="44">
        <v>0</v>
      </c>
      <c r="AA32" s="44">
        <v>0</v>
      </c>
      <c r="AB32" s="44">
        <v>0</v>
      </c>
      <c r="AC32" s="44">
        <v>186.51178657265501</v>
      </c>
      <c r="AD32" s="44">
        <v>4.1010388287931798</v>
      </c>
      <c r="AE32" s="44">
        <v>3.6433129200833299</v>
      </c>
      <c r="AF32" s="44">
        <v>0</v>
      </c>
      <c r="AG32" s="44">
        <v>-9.7099577508942403</v>
      </c>
      <c r="AH32" s="44">
        <v>4.6864337057617096</v>
      </c>
    </row>
    <row r="33" spans="1:34" ht="11.25" customHeight="1" x14ac:dyDescent="0.25">
      <c r="A33" s="141"/>
      <c r="B33" s="141" t="s">
        <v>84</v>
      </c>
      <c r="C33" s="141" t="s">
        <v>40</v>
      </c>
      <c r="D33" s="47" t="s">
        <v>25</v>
      </c>
      <c r="E33" s="47" t="s">
        <v>25</v>
      </c>
      <c r="F33" s="47" t="s">
        <v>25</v>
      </c>
      <c r="G33" s="46" t="s">
        <v>74</v>
      </c>
      <c r="H33" s="46" t="s">
        <v>70</v>
      </c>
      <c r="I33" s="46">
        <f>'MERCADO TE'!$U$30</f>
        <v>0</v>
      </c>
      <c r="J33" s="15"/>
      <c r="L33" s="44">
        <f>('TE BE'!$L$33+'TE BF'!$L$33+'TE CVA'!$L$33)*(1 - CUSTOS!$M$38)</f>
        <v>2.2947585293152457</v>
      </c>
      <c r="M33" s="44">
        <f>('TE BE'!$M$33+'TE BF'!$M$33+'TE CVA'!$M$33)*(1 - CUSTOS!$M$38)</f>
        <v>28.533128055483189</v>
      </c>
      <c r="N33" s="44">
        <f>('TE BE'!$N$33+'TE BF'!$N$33+'TE CVA'!$N$33)*(1 - CUSTOS!$M$38)</f>
        <v>0</v>
      </c>
      <c r="O33" s="44">
        <f>('TE BE'!$O$33+'TE BF'!$O$33+'TE CVA'!$O$33)*(1 - CUSTOS!$M$38)</f>
        <v>2.2522961763411522</v>
      </c>
      <c r="P33" s="44">
        <f>('TE BE'!$P$33+'TE BF'!$P$33+'TE CVA'!$P$33)*(1 - CUSTOS!$M$38)</f>
        <v>-15.149674214851565</v>
      </c>
      <c r="Q33" s="44">
        <f>('TE BE'!$R$33+'TE BF'!$R$33+'TE CVA'!$R$33)*(1 - CUSTOS!$M$38)</f>
        <v>202.21894687345781</v>
      </c>
      <c r="R33" s="44">
        <f>('TE BE'!$T$33+'TE BF'!$T$33+'TE CVA'!$T$33)*(1 - CUSTOS!$M$38)</f>
        <v>6.880491941961079</v>
      </c>
      <c r="S33" s="44">
        <f>('TE BE'!$U$33+'TE BF'!$U$33+'TE CVA'!$U$33)*(1 - CUSTOS!$M$38)</f>
        <v>4.0478612015454152</v>
      </c>
      <c r="T33" s="44">
        <f>('TE BE'!$V$33+'TE BF'!$V$33+'TE CVA'!$V$33)*(1 - CUSTOS!$M$38)</f>
        <v>0</v>
      </c>
      <c r="U33" s="44">
        <f>('TE BE'!$X$33+'TE BF'!$X$33+'TE CVA'!$X$33)*(1 - CUSTOS!$M$38)</f>
        <v>-23.029079793430355</v>
      </c>
      <c r="V33" s="44">
        <f>('TE BE'!$Z$33+'TE BF'!$Z$33+'TE CVA'!$Z$33)*(1 - CUSTOS!$M$38)</f>
        <v>5.8488379943838664</v>
      </c>
      <c r="X33" s="44">
        <v>2.0646440303832199</v>
      </c>
      <c r="Y33" s="44">
        <v>11.0620085973336</v>
      </c>
      <c r="Z33" s="44">
        <v>0</v>
      </c>
      <c r="AA33" s="44">
        <v>0</v>
      </c>
      <c r="AB33" s="44">
        <v>0</v>
      </c>
      <c r="AC33" s="44">
        <v>195.393300218972</v>
      </c>
      <c r="AD33" s="44">
        <v>4.29632639206904</v>
      </c>
      <c r="AE33" s="44">
        <v>3.8168040115158699</v>
      </c>
      <c r="AF33" s="44">
        <v>0</v>
      </c>
      <c r="AG33" s="44">
        <v>-10.172336691412999</v>
      </c>
      <c r="AH33" s="44">
        <v>4.9095972155598897</v>
      </c>
    </row>
    <row r="34" spans="1:34" ht="11.25" customHeight="1" x14ac:dyDescent="0.25">
      <c r="A34" s="141"/>
      <c r="B34" s="141"/>
      <c r="C34" s="141"/>
      <c r="D34" s="47" t="s">
        <v>86</v>
      </c>
      <c r="E34" s="47" t="s">
        <v>25</v>
      </c>
      <c r="F34" s="47" t="s">
        <v>25</v>
      </c>
      <c r="G34" s="46" t="s">
        <v>74</v>
      </c>
      <c r="H34" s="46" t="s">
        <v>70</v>
      </c>
      <c r="I34" s="46">
        <f>'MERCADO TE'!$U$31</f>
        <v>0</v>
      </c>
      <c r="J34" s="15"/>
      <c r="L34" s="44">
        <f>('TE BE'!$L$34+'TE BF'!$L$34+'TE CVA'!$L$34)*(1 - CUSTOS!$M$39)</f>
        <v>2.2947585293152457</v>
      </c>
      <c r="M34" s="44">
        <f>('TE BE'!$M$34+'TE BF'!$M$34+'TE CVA'!$M$34)*(1 - CUSTOS!$M$39)</f>
        <v>28.533128055483189</v>
      </c>
      <c r="N34" s="44">
        <f>('TE BE'!$N$34+'TE BF'!$N$34+'TE CVA'!$N$34)*(1 - CUSTOS!$M$39)</f>
        <v>0</v>
      </c>
      <c r="O34" s="44">
        <f>('TE BE'!$O$34+'TE BF'!$O$34+'TE CVA'!$O$34)*(1 - CUSTOS!$M$39)</f>
        <v>2.2522961763411522</v>
      </c>
      <c r="P34" s="44">
        <f>('TE BE'!$P$34+'TE BF'!$P$34+'TE CVA'!$P$34)*(1 - CUSTOS!$M$39)</f>
        <v>-15.149674214851565</v>
      </c>
      <c r="Q34" s="44">
        <f>('TE BE'!$R$34+'TE BF'!$R$34+'TE CVA'!$R$34)*(1 - CUSTOS!$M$39)</f>
        <v>202.21894687345781</v>
      </c>
      <c r="R34" s="44">
        <f>('TE BE'!$T$34+'TE BF'!$T$34+'TE CVA'!$T$34)*(1 - CUSTOS!$M$39)</f>
        <v>6.880491941961079</v>
      </c>
      <c r="S34" s="44">
        <f>('TE BE'!$U$34+'TE BF'!$U$34+'TE CVA'!$U$34)*(1 - CUSTOS!$M$39)</f>
        <v>4.0478612015454152</v>
      </c>
      <c r="T34" s="44">
        <f>('TE BE'!$V$34+'TE BF'!$V$34+'TE CVA'!$V$34)*(1 - CUSTOS!$M$39)</f>
        <v>0</v>
      </c>
      <c r="U34" s="44">
        <f>('TE BE'!$X$34+'TE BF'!$X$34+'TE CVA'!$X$34)*(1 - CUSTOS!$M$39)</f>
        <v>-23.029079793430355</v>
      </c>
      <c r="V34" s="44">
        <f>('TE BE'!$Z$34+'TE BF'!$Z$34+'TE CVA'!$Z$34)*(1 - CUSTOS!$M$39)</f>
        <v>5.8488379943838664</v>
      </c>
      <c r="X34" s="44">
        <v>2.0646440303832199</v>
      </c>
      <c r="Y34" s="44">
        <v>11.0620085973336</v>
      </c>
      <c r="Z34" s="44">
        <v>0</v>
      </c>
      <c r="AA34" s="44">
        <v>0</v>
      </c>
      <c r="AB34" s="44">
        <v>0</v>
      </c>
      <c r="AC34" s="44">
        <v>195.393300218972</v>
      </c>
      <c r="AD34" s="44">
        <v>4.29632639206904</v>
      </c>
      <c r="AE34" s="44">
        <v>3.8168040115158699</v>
      </c>
      <c r="AF34" s="44">
        <v>0</v>
      </c>
      <c r="AG34" s="44">
        <v>-10.172336691412999</v>
      </c>
      <c r="AH34" s="44">
        <v>4.9095972155598897</v>
      </c>
    </row>
    <row r="35" spans="1:34" ht="11.25" customHeight="1" x14ac:dyDescent="0.25">
      <c r="A35" s="141"/>
      <c r="B35" s="141"/>
      <c r="C35" s="141"/>
      <c r="D35" s="47" t="s">
        <v>87</v>
      </c>
      <c r="E35" s="47" t="s">
        <v>25</v>
      </c>
      <c r="F35" s="47" t="s">
        <v>25</v>
      </c>
      <c r="G35" s="46" t="s">
        <v>74</v>
      </c>
      <c r="H35" s="46" t="s">
        <v>70</v>
      </c>
      <c r="I35" s="46">
        <f>'MERCADO TE'!$U$32</f>
        <v>0</v>
      </c>
      <c r="J35" s="15"/>
      <c r="L35" s="44">
        <f>('TE BE'!$L$35+'TE BF'!$L$35+'TE CVA'!$L$35)*(1 - CUSTOS!$M$40)</f>
        <v>2.2459338797553472</v>
      </c>
      <c r="M35" s="44">
        <f>('TE BE'!$M$35+'TE BF'!$M$35+'TE CVA'!$M$35)*(1 - CUSTOS!$M$40)</f>
        <v>27.926040224515464</v>
      </c>
      <c r="N35" s="44">
        <f>('TE BE'!$N$35+'TE BF'!$N$35+'TE CVA'!$N$35)*(1 - CUSTOS!$M$40)</f>
        <v>0</v>
      </c>
      <c r="O35" s="44">
        <f>('TE BE'!$O$35+'TE BF'!$O$35+'TE CVA'!$O$35)*(1 - CUSTOS!$M$40)</f>
        <v>2.2043749810998512</v>
      </c>
      <c r="P35" s="44">
        <f>('TE BE'!$P$35+'TE BF'!$P$35+'TE CVA'!$P$35)*(1 - CUSTOS!$M$40)</f>
        <v>-14.827340720918555</v>
      </c>
      <c r="Q35" s="44">
        <f>('TE BE'!$R$35+'TE BF'!$R$35+'TE CVA'!$R$35)*(1 - CUSTOS!$M$40)</f>
        <v>197.91641608891618</v>
      </c>
      <c r="R35" s="44">
        <f>('TE BE'!$T$35+'TE BF'!$T$35+'TE CVA'!$T$35)*(1 - CUSTOS!$M$40)</f>
        <v>6.7340984963874391</v>
      </c>
      <c r="S35" s="44">
        <f>('TE BE'!$U$35+'TE BF'!$U$35+'TE CVA'!$U$35)*(1 - CUSTOS!$M$40)</f>
        <v>3.9617364951295553</v>
      </c>
      <c r="T35" s="44">
        <f>('TE BE'!$V$35+'TE BF'!$V$35+'TE CVA'!$V$35)*(1 - CUSTOS!$M$40)</f>
        <v>0</v>
      </c>
      <c r="U35" s="44">
        <f>('TE BE'!$X$35+'TE BF'!$X$35+'TE CVA'!$X$35)*(1 - CUSTOS!$M$40)</f>
        <v>-22.539099372293542</v>
      </c>
      <c r="V35" s="44">
        <f>('TE BE'!$Z$35+'TE BF'!$Z$35+'TE CVA'!$Z$35)*(1 - CUSTOS!$M$40)</f>
        <v>5.7243946328012312</v>
      </c>
      <c r="X35" s="44">
        <v>1.97079657445671</v>
      </c>
      <c r="Y35" s="44">
        <v>10.559190024727499</v>
      </c>
      <c r="Z35" s="44">
        <v>0</v>
      </c>
      <c r="AA35" s="44">
        <v>0</v>
      </c>
      <c r="AB35" s="44">
        <v>0</v>
      </c>
      <c r="AC35" s="44">
        <v>186.51178657265501</v>
      </c>
      <c r="AD35" s="44">
        <v>4.1010388287931798</v>
      </c>
      <c r="AE35" s="44">
        <v>3.6433129200833299</v>
      </c>
      <c r="AF35" s="44">
        <v>0</v>
      </c>
      <c r="AG35" s="44">
        <v>-9.7099577508942403</v>
      </c>
      <c r="AH35" s="44">
        <v>4.6864337057617096</v>
      </c>
    </row>
    <row r="36" spans="1:34" ht="11.25" customHeight="1" x14ac:dyDescent="0.25">
      <c r="A36" s="141" t="s">
        <v>32</v>
      </c>
      <c r="B36" s="141" t="s">
        <v>69</v>
      </c>
      <c r="C36" s="141" t="s">
        <v>25</v>
      </c>
      <c r="D36" s="141" t="s">
        <v>25</v>
      </c>
      <c r="E36" s="141" t="s">
        <v>25</v>
      </c>
      <c r="F36" s="141" t="s">
        <v>25</v>
      </c>
      <c r="G36" s="46" t="s">
        <v>71</v>
      </c>
      <c r="H36" s="46" t="s">
        <v>70</v>
      </c>
      <c r="I36" s="46">
        <f>'MERCADO TE'!$U$33</f>
        <v>0.216</v>
      </c>
      <c r="J36" s="15"/>
      <c r="L36" s="44">
        <f>('TE BE'!$L$36+'TE BF'!$L$36+'TE CVA'!$L$36)*1</f>
        <v>2.4412324779949426</v>
      </c>
      <c r="M36" s="44">
        <f>('TE BE'!$M$36+'TE BF'!$M$36+'TE CVA'!$M$36)*1</f>
        <v>30.354391548386374</v>
      </c>
      <c r="N36" s="44">
        <f>('TE BE'!$N$36+'TE BF'!$N$36+'TE CVA'!$N$36)*1</f>
        <v>0</v>
      </c>
      <c r="O36" s="44">
        <f>('TE BE'!$O$36+'TE BF'!$O$36+'TE CVA'!$O$36)*1</f>
        <v>2.3960597620650557</v>
      </c>
      <c r="P36" s="44">
        <f>('TE BE'!$P$36+'TE BF'!$P$36+'TE CVA'!$P$36)*1</f>
        <v>-16.116674696650602</v>
      </c>
      <c r="Q36" s="44">
        <f>('TE BE'!$R$36+'TE BF'!$R$36+'TE CVA'!$R$36)*1</f>
        <v>349.07325233073811</v>
      </c>
      <c r="R36" s="44">
        <f>('TE BE'!$T$36+'TE BF'!$T$36+'TE CVA'!$T$36)*1</f>
        <v>7.319672278681999</v>
      </c>
      <c r="S36" s="44">
        <f>('TE BE'!$U$36+'TE BF'!$U$36+'TE CVA'!$U$36)*1</f>
        <v>4.3062353207929949</v>
      </c>
      <c r="T36" s="44">
        <f>('TE BE'!$V$36+'TE BF'!$V$36+'TE CVA'!$V$36)*1</f>
        <v>0</v>
      </c>
      <c r="U36" s="44">
        <f>('TE BE'!$X$36+'TE BF'!$X$36+'TE CVA'!$X$36)*1</f>
        <v>-38.007996573099831</v>
      </c>
      <c r="V36" s="44">
        <f>('TE BE'!$Z$36+'TE BF'!$Z$36+'TE CVA'!$Z$36)*1</f>
        <v>6.2221680791317731</v>
      </c>
      <c r="X36" s="44">
        <v>2.3461863981627502</v>
      </c>
      <c r="Y36" s="44">
        <v>12.570464315151799</v>
      </c>
      <c r="Z36" s="44">
        <v>0</v>
      </c>
      <c r="AA36" s="44">
        <v>0</v>
      </c>
      <c r="AB36" s="44">
        <v>0</v>
      </c>
      <c r="AC36" s="44">
        <v>360.287817727949</v>
      </c>
      <c r="AD36" s="44">
        <v>4.88218908189664</v>
      </c>
      <c r="AE36" s="44">
        <v>4.3372772858134896</v>
      </c>
      <c r="AF36" s="44">
        <v>0</v>
      </c>
      <c r="AG36" s="44">
        <v>-17.956302959613801</v>
      </c>
      <c r="AH36" s="44">
        <v>5.5790877449544203</v>
      </c>
    </row>
    <row r="37" spans="1:34" ht="11.25" customHeight="1" x14ac:dyDescent="0.25">
      <c r="A37" s="141"/>
      <c r="B37" s="141"/>
      <c r="C37" s="141"/>
      <c r="D37" s="141"/>
      <c r="E37" s="141"/>
      <c r="F37" s="141"/>
      <c r="G37" s="46" t="s">
        <v>83</v>
      </c>
      <c r="H37" s="46" t="s">
        <v>70</v>
      </c>
      <c r="I37" s="46">
        <f>'MERCADO TE'!$U$34</f>
        <v>0.24</v>
      </c>
      <c r="J37" s="15"/>
      <c r="L37" s="44">
        <f>('TE BE'!$L$37+'TE BF'!$L$37+'TE CVA'!$L$37)*1</f>
        <v>2.4412324779949426</v>
      </c>
      <c r="M37" s="44">
        <f>('TE BE'!$M$37+'TE BF'!$M$37+'TE CVA'!$M$37)*1</f>
        <v>30.354391548386374</v>
      </c>
      <c r="N37" s="44">
        <f>('TE BE'!$N$37+'TE BF'!$N$37+'TE CVA'!$N$37)*1</f>
        <v>0</v>
      </c>
      <c r="O37" s="44">
        <f>('TE BE'!$O$37+'TE BF'!$O$37+'TE CVA'!$O$37)*1</f>
        <v>2.3960597620650557</v>
      </c>
      <c r="P37" s="44">
        <f>('TE BE'!$P$37+'TE BF'!$P$37+'TE CVA'!$P$37)*1</f>
        <v>-16.116674696650602</v>
      </c>
      <c r="Q37" s="44">
        <f>('TE BE'!$R$37+'TE BF'!$R$37+'TE CVA'!$R$37)*1</f>
        <v>202.94956530856868</v>
      </c>
      <c r="R37" s="44">
        <f>('TE BE'!$T$37+'TE BF'!$T$37+'TE CVA'!$T$37)*1</f>
        <v>7.319672278681999</v>
      </c>
      <c r="S37" s="44">
        <f>('TE BE'!$U$37+'TE BF'!$U$37+'TE CVA'!$U$37)*1</f>
        <v>4.3062353207929949</v>
      </c>
      <c r="T37" s="44">
        <f>('TE BE'!$V$37+'TE BF'!$V$37+'TE CVA'!$V$37)*1</f>
        <v>0</v>
      </c>
      <c r="U37" s="44">
        <f>('TE BE'!$X$37+'TE BF'!$X$37+'TE CVA'!$X$37)*1</f>
        <v>-23.270932373544532</v>
      </c>
      <c r="V37" s="44">
        <f>('TE BE'!$Z$37+'TE BF'!$Z$37+'TE CVA'!$Z$37)*1</f>
        <v>6.2221680791317731</v>
      </c>
      <c r="X37" s="44">
        <v>2.3461863981627502</v>
      </c>
      <c r="Y37" s="44">
        <v>12.570464315151799</v>
      </c>
      <c r="Z37" s="44">
        <v>0</v>
      </c>
      <c r="AA37" s="44">
        <v>0</v>
      </c>
      <c r="AB37" s="44">
        <v>0</v>
      </c>
      <c r="AC37" s="44">
        <v>209.46966146973801</v>
      </c>
      <c r="AD37" s="44">
        <v>4.88218908189664</v>
      </c>
      <c r="AE37" s="44">
        <v>4.3372772858134896</v>
      </c>
      <c r="AF37" s="44">
        <v>0</v>
      </c>
      <c r="AG37" s="44">
        <v>-10.977943563274399</v>
      </c>
      <c r="AH37" s="44">
        <v>5.5790877449544203</v>
      </c>
    </row>
    <row r="38" spans="1:34" ht="11.25" customHeight="1" x14ac:dyDescent="0.25">
      <c r="A38" s="141"/>
      <c r="B38" s="141"/>
      <c r="C38" s="141"/>
      <c r="D38" s="141"/>
      <c r="E38" s="141"/>
      <c r="F38" s="141"/>
      <c r="G38" s="46" t="s">
        <v>72</v>
      </c>
      <c r="H38" s="46" t="s">
        <v>70</v>
      </c>
      <c r="I38" s="46">
        <f>'MERCADO TE'!$U$35</f>
        <v>3.742</v>
      </c>
      <c r="J38" s="15"/>
      <c r="L38" s="44">
        <f>('TE BE'!$L$38+'TE BF'!$L$38+'TE CVA'!$L$38)*1</f>
        <v>2.4412324779949426</v>
      </c>
      <c r="M38" s="44">
        <f>('TE BE'!$M$38+'TE BF'!$M$38+'TE CVA'!$M$38)*1</f>
        <v>30.354391548386374</v>
      </c>
      <c r="N38" s="44">
        <f>('TE BE'!$N$38+'TE BF'!$N$38+'TE CVA'!$N$38)*1</f>
        <v>0</v>
      </c>
      <c r="O38" s="44">
        <f>('TE BE'!$O$38+'TE BF'!$O$38+'TE CVA'!$O$38)*1</f>
        <v>2.3960597620650557</v>
      </c>
      <c r="P38" s="44">
        <f>('TE BE'!$P$38+'TE BF'!$P$38+'TE CVA'!$P$38)*1</f>
        <v>-16.116674696650602</v>
      </c>
      <c r="Q38" s="44">
        <f>('TE BE'!$R$38+'TE BF'!$R$38+'TE CVA'!$R$38)*1</f>
        <v>202.94956530856868</v>
      </c>
      <c r="R38" s="44">
        <f>('TE BE'!$T$38+'TE BF'!$T$38+'TE CVA'!$T$38)*1</f>
        <v>7.319672278681999</v>
      </c>
      <c r="S38" s="44">
        <f>('TE BE'!$U$38+'TE BF'!$U$38+'TE CVA'!$U$38)*1</f>
        <v>4.3062353207929949</v>
      </c>
      <c r="T38" s="44">
        <f>('TE BE'!$V$38+'TE BF'!$V$38+'TE CVA'!$V$38)*1</f>
        <v>0</v>
      </c>
      <c r="U38" s="44">
        <f>('TE BE'!$X$38+'TE BF'!$X$38+'TE CVA'!$X$38)*1</f>
        <v>-23.270932373544532</v>
      </c>
      <c r="V38" s="44">
        <f>('TE BE'!$Z$38+'TE BF'!$Z$38+'TE CVA'!$Z$38)*1</f>
        <v>6.2221680791317731</v>
      </c>
      <c r="X38" s="44">
        <v>2.3461863981627502</v>
      </c>
      <c r="Y38" s="44">
        <v>12.570464315151799</v>
      </c>
      <c r="Z38" s="44">
        <v>0</v>
      </c>
      <c r="AA38" s="44">
        <v>0</v>
      </c>
      <c r="AB38" s="44">
        <v>0</v>
      </c>
      <c r="AC38" s="44">
        <v>209.46966146973801</v>
      </c>
      <c r="AD38" s="44">
        <v>4.88218908189664</v>
      </c>
      <c r="AE38" s="44">
        <v>4.3372772858134896</v>
      </c>
      <c r="AF38" s="44">
        <v>0</v>
      </c>
      <c r="AG38" s="44">
        <v>-10.977943563274399</v>
      </c>
      <c r="AH38" s="44">
        <v>5.5790877449544203</v>
      </c>
    </row>
    <row r="39" spans="1:34" ht="11.25" customHeight="1" x14ac:dyDescent="0.25">
      <c r="A39" s="141"/>
      <c r="B39" s="47" t="s">
        <v>73</v>
      </c>
      <c r="C39" s="47" t="s">
        <v>25</v>
      </c>
      <c r="D39" s="47" t="s">
        <v>25</v>
      </c>
      <c r="E39" s="47" t="s">
        <v>25</v>
      </c>
      <c r="F39" s="47" t="s">
        <v>25</v>
      </c>
      <c r="G39" s="46" t="s">
        <v>74</v>
      </c>
      <c r="H39" s="46" t="s">
        <v>70</v>
      </c>
      <c r="I39" s="46">
        <f>'MERCADO TE'!$U$36</f>
        <v>12398.925999999999</v>
      </c>
      <c r="J39" s="15"/>
      <c r="L39" s="44">
        <f>('TE BE'!$L$39+'TE BF'!$L$39+'TE CVA'!$L$39)*1</f>
        <v>2.4412324779949426</v>
      </c>
      <c r="M39" s="44">
        <f>('TE BE'!$M$39+'TE BF'!$M$39+'TE CVA'!$M$39)*1</f>
        <v>30.354391548386374</v>
      </c>
      <c r="N39" s="44">
        <f>('TE BE'!$N$39+'TE BF'!$N$39+'TE CVA'!$N$39)*1</f>
        <v>0</v>
      </c>
      <c r="O39" s="44">
        <f>('TE BE'!$O$39+'TE BF'!$O$39+'TE CVA'!$O$39)*1</f>
        <v>2.3960597620650557</v>
      </c>
      <c r="P39" s="44">
        <f>('TE BE'!$P$39+'TE BF'!$P$39+'TE CVA'!$P$39)*1</f>
        <v>-16.116674696650602</v>
      </c>
      <c r="Q39" s="44">
        <f>('TE BE'!$R$39+'TE BF'!$R$39+'TE CVA'!$R$39)*1</f>
        <v>215.12653922708279</v>
      </c>
      <c r="R39" s="44">
        <f>('TE BE'!$T$39+'TE BF'!$T$39+'TE CVA'!$T$39)*1</f>
        <v>7.319672278681999</v>
      </c>
      <c r="S39" s="44">
        <f>('TE BE'!$U$39+'TE BF'!$U$39+'TE CVA'!$U$39)*1</f>
        <v>4.3062353207929949</v>
      </c>
      <c r="T39" s="44">
        <f>('TE BE'!$V$39+'TE BF'!$V$39+'TE CVA'!$V$39)*1</f>
        <v>0</v>
      </c>
      <c r="U39" s="44">
        <f>('TE BE'!$X$39+'TE BF'!$X$39+'TE CVA'!$X$39)*1</f>
        <v>-24.499021056840807</v>
      </c>
      <c r="V39" s="44">
        <f>('TE BE'!$Z$39+'TE BF'!$Z$39+'TE CVA'!$Z$39)*1</f>
        <v>6.2221680791317731</v>
      </c>
      <c r="X39" s="44">
        <v>2.3461863981627502</v>
      </c>
      <c r="Y39" s="44">
        <v>12.570464315151799</v>
      </c>
      <c r="Z39" s="44">
        <v>0</v>
      </c>
      <c r="AA39" s="44">
        <v>0</v>
      </c>
      <c r="AB39" s="44">
        <v>0</v>
      </c>
      <c r="AC39" s="44">
        <v>222.037841157922</v>
      </c>
      <c r="AD39" s="44">
        <v>4.88218908189664</v>
      </c>
      <c r="AE39" s="44">
        <v>4.3372772858134896</v>
      </c>
      <c r="AF39" s="44">
        <v>0</v>
      </c>
      <c r="AG39" s="44">
        <v>-11.5594735129693</v>
      </c>
      <c r="AH39" s="44">
        <v>5.5790877449544203</v>
      </c>
    </row>
    <row r="40" spans="1:34" ht="11.25" customHeight="1" x14ac:dyDescent="0.25">
      <c r="A40" s="141"/>
      <c r="B40" s="47" t="s">
        <v>84</v>
      </c>
      <c r="C40" s="47" t="s">
        <v>25</v>
      </c>
      <c r="D40" s="47" t="s">
        <v>25</v>
      </c>
      <c r="E40" s="47" t="s">
        <v>25</v>
      </c>
      <c r="F40" s="47" t="s">
        <v>25</v>
      </c>
      <c r="G40" s="46" t="s">
        <v>74</v>
      </c>
      <c r="H40" s="46" t="s">
        <v>70</v>
      </c>
      <c r="I40" s="46">
        <f>'MERCADO TE'!$U$37</f>
        <v>0</v>
      </c>
      <c r="J40" s="15"/>
      <c r="L40" s="44">
        <f>('TE BE'!$L$40+'TE BF'!$L$40+'TE CVA'!$L$40)*1</f>
        <v>2.4412324779949426</v>
      </c>
      <c r="M40" s="44">
        <f>('TE BE'!$M$40+'TE BF'!$M$40+'TE CVA'!$M$40)*1</f>
        <v>30.354391548386374</v>
      </c>
      <c r="N40" s="44">
        <f>('TE BE'!$N$40+'TE BF'!$N$40+'TE CVA'!$N$40)*1</f>
        <v>0</v>
      </c>
      <c r="O40" s="44">
        <f>('TE BE'!$O$40+'TE BF'!$O$40+'TE CVA'!$O$40)*1</f>
        <v>2.3960597620650557</v>
      </c>
      <c r="P40" s="44">
        <f>('TE BE'!$P$40+'TE BF'!$P$40+'TE CVA'!$P$40)*1</f>
        <v>-16.116674696650602</v>
      </c>
      <c r="Q40" s="44">
        <f>('TE BE'!$R$40+'TE BF'!$R$40+'TE CVA'!$R$40)*1</f>
        <v>215.12653922708279</v>
      </c>
      <c r="R40" s="44">
        <f>('TE BE'!$T$40+'TE BF'!$T$40+'TE CVA'!$T$40)*1</f>
        <v>7.319672278681999</v>
      </c>
      <c r="S40" s="44">
        <f>('TE BE'!$U$40+'TE BF'!$U$40+'TE CVA'!$U$40)*1</f>
        <v>4.3062353207929949</v>
      </c>
      <c r="T40" s="44">
        <f>('TE BE'!$V$40+'TE BF'!$V$40+'TE CVA'!$V$40)*1</f>
        <v>0</v>
      </c>
      <c r="U40" s="44">
        <f>('TE BE'!$X$40+'TE BF'!$X$40+'TE CVA'!$X$40)*1</f>
        <v>-24.499021056840807</v>
      </c>
      <c r="V40" s="44">
        <f>('TE BE'!$Z$40+'TE BF'!$Z$40+'TE CVA'!$Z$40)*1</f>
        <v>6.2221680791317731</v>
      </c>
      <c r="X40" s="44">
        <v>2.3461863981627502</v>
      </c>
      <c r="Y40" s="44">
        <v>12.570464315151799</v>
      </c>
      <c r="Z40" s="44">
        <v>0</v>
      </c>
      <c r="AA40" s="44">
        <v>0</v>
      </c>
      <c r="AB40" s="44">
        <v>0</v>
      </c>
      <c r="AC40" s="44">
        <v>222.037841157922</v>
      </c>
      <c r="AD40" s="44">
        <v>4.88218908189664</v>
      </c>
      <c r="AE40" s="44">
        <v>4.3372772858134896</v>
      </c>
      <c r="AF40" s="44">
        <v>0</v>
      </c>
      <c r="AG40" s="44">
        <v>-11.5594735129693</v>
      </c>
      <c r="AH40" s="44">
        <v>5.5790877449544203</v>
      </c>
    </row>
    <row r="41" spans="1:34" ht="11.25" customHeight="1" x14ac:dyDescent="0.25">
      <c r="A41" s="141" t="s">
        <v>42</v>
      </c>
      <c r="B41" s="141" t="s">
        <v>73</v>
      </c>
      <c r="C41" s="141" t="s">
        <v>43</v>
      </c>
      <c r="D41" s="47" t="s">
        <v>44</v>
      </c>
      <c r="E41" s="47" t="s">
        <v>25</v>
      </c>
      <c r="F41" s="47" t="s">
        <v>25</v>
      </c>
      <c r="G41" s="46" t="s">
        <v>74</v>
      </c>
      <c r="H41" s="46" t="s">
        <v>70</v>
      </c>
      <c r="I41" s="46">
        <f>'MERCADO TE'!$U$38</f>
        <v>3575.7699999999995</v>
      </c>
      <c r="J41" s="15"/>
      <c r="L41" s="44">
        <f>('TE BE'!$L$41+'TE BF'!$L$41+'TE CVA'!$L$41)*1</f>
        <v>1.3426778628972185</v>
      </c>
      <c r="M41" s="44">
        <f>('TE BE'!$M$41+'TE BF'!$M$41+'TE CVA'!$M$41)*1</f>
        <v>16.694915351612504</v>
      </c>
      <c r="N41" s="44">
        <f>('TE BE'!$N$41+'TE BF'!$N$41+'TE CVA'!$N$41)*1</f>
        <v>0</v>
      </c>
      <c r="O41" s="44">
        <f>('TE BE'!$O$41+'TE BF'!$O$41+'TE CVA'!$O$41)*1</f>
        <v>1.3178328691357808</v>
      </c>
      <c r="P41" s="44">
        <f>('TE BE'!$P$41+'TE BF'!$P$41+'TE CVA'!$P$41)*1</f>
        <v>-8.8641710831578315</v>
      </c>
      <c r="Q41" s="44">
        <f>('TE BE'!$R$41+'TE BF'!$R$41+'TE CVA'!$R$41)*1</f>
        <v>118.31959657489554</v>
      </c>
      <c r="R41" s="44">
        <f>('TE BE'!$T$41+'TE BF'!$T$41+'TE CVA'!$T$41)*1</f>
        <v>4.0258197532750994</v>
      </c>
      <c r="S41" s="44">
        <f>('TE BE'!$U$41+'TE BF'!$U$41+'TE CVA'!$U$41)*1</f>
        <v>2.3684294264361472</v>
      </c>
      <c r="T41" s="44">
        <f>('TE BE'!$V$41+'TE BF'!$V$41+'TE CVA'!$V$41)*1</f>
        <v>0</v>
      </c>
      <c r="U41" s="44">
        <f>('TE BE'!$X$41+'TE BF'!$X$41+'TE CVA'!$X$41)*1</f>
        <v>-13.474461581262446</v>
      </c>
      <c r="V41" s="44">
        <f>('TE BE'!$Z$41+'TE BF'!$Z$41+'TE CVA'!$Z$41)*1</f>
        <v>3.4221924435224755</v>
      </c>
      <c r="X41" s="44">
        <v>1.2904025189895101</v>
      </c>
      <c r="Y41" s="44">
        <v>6.9137553733334904</v>
      </c>
      <c r="Z41" s="44">
        <v>0</v>
      </c>
      <c r="AA41" s="44">
        <v>0</v>
      </c>
      <c r="AB41" s="44">
        <v>0</v>
      </c>
      <c r="AC41" s="44">
        <v>122.120812636857</v>
      </c>
      <c r="AD41" s="44">
        <v>2.6852039950431501</v>
      </c>
      <c r="AE41" s="44">
        <v>2.3855025071974199</v>
      </c>
      <c r="AF41" s="44">
        <v>0</v>
      </c>
      <c r="AG41" s="44">
        <v>-6.3577104321331301</v>
      </c>
      <c r="AH41" s="44">
        <v>3.06849825972493</v>
      </c>
    </row>
    <row r="42" spans="1:34" ht="11.25" customHeight="1" x14ac:dyDescent="0.25">
      <c r="A42" s="141"/>
      <c r="B42" s="141"/>
      <c r="C42" s="141"/>
      <c r="D42" s="46" t="s">
        <v>88</v>
      </c>
      <c r="E42" s="46" t="s">
        <v>25</v>
      </c>
      <c r="F42" s="46" t="s">
        <v>25</v>
      </c>
      <c r="G42" s="46" t="s">
        <v>74</v>
      </c>
      <c r="H42" s="46" t="s">
        <v>70</v>
      </c>
      <c r="I42" s="46">
        <f>'MERCADO TE'!$U$39</f>
        <v>0</v>
      </c>
      <c r="J42" s="15"/>
      <c r="L42" s="44">
        <f>('TE BE'!$L$42+'TE BF'!$L$42+'TE CVA'!$L$42)*1</f>
        <v>1.4647394867969654</v>
      </c>
      <c r="M42" s="44">
        <f>('TE BE'!$M$42+'TE BF'!$M$42+'TE CVA'!$M$42)*1</f>
        <v>18.212634929031822</v>
      </c>
      <c r="N42" s="44">
        <f>('TE BE'!$N$42+'TE BF'!$N$42+'TE CVA'!$N$42)*1</f>
        <v>0</v>
      </c>
      <c r="O42" s="44">
        <f>('TE BE'!$O$42+'TE BF'!$O$42+'TE CVA'!$O$42)*1</f>
        <v>1.4376358572390335</v>
      </c>
      <c r="P42" s="44">
        <f>('TE BE'!$P$42+'TE BF'!$P$42+'TE CVA'!$P$42)*1</f>
        <v>-9.6700048179903604</v>
      </c>
      <c r="Q42" s="44">
        <f>('TE BE'!$R$42+'TE BF'!$R$42+'TE CVA'!$R$42)*1</f>
        <v>129.07592353624966</v>
      </c>
      <c r="R42" s="44">
        <f>('TE BE'!$T$42+'TE BF'!$T$42+'TE CVA'!$T$42)*1</f>
        <v>4.3918033672091994</v>
      </c>
      <c r="S42" s="44">
        <f>('TE BE'!$U$42+'TE BF'!$U$42+'TE CVA'!$U$42)*1</f>
        <v>2.5837411924757965</v>
      </c>
      <c r="T42" s="44">
        <f>('TE BE'!$V$42+'TE BF'!$V$42+'TE CVA'!$V$42)*1</f>
        <v>0</v>
      </c>
      <c r="U42" s="44">
        <f>('TE BE'!$X$42+'TE BF'!$X$42+'TE CVA'!$X$42)*1</f>
        <v>-14.699412634104483</v>
      </c>
      <c r="V42" s="44">
        <f>('TE BE'!$Z$42+'TE BF'!$Z$42+'TE CVA'!$Z$42)*1</f>
        <v>3.7333008474790637</v>
      </c>
      <c r="X42" s="44">
        <v>1.4077118388976499</v>
      </c>
      <c r="Y42" s="44">
        <v>7.5422785890910804</v>
      </c>
      <c r="Z42" s="44">
        <v>0</v>
      </c>
      <c r="AA42" s="44">
        <v>0</v>
      </c>
      <c r="AB42" s="44">
        <v>0</v>
      </c>
      <c r="AC42" s="44">
        <v>133.22270469475299</v>
      </c>
      <c r="AD42" s="44">
        <v>2.9293134491379802</v>
      </c>
      <c r="AE42" s="44">
        <v>2.6023663714880998</v>
      </c>
      <c r="AF42" s="44">
        <v>0</v>
      </c>
      <c r="AG42" s="44">
        <v>-6.9356841077815998</v>
      </c>
      <c r="AH42" s="44">
        <v>3.3474526469726502</v>
      </c>
    </row>
    <row r="44" spans="1:34" ht="11.25" customHeight="1" x14ac:dyDescent="0.25">
      <c r="L44" s="143" t="s">
        <v>874</v>
      </c>
      <c r="M44" s="143"/>
      <c r="N44" s="143"/>
      <c r="O44" s="143"/>
      <c r="P44" s="143"/>
      <c r="Q44" s="143"/>
      <c r="R44" s="143"/>
      <c r="S44" s="143"/>
      <c r="T44" s="143"/>
      <c r="U44" s="143"/>
      <c r="V44" s="143"/>
      <c r="X44" s="143" t="s">
        <v>875</v>
      </c>
      <c r="Y44" s="143"/>
      <c r="Z44" s="143"/>
      <c r="AA44" s="143"/>
      <c r="AB44" s="143"/>
      <c r="AC44" s="143"/>
      <c r="AD44" s="143"/>
      <c r="AE44" s="143"/>
      <c r="AF44" s="143"/>
      <c r="AG44" s="143"/>
      <c r="AH44" s="143"/>
    </row>
    <row r="45" spans="1:34" ht="11.25" customHeight="1" x14ac:dyDescent="0.25">
      <c r="L45" s="143" t="s">
        <v>436</v>
      </c>
      <c r="M45" s="143"/>
      <c r="N45" s="143"/>
      <c r="O45" s="143"/>
      <c r="P45" s="143"/>
      <c r="Q45" s="143"/>
      <c r="R45" s="143"/>
      <c r="S45" s="143"/>
      <c r="T45" s="143"/>
      <c r="U45" s="143"/>
      <c r="V45" s="143"/>
      <c r="X45" s="143" t="s">
        <v>436</v>
      </c>
      <c r="Y45" s="143"/>
      <c r="Z45" s="143"/>
      <c r="AA45" s="143"/>
      <c r="AB45" s="143"/>
      <c r="AC45" s="143"/>
      <c r="AD45" s="143"/>
      <c r="AE45" s="143"/>
      <c r="AF45" s="143"/>
      <c r="AG45" s="143"/>
      <c r="AH45" s="143"/>
    </row>
    <row r="46" spans="1:34" ht="11.25" customHeight="1" x14ac:dyDescent="0.25">
      <c r="L46" s="143" t="s">
        <v>409</v>
      </c>
      <c r="M46" s="143"/>
      <c r="N46" s="143"/>
      <c r="O46" s="143"/>
      <c r="P46" s="143"/>
      <c r="Q46" s="48" t="s">
        <v>440</v>
      </c>
      <c r="R46" s="143" t="s">
        <v>418</v>
      </c>
      <c r="S46" s="143"/>
      <c r="T46" s="143"/>
      <c r="U46" s="48" t="s">
        <v>428</v>
      </c>
      <c r="V46" s="48" t="s">
        <v>431</v>
      </c>
      <c r="X46" s="143" t="s">
        <v>409</v>
      </c>
      <c r="Y46" s="143"/>
      <c r="Z46" s="143"/>
      <c r="AA46" s="143"/>
      <c r="AB46" s="143"/>
      <c r="AC46" s="48" t="s">
        <v>440</v>
      </c>
      <c r="AD46" s="143" t="s">
        <v>418</v>
      </c>
      <c r="AE46" s="143"/>
      <c r="AF46" s="143"/>
      <c r="AG46" s="48" t="s">
        <v>428</v>
      </c>
      <c r="AH46" s="48" t="s">
        <v>431</v>
      </c>
    </row>
    <row r="47" spans="1:34" ht="11.25" customHeight="1" x14ac:dyDescent="0.25">
      <c r="L47" s="48" t="s">
        <v>411</v>
      </c>
      <c r="M47" s="48" t="s">
        <v>437</v>
      </c>
      <c r="N47" s="48" t="s">
        <v>438</v>
      </c>
      <c r="O47" s="48" t="s">
        <v>497</v>
      </c>
      <c r="P47" s="48" t="s">
        <v>439</v>
      </c>
      <c r="Q47" s="48" t="s">
        <v>441</v>
      </c>
      <c r="R47" s="48" t="s">
        <v>442</v>
      </c>
      <c r="S47" s="48" t="s">
        <v>443</v>
      </c>
      <c r="T47" s="48" t="s">
        <v>444</v>
      </c>
      <c r="U47" s="48" t="s">
        <v>429</v>
      </c>
      <c r="V47" s="48" t="s">
        <v>445</v>
      </c>
      <c r="X47" s="48" t="s">
        <v>411</v>
      </c>
      <c r="Y47" s="48" t="s">
        <v>437</v>
      </c>
      <c r="Z47" s="48" t="s">
        <v>438</v>
      </c>
      <c r="AA47" s="48" t="s">
        <v>497</v>
      </c>
      <c r="AB47" s="48" t="s">
        <v>439</v>
      </c>
      <c r="AC47" s="48" t="s">
        <v>441</v>
      </c>
      <c r="AD47" s="48" t="s">
        <v>442</v>
      </c>
      <c r="AE47" s="48" t="s">
        <v>443</v>
      </c>
      <c r="AF47" s="48" t="s">
        <v>444</v>
      </c>
      <c r="AG47" s="48" t="s">
        <v>429</v>
      </c>
      <c r="AH47" s="48" t="s">
        <v>445</v>
      </c>
    </row>
    <row r="48" spans="1:34" ht="11.25" customHeight="1" x14ac:dyDescent="0.25">
      <c r="A48" s="9" t="s">
        <v>34</v>
      </c>
      <c r="B48" s="9" t="s">
        <v>876</v>
      </c>
      <c r="C48" s="9" t="s">
        <v>877</v>
      </c>
      <c r="D48" s="9" t="s">
        <v>878</v>
      </c>
      <c r="E48" s="9" t="s">
        <v>879</v>
      </c>
      <c r="F48" s="9" t="s">
        <v>880</v>
      </c>
      <c r="G48" s="9" t="s">
        <v>881</v>
      </c>
      <c r="L48" s="44">
        <f>$I$5*$L$5</f>
        <v>5263.9563553261532</v>
      </c>
      <c r="M48" s="44">
        <f>$I$5*$M$5</f>
        <v>65452.263864039072</v>
      </c>
      <c r="N48" s="44">
        <f>$I$5*$N$5</f>
        <v>0</v>
      </c>
      <c r="O48" s="44">
        <f>$I$5*$O$5</f>
        <v>5166.5517831480165</v>
      </c>
      <c r="P48" s="44">
        <f>$I$5*$P$5</f>
        <v>-34751.902148146786</v>
      </c>
      <c r="Q48" s="44">
        <f>$I$5*$Q$5</f>
        <v>752696.18180320051</v>
      </c>
      <c r="R48" s="44">
        <f>$I$5*$R$5</f>
        <v>15783.189744353631</v>
      </c>
      <c r="S48" s="44">
        <f>$I$5*$S$5</f>
        <v>9285.4060351663084</v>
      </c>
      <c r="T48" s="44">
        <f>$I$5*$T$5</f>
        <v>0</v>
      </c>
      <c r="U48" s="44">
        <f>$I$5*$U$5</f>
        <v>-81955.502770677951</v>
      </c>
      <c r="V48" s="44">
        <f>$I$5*$V$5</f>
        <v>13416.674363989465</v>
      </c>
      <c r="X48" s="44">
        <f>$I$5*$X$5</f>
        <v>5059.0113447663925</v>
      </c>
      <c r="Y48" s="44">
        <f>$I$5*$Y$5</f>
        <v>27105.315088832365</v>
      </c>
      <c r="Z48" s="44">
        <f>$I$5*$Z$5</f>
        <v>0</v>
      </c>
      <c r="AA48" s="44">
        <f>$I$5*$AA$5</f>
        <v>0</v>
      </c>
      <c r="AB48" s="44">
        <f>$I$5*$AB$5</f>
        <v>0</v>
      </c>
      <c r="AC48" s="44">
        <f>$I$5*$AC$5</f>
        <v>776877.81273224438</v>
      </c>
      <c r="AD48" s="44">
        <f>$I$5*$AD$5</f>
        <v>10527.317851621267</v>
      </c>
      <c r="AE48" s="44">
        <f>$I$5*$AE$5</f>
        <v>9352.340893081051</v>
      </c>
      <c r="AF48" s="44">
        <f>$I$5*$AF$5</f>
        <v>0</v>
      </c>
      <c r="AG48" s="44">
        <f>$I$5*$AG$5</f>
        <v>-38718.63738272644</v>
      </c>
      <c r="AH48" s="44">
        <f>$I$5*$AH$5</f>
        <v>12030.019531812864</v>
      </c>
    </row>
    <row r="49" spans="1:34" ht="11.25" customHeight="1" x14ac:dyDescent="0.25">
      <c r="A49" s="9" t="s">
        <v>34</v>
      </c>
      <c r="B49" s="9" t="s">
        <v>876</v>
      </c>
      <c r="C49" s="9" t="s">
        <v>877</v>
      </c>
      <c r="D49" s="9" t="s">
        <v>878</v>
      </c>
      <c r="E49" s="9" t="s">
        <v>879</v>
      </c>
      <c r="F49" s="9" t="s">
        <v>880</v>
      </c>
      <c r="G49" s="9" t="s">
        <v>882</v>
      </c>
      <c r="L49" s="44">
        <f>$I$6*$L$6</f>
        <v>57019.31282875537</v>
      </c>
      <c r="M49" s="44">
        <f>$I$6*$M$6</f>
        <v>708980.63294877904</v>
      </c>
      <c r="N49" s="44">
        <f>$I$6*$N$6</f>
        <v>0</v>
      </c>
      <c r="O49" s="44">
        <f>$I$6*$O$6</f>
        <v>55964.223956987516</v>
      </c>
      <c r="P49" s="44">
        <f>$I$6*$P$6</f>
        <v>-376433.51240451197</v>
      </c>
      <c r="Q49" s="44">
        <f>$I$6*$Q$6</f>
        <v>4740246.9273609137</v>
      </c>
      <c r="R49" s="44">
        <f>$I$6*$R$6</f>
        <v>170963.92384756819</v>
      </c>
      <c r="S49" s="44">
        <f>$I$6*$S$6</f>
        <v>100579.76087234417</v>
      </c>
      <c r="T49" s="44">
        <f>$I$6*$T$6</f>
        <v>0</v>
      </c>
      <c r="U49" s="44">
        <f>$I$6*$U$6</f>
        <v>-543533.88494723092</v>
      </c>
      <c r="V49" s="44">
        <f>$I$6*$V$6</f>
        <v>145329.76739212687</v>
      </c>
      <c r="X49" s="44">
        <f>$I$6*$X$6</f>
        <v>54799.343117574979</v>
      </c>
      <c r="Y49" s="44">
        <f>$I$6*$Y$6</f>
        <v>293605.48151360103</v>
      </c>
      <c r="Z49" s="44">
        <f>$I$6*$Z$6</f>
        <v>0</v>
      </c>
      <c r="AA49" s="44">
        <f>$I$6*$AA$6</f>
        <v>0</v>
      </c>
      <c r="AB49" s="44">
        <f>$I$6*$AB$6</f>
        <v>0</v>
      </c>
      <c r="AC49" s="44">
        <f>$I$6*$AC$6</f>
        <v>4892535.333335517</v>
      </c>
      <c r="AD49" s="44">
        <f>$I$6*$AD$6</f>
        <v>114032.18212893824</v>
      </c>
      <c r="AE49" s="44">
        <f>$I$6*$AE$6</f>
        <v>101304.8010028018</v>
      </c>
      <c r="AF49" s="44">
        <f>$I$6*$AF$6</f>
        <v>0</v>
      </c>
      <c r="AG49" s="44">
        <f>$I$6*$AG$6</f>
        <v>-256409.33581421128</v>
      </c>
      <c r="AH49" s="44">
        <f>$I$6*$AH$6</f>
        <v>130309.4860059823</v>
      </c>
    </row>
    <row r="50" spans="1:34" ht="11.25" customHeight="1" x14ac:dyDescent="0.25">
      <c r="A50" s="9" t="s">
        <v>34</v>
      </c>
      <c r="B50" s="9" t="s">
        <v>883</v>
      </c>
      <c r="C50" s="9" t="s">
        <v>884</v>
      </c>
      <c r="D50" s="9" t="s">
        <v>885</v>
      </c>
      <c r="E50" s="9" t="s">
        <v>886</v>
      </c>
      <c r="F50" s="9" t="s">
        <v>887</v>
      </c>
      <c r="G50" s="9" t="s">
        <v>888</v>
      </c>
      <c r="L50" s="44">
        <f>$I$7*$L$7</f>
        <v>0</v>
      </c>
      <c r="M50" s="44">
        <f>$I$7*$M$7</f>
        <v>0</v>
      </c>
      <c r="N50" s="44">
        <f>$I$7*$N$7</f>
        <v>0</v>
      </c>
      <c r="O50" s="44">
        <f>$I$7*$O$7</f>
        <v>0</v>
      </c>
      <c r="P50" s="44">
        <f>$I$7*$P$7</f>
        <v>0</v>
      </c>
      <c r="Q50" s="44">
        <f>$I$7*$Q$7</f>
        <v>0</v>
      </c>
      <c r="R50" s="44">
        <f>$I$7*$R$7</f>
        <v>0</v>
      </c>
      <c r="S50" s="44">
        <f>$I$7*$S$7</f>
        <v>0</v>
      </c>
      <c r="T50" s="44">
        <f>$I$7*$T$7</f>
        <v>0</v>
      </c>
      <c r="U50" s="44">
        <f>$I$7*$U$7</f>
        <v>0</v>
      </c>
      <c r="V50" s="44">
        <f>$I$7*$V$7</f>
        <v>0</v>
      </c>
      <c r="X50" s="44">
        <f>$I$7*$X$7</f>
        <v>0</v>
      </c>
      <c r="Y50" s="44">
        <f>$I$7*$Y$7</f>
        <v>0</v>
      </c>
      <c r="Z50" s="44">
        <f>$I$7*$Z$7</f>
        <v>0</v>
      </c>
      <c r="AA50" s="44">
        <f>$I$7*$AA$7</f>
        <v>0</v>
      </c>
      <c r="AB50" s="44">
        <f>$I$7*$AB$7</f>
        <v>0</v>
      </c>
      <c r="AC50" s="44">
        <f>$I$7*$AC$7</f>
        <v>0</v>
      </c>
      <c r="AD50" s="44">
        <f>$I$7*$AD$7</f>
        <v>0</v>
      </c>
      <c r="AE50" s="44">
        <f>$I$7*$AE$7</f>
        <v>0</v>
      </c>
      <c r="AF50" s="44">
        <f>$I$7*$AF$7</f>
        <v>0</v>
      </c>
      <c r="AG50" s="44">
        <f>$I$7*$AG$7</f>
        <v>0</v>
      </c>
      <c r="AH50" s="44">
        <f>$I$7*$AH$7</f>
        <v>0</v>
      </c>
    </row>
    <row r="51" spans="1:34" ht="11.25" customHeight="1" x14ac:dyDescent="0.25">
      <c r="A51" s="9" t="s">
        <v>22</v>
      </c>
      <c r="B51" s="9" t="s">
        <v>889</v>
      </c>
      <c r="C51" s="9" t="s">
        <v>890</v>
      </c>
      <c r="D51" s="9" t="s">
        <v>891</v>
      </c>
      <c r="E51" s="9" t="s">
        <v>892</v>
      </c>
      <c r="F51" s="9" t="s">
        <v>893</v>
      </c>
      <c r="G51" s="9" t="s">
        <v>894</v>
      </c>
      <c r="L51" s="44">
        <f>$I$8*$L$8</f>
        <v>0</v>
      </c>
      <c r="M51" s="44">
        <f>$I$8*$M$8</f>
        <v>0</v>
      </c>
      <c r="N51" s="44">
        <f>$I$8*$N$8</f>
        <v>0</v>
      </c>
      <c r="O51" s="44">
        <f>$I$8*$O$8</f>
        <v>0</v>
      </c>
      <c r="P51" s="44">
        <f>$I$8*$P$8</f>
        <v>0</v>
      </c>
      <c r="Q51" s="44">
        <f>$I$8*$Q$8</f>
        <v>0</v>
      </c>
      <c r="R51" s="44">
        <f>$I$8*$R$8</f>
        <v>0</v>
      </c>
      <c r="S51" s="44">
        <f>$I$8*$S$8</f>
        <v>0</v>
      </c>
      <c r="T51" s="44">
        <f>$I$8*$T$8</f>
        <v>0</v>
      </c>
      <c r="U51" s="44">
        <f>$I$8*$U$8</f>
        <v>0</v>
      </c>
      <c r="V51" s="44">
        <f>$I$8*$V$8</f>
        <v>0</v>
      </c>
      <c r="X51" s="44">
        <f>$I$8*$X$8</f>
        <v>0</v>
      </c>
      <c r="Y51" s="44">
        <f>$I$8*$Y$8</f>
        <v>0</v>
      </c>
      <c r="Z51" s="44">
        <f>$I$8*$Z$8</f>
        <v>0</v>
      </c>
      <c r="AA51" s="44">
        <f>$I$8*$AA$8</f>
        <v>0</v>
      </c>
      <c r="AB51" s="44">
        <f>$I$8*$AB$8</f>
        <v>0</v>
      </c>
      <c r="AC51" s="44">
        <f>$I$8*$AC$8</f>
        <v>0</v>
      </c>
      <c r="AD51" s="44">
        <f>$I$8*$AD$8</f>
        <v>0</v>
      </c>
      <c r="AE51" s="44">
        <f>$I$8*$AE$8</f>
        <v>0</v>
      </c>
      <c r="AF51" s="44">
        <f>$I$8*$AF$8</f>
        <v>0</v>
      </c>
      <c r="AG51" s="44">
        <f>$I$8*$AG$8</f>
        <v>0</v>
      </c>
      <c r="AH51" s="44">
        <f>$I$8*$AH$8</f>
        <v>0</v>
      </c>
    </row>
    <row r="52" spans="1:34" ht="11.25" customHeight="1" x14ac:dyDescent="0.25">
      <c r="A52" s="9" t="s">
        <v>22</v>
      </c>
      <c r="B52" s="9" t="s">
        <v>889</v>
      </c>
      <c r="C52" s="9" t="s">
        <v>890</v>
      </c>
      <c r="D52" s="9" t="s">
        <v>891</v>
      </c>
      <c r="E52" s="9" t="s">
        <v>892</v>
      </c>
      <c r="F52" s="9" t="s">
        <v>893</v>
      </c>
      <c r="G52" s="9" t="s">
        <v>895</v>
      </c>
      <c r="L52" s="44">
        <f>$I$9*$L$9</f>
        <v>0</v>
      </c>
      <c r="M52" s="44">
        <f>$I$9*$M$9</f>
        <v>0</v>
      </c>
      <c r="N52" s="44">
        <f>$I$9*$N$9</f>
        <v>0</v>
      </c>
      <c r="O52" s="44">
        <f>$I$9*$O$9</f>
        <v>0</v>
      </c>
      <c r="P52" s="44">
        <f>$I$9*$P$9</f>
        <v>0</v>
      </c>
      <c r="Q52" s="44">
        <f>$I$9*$Q$9</f>
        <v>0</v>
      </c>
      <c r="R52" s="44">
        <f>$I$9*$R$9</f>
        <v>0</v>
      </c>
      <c r="S52" s="44">
        <f>$I$9*$S$9</f>
        <v>0</v>
      </c>
      <c r="T52" s="44">
        <f>$I$9*$T$9</f>
        <v>0</v>
      </c>
      <c r="U52" s="44">
        <f>$I$9*$U$9</f>
        <v>0</v>
      </c>
      <c r="V52" s="44">
        <f>$I$9*$V$9</f>
        <v>0</v>
      </c>
      <c r="X52" s="44">
        <f>$I$9*$X$9</f>
        <v>0</v>
      </c>
      <c r="Y52" s="44">
        <f>$I$9*$Y$9</f>
        <v>0</v>
      </c>
      <c r="Z52" s="44">
        <f>$I$9*$Z$9</f>
        <v>0</v>
      </c>
      <c r="AA52" s="44">
        <f>$I$9*$AA$9</f>
        <v>0</v>
      </c>
      <c r="AB52" s="44">
        <f>$I$9*$AB$9</f>
        <v>0</v>
      </c>
      <c r="AC52" s="44">
        <f>$I$9*$AC$9</f>
        <v>0</v>
      </c>
      <c r="AD52" s="44">
        <f>$I$9*$AD$9</f>
        <v>0</v>
      </c>
      <c r="AE52" s="44">
        <f>$I$9*$AE$9</f>
        <v>0</v>
      </c>
      <c r="AF52" s="44">
        <f>$I$9*$AF$9</f>
        <v>0</v>
      </c>
      <c r="AG52" s="44">
        <f>$I$9*$AG$9</f>
        <v>0</v>
      </c>
      <c r="AH52" s="44">
        <f>$I$9*$AH$9</f>
        <v>0</v>
      </c>
    </row>
    <row r="53" spans="1:34" ht="11.25" customHeight="1" x14ac:dyDescent="0.25">
      <c r="A53" s="9" t="s">
        <v>22</v>
      </c>
      <c r="B53" s="9" t="s">
        <v>889</v>
      </c>
      <c r="C53" s="9" t="s">
        <v>890</v>
      </c>
      <c r="D53" s="9" t="s">
        <v>891</v>
      </c>
      <c r="E53" s="9" t="s">
        <v>892</v>
      </c>
      <c r="F53" s="9" t="s">
        <v>893</v>
      </c>
      <c r="G53" s="9" t="s">
        <v>896</v>
      </c>
      <c r="L53" s="44">
        <f>$I$10*$L$10</f>
        <v>0</v>
      </c>
      <c r="M53" s="44">
        <f>$I$10*$M$10</f>
        <v>0</v>
      </c>
      <c r="N53" s="44">
        <f>$I$10*$N$10</f>
        <v>0</v>
      </c>
      <c r="O53" s="44">
        <f>$I$10*$O$10</f>
        <v>0</v>
      </c>
      <c r="P53" s="44">
        <f>$I$10*$P$10</f>
        <v>0</v>
      </c>
      <c r="Q53" s="44">
        <f>$I$10*$Q$10</f>
        <v>0</v>
      </c>
      <c r="R53" s="44">
        <f>$I$10*$R$10</f>
        <v>0</v>
      </c>
      <c r="S53" s="44">
        <f>$I$10*$S$10</f>
        <v>0</v>
      </c>
      <c r="T53" s="44">
        <f>$I$10*$T$10</f>
        <v>0</v>
      </c>
      <c r="U53" s="44">
        <f>$I$10*$U$10</f>
        <v>0</v>
      </c>
      <c r="V53" s="44">
        <f>$I$10*$V$10</f>
        <v>0</v>
      </c>
      <c r="X53" s="44">
        <f>$I$10*$X$10</f>
        <v>0</v>
      </c>
      <c r="Y53" s="44">
        <f>$I$10*$Y$10</f>
        <v>0</v>
      </c>
      <c r="Z53" s="44">
        <f>$I$10*$Z$10</f>
        <v>0</v>
      </c>
      <c r="AA53" s="44">
        <f>$I$10*$AA$10</f>
        <v>0</v>
      </c>
      <c r="AB53" s="44">
        <f>$I$10*$AB$10</f>
        <v>0</v>
      </c>
      <c r="AC53" s="44">
        <f>$I$10*$AC$10</f>
        <v>0</v>
      </c>
      <c r="AD53" s="44">
        <f>$I$10*$AD$10</f>
        <v>0</v>
      </c>
      <c r="AE53" s="44">
        <f>$I$10*$AE$10</f>
        <v>0</v>
      </c>
      <c r="AF53" s="44">
        <f>$I$10*$AF$10</f>
        <v>0</v>
      </c>
      <c r="AG53" s="44">
        <f>$I$10*$AG$10</f>
        <v>0</v>
      </c>
      <c r="AH53" s="44">
        <f>$I$10*$AH$10</f>
        <v>0</v>
      </c>
    </row>
    <row r="54" spans="1:34" ht="11.25" customHeight="1" x14ac:dyDescent="0.25">
      <c r="A54" s="9" t="s">
        <v>22</v>
      </c>
      <c r="B54" s="9" t="s">
        <v>897</v>
      </c>
      <c r="C54" s="9" t="s">
        <v>898</v>
      </c>
      <c r="D54" s="9" t="s">
        <v>899</v>
      </c>
      <c r="E54" s="9" t="s">
        <v>900</v>
      </c>
      <c r="F54" s="9" t="s">
        <v>901</v>
      </c>
      <c r="G54" s="9" t="s">
        <v>902</v>
      </c>
      <c r="L54" s="44">
        <f>$I$11*$L$11</f>
        <v>50120.641292886903</v>
      </c>
      <c r="M54" s="44">
        <f>$I$11*$M$11</f>
        <v>623202.24893536873</v>
      </c>
      <c r="N54" s="44">
        <f>$I$11*$N$11</f>
        <v>0</v>
      </c>
      <c r="O54" s="44">
        <f>$I$11*$O$11</f>
        <v>49193.205863547169</v>
      </c>
      <c r="P54" s="44">
        <f>$I$11*$P$11</f>
        <v>-330889.44972927117</v>
      </c>
      <c r="Q54" s="44">
        <f>$I$11*$Q$11</f>
        <v>4416736.3011803729</v>
      </c>
      <c r="R54" s="44">
        <f>$I$11*$R$11</f>
        <v>150279.2839142576</v>
      </c>
      <c r="S54" s="44">
        <f>$I$11*$S$11</f>
        <v>88410.783398021216</v>
      </c>
      <c r="T54" s="44">
        <f>$I$11*$T$11</f>
        <v>0</v>
      </c>
      <c r="U54" s="44">
        <f>$I$11*$U$11</f>
        <v>-502986.36343938764</v>
      </c>
      <c r="V54" s="44">
        <f>$I$11*$V$11</f>
        <v>127746.56128381264</v>
      </c>
      <c r="X54" s="44">
        <f>$I$11*$X$11</f>
        <v>48169.262013566062</v>
      </c>
      <c r="Y54" s="44">
        <f>$I$11*$Y$11</f>
        <v>258082.64411680656</v>
      </c>
      <c r="Z54" s="44">
        <f>$I$11*$Z$11</f>
        <v>0</v>
      </c>
      <c r="AA54" s="44">
        <f>$I$11*$AA$11</f>
        <v>0</v>
      </c>
      <c r="AB54" s="44">
        <f>$I$11*$AB$11</f>
        <v>0</v>
      </c>
      <c r="AC54" s="44">
        <f>$I$11*$AC$11</f>
        <v>4558631.3841209942</v>
      </c>
      <c r="AD54" s="44">
        <f>$I$11*$AD$11</f>
        <v>100235.61864897377</v>
      </c>
      <c r="AE54" s="44">
        <f>$I$11*$AE$11</f>
        <v>89048.102132653337</v>
      </c>
      <c r="AF54" s="44">
        <f>$I$11*$AF$11</f>
        <v>0</v>
      </c>
      <c r="AG54" s="44">
        <f>$I$11*$AG$11</f>
        <v>-237326.11732005712</v>
      </c>
      <c r="AH54" s="44">
        <f>$I$11*$AH$11</f>
        <v>114543.55868477885</v>
      </c>
    </row>
    <row r="55" spans="1:34" ht="11.25" customHeight="1" x14ac:dyDescent="0.25">
      <c r="A55" s="9" t="s">
        <v>22</v>
      </c>
      <c r="B55" s="9" t="s">
        <v>897</v>
      </c>
      <c r="C55" s="9" t="s">
        <v>898</v>
      </c>
      <c r="D55" s="9" t="s">
        <v>903</v>
      </c>
      <c r="E55" s="9" t="s">
        <v>904</v>
      </c>
      <c r="F55" s="9" t="s">
        <v>905</v>
      </c>
      <c r="G55" s="9" t="s">
        <v>906</v>
      </c>
      <c r="L55" s="44">
        <f>$I$12*$L$12</f>
        <v>140.98630219241173</v>
      </c>
      <c r="M55" s="44">
        <f>$I$12*$M$12</f>
        <v>1753.0298561415646</v>
      </c>
      <c r="N55" s="44">
        <f>$I$12*$N$12</f>
        <v>0</v>
      </c>
      <c r="O55" s="44">
        <f>$I$12*$O$12</f>
        <v>138.37748298475728</v>
      </c>
      <c r="P55" s="44">
        <f>$I$12*$P$12</f>
        <v>-930.77180874843509</v>
      </c>
      <c r="Q55" s="44">
        <f>$I$12*$Q$12</f>
        <v>12424.009406096406</v>
      </c>
      <c r="R55" s="44">
        <f>$I$12*$R$12</f>
        <v>422.72644540567069</v>
      </c>
      <c r="S55" s="44">
        <f>$I$12*$S$12</f>
        <v>248.69413286996911</v>
      </c>
      <c r="T55" s="44">
        <f>$I$12*$T$12</f>
        <v>0</v>
      </c>
      <c r="U55" s="44">
        <f>$I$12*$U$12</f>
        <v>-1414.8699139767759</v>
      </c>
      <c r="V55" s="44">
        <f>$I$12*$V$12</f>
        <v>359.34327312282602</v>
      </c>
      <c r="X55" s="44">
        <f>$I$12*$X$12</f>
        <v>135.49719148533521</v>
      </c>
      <c r="Y55" s="44">
        <f>$I$12*$Y$12</f>
        <v>725.97071217507823</v>
      </c>
      <c r="Z55" s="44">
        <f>$I$12*$Z$12</f>
        <v>0</v>
      </c>
      <c r="AA55" s="44">
        <f>$I$12*$AA$12</f>
        <v>0</v>
      </c>
      <c r="AB55" s="44">
        <f>$I$12*$AB$12</f>
        <v>0</v>
      </c>
      <c r="AC55" s="44">
        <f>$I$12*$AC$12</f>
        <v>12823.151606336443</v>
      </c>
      <c r="AD55" s="44">
        <f>$I$12*$AD$12</f>
        <v>281.95667207660227</v>
      </c>
      <c r="AE55" s="44">
        <f>$I$12*$AE$12</f>
        <v>250.48687153802902</v>
      </c>
      <c r="AF55" s="44">
        <f>$I$12*$AF$12</f>
        <v>0</v>
      </c>
      <c r="AG55" s="44">
        <f>$I$12*$AG$12</f>
        <v>-667.58387026835521</v>
      </c>
      <c r="AH55" s="44">
        <f>$I$12*$AH$12</f>
        <v>322.20403335538265</v>
      </c>
    </row>
    <row r="56" spans="1:34" ht="11.25" customHeight="1" x14ac:dyDescent="0.25">
      <c r="A56" s="9" t="s">
        <v>22</v>
      </c>
      <c r="B56" s="9" t="s">
        <v>897</v>
      </c>
      <c r="C56" s="9" t="s">
        <v>898</v>
      </c>
      <c r="D56" s="9" t="s">
        <v>907</v>
      </c>
      <c r="E56" s="9" t="s">
        <v>908</v>
      </c>
      <c r="F56" s="9" t="s">
        <v>909</v>
      </c>
      <c r="G56" s="9" t="s">
        <v>910</v>
      </c>
      <c r="L56" s="44">
        <f>$I$13*$L$13</f>
        <v>513.48786292846501</v>
      </c>
      <c r="M56" s="44">
        <f>$I$13*$M$13</f>
        <v>6384.7305765309711</v>
      </c>
      <c r="N56" s="44">
        <f>$I$13*$N$13</f>
        <v>0</v>
      </c>
      <c r="O56" s="44">
        <f>$I$13*$O$13</f>
        <v>503.98625192885902</v>
      </c>
      <c r="P56" s="44">
        <f>$I$13*$P$13</f>
        <v>-3389.9749090236091</v>
      </c>
      <c r="Q56" s="44">
        <f>$I$13*$Q$13</f>
        <v>45249.630210408905</v>
      </c>
      <c r="R56" s="44">
        <f>$I$13*$R$13</f>
        <v>1539.6169392290603</v>
      </c>
      <c r="S56" s="44">
        <f>$I$13*$S$13</f>
        <v>905.77181488147028</v>
      </c>
      <c r="T56" s="44">
        <f>$I$13*$T$13</f>
        <v>0</v>
      </c>
      <c r="U56" s="44">
        <f>$I$13*$U$13</f>
        <v>-5153.1142894874729</v>
      </c>
      <c r="V56" s="44">
        <f>$I$13*$V$13</f>
        <v>1308.7683448973455</v>
      </c>
      <c r="X56" s="44">
        <f>$I$13*$X$13</f>
        <v>493.49590851499357</v>
      </c>
      <c r="Y56" s="44">
        <f>$I$13*$Y$13</f>
        <v>2644.0664358633039</v>
      </c>
      <c r="Z56" s="44">
        <f>$I$13*$Z$13</f>
        <v>0</v>
      </c>
      <c r="AA56" s="44">
        <f>$I$13*$AA$13</f>
        <v>0</v>
      </c>
      <c r="AB56" s="44">
        <f>$I$13*$AB$13</f>
        <v>0</v>
      </c>
      <c r="AC56" s="44">
        <f>$I$13*$AC$13</f>
        <v>46703.350694020781</v>
      </c>
      <c r="AD56" s="44">
        <f>$I$13*$AD$13</f>
        <v>1026.9176986105053</v>
      </c>
      <c r="AE56" s="44">
        <f>$I$13*$AE$13</f>
        <v>912.30116938709727</v>
      </c>
      <c r="AF56" s="44">
        <f>$I$13*$AF$13</f>
        <v>0</v>
      </c>
      <c r="AG56" s="44">
        <f>$I$13*$AG$13</f>
        <v>-2431.4150349285646</v>
      </c>
      <c r="AH56" s="44">
        <f>$I$13*$AH$13</f>
        <v>1173.5030846386142</v>
      </c>
    </row>
    <row r="57" spans="1:34" ht="11.25" customHeight="1" x14ac:dyDescent="0.25">
      <c r="A57" s="9" t="s">
        <v>22</v>
      </c>
      <c r="B57" s="9" t="s">
        <v>897</v>
      </c>
      <c r="C57" s="9" t="s">
        <v>898</v>
      </c>
      <c r="D57" s="9" t="s">
        <v>911</v>
      </c>
      <c r="E57" s="9" t="s">
        <v>912</v>
      </c>
      <c r="F57" s="9" t="s">
        <v>913</v>
      </c>
      <c r="G57" s="9" t="s">
        <v>914</v>
      </c>
      <c r="L57" s="44">
        <f>$I$14*$L$14</f>
        <v>744.02028127646588</v>
      </c>
      <c r="M57" s="44">
        <f>$I$14*$M$14</f>
        <v>9251.180762741431</v>
      </c>
      <c r="N57" s="44">
        <f>$I$14*$N$14</f>
        <v>0</v>
      </c>
      <c r="O57" s="44">
        <f>$I$14*$O$14</f>
        <v>730.25288422799611</v>
      </c>
      <c r="P57" s="44">
        <f>$I$14*$P$14</f>
        <v>-4911.9176273174762</v>
      </c>
      <c r="Q57" s="44">
        <f>$I$14*$Q$14</f>
        <v>65564.631663932174</v>
      </c>
      <c r="R57" s="44">
        <f>$I$14*$R$14</f>
        <v>2230.8340875873819</v>
      </c>
      <c r="S57" s="44">
        <f>$I$14*$S$14</f>
        <v>1312.421673682851</v>
      </c>
      <c r="T57" s="44">
        <f>$I$14*$T$14</f>
        <v>0</v>
      </c>
      <c r="U57" s="44">
        <f>$I$14*$U$14</f>
        <v>-7466.625445143909</v>
      </c>
      <c r="V57" s="44">
        <f>$I$14*$V$14</f>
        <v>1896.3450986803805</v>
      </c>
      <c r="X57" s="44">
        <f>$I$14*$X$14</f>
        <v>715.05285941541854</v>
      </c>
      <c r="Y57" s="44">
        <f>$I$14*$Y$14</f>
        <v>3831.1305784431638</v>
      </c>
      <c r="Z57" s="44">
        <f>$I$14*$Z$14</f>
        <v>0</v>
      </c>
      <c r="AA57" s="44">
        <f>$I$14*$AA$14</f>
        <v>0</v>
      </c>
      <c r="AB57" s="44">
        <f>$I$14*$AB$14</f>
        <v>0</v>
      </c>
      <c r="AC57" s="44">
        <f>$I$14*$AC$14</f>
        <v>67671.00574051874</v>
      </c>
      <c r="AD57" s="44">
        <f>$I$14*$AD$14</f>
        <v>1487.9564837434368</v>
      </c>
      <c r="AE57" s="44">
        <f>$I$14*$AE$14</f>
        <v>1321.8824078628629</v>
      </c>
      <c r="AF57" s="44">
        <f>$I$14*$AF$14</f>
        <v>0</v>
      </c>
      <c r="AG57" s="44">
        <f>$I$14*$AG$14</f>
        <v>-3523.0084852840951</v>
      </c>
      <c r="AH57" s="44">
        <f>$I$14*$AH$14</f>
        <v>1700.3519618403438</v>
      </c>
    </row>
    <row r="58" spans="1:34" ht="11.25" customHeight="1" x14ac:dyDescent="0.25">
      <c r="A58" s="9" t="s">
        <v>22</v>
      </c>
      <c r="B58" s="9" t="s">
        <v>897</v>
      </c>
      <c r="C58" s="9" t="s">
        <v>898</v>
      </c>
      <c r="D58" s="9" t="s">
        <v>915</v>
      </c>
      <c r="E58" s="9" t="s">
        <v>916</v>
      </c>
      <c r="F58" s="9" t="s">
        <v>917</v>
      </c>
      <c r="G58" s="9" t="s">
        <v>918</v>
      </c>
      <c r="L58" s="44">
        <f>$I$15*$L$15</f>
        <v>277.48757207625113</v>
      </c>
      <c r="M58" s="44">
        <f>$I$15*$M$15</f>
        <v>3450.2926241304335</v>
      </c>
      <c r="N58" s="44">
        <f>$I$15*$N$15</f>
        <v>0</v>
      </c>
      <c r="O58" s="44">
        <f>$I$15*$O$15</f>
        <v>272.35292497464866</v>
      </c>
      <c r="P58" s="44">
        <f>$I$15*$P$15</f>
        <v>-1831.9340627441838</v>
      </c>
      <c r="Q58" s="44">
        <f>$I$15*$Q$15</f>
        <v>24452.788334324818</v>
      </c>
      <c r="R58" s="44">
        <f>$I$15*$R$15</f>
        <v>832.00518890094668</v>
      </c>
      <c r="S58" s="44">
        <f>$I$15*$S$15</f>
        <v>489.47685020857728</v>
      </c>
      <c r="T58" s="44">
        <f>$I$15*$T$15</f>
        <v>0</v>
      </c>
      <c r="U58" s="44">
        <f>$I$15*$U$15</f>
        <v>-2784.7302264679238</v>
      </c>
      <c r="V58" s="44">
        <f>$I$15*$V$15</f>
        <v>707.25517905067113</v>
      </c>
      <c r="X58" s="44">
        <f>$I$15*$X$15</f>
        <v>266.68396931996529</v>
      </c>
      <c r="Y58" s="44">
        <f>$I$15*$Y$15</f>
        <v>1428.8469673103593</v>
      </c>
      <c r="Z58" s="44">
        <f>$I$15*$Z$15</f>
        <v>0</v>
      </c>
      <c r="AA58" s="44">
        <f>$I$15*$AA$15</f>
        <v>0</v>
      </c>
      <c r="AB58" s="44">
        <f>$I$15*$AB$15</f>
        <v>0</v>
      </c>
      <c r="AC58" s="44">
        <f>$I$15*$AC$15</f>
        <v>25238.375290897518</v>
      </c>
      <c r="AD58" s="44">
        <f>$I$15*$AD$15</f>
        <v>554.94378637194529</v>
      </c>
      <c r="AE58" s="44">
        <f>$I$15*$AE$15</f>
        <v>493.0052972465619</v>
      </c>
      <c r="AF58" s="44">
        <f>$I$15*$AF$15</f>
        <v>0</v>
      </c>
      <c r="AG58" s="44">
        <f>$I$15*$AG$15</f>
        <v>-1313.9306757986812</v>
      </c>
      <c r="AH58" s="44">
        <f>$I$15*$AH$15</f>
        <v>634.15816670573406</v>
      </c>
    </row>
    <row r="59" spans="1:34" ht="11.25" customHeight="1" x14ac:dyDescent="0.25">
      <c r="A59" s="9" t="s">
        <v>22</v>
      </c>
      <c r="B59" s="9" t="s">
        <v>919</v>
      </c>
      <c r="C59" s="9" t="s">
        <v>920</v>
      </c>
      <c r="D59" s="9" t="s">
        <v>921</v>
      </c>
      <c r="E59" s="9" t="s">
        <v>922</v>
      </c>
      <c r="F59" s="9" t="s">
        <v>923</v>
      </c>
      <c r="G59" s="9" t="s">
        <v>924</v>
      </c>
      <c r="L59" s="44">
        <f>$I$16*$L$16</f>
        <v>0</v>
      </c>
      <c r="M59" s="44">
        <f>$I$16*$M$16</f>
        <v>0</v>
      </c>
      <c r="N59" s="44">
        <f>$I$16*$N$16</f>
        <v>0</v>
      </c>
      <c r="O59" s="44">
        <f>$I$16*$O$16</f>
        <v>0</v>
      </c>
      <c r="P59" s="44">
        <f>$I$16*$P$16</f>
        <v>0</v>
      </c>
      <c r="Q59" s="44">
        <f>$I$16*$Q$16</f>
        <v>0</v>
      </c>
      <c r="R59" s="44">
        <f>$I$16*$R$16</f>
        <v>0</v>
      </c>
      <c r="S59" s="44">
        <f>$I$16*$S$16</f>
        <v>0</v>
      </c>
      <c r="T59" s="44">
        <f>$I$16*$T$16</f>
        <v>0</v>
      </c>
      <c r="U59" s="44">
        <f>$I$16*$U$16</f>
        <v>0</v>
      </c>
      <c r="V59" s="44">
        <f>$I$16*$V$16</f>
        <v>0</v>
      </c>
      <c r="X59" s="44">
        <f>$I$16*$X$16</f>
        <v>0</v>
      </c>
      <c r="Y59" s="44">
        <f>$I$16*$Y$16</f>
        <v>0</v>
      </c>
      <c r="Z59" s="44">
        <f>$I$16*$Z$16</f>
        <v>0</v>
      </c>
      <c r="AA59" s="44">
        <f>$I$16*$AA$16</f>
        <v>0</v>
      </c>
      <c r="AB59" s="44">
        <f>$I$16*$AB$16</f>
        <v>0</v>
      </c>
      <c r="AC59" s="44">
        <f>$I$16*$AC$16</f>
        <v>0</v>
      </c>
      <c r="AD59" s="44">
        <f>$I$16*$AD$16</f>
        <v>0</v>
      </c>
      <c r="AE59" s="44">
        <f>$I$16*$AE$16</f>
        <v>0</v>
      </c>
      <c r="AF59" s="44">
        <f>$I$16*$AF$16</f>
        <v>0</v>
      </c>
      <c r="AG59" s="44">
        <f>$I$16*$AG$16</f>
        <v>0</v>
      </c>
      <c r="AH59" s="44">
        <f>$I$16*$AH$16</f>
        <v>0</v>
      </c>
    </row>
    <row r="60" spans="1:34" ht="11.25" customHeight="1" x14ac:dyDescent="0.25">
      <c r="A60" s="9" t="s">
        <v>22</v>
      </c>
      <c r="B60" s="9" t="s">
        <v>919</v>
      </c>
      <c r="C60" s="9" t="s">
        <v>920</v>
      </c>
      <c r="D60" s="9" t="s">
        <v>925</v>
      </c>
      <c r="E60" s="9" t="s">
        <v>926</v>
      </c>
      <c r="F60" s="9" t="s">
        <v>927</v>
      </c>
      <c r="G60" s="9" t="s">
        <v>928</v>
      </c>
      <c r="L60" s="44">
        <f>$I$17*$L$17</f>
        <v>0</v>
      </c>
      <c r="M60" s="44">
        <f>$I$17*$M$17</f>
        <v>0</v>
      </c>
      <c r="N60" s="44">
        <f>$I$17*$N$17</f>
        <v>0</v>
      </c>
      <c r="O60" s="44">
        <f>$I$17*$O$17</f>
        <v>0</v>
      </c>
      <c r="P60" s="44">
        <f>$I$17*$P$17</f>
        <v>0</v>
      </c>
      <c r="Q60" s="44">
        <f>$I$17*$Q$17</f>
        <v>0</v>
      </c>
      <c r="R60" s="44">
        <f>$I$17*$R$17</f>
        <v>0</v>
      </c>
      <c r="S60" s="44">
        <f>$I$17*$S$17</f>
        <v>0</v>
      </c>
      <c r="T60" s="44">
        <f>$I$17*$T$17</f>
        <v>0</v>
      </c>
      <c r="U60" s="44">
        <f>$I$17*$U$17</f>
        <v>0</v>
      </c>
      <c r="V60" s="44">
        <f>$I$17*$V$17</f>
        <v>0</v>
      </c>
      <c r="X60" s="44">
        <f>$I$17*$X$17</f>
        <v>0</v>
      </c>
      <c r="Y60" s="44">
        <f>$I$17*$Y$17</f>
        <v>0</v>
      </c>
      <c r="Z60" s="44">
        <f>$I$17*$Z$17</f>
        <v>0</v>
      </c>
      <c r="AA60" s="44">
        <f>$I$17*$AA$17</f>
        <v>0</v>
      </c>
      <c r="AB60" s="44">
        <f>$I$17*$AB$17</f>
        <v>0</v>
      </c>
      <c r="AC60" s="44">
        <f>$I$17*$AC$17</f>
        <v>0</v>
      </c>
      <c r="AD60" s="44">
        <f>$I$17*$AD$17</f>
        <v>0</v>
      </c>
      <c r="AE60" s="44">
        <f>$I$17*$AE$17</f>
        <v>0</v>
      </c>
      <c r="AF60" s="44">
        <f>$I$17*$AF$17</f>
        <v>0</v>
      </c>
      <c r="AG60" s="44">
        <f>$I$17*$AG$17</f>
        <v>0</v>
      </c>
      <c r="AH60" s="44">
        <f>$I$17*$AH$17</f>
        <v>0</v>
      </c>
    </row>
    <row r="61" spans="1:34" ht="11.25" customHeight="1" x14ac:dyDescent="0.25">
      <c r="A61" s="9" t="s">
        <v>22</v>
      </c>
      <c r="B61" s="9" t="s">
        <v>919</v>
      </c>
      <c r="C61" s="9" t="s">
        <v>920</v>
      </c>
      <c r="D61" s="9" t="s">
        <v>929</v>
      </c>
      <c r="E61" s="9" t="s">
        <v>930</v>
      </c>
      <c r="F61" s="9" t="s">
        <v>931</v>
      </c>
      <c r="G61" s="9" t="s">
        <v>932</v>
      </c>
      <c r="L61" s="44">
        <f>$I$18*$L$18</f>
        <v>0</v>
      </c>
      <c r="M61" s="44">
        <f>$I$18*$M$18</f>
        <v>0</v>
      </c>
      <c r="N61" s="44">
        <f>$I$18*$N$18</f>
        <v>0</v>
      </c>
      <c r="O61" s="44">
        <f>$I$18*$O$18</f>
        <v>0</v>
      </c>
      <c r="P61" s="44">
        <f>$I$18*$P$18</f>
        <v>0</v>
      </c>
      <c r="Q61" s="44">
        <f>$I$18*$Q$18</f>
        <v>0</v>
      </c>
      <c r="R61" s="44">
        <f>$I$18*$R$18</f>
        <v>0</v>
      </c>
      <c r="S61" s="44">
        <f>$I$18*$S$18</f>
        <v>0</v>
      </c>
      <c r="T61" s="44">
        <f>$I$18*$T$18</f>
        <v>0</v>
      </c>
      <c r="U61" s="44">
        <f>$I$18*$U$18</f>
        <v>0</v>
      </c>
      <c r="V61" s="44">
        <f>$I$18*$V$18</f>
        <v>0</v>
      </c>
      <c r="X61" s="44">
        <f>$I$18*$X$18</f>
        <v>0</v>
      </c>
      <c r="Y61" s="44">
        <f>$I$18*$Y$18</f>
        <v>0</v>
      </c>
      <c r="Z61" s="44">
        <f>$I$18*$Z$18</f>
        <v>0</v>
      </c>
      <c r="AA61" s="44">
        <f>$I$18*$AA$18</f>
        <v>0</v>
      </c>
      <c r="AB61" s="44">
        <f>$I$18*$AB$18</f>
        <v>0</v>
      </c>
      <c r="AC61" s="44">
        <f>$I$18*$AC$18</f>
        <v>0</v>
      </c>
      <c r="AD61" s="44">
        <f>$I$18*$AD$18</f>
        <v>0</v>
      </c>
      <c r="AE61" s="44">
        <f>$I$18*$AE$18</f>
        <v>0</v>
      </c>
      <c r="AF61" s="44">
        <f>$I$18*$AF$18</f>
        <v>0</v>
      </c>
      <c r="AG61" s="44">
        <f>$I$18*$AG$18</f>
        <v>0</v>
      </c>
      <c r="AH61" s="44">
        <f>$I$18*$AH$18</f>
        <v>0</v>
      </c>
    </row>
    <row r="62" spans="1:34" ht="11.25" customHeight="1" x14ac:dyDescent="0.25">
      <c r="A62" s="9" t="s">
        <v>22</v>
      </c>
      <c r="B62" s="9" t="s">
        <v>919</v>
      </c>
      <c r="C62" s="9" t="s">
        <v>920</v>
      </c>
      <c r="D62" s="9" t="s">
        <v>933</v>
      </c>
      <c r="E62" s="9" t="s">
        <v>934</v>
      </c>
      <c r="F62" s="9" t="s">
        <v>935</v>
      </c>
      <c r="G62" s="9" t="s">
        <v>936</v>
      </c>
      <c r="L62" s="44">
        <f>$I$19*$L$19</f>
        <v>0</v>
      </c>
      <c r="M62" s="44">
        <f>$I$19*$M$19</f>
        <v>0</v>
      </c>
      <c r="N62" s="44">
        <f>$I$19*$N$19</f>
        <v>0</v>
      </c>
      <c r="O62" s="44">
        <f>$I$19*$O$19</f>
        <v>0</v>
      </c>
      <c r="P62" s="44">
        <f>$I$19*$P$19</f>
        <v>0</v>
      </c>
      <c r="Q62" s="44">
        <f>$I$19*$Q$19</f>
        <v>0</v>
      </c>
      <c r="R62" s="44">
        <f>$I$19*$R$19</f>
        <v>0</v>
      </c>
      <c r="S62" s="44">
        <f>$I$19*$S$19</f>
        <v>0</v>
      </c>
      <c r="T62" s="44">
        <f>$I$19*$T$19</f>
        <v>0</v>
      </c>
      <c r="U62" s="44">
        <f>$I$19*$U$19</f>
        <v>0</v>
      </c>
      <c r="V62" s="44">
        <f>$I$19*$V$19</f>
        <v>0</v>
      </c>
      <c r="X62" s="44">
        <f>$I$19*$X$19</f>
        <v>0</v>
      </c>
      <c r="Y62" s="44">
        <f>$I$19*$Y$19</f>
        <v>0</v>
      </c>
      <c r="Z62" s="44">
        <f>$I$19*$Z$19</f>
        <v>0</v>
      </c>
      <c r="AA62" s="44">
        <f>$I$19*$AA$19</f>
        <v>0</v>
      </c>
      <c r="AB62" s="44">
        <f>$I$19*$AB$19</f>
        <v>0</v>
      </c>
      <c r="AC62" s="44">
        <f>$I$19*$AC$19</f>
        <v>0</v>
      </c>
      <c r="AD62" s="44">
        <f>$I$19*$AD$19</f>
        <v>0</v>
      </c>
      <c r="AE62" s="44">
        <f>$I$19*$AE$19</f>
        <v>0</v>
      </c>
      <c r="AF62" s="44">
        <f>$I$19*$AF$19</f>
        <v>0</v>
      </c>
      <c r="AG62" s="44">
        <f>$I$19*$AG$19</f>
        <v>0</v>
      </c>
      <c r="AH62" s="44">
        <f>$I$19*$AH$19</f>
        <v>0</v>
      </c>
    </row>
    <row r="63" spans="1:34" ht="11.25" customHeight="1" x14ac:dyDescent="0.25">
      <c r="A63" s="9" t="s">
        <v>22</v>
      </c>
      <c r="B63" s="9" t="s">
        <v>919</v>
      </c>
      <c r="C63" s="9" t="s">
        <v>920</v>
      </c>
      <c r="D63" s="9" t="s">
        <v>937</v>
      </c>
      <c r="E63" s="9" t="s">
        <v>938</v>
      </c>
      <c r="F63" s="9" t="s">
        <v>939</v>
      </c>
      <c r="G63" s="9" t="s">
        <v>940</v>
      </c>
      <c r="L63" s="44">
        <f>$I$20*$L$20</f>
        <v>0</v>
      </c>
      <c r="M63" s="44">
        <f>$I$20*$M$20</f>
        <v>0</v>
      </c>
      <c r="N63" s="44">
        <f>$I$20*$N$20</f>
        <v>0</v>
      </c>
      <c r="O63" s="44">
        <f>$I$20*$O$20</f>
        <v>0</v>
      </c>
      <c r="P63" s="44">
        <f>$I$20*$P$20</f>
        <v>0</v>
      </c>
      <c r="Q63" s="44">
        <f>$I$20*$Q$20</f>
        <v>0</v>
      </c>
      <c r="R63" s="44">
        <f>$I$20*$R$20</f>
        <v>0</v>
      </c>
      <c r="S63" s="44">
        <f>$I$20*$S$20</f>
        <v>0</v>
      </c>
      <c r="T63" s="44">
        <f>$I$20*$T$20</f>
        <v>0</v>
      </c>
      <c r="U63" s="44">
        <f>$I$20*$U$20</f>
        <v>0</v>
      </c>
      <c r="V63" s="44">
        <f>$I$20*$V$20</f>
        <v>0</v>
      </c>
      <c r="X63" s="44">
        <f>$I$20*$X$20</f>
        <v>0</v>
      </c>
      <c r="Y63" s="44">
        <f>$I$20*$Y$20</f>
        <v>0</v>
      </c>
      <c r="Z63" s="44">
        <f>$I$20*$Z$20</f>
        <v>0</v>
      </c>
      <c r="AA63" s="44">
        <f>$I$20*$AA$20</f>
        <v>0</v>
      </c>
      <c r="AB63" s="44">
        <f>$I$20*$AB$20</f>
        <v>0</v>
      </c>
      <c r="AC63" s="44">
        <f>$I$20*$AC$20</f>
        <v>0</v>
      </c>
      <c r="AD63" s="44">
        <f>$I$20*$AD$20</f>
        <v>0</v>
      </c>
      <c r="AE63" s="44">
        <f>$I$20*$AE$20</f>
        <v>0</v>
      </c>
      <c r="AF63" s="44">
        <f>$I$20*$AF$20</f>
        <v>0</v>
      </c>
      <c r="AG63" s="44">
        <f>$I$20*$AG$20</f>
        <v>0</v>
      </c>
      <c r="AH63" s="44">
        <f>$I$20*$AH$20</f>
        <v>0</v>
      </c>
    </row>
    <row r="64" spans="1:34" ht="11.25" customHeight="1" x14ac:dyDescent="0.25">
      <c r="A64" s="9" t="s">
        <v>39</v>
      </c>
      <c r="B64" s="9" t="s">
        <v>941</v>
      </c>
      <c r="C64" s="9" t="s">
        <v>942</v>
      </c>
      <c r="D64" s="9" t="s">
        <v>943</v>
      </c>
      <c r="E64" s="9" t="s">
        <v>944</v>
      </c>
      <c r="F64" s="9" t="s">
        <v>945</v>
      </c>
      <c r="G64" s="9" t="s">
        <v>946</v>
      </c>
      <c r="L64" s="44">
        <f>$I$21*$L$21</f>
        <v>0</v>
      </c>
      <c r="M64" s="44">
        <f>$I$21*$M$21</f>
        <v>0</v>
      </c>
      <c r="N64" s="44">
        <f>$I$21*$N$21</f>
        <v>0</v>
      </c>
      <c r="O64" s="44">
        <f>$I$21*$O$21</f>
        <v>0</v>
      </c>
      <c r="P64" s="44">
        <f>$I$21*$P$21</f>
        <v>0</v>
      </c>
      <c r="Q64" s="44">
        <f>$I$21*$Q$21</f>
        <v>0</v>
      </c>
      <c r="R64" s="44">
        <f>$I$21*$R$21</f>
        <v>0</v>
      </c>
      <c r="S64" s="44">
        <f>$I$21*$S$21</f>
        <v>0</v>
      </c>
      <c r="T64" s="44">
        <f>$I$21*$T$21</f>
        <v>0</v>
      </c>
      <c r="U64" s="44">
        <f>$I$21*$U$21</f>
        <v>0</v>
      </c>
      <c r="V64" s="44">
        <f>$I$21*$V$21</f>
        <v>0</v>
      </c>
      <c r="X64" s="44">
        <f>$I$21*$X$21</f>
        <v>0</v>
      </c>
      <c r="Y64" s="44">
        <f>$I$21*$Y$21</f>
        <v>0</v>
      </c>
      <c r="Z64" s="44">
        <f>$I$21*$Z$21</f>
        <v>0</v>
      </c>
      <c r="AA64" s="44">
        <f>$I$21*$AA$21</f>
        <v>0</v>
      </c>
      <c r="AB64" s="44">
        <f>$I$21*$AB$21</f>
        <v>0</v>
      </c>
      <c r="AC64" s="44">
        <f>$I$21*$AC$21</f>
        <v>0</v>
      </c>
      <c r="AD64" s="44">
        <f>$I$21*$AD$21</f>
        <v>0</v>
      </c>
      <c r="AE64" s="44">
        <f>$I$21*$AE$21</f>
        <v>0</v>
      </c>
      <c r="AF64" s="44">
        <f>$I$21*$AF$21</f>
        <v>0</v>
      </c>
      <c r="AG64" s="44">
        <f>$I$21*$AG$21</f>
        <v>0</v>
      </c>
      <c r="AH64" s="44">
        <f>$I$21*$AH$21</f>
        <v>0</v>
      </c>
    </row>
    <row r="65" spans="1:34" ht="11.25" customHeight="1" x14ac:dyDescent="0.25">
      <c r="A65" s="9" t="s">
        <v>39</v>
      </c>
      <c r="B65" s="9" t="s">
        <v>941</v>
      </c>
      <c r="C65" s="9" t="s">
        <v>942</v>
      </c>
      <c r="D65" s="9" t="s">
        <v>943</v>
      </c>
      <c r="E65" s="9" t="s">
        <v>944</v>
      </c>
      <c r="F65" s="9" t="s">
        <v>945</v>
      </c>
      <c r="G65" s="9" t="s">
        <v>947</v>
      </c>
      <c r="L65" s="44">
        <f>$I$22*$L$22</f>
        <v>0</v>
      </c>
      <c r="M65" s="44">
        <f>$I$22*$M$22</f>
        <v>0</v>
      </c>
      <c r="N65" s="44">
        <f>$I$22*$N$22</f>
        <v>0</v>
      </c>
      <c r="O65" s="44">
        <f>$I$22*$O$22</f>
        <v>0</v>
      </c>
      <c r="P65" s="44">
        <f>$I$22*$P$22</f>
        <v>0</v>
      </c>
      <c r="Q65" s="44">
        <f>$I$22*$Q$22</f>
        <v>0</v>
      </c>
      <c r="R65" s="44">
        <f>$I$22*$R$22</f>
        <v>0</v>
      </c>
      <c r="S65" s="44">
        <f>$I$22*$S$22</f>
        <v>0</v>
      </c>
      <c r="T65" s="44">
        <f>$I$22*$T$22</f>
        <v>0</v>
      </c>
      <c r="U65" s="44">
        <f>$I$22*$U$22</f>
        <v>0</v>
      </c>
      <c r="V65" s="44">
        <f>$I$22*$V$22</f>
        <v>0</v>
      </c>
      <c r="X65" s="44">
        <f>$I$22*$X$22</f>
        <v>0</v>
      </c>
      <c r="Y65" s="44">
        <f>$I$22*$Y$22</f>
        <v>0</v>
      </c>
      <c r="Z65" s="44">
        <f>$I$22*$Z$22</f>
        <v>0</v>
      </c>
      <c r="AA65" s="44">
        <f>$I$22*$AA$22</f>
        <v>0</v>
      </c>
      <c r="AB65" s="44">
        <f>$I$22*$AB$22</f>
        <v>0</v>
      </c>
      <c r="AC65" s="44">
        <f>$I$22*$AC$22</f>
        <v>0</v>
      </c>
      <c r="AD65" s="44">
        <f>$I$22*$AD$22</f>
        <v>0</v>
      </c>
      <c r="AE65" s="44">
        <f>$I$22*$AE$22</f>
        <v>0</v>
      </c>
      <c r="AF65" s="44">
        <f>$I$22*$AF$22</f>
        <v>0</v>
      </c>
      <c r="AG65" s="44">
        <f>$I$22*$AG$22</f>
        <v>0</v>
      </c>
      <c r="AH65" s="44">
        <f>$I$22*$AH$22</f>
        <v>0</v>
      </c>
    </row>
    <row r="66" spans="1:34" ht="11.25" customHeight="1" x14ac:dyDescent="0.25">
      <c r="A66" s="9" t="s">
        <v>39</v>
      </c>
      <c r="B66" s="9" t="s">
        <v>941</v>
      </c>
      <c r="C66" s="9" t="s">
        <v>942</v>
      </c>
      <c r="D66" s="9" t="s">
        <v>943</v>
      </c>
      <c r="E66" s="9" t="s">
        <v>944</v>
      </c>
      <c r="F66" s="9" t="s">
        <v>945</v>
      </c>
      <c r="G66" s="9" t="s">
        <v>948</v>
      </c>
      <c r="L66" s="44">
        <f>$I$23*$L$23</f>
        <v>0</v>
      </c>
      <c r="M66" s="44">
        <f>$I$23*$M$23</f>
        <v>0</v>
      </c>
      <c r="N66" s="44">
        <f>$I$23*$N$23</f>
        <v>0</v>
      </c>
      <c r="O66" s="44">
        <f>$I$23*$O$23</f>
        <v>0</v>
      </c>
      <c r="P66" s="44">
        <f>$I$23*$P$23</f>
        <v>0</v>
      </c>
      <c r="Q66" s="44">
        <f>$I$23*$Q$23</f>
        <v>0</v>
      </c>
      <c r="R66" s="44">
        <f>$I$23*$R$23</f>
        <v>0</v>
      </c>
      <c r="S66" s="44">
        <f>$I$23*$S$23</f>
        <v>0</v>
      </c>
      <c r="T66" s="44">
        <f>$I$23*$T$23</f>
        <v>0</v>
      </c>
      <c r="U66" s="44">
        <f>$I$23*$U$23</f>
        <v>0</v>
      </c>
      <c r="V66" s="44">
        <f>$I$23*$V$23</f>
        <v>0</v>
      </c>
      <c r="X66" s="44">
        <f>$I$23*$X$23</f>
        <v>0</v>
      </c>
      <c r="Y66" s="44">
        <f>$I$23*$Y$23</f>
        <v>0</v>
      </c>
      <c r="Z66" s="44">
        <f>$I$23*$Z$23</f>
        <v>0</v>
      </c>
      <c r="AA66" s="44">
        <f>$I$23*$AA$23</f>
        <v>0</v>
      </c>
      <c r="AB66" s="44">
        <f>$I$23*$AB$23</f>
        <v>0</v>
      </c>
      <c r="AC66" s="44">
        <f>$I$23*$AC$23</f>
        <v>0</v>
      </c>
      <c r="AD66" s="44">
        <f>$I$23*$AD$23</f>
        <v>0</v>
      </c>
      <c r="AE66" s="44">
        <f>$I$23*$AE$23</f>
        <v>0</v>
      </c>
      <c r="AF66" s="44">
        <f>$I$23*$AF$23</f>
        <v>0</v>
      </c>
      <c r="AG66" s="44">
        <f>$I$23*$AG$23</f>
        <v>0</v>
      </c>
      <c r="AH66" s="44">
        <f>$I$23*$AH$23</f>
        <v>0</v>
      </c>
    </row>
    <row r="67" spans="1:34" ht="11.25" customHeight="1" x14ac:dyDescent="0.25">
      <c r="A67" s="9" t="s">
        <v>39</v>
      </c>
      <c r="B67" s="9" t="s">
        <v>949</v>
      </c>
      <c r="C67" s="9" t="s">
        <v>950</v>
      </c>
      <c r="D67" s="9" t="s">
        <v>951</v>
      </c>
      <c r="E67" s="9" t="s">
        <v>952</v>
      </c>
      <c r="F67" s="9" t="s">
        <v>953</v>
      </c>
      <c r="G67" s="9" t="s">
        <v>954</v>
      </c>
      <c r="L67" s="44">
        <f>$I$24*$L$24</f>
        <v>104.34725984502286</v>
      </c>
      <c r="M67" s="44">
        <f>$I$24*$M$24</f>
        <v>1297.4583989389316</v>
      </c>
      <c r="N67" s="44">
        <f>$I$24*$N$24</f>
        <v>0</v>
      </c>
      <c r="O67" s="44">
        <f>$I$24*$O$24</f>
        <v>102.41641173058487</v>
      </c>
      <c r="P67" s="44">
        <f>$I$24*$P$24</f>
        <v>-688.88598589773039</v>
      </c>
      <c r="Q67" s="44">
        <f>$I$24*$Q$24</f>
        <v>9195.2999522298742</v>
      </c>
      <c r="R67" s="44">
        <f>$I$24*$R$24</f>
        <v>312.86972958485421</v>
      </c>
      <c r="S67" s="44">
        <f>$I$24*$S$24</f>
        <v>184.06434455667312</v>
      </c>
      <c r="T67" s="44">
        <f>$I$24*$T$24</f>
        <v>0</v>
      </c>
      <c r="U67" s="44">
        <f>$I$24*$U$24</f>
        <v>-1047.1783163668651</v>
      </c>
      <c r="V67" s="44">
        <f>$I$24*$V$24</f>
        <v>265.95836128062319</v>
      </c>
      <c r="X67" s="44">
        <f>$I$24*$X$24</f>
        <v>93.883493349585777</v>
      </c>
      <c r="Y67" s="44">
        <f>$I$24*$Y$24</f>
        <v>503.01165493795349</v>
      </c>
      <c r="Z67" s="44">
        <f>$I$24*$Z$24</f>
        <v>0</v>
      </c>
      <c r="AA67" s="44">
        <f>$I$24*$AA$24</f>
        <v>0</v>
      </c>
      <c r="AB67" s="44">
        <f>$I$24*$AB$24</f>
        <v>0</v>
      </c>
      <c r="AC67" s="44">
        <f>$I$24*$AC$24</f>
        <v>8884.9241475570943</v>
      </c>
      <c r="AD67" s="44">
        <f>$I$24*$AD$24</f>
        <v>195.3625537001634</v>
      </c>
      <c r="AE67" s="44">
        <f>$I$24*$AE$24</f>
        <v>173.55771201164964</v>
      </c>
      <c r="AF67" s="44">
        <f>$I$24*$AF$24</f>
        <v>0</v>
      </c>
      <c r="AG67" s="44">
        <f>$I$24*$AG$24</f>
        <v>-462.55649403193195</v>
      </c>
      <c r="AH67" s="44">
        <f>$I$24*$AH$24</f>
        <v>223.24920458593931</v>
      </c>
    </row>
    <row r="68" spans="1:34" ht="11.25" customHeight="1" x14ac:dyDescent="0.25">
      <c r="A68" s="9" t="s">
        <v>39</v>
      </c>
      <c r="B68" s="9" t="s">
        <v>941</v>
      </c>
      <c r="C68" s="9" t="s">
        <v>942</v>
      </c>
      <c r="D68" s="9" t="s">
        <v>955</v>
      </c>
      <c r="E68" s="9" t="s">
        <v>956</v>
      </c>
      <c r="F68" s="9" t="s">
        <v>957</v>
      </c>
      <c r="G68" s="9" t="s">
        <v>958</v>
      </c>
      <c r="L68" s="44">
        <f>$I$25*$L$25</f>
        <v>0</v>
      </c>
      <c r="M68" s="44">
        <f>$I$25*$M$25</f>
        <v>0</v>
      </c>
      <c r="N68" s="44">
        <f>$I$25*$N$25</f>
        <v>0</v>
      </c>
      <c r="O68" s="44">
        <f>$I$25*$O$25</f>
        <v>0</v>
      </c>
      <c r="P68" s="44">
        <f>$I$25*$P$25</f>
        <v>0</v>
      </c>
      <c r="Q68" s="44">
        <f>$I$25*$Q$25</f>
        <v>0</v>
      </c>
      <c r="R68" s="44">
        <f>$I$25*$R$25</f>
        <v>0</v>
      </c>
      <c r="S68" s="44">
        <f>$I$25*$S$25</f>
        <v>0</v>
      </c>
      <c r="T68" s="44">
        <f>$I$25*$T$25</f>
        <v>0</v>
      </c>
      <c r="U68" s="44">
        <f>$I$25*$U$25</f>
        <v>0</v>
      </c>
      <c r="V68" s="44">
        <f>$I$25*$V$25</f>
        <v>0</v>
      </c>
      <c r="X68" s="44">
        <f>$I$25*$X$25</f>
        <v>0</v>
      </c>
      <c r="Y68" s="44">
        <f>$I$25*$Y$25</f>
        <v>0</v>
      </c>
      <c r="Z68" s="44">
        <f>$I$25*$Z$25</f>
        <v>0</v>
      </c>
      <c r="AA68" s="44">
        <f>$I$25*$AA$25</f>
        <v>0</v>
      </c>
      <c r="AB68" s="44">
        <f>$I$25*$AB$25</f>
        <v>0</v>
      </c>
      <c r="AC68" s="44">
        <f>$I$25*$AC$25</f>
        <v>0</v>
      </c>
      <c r="AD68" s="44">
        <f>$I$25*$AD$25</f>
        <v>0</v>
      </c>
      <c r="AE68" s="44">
        <f>$I$25*$AE$25</f>
        <v>0</v>
      </c>
      <c r="AF68" s="44">
        <f>$I$25*$AF$25</f>
        <v>0</v>
      </c>
      <c r="AG68" s="44">
        <f>$I$25*$AG$25</f>
        <v>0</v>
      </c>
      <c r="AH68" s="44">
        <f>$I$25*$AH$25</f>
        <v>0</v>
      </c>
    </row>
    <row r="69" spans="1:34" ht="11.25" customHeight="1" x14ac:dyDescent="0.25">
      <c r="A69" s="9" t="s">
        <v>39</v>
      </c>
      <c r="B69" s="9" t="s">
        <v>941</v>
      </c>
      <c r="C69" s="9" t="s">
        <v>942</v>
      </c>
      <c r="D69" s="9" t="s">
        <v>955</v>
      </c>
      <c r="E69" s="9" t="s">
        <v>956</v>
      </c>
      <c r="F69" s="9" t="s">
        <v>957</v>
      </c>
      <c r="G69" s="9" t="s">
        <v>959</v>
      </c>
      <c r="L69" s="44">
        <f>$I$26*$L$26</f>
        <v>0</v>
      </c>
      <c r="M69" s="44">
        <f>$I$26*$M$26</f>
        <v>0</v>
      </c>
      <c r="N69" s="44">
        <f>$I$26*$N$26</f>
        <v>0</v>
      </c>
      <c r="O69" s="44">
        <f>$I$26*$O$26</f>
        <v>0</v>
      </c>
      <c r="P69" s="44">
        <f>$I$26*$P$26</f>
        <v>0</v>
      </c>
      <c r="Q69" s="44">
        <f>$I$26*$Q$26</f>
        <v>0</v>
      </c>
      <c r="R69" s="44">
        <f>$I$26*$R$26</f>
        <v>0</v>
      </c>
      <c r="S69" s="44">
        <f>$I$26*$S$26</f>
        <v>0</v>
      </c>
      <c r="T69" s="44">
        <f>$I$26*$T$26</f>
        <v>0</v>
      </c>
      <c r="U69" s="44">
        <f>$I$26*$U$26</f>
        <v>0</v>
      </c>
      <c r="V69" s="44">
        <f>$I$26*$V$26</f>
        <v>0</v>
      </c>
      <c r="X69" s="44">
        <f>$I$26*$X$26</f>
        <v>0</v>
      </c>
      <c r="Y69" s="44">
        <f>$I$26*$Y$26</f>
        <v>0</v>
      </c>
      <c r="Z69" s="44">
        <f>$I$26*$Z$26</f>
        <v>0</v>
      </c>
      <c r="AA69" s="44">
        <f>$I$26*$AA$26</f>
        <v>0</v>
      </c>
      <c r="AB69" s="44">
        <f>$I$26*$AB$26</f>
        <v>0</v>
      </c>
      <c r="AC69" s="44">
        <f>$I$26*$AC$26</f>
        <v>0</v>
      </c>
      <c r="AD69" s="44">
        <f>$I$26*$AD$26</f>
        <v>0</v>
      </c>
      <c r="AE69" s="44">
        <f>$I$26*$AE$26</f>
        <v>0</v>
      </c>
      <c r="AF69" s="44">
        <f>$I$26*$AF$26</f>
        <v>0</v>
      </c>
      <c r="AG69" s="44">
        <f>$I$26*$AG$26</f>
        <v>0</v>
      </c>
      <c r="AH69" s="44">
        <f>$I$26*$AH$26</f>
        <v>0</v>
      </c>
    </row>
    <row r="70" spans="1:34" ht="11.25" customHeight="1" x14ac:dyDescent="0.25">
      <c r="A70" s="9" t="s">
        <v>39</v>
      </c>
      <c r="B70" s="9" t="s">
        <v>941</v>
      </c>
      <c r="C70" s="9" t="s">
        <v>942</v>
      </c>
      <c r="D70" s="9" t="s">
        <v>955</v>
      </c>
      <c r="E70" s="9" t="s">
        <v>956</v>
      </c>
      <c r="F70" s="9" t="s">
        <v>957</v>
      </c>
      <c r="G70" s="9" t="s">
        <v>960</v>
      </c>
      <c r="L70" s="44">
        <f>$I$27*$L$27</f>
        <v>0</v>
      </c>
      <c r="M70" s="44">
        <f>$I$27*$M$27</f>
        <v>0</v>
      </c>
      <c r="N70" s="44">
        <f>$I$27*$N$27</f>
        <v>0</v>
      </c>
      <c r="O70" s="44">
        <f>$I$27*$O$27</f>
        <v>0</v>
      </c>
      <c r="P70" s="44">
        <f>$I$27*$P$27</f>
        <v>0</v>
      </c>
      <c r="Q70" s="44">
        <f>$I$27*$Q$27</f>
        <v>0</v>
      </c>
      <c r="R70" s="44">
        <f>$I$27*$R$27</f>
        <v>0</v>
      </c>
      <c r="S70" s="44">
        <f>$I$27*$S$27</f>
        <v>0</v>
      </c>
      <c r="T70" s="44">
        <f>$I$27*$T$27</f>
        <v>0</v>
      </c>
      <c r="U70" s="44">
        <f>$I$27*$U$27</f>
        <v>0</v>
      </c>
      <c r="V70" s="44">
        <f>$I$27*$V$27</f>
        <v>0</v>
      </c>
      <c r="X70" s="44">
        <f>$I$27*$X$27</f>
        <v>0</v>
      </c>
      <c r="Y70" s="44">
        <f>$I$27*$Y$27</f>
        <v>0</v>
      </c>
      <c r="Z70" s="44">
        <f>$I$27*$Z$27</f>
        <v>0</v>
      </c>
      <c r="AA70" s="44">
        <f>$I$27*$AA$27</f>
        <v>0</v>
      </c>
      <c r="AB70" s="44">
        <f>$I$27*$AB$27</f>
        <v>0</v>
      </c>
      <c r="AC70" s="44">
        <f>$I$27*$AC$27</f>
        <v>0</v>
      </c>
      <c r="AD70" s="44">
        <f>$I$27*$AD$27</f>
        <v>0</v>
      </c>
      <c r="AE70" s="44">
        <f>$I$27*$AE$27</f>
        <v>0</v>
      </c>
      <c r="AF70" s="44">
        <f>$I$27*$AF$27</f>
        <v>0</v>
      </c>
      <c r="AG70" s="44">
        <f>$I$27*$AG$27</f>
        <v>0</v>
      </c>
      <c r="AH70" s="44">
        <f>$I$27*$AH$27</f>
        <v>0</v>
      </c>
    </row>
    <row r="71" spans="1:34" ht="11.25" customHeight="1" x14ac:dyDescent="0.25">
      <c r="A71" s="9" t="s">
        <v>39</v>
      </c>
      <c r="B71" s="9" t="s">
        <v>949</v>
      </c>
      <c r="C71" s="9" t="s">
        <v>950</v>
      </c>
      <c r="D71" s="9" t="s">
        <v>961</v>
      </c>
      <c r="E71" s="9" t="s">
        <v>962</v>
      </c>
      <c r="F71" s="9" t="s">
        <v>963</v>
      </c>
      <c r="G71" s="9" t="s">
        <v>964</v>
      </c>
      <c r="L71" s="44">
        <f>$I$28*$L$28</f>
        <v>0</v>
      </c>
      <c r="M71" s="44">
        <f>$I$28*$M$28</f>
        <v>0</v>
      </c>
      <c r="N71" s="44">
        <f>$I$28*$N$28</f>
        <v>0</v>
      </c>
      <c r="O71" s="44">
        <f>$I$28*$O$28</f>
        <v>0</v>
      </c>
      <c r="P71" s="44">
        <f>$I$28*$P$28</f>
        <v>0</v>
      </c>
      <c r="Q71" s="44">
        <f>$I$28*$Q$28</f>
        <v>0</v>
      </c>
      <c r="R71" s="44">
        <f>$I$28*$R$28</f>
        <v>0</v>
      </c>
      <c r="S71" s="44">
        <f>$I$28*$S$28</f>
        <v>0</v>
      </c>
      <c r="T71" s="44">
        <f>$I$28*$T$28</f>
        <v>0</v>
      </c>
      <c r="U71" s="44">
        <f>$I$28*$U$28</f>
        <v>0</v>
      </c>
      <c r="V71" s="44">
        <f>$I$28*$V$28</f>
        <v>0</v>
      </c>
      <c r="X71" s="44">
        <f>$I$28*$X$28</f>
        <v>0</v>
      </c>
      <c r="Y71" s="44">
        <f>$I$28*$Y$28</f>
        <v>0</v>
      </c>
      <c r="Z71" s="44">
        <f>$I$28*$Z$28</f>
        <v>0</v>
      </c>
      <c r="AA71" s="44">
        <f>$I$28*$AA$28</f>
        <v>0</v>
      </c>
      <c r="AB71" s="44">
        <f>$I$28*$AB$28</f>
        <v>0</v>
      </c>
      <c r="AC71" s="44">
        <f>$I$28*$AC$28</f>
        <v>0</v>
      </c>
      <c r="AD71" s="44">
        <f>$I$28*$AD$28</f>
        <v>0</v>
      </c>
      <c r="AE71" s="44">
        <f>$I$28*$AE$28</f>
        <v>0</v>
      </c>
      <c r="AF71" s="44">
        <f>$I$28*$AF$28</f>
        <v>0</v>
      </c>
      <c r="AG71" s="44">
        <f>$I$28*$AG$28</f>
        <v>0</v>
      </c>
      <c r="AH71" s="44">
        <f>$I$28*$AH$28</f>
        <v>0</v>
      </c>
    </row>
    <row r="72" spans="1:34" ht="11.25" customHeight="1" x14ac:dyDescent="0.25">
      <c r="A72" s="9" t="s">
        <v>39</v>
      </c>
      <c r="B72" s="9" t="s">
        <v>941</v>
      </c>
      <c r="C72" s="9" t="s">
        <v>942</v>
      </c>
      <c r="D72" s="9" t="s">
        <v>965</v>
      </c>
      <c r="E72" s="9" t="s">
        <v>966</v>
      </c>
      <c r="F72" s="9" t="s">
        <v>967</v>
      </c>
      <c r="G72" s="9" t="s">
        <v>968</v>
      </c>
      <c r="L72" s="44">
        <f>$I$29*$L$29</f>
        <v>0</v>
      </c>
      <c r="M72" s="44">
        <f>$I$29*$M$29</f>
        <v>0</v>
      </c>
      <c r="N72" s="44">
        <f>$I$29*$N$29</f>
        <v>0</v>
      </c>
      <c r="O72" s="44">
        <f>$I$29*$O$29</f>
        <v>0</v>
      </c>
      <c r="P72" s="44">
        <f>$I$29*$P$29</f>
        <v>0</v>
      </c>
      <c r="Q72" s="44">
        <f>$I$29*$Q$29</f>
        <v>0</v>
      </c>
      <c r="R72" s="44">
        <f>$I$29*$R$29</f>
        <v>0</v>
      </c>
      <c r="S72" s="44">
        <f>$I$29*$S$29</f>
        <v>0</v>
      </c>
      <c r="T72" s="44">
        <f>$I$29*$T$29</f>
        <v>0</v>
      </c>
      <c r="U72" s="44">
        <f>$I$29*$U$29</f>
        <v>0</v>
      </c>
      <c r="V72" s="44">
        <f>$I$29*$V$29</f>
        <v>0</v>
      </c>
      <c r="X72" s="44">
        <f>$I$29*$X$29</f>
        <v>0</v>
      </c>
      <c r="Y72" s="44">
        <f>$I$29*$Y$29</f>
        <v>0</v>
      </c>
      <c r="Z72" s="44">
        <f>$I$29*$Z$29</f>
        <v>0</v>
      </c>
      <c r="AA72" s="44">
        <f>$I$29*$AA$29</f>
        <v>0</v>
      </c>
      <c r="AB72" s="44">
        <f>$I$29*$AB$29</f>
        <v>0</v>
      </c>
      <c r="AC72" s="44">
        <f>$I$29*$AC$29</f>
        <v>0</v>
      </c>
      <c r="AD72" s="44">
        <f>$I$29*$AD$29</f>
        <v>0</v>
      </c>
      <c r="AE72" s="44">
        <f>$I$29*$AE$29</f>
        <v>0</v>
      </c>
      <c r="AF72" s="44">
        <f>$I$29*$AF$29</f>
        <v>0</v>
      </c>
      <c r="AG72" s="44">
        <f>$I$29*$AG$29</f>
        <v>0</v>
      </c>
      <c r="AH72" s="44">
        <f>$I$29*$AH$29</f>
        <v>0</v>
      </c>
    </row>
    <row r="73" spans="1:34" ht="11.25" customHeight="1" x14ac:dyDescent="0.25">
      <c r="A73" s="9" t="s">
        <v>39</v>
      </c>
      <c r="B73" s="9" t="s">
        <v>941</v>
      </c>
      <c r="C73" s="9" t="s">
        <v>942</v>
      </c>
      <c r="D73" s="9" t="s">
        <v>965</v>
      </c>
      <c r="E73" s="9" t="s">
        <v>966</v>
      </c>
      <c r="F73" s="9" t="s">
        <v>967</v>
      </c>
      <c r="G73" s="9" t="s">
        <v>969</v>
      </c>
      <c r="L73" s="44">
        <f>$I$30*$L$30</f>
        <v>0</v>
      </c>
      <c r="M73" s="44">
        <f>$I$30*$M$30</f>
        <v>0</v>
      </c>
      <c r="N73" s="44">
        <f>$I$30*$N$30</f>
        <v>0</v>
      </c>
      <c r="O73" s="44">
        <f>$I$30*$O$30</f>
        <v>0</v>
      </c>
      <c r="P73" s="44">
        <f>$I$30*$P$30</f>
        <v>0</v>
      </c>
      <c r="Q73" s="44">
        <f>$I$30*$Q$30</f>
        <v>0</v>
      </c>
      <c r="R73" s="44">
        <f>$I$30*$R$30</f>
        <v>0</v>
      </c>
      <c r="S73" s="44">
        <f>$I$30*$S$30</f>
        <v>0</v>
      </c>
      <c r="T73" s="44">
        <f>$I$30*$T$30</f>
        <v>0</v>
      </c>
      <c r="U73" s="44">
        <f>$I$30*$U$30</f>
        <v>0</v>
      </c>
      <c r="V73" s="44">
        <f>$I$30*$V$30</f>
        <v>0</v>
      </c>
      <c r="X73" s="44">
        <f>$I$30*$X$30</f>
        <v>0</v>
      </c>
      <c r="Y73" s="44">
        <f>$I$30*$Y$30</f>
        <v>0</v>
      </c>
      <c r="Z73" s="44">
        <f>$I$30*$Z$30</f>
        <v>0</v>
      </c>
      <c r="AA73" s="44">
        <f>$I$30*$AA$30</f>
        <v>0</v>
      </c>
      <c r="AB73" s="44">
        <f>$I$30*$AB$30</f>
        <v>0</v>
      </c>
      <c r="AC73" s="44">
        <f>$I$30*$AC$30</f>
        <v>0</v>
      </c>
      <c r="AD73" s="44">
        <f>$I$30*$AD$30</f>
        <v>0</v>
      </c>
      <c r="AE73" s="44">
        <f>$I$30*$AE$30</f>
        <v>0</v>
      </c>
      <c r="AF73" s="44">
        <f>$I$30*$AF$30</f>
        <v>0</v>
      </c>
      <c r="AG73" s="44">
        <f>$I$30*$AG$30</f>
        <v>0</v>
      </c>
      <c r="AH73" s="44">
        <f>$I$30*$AH$30</f>
        <v>0</v>
      </c>
    </row>
    <row r="74" spans="1:34" ht="11.25" customHeight="1" x14ac:dyDescent="0.25">
      <c r="A74" s="9" t="s">
        <v>39</v>
      </c>
      <c r="B74" s="9" t="s">
        <v>941</v>
      </c>
      <c r="C74" s="9" t="s">
        <v>942</v>
      </c>
      <c r="D74" s="9" t="s">
        <v>965</v>
      </c>
      <c r="E74" s="9" t="s">
        <v>966</v>
      </c>
      <c r="F74" s="9" t="s">
        <v>967</v>
      </c>
      <c r="G74" s="9" t="s">
        <v>970</v>
      </c>
      <c r="L74" s="44">
        <f>$I$31*$L$31</f>
        <v>0</v>
      </c>
      <c r="M74" s="44">
        <f>$I$31*$M$31</f>
        <v>0</v>
      </c>
      <c r="N74" s="44">
        <f>$I$31*$N$31</f>
        <v>0</v>
      </c>
      <c r="O74" s="44">
        <f>$I$31*$O$31</f>
        <v>0</v>
      </c>
      <c r="P74" s="44">
        <f>$I$31*$P$31</f>
        <v>0</v>
      </c>
      <c r="Q74" s="44">
        <f>$I$31*$Q$31</f>
        <v>0</v>
      </c>
      <c r="R74" s="44">
        <f>$I$31*$R$31</f>
        <v>0</v>
      </c>
      <c r="S74" s="44">
        <f>$I$31*$S$31</f>
        <v>0</v>
      </c>
      <c r="T74" s="44">
        <f>$I$31*$T$31</f>
        <v>0</v>
      </c>
      <c r="U74" s="44">
        <f>$I$31*$U$31</f>
        <v>0</v>
      </c>
      <c r="V74" s="44">
        <f>$I$31*$V$31</f>
        <v>0</v>
      </c>
      <c r="X74" s="44">
        <f>$I$31*$X$31</f>
        <v>0</v>
      </c>
      <c r="Y74" s="44">
        <f>$I$31*$Y$31</f>
        <v>0</v>
      </c>
      <c r="Z74" s="44">
        <f>$I$31*$Z$31</f>
        <v>0</v>
      </c>
      <c r="AA74" s="44">
        <f>$I$31*$AA$31</f>
        <v>0</v>
      </c>
      <c r="AB74" s="44">
        <f>$I$31*$AB$31</f>
        <v>0</v>
      </c>
      <c r="AC74" s="44">
        <f>$I$31*$AC$31</f>
        <v>0</v>
      </c>
      <c r="AD74" s="44">
        <f>$I$31*$AD$31</f>
        <v>0</v>
      </c>
      <c r="AE74" s="44">
        <f>$I$31*$AE$31</f>
        <v>0</v>
      </c>
      <c r="AF74" s="44">
        <f>$I$31*$AF$31</f>
        <v>0</v>
      </c>
      <c r="AG74" s="44">
        <f>$I$31*$AG$31</f>
        <v>0</v>
      </c>
      <c r="AH74" s="44">
        <f>$I$31*$AH$31</f>
        <v>0</v>
      </c>
    </row>
    <row r="75" spans="1:34" ht="11.25" customHeight="1" x14ac:dyDescent="0.25">
      <c r="A75" s="9" t="s">
        <v>39</v>
      </c>
      <c r="B75" s="9" t="s">
        <v>949</v>
      </c>
      <c r="C75" s="9" t="s">
        <v>950</v>
      </c>
      <c r="D75" s="9" t="s">
        <v>971</v>
      </c>
      <c r="E75" s="9" t="s">
        <v>972</v>
      </c>
      <c r="F75" s="9" t="s">
        <v>973</v>
      </c>
      <c r="G75" s="9" t="s">
        <v>974</v>
      </c>
      <c r="L75" s="44">
        <f>$I$32*$L$32</f>
        <v>0</v>
      </c>
      <c r="M75" s="44">
        <f>$I$32*$M$32</f>
        <v>0</v>
      </c>
      <c r="N75" s="44">
        <f>$I$32*$N$32</f>
        <v>0</v>
      </c>
      <c r="O75" s="44">
        <f>$I$32*$O$32</f>
        <v>0</v>
      </c>
      <c r="P75" s="44">
        <f>$I$32*$P$32</f>
        <v>0</v>
      </c>
      <c r="Q75" s="44">
        <f>$I$32*$Q$32</f>
        <v>0</v>
      </c>
      <c r="R75" s="44">
        <f>$I$32*$R$32</f>
        <v>0</v>
      </c>
      <c r="S75" s="44">
        <f>$I$32*$S$32</f>
        <v>0</v>
      </c>
      <c r="T75" s="44">
        <f>$I$32*$T$32</f>
        <v>0</v>
      </c>
      <c r="U75" s="44">
        <f>$I$32*$U$32</f>
        <v>0</v>
      </c>
      <c r="V75" s="44">
        <f>$I$32*$V$32</f>
        <v>0</v>
      </c>
      <c r="X75" s="44">
        <f>$I$32*$X$32</f>
        <v>0</v>
      </c>
      <c r="Y75" s="44">
        <f>$I$32*$Y$32</f>
        <v>0</v>
      </c>
      <c r="Z75" s="44">
        <f>$I$32*$Z$32</f>
        <v>0</v>
      </c>
      <c r="AA75" s="44">
        <f>$I$32*$AA$32</f>
        <v>0</v>
      </c>
      <c r="AB75" s="44">
        <f>$I$32*$AB$32</f>
        <v>0</v>
      </c>
      <c r="AC75" s="44">
        <f>$I$32*$AC$32</f>
        <v>0</v>
      </c>
      <c r="AD75" s="44">
        <f>$I$32*$AD$32</f>
        <v>0</v>
      </c>
      <c r="AE75" s="44">
        <f>$I$32*$AE$32</f>
        <v>0</v>
      </c>
      <c r="AF75" s="44">
        <f>$I$32*$AF$32</f>
        <v>0</v>
      </c>
      <c r="AG75" s="44">
        <f>$I$32*$AG$32</f>
        <v>0</v>
      </c>
      <c r="AH75" s="44">
        <f>$I$32*$AH$32</f>
        <v>0</v>
      </c>
    </row>
    <row r="76" spans="1:34" ht="11.25" customHeight="1" x14ac:dyDescent="0.25">
      <c r="A76" s="9" t="s">
        <v>39</v>
      </c>
      <c r="B76" s="9" t="s">
        <v>975</v>
      </c>
      <c r="C76" s="9" t="s">
        <v>976</v>
      </c>
      <c r="D76" s="9" t="s">
        <v>977</v>
      </c>
      <c r="E76" s="9" t="s">
        <v>978</v>
      </c>
      <c r="F76" s="9" t="s">
        <v>979</v>
      </c>
      <c r="G76" s="9" t="s">
        <v>980</v>
      </c>
      <c r="L76" s="44">
        <f>$I$33*$L$33</f>
        <v>0</v>
      </c>
      <c r="M76" s="44">
        <f>$I$33*$M$33</f>
        <v>0</v>
      </c>
      <c r="N76" s="44">
        <f>$I$33*$N$33</f>
        <v>0</v>
      </c>
      <c r="O76" s="44">
        <f>$I$33*$O$33</f>
        <v>0</v>
      </c>
      <c r="P76" s="44">
        <f>$I$33*$P$33</f>
        <v>0</v>
      </c>
      <c r="Q76" s="44">
        <f>$I$33*$Q$33</f>
        <v>0</v>
      </c>
      <c r="R76" s="44">
        <f>$I$33*$R$33</f>
        <v>0</v>
      </c>
      <c r="S76" s="44">
        <f>$I$33*$S$33</f>
        <v>0</v>
      </c>
      <c r="T76" s="44">
        <f>$I$33*$T$33</f>
        <v>0</v>
      </c>
      <c r="U76" s="44">
        <f>$I$33*$U$33</f>
        <v>0</v>
      </c>
      <c r="V76" s="44">
        <f>$I$33*$V$33</f>
        <v>0</v>
      </c>
      <c r="X76" s="44">
        <f>$I$33*$X$33</f>
        <v>0</v>
      </c>
      <c r="Y76" s="44">
        <f>$I$33*$Y$33</f>
        <v>0</v>
      </c>
      <c r="Z76" s="44">
        <f>$I$33*$Z$33</f>
        <v>0</v>
      </c>
      <c r="AA76" s="44">
        <f>$I$33*$AA$33</f>
        <v>0</v>
      </c>
      <c r="AB76" s="44">
        <f>$I$33*$AB$33</f>
        <v>0</v>
      </c>
      <c r="AC76" s="44">
        <f>$I$33*$AC$33</f>
        <v>0</v>
      </c>
      <c r="AD76" s="44">
        <f>$I$33*$AD$33</f>
        <v>0</v>
      </c>
      <c r="AE76" s="44">
        <f>$I$33*$AE$33</f>
        <v>0</v>
      </c>
      <c r="AF76" s="44">
        <f>$I$33*$AF$33</f>
        <v>0</v>
      </c>
      <c r="AG76" s="44">
        <f>$I$33*$AG$33</f>
        <v>0</v>
      </c>
      <c r="AH76" s="44">
        <f>$I$33*$AH$33</f>
        <v>0</v>
      </c>
    </row>
    <row r="77" spans="1:34" ht="11.25" customHeight="1" x14ac:dyDescent="0.25">
      <c r="A77" s="9" t="s">
        <v>39</v>
      </c>
      <c r="B77" s="9" t="s">
        <v>975</v>
      </c>
      <c r="C77" s="9" t="s">
        <v>976</v>
      </c>
      <c r="D77" s="9" t="s">
        <v>981</v>
      </c>
      <c r="E77" s="9" t="s">
        <v>982</v>
      </c>
      <c r="F77" s="9" t="s">
        <v>983</v>
      </c>
      <c r="G77" s="9" t="s">
        <v>984</v>
      </c>
      <c r="L77" s="44">
        <f>$I$34*$L$34</f>
        <v>0</v>
      </c>
      <c r="M77" s="44">
        <f>$I$34*$M$34</f>
        <v>0</v>
      </c>
      <c r="N77" s="44">
        <f>$I$34*$N$34</f>
        <v>0</v>
      </c>
      <c r="O77" s="44">
        <f>$I$34*$O$34</f>
        <v>0</v>
      </c>
      <c r="P77" s="44">
        <f>$I$34*$P$34</f>
        <v>0</v>
      </c>
      <c r="Q77" s="44">
        <f>$I$34*$Q$34</f>
        <v>0</v>
      </c>
      <c r="R77" s="44">
        <f>$I$34*$R$34</f>
        <v>0</v>
      </c>
      <c r="S77" s="44">
        <f>$I$34*$S$34</f>
        <v>0</v>
      </c>
      <c r="T77" s="44">
        <f>$I$34*$T$34</f>
        <v>0</v>
      </c>
      <c r="U77" s="44">
        <f>$I$34*$U$34</f>
        <v>0</v>
      </c>
      <c r="V77" s="44">
        <f>$I$34*$V$34</f>
        <v>0</v>
      </c>
      <c r="X77" s="44">
        <f>$I$34*$X$34</f>
        <v>0</v>
      </c>
      <c r="Y77" s="44">
        <f>$I$34*$Y$34</f>
        <v>0</v>
      </c>
      <c r="Z77" s="44">
        <f>$I$34*$Z$34</f>
        <v>0</v>
      </c>
      <c r="AA77" s="44">
        <f>$I$34*$AA$34</f>
        <v>0</v>
      </c>
      <c r="AB77" s="44">
        <f>$I$34*$AB$34</f>
        <v>0</v>
      </c>
      <c r="AC77" s="44">
        <f>$I$34*$AC$34</f>
        <v>0</v>
      </c>
      <c r="AD77" s="44">
        <f>$I$34*$AD$34</f>
        <v>0</v>
      </c>
      <c r="AE77" s="44">
        <f>$I$34*$AE$34</f>
        <v>0</v>
      </c>
      <c r="AF77" s="44">
        <f>$I$34*$AF$34</f>
        <v>0</v>
      </c>
      <c r="AG77" s="44">
        <f>$I$34*$AG$34</f>
        <v>0</v>
      </c>
      <c r="AH77" s="44">
        <f>$I$34*$AH$34</f>
        <v>0</v>
      </c>
    </row>
    <row r="78" spans="1:34" ht="11.25" customHeight="1" x14ac:dyDescent="0.25">
      <c r="A78" s="9" t="s">
        <v>39</v>
      </c>
      <c r="B78" s="9" t="s">
        <v>975</v>
      </c>
      <c r="C78" s="9" t="s">
        <v>976</v>
      </c>
      <c r="D78" s="9" t="s">
        <v>985</v>
      </c>
      <c r="E78" s="9" t="s">
        <v>986</v>
      </c>
      <c r="F78" s="9" t="s">
        <v>987</v>
      </c>
      <c r="G78" s="9" t="s">
        <v>988</v>
      </c>
      <c r="L78" s="44">
        <f>$I$35*$L$35</f>
        <v>0</v>
      </c>
      <c r="M78" s="44">
        <f>$I$35*$M$35</f>
        <v>0</v>
      </c>
      <c r="N78" s="44">
        <f>$I$35*$N$35</f>
        <v>0</v>
      </c>
      <c r="O78" s="44">
        <f>$I$35*$O$35</f>
        <v>0</v>
      </c>
      <c r="P78" s="44">
        <f>$I$35*$P$35</f>
        <v>0</v>
      </c>
      <c r="Q78" s="44">
        <f>$I$35*$Q$35</f>
        <v>0</v>
      </c>
      <c r="R78" s="44">
        <f>$I$35*$R$35</f>
        <v>0</v>
      </c>
      <c r="S78" s="44">
        <f>$I$35*$S$35</f>
        <v>0</v>
      </c>
      <c r="T78" s="44">
        <f>$I$35*$T$35</f>
        <v>0</v>
      </c>
      <c r="U78" s="44">
        <f>$I$35*$U$35</f>
        <v>0</v>
      </c>
      <c r="V78" s="44">
        <f>$I$35*$V$35</f>
        <v>0</v>
      </c>
      <c r="X78" s="44">
        <f>$I$35*$X$35</f>
        <v>0</v>
      </c>
      <c r="Y78" s="44">
        <f>$I$35*$Y$35</f>
        <v>0</v>
      </c>
      <c r="Z78" s="44">
        <f>$I$35*$Z$35</f>
        <v>0</v>
      </c>
      <c r="AA78" s="44">
        <f>$I$35*$AA$35</f>
        <v>0</v>
      </c>
      <c r="AB78" s="44">
        <f>$I$35*$AB$35</f>
        <v>0</v>
      </c>
      <c r="AC78" s="44">
        <f>$I$35*$AC$35</f>
        <v>0</v>
      </c>
      <c r="AD78" s="44">
        <f>$I$35*$AD$35</f>
        <v>0</v>
      </c>
      <c r="AE78" s="44">
        <f>$I$35*$AE$35</f>
        <v>0</v>
      </c>
      <c r="AF78" s="44">
        <f>$I$35*$AF$35</f>
        <v>0</v>
      </c>
      <c r="AG78" s="44">
        <f>$I$35*$AG$35</f>
        <v>0</v>
      </c>
      <c r="AH78" s="44">
        <f>$I$35*$AH$35</f>
        <v>0</v>
      </c>
    </row>
    <row r="79" spans="1:34" ht="11.25" customHeight="1" x14ac:dyDescent="0.25">
      <c r="A79" s="9" t="s">
        <v>32</v>
      </c>
      <c r="B79" s="9" t="s">
        <v>989</v>
      </c>
      <c r="C79" s="9" t="s">
        <v>990</v>
      </c>
      <c r="D79" s="9" t="s">
        <v>991</v>
      </c>
      <c r="E79" s="9" t="s">
        <v>992</v>
      </c>
      <c r="F79" s="9" t="s">
        <v>993</v>
      </c>
      <c r="G79" s="9" t="s">
        <v>994</v>
      </c>
      <c r="L79" s="44">
        <f>$I$36*$L$36</f>
        <v>0.52730621524690757</v>
      </c>
      <c r="M79" s="44">
        <f>$I$36*$M$36</f>
        <v>6.5565485744514564</v>
      </c>
      <c r="N79" s="44">
        <f>$I$36*$N$36</f>
        <v>0</v>
      </c>
      <c r="O79" s="44">
        <f>$I$36*$O$36</f>
        <v>0.51754890860605207</v>
      </c>
      <c r="P79" s="44">
        <f>$I$36*$P$36</f>
        <v>-3.4812017344765298</v>
      </c>
      <c r="Q79" s="44">
        <f>$I$36*$Q$36</f>
        <v>75.399822503439438</v>
      </c>
      <c r="R79" s="44">
        <f>$I$36*$R$36</f>
        <v>1.5810492121953117</v>
      </c>
      <c r="S79" s="44">
        <f>$I$36*$S$36</f>
        <v>0.93014682929128689</v>
      </c>
      <c r="T79" s="44">
        <f>$I$36*$T$36</f>
        <v>0</v>
      </c>
      <c r="U79" s="44">
        <f>$I$36*$U$36</f>
        <v>-8.2097272597895632</v>
      </c>
      <c r="V79" s="44">
        <f>$I$36*$V$36</f>
        <v>1.343988305092463</v>
      </c>
      <c r="X79" s="44">
        <f>$I$36*$X$36</f>
        <v>0.50677626200315407</v>
      </c>
      <c r="Y79" s="44">
        <f>$I$36*$Y$36</f>
        <v>2.7152202920727886</v>
      </c>
      <c r="Z79" s="44">
        <f>$I$36*$Z$36</f>
        <v>0</v>
      </c>
      <c r="AA79" s="44">
        <f>$I$36*$AA$36</f>
        <v>0</v>
      </c>
      <c r="AB79" s="44">
        <f>$I$36*$AB$36</f>
        <v>0</v>
      </c>
      <c r="AC79" s="44">
        <f>$I$36*$AC$36</f>
        <v>77.822168629236984</v>
      </c>
      <c r="AD79" s="44">
        <f>$I$36*$AD$36</f>
        <v>1.0545528416896743</v>
      </c>
      <c r="AE79" s="44">
        <f>$I$36*$AE$36</f>
        <v>0.93685189373571376</v>
      </c>
      <c r="AF79" s="44">
        <f>$I$36*$AF$36</f>
        <v>0</v>
      </c>
      <c r="AG79" s="44">
        <f>$I$36*$AG$36</f>
        <v>-3.8785614392765808</v>
      </c>
      <c r="AH79" s="44">
        <f>$I$36*$AH$36</f>
        <v>1.2050829529101548</v>
      </c>
    </row>
    <row r="80" spans="1:34" ht="11.25" customHeight="1" x14ac:dyDescent="0.25">
      <c r="A80" s="9" t="s">
        <v>32</v>
      </c>
      <c r="B80" s="9" t="s">
        <v>989</v>
      </c>
      <c r="C80" s="9" t="s">
        <v>990</v>
      </c>
      <c r="D80" s="9" t="s">
        <v>991</v>
      </c>
      <c r="E80" s="9" t="s">
        <v>992</v>
      </c>
      <c r="F80" s="9" t="s">
        <v>993</v>
      </c>
      <c r="G80" s="9" t="s">
        <v>995</v>
      </c>
      <c r="L80" s="44">
        <f>$I$37*$L$37</f>
        <v>0.58589579471878617</v>
      </c>
      <c r="M80" s="44">
        <f>$I$37*$M$37</f>
        <v>7.2850539716127294</v>
      </c>
      <c r="N80" s="44">
        <f>$I$37*$N$37</f>
        <v>0</v>
      </c>
      <c r="O80" s="44">
        <f>$I$37*$O$37</f>
        <v>0.5750543428956133</v>
      </c>
      <c r="P80" s="44">
        <f>$I$37*$P$37</f>
        <v>-3.8680019271961443</v>
      </c>
      <c r="Q80" s="44">
        <f>$I$37*$Q$37</f>
        <v>48.707895674056481</v>
      </c>
      <c r="R80" s="44">
        <f>$I$37*$R$37</f>
        <v>1.7567213468836798</v>
      </c>
      <c r="S80" s="44">
        <f>$I$37*$S$37</f>
        <v>1.0334964769903188</v>
      </c>
      <c r="T80" s="44">
        <f>$I$37*$T$37</f>
        <v>0</v>
      </c>
      <c r="U80" s="44">
        <f>$I$37*$U$37</f>
        <v>-5.5850237696506877</v>
      </c>
      <c r="V80" s="44">
        <f>$I$37*$V$37</f>
        <v>1.4933203389916254</v>
      </c>
      <c r="X80" s="44">
        <f>$I$37*$X$37</f>
        <v>0.56308473555906002</v>
      </c>
      <c r="Y80" s="44">
        <f>$I$37*$Y$37</f>
        <v>3.0169114356364317</v>
      </c>
      <c r="Z80" s="44">
        <f>$I$37*$Z$37</f>
        <v>0</v>
      </c>
      <c r="AA80" s="44">
        <f>$I$37*$AA$37</f>
        <v>0</v>
      </c>
      <c r="AB80" s="44">
        <f>$I$37*$AB$37</f>
        <v>0</v>
      </c>
      <c r="AC80" s="44">
        <f>$I$37*$AC$37</f>
        <v>50.27271875273712</v>
      </c>
      <c r="AD80" s="44">
        <f>$I$37*$AD$37</f>
        <v>1.1717253796551936</v>
      </c>
      <c r="AE80" s="44">
        <f>$I$37*$AE$37</f>
        <v>1.0409465485952374</v>
      </c>
      <c r="AF80" s="44">
        <f>$I$37*$AF$37</f>
        <v>0</v>
      </c>
      <c r="AG80" s="44">
        <f>$I$37*$AG$37</f>
        <v>-2.6347064551858557</v>
      </c>
      <c r="AH80" s="44">
        <f>$I$37*$AH$37</f>
        <v>1.3389810587890607</v>
      </c>
    </row>
    <row r="81" spans="1:34" ht="11.25" customHeight="1" x14ac:dyDescent="0.25">
      <c r="A81" s="9" t="s">
        <v>32</v>
      </c>
      <c r="B81" s="9" t="s">
        <v>989</v>
      </c>
      <c r="C81" s="9" t="s">
        <v>990</v>
      </c>
      <c r="D81" s="9" t="s">
        <v>991</v>
      </c>
      <c r="E81" s="9" t="s">
        <v>992</v>
      </c>
      <c r="F81" s="9" t="s">
        <v>993</v>
      </c>
      <c r="G81" s="9" t="s">
        <v>996</v>
      </c>
      <c r="L81" s="44">
        <f>$I$38*$L$38</f>
        <v>9.1350919326570743</v>
      </c>
      <c r="M81" s="44">
        <f>$I$38*$M$38</f>
        <v>113.58613317406181</v>
      </c>
      <c r="N81" s="44">
        <f>$I$38*$N$38</f>
        <v>0</v>
      </c>
      <c r="O81" s="44">
        <f>$I$38*$O$38</f>
        <v>8.966055629647439</v>
      </c>
      <c r="P81" s="44">
        <f>$I$38*$P$38</f>
        <v>-60.308596714866553</v>
      </c>
      <c r="Q81" s="44">
        <f>$I$38*$Q$38</f>
        <v>759.43727338466397</v>
      </c>
      <c r="R81" s="44">
        <f>$I$38*$R$38</f>
        <v>27.390213666828039</v>
      </c>
      <c r="S81" s="44">
        <f>$I$38*$S$38</f>
        <v>16.113932570407385</v>
      </c>
      <c r="T81" s="44">
        <f>$I$38*$T$38</f>
        <v>0</v>
      </c>
      <c r="U81" s="44">
        <f>$I$38*$U$38</f>
        <v>-87.07982894180364</v>
      </c>
      <c r="V81" s="44">
        <f>$I$38*$V$38</f>
        <v>23.283352952111095</v>
      </c>
      <c r="X81" s="44">
        <f>$I$38*$X$38</f>
        <v>8.7794295019250121</v>
      </c>
      <c r="Y81" s="44">
        <f>$I$38*$Y$38</f>
        <v>47.038677467298029</v>
      </c>
      <c r="Z81" s="44">
        <f>$I$38*$Z$38</f>
        <v>0</v>
      </c>
      <c r="AA81" s="44">
        <f>$I$38*$AA$38</f>
        <v>0</v>
      </c>
      <c r="AB81" s="44">
        <f>$I$38*$AB$38</f>
        <v>0</v>
      </c>
      <c r="AC81" s="44">
        <f>$I$38*$AC$38</f>
        <v>783.83547321975959</v>
      </c>
      <c r="AD81" s="44">
        <f>$I$38*$AD$38</f>
        <v>18.269151544457227</v>
      </c>
      <c r="AE81" s="44">
        <f>$I$38*$AE$38</f>
        <v>16.230091603514079</v>
      </c>
      <c r="AF81" s="44">
        <f>$I$38*$AF$38</f>
        <v>0</v>
      </c>
      <c r="AG81" s="44">
        <f>$I$38*$AG$38</f>
        <v>-41.079464813772802</v>
      </c>
      <c r="AH81" s="44">
        <f>$I$38*$AH$38</f>
        <v>20.876946341619441</v>
      </c>
    </row>
    <row r="82" spans="1:34" ht="11.25" customHeight="1" x14ac:dyDescent="0.25">
      <c r="A82" s="9" t="s">
        <v>32</v>
      </c>
      <c r="B82" s="9" t="s">
        <v>997</v>
      </c>
      <c r="C82" s="9" t="s">
        <v>998</v>
      </c>
      <c r="D82" s="9" t="s">
        <v>999</v>
      </c>
      <c r="E82" s="9" t="s">
        <v>1000</v>
      </c>
      <c r="F82" s="9" t="s">
        <v>1001</v>
      </c>
      <c r="G82" s="9" t="s">
        <v>1002</v>
      </c>
      <c r="L82" s="44">
        <f>$I$39*$L$39</f>
        <v>30268.66084345592</v>
      </c>
      <c r="M82" s="44">
        <f>$I$39*$M$39</f>
        <v>376361.85458346806</v>
      </c>
      <c r="N82" s="44">
        <f>$I$39*$N$39</f>
        <v>0</v>
      </c>
      <c r="O82" s="44">
        <f>$I$39*$O$39</f>
        <v>29708.567681422232</v>
      </c>
      <c r="P82" s="44">
        <f>$I$39*$P$39</f>
        <v>-199829.45692984326</v>
      </c>
      <c r="Q82" s="44">
        <f>$I$39*$Q$39</f>
        <v>2667338.0405126964</v>
      </c>
      <c r="R82" s="44">
        <f>$I$39*$R$39</f>
        <v>90756.074927629481</v>
      </c>
      <c r="S82" s="44">
        <f>$I$39*$S$39</f>
        <v>53392.693081098601</v>
      </c>
      <c r="T82" s="44">
        <f>$I$39*$T$39</f>
        <v>0</v>
      </c>
      <c r="U82" s="44">
        <f>$I$39*$U$39</f>
        <v>-303761.54915621097</v>
      </c>
      <c r="V82" s="44">
        <f>$I$39*$V$39</f>
        <v>77148.201572716993</v>
      </c>
      <c r="X82" s="44">
        <f>$I$39*$X$39</f>
        <v>29090.191533026475</v>
      </c>
      <c r="Y82" s="44">
        <f>$I$39*$Y$39</f>
        <v>155860.25682920782</v>
      </c>
      <c r="Z82" s="44">
        <f>$I$39*$Z$39</f>
        <v>0</v>
      </c>
      <c r="AA82" s="44">
        <f>$I$39*$AA$39</f>
        <v>0</v>
      </c>
      <c r="AB82" s="44">
        <f>$I$39*$AB$39</f>
        <v>0</v>
      </c>
      <c r="AC82" s="44">
        <f>$I$39*$AC$39</f>
        <v>2753030.7617168291</v>
      </c>
      <c r="AD82" s="44">
        <f>$I$39*$AD$39</f>
        <v>60533.901144444375</v>
      </c>
      <c r="AE82" s="44">
        <f>$I$39*$AE$39</f>
        <v>53777.580108282302</v>
      </c>
      <c r="AF82" s="44">
        <f>$I$39*$AF$39</f>
        <v>0</v>
      </c>
      <c r="AG82" s="44">
        <f>$I$39*$AG$39</f>
        <v>-143325.05668626638</v>
      </c>
      <c r="AH82" s="44">
        <f>$I$39*$AH$39</f>
        <v>69174.696097196735</v>
      </c>
    </row>
    <row r="83" spans="1:34" ht="11.25" customHeight="1" x14ac:dyDescent="0.25">
      <c r="A83" s="9" t="s">
        <v>32</v>
      </c>
      <c r="B83" s="9" t="s">
        <v>1003</v>
      </c>
      <c r="C83" s="9" t="s">
        <v>1004</v>
      </c>
      <c r="D83" s="9" t="s">
        <v>1005</v>
      </c>
      <c r="E83" s="9" t="s">
        <v>1006</v>
      </c>
      <c r="F83" s="9" t="s">
        <v>1007</v>
      </c>
      <c r="G83" s="9" t="s">
        <v>1008</v>
      </c>
      <c r="L83" s="44">
        <f>$I$40*$L$40</f>
        <v>0</v>
      </c>
      <c r="M83" s="44">
        <f>$I$40*$M$40</f>
        <v>0</v>
      </c>
      <c r="N83" s="44">
        <f>$I$40*$N$40</f>
        <v>0</v>
      </c>
      <c r="O83" s="44">
        <f>$I$40*$O$40</f>
        <v>0</v>
      </c>
      <c r="P83" s="44">
        <f>$I$40*$P$40</f>
        <v>0</v>
      </c>
      <c r="Q83" s="44">
        <f>$I$40*$Q$40</f>
        <v>0</v>
      </c>
      <c r="R83" s="44">
        <f>$I$40*$R$40</f>
        <v>0</v>
      </c>
      <c r="S83" s="44">
        <f>$I$40*$S$40</f>
        <v>0</v>
      </c>
      <c r="T83" s="44">
        <f>$I$40*$T$40</f>
        <v>0</v>
      </c>
      <c r="U83" s="44">
        <f>$I$40*$U$40</f>
        <v>0</v>
      </c>
      <c r="V83" s="44">
        <f>$I$40*$V$40</f>
        <v>0</v>
      </c>
      <c r="X83" s="44">
        <f>$I$40*$X$40</f>
        <v>0</v>
      </c>
      <c r="Y83" s="44">
        <f>$I$40*$Y$40</f>
        <v>0</v>
      </c>
      <c r="Z83" s="44">
        <f>$I$40*$Z$40</f>
        <v>0</v>
      </c>
      <c r="AA83" s="44">
        <f>$I$40*$AA$40</f>
        <v>0</v>
      </c>
      <c r="AB83" s="44">
        <f>$I$40*$AB$40</f>
        <v>0</v>
      </c>
      <c r="AC83" s="44">
        <f>$I$40*$AC$40</f>
        <v>0</v>
      </c>
      <c r="AD83" s="44">
        <f>$I$40*$AD$40</f>
        <v>0</v>
      </c>
      <c r="AE83" s="44">
        <f>$I$40*$AE$40</f>
        <v>0</v>
      </c>
      <c r="AF83" s="44">
        <f>$I$40*$AF$40</f>
        <v>0</v>
      </c>
      <c r="AG83" s="44">
        <f>$I$40*$AG$40</f>
        <v>0</v>
      </c>
      <c r="AH83" s="44">
        <f>$I$40*$AH$40</f>
        <v>0</v>
      </c>
    </row>
    <row r="84" spans="1:34" ht="11.25" customHeight="1" x14ac:dyDescent="0.25">
      <c r="A84" s="9" t="s">
        <v>42</v>
      </c>
      <c r="B84" s="9" t="s">
        <v>1009</v>
      </c>
      <c r="C84" s="9" t="s">
        <v>1010</v>
      </c>
      <c r="D84" s="9" t="s">
        <v>1011</v>
      </c>
      <c r="E84" s="9" t="s">
        <v>1012</v>
      </c>
      <c r="F84" s="9" t="s">
        <v>1013</v>
      </c>
      <c r="G84" s="9" t="s">
        <v>1014</v>
      </c>
      <c r="L84" s="44">
        <f>$I$41*$L$41</f>
        <v>4801.1072218119862</v>
      </c>
      <c r="M84" s="44">
        <f>$I$41*$M$41</f>
        <v>59697.177466835434</v>
      </c>
      <c r="N84" s="44">
        <f>$I$41*$N$41</f>
        <v>0</v>
      </c>
      <c r="O84" s="44">
        <f>$I$41*$O$41</f>
        <v>4712.2672384696507</v>
      </c>
      <c r="P84" s="44">
        <f>$I$41*$P$41</f>
        <v>-31696.237034023274</v>
      </c>
      <c r="Q84" s="44">
        <f>$I$41*$Q$41</f>
        <v>423083.66384461417</v>
      </c>
      <c r="R84" s="44">
        <f>$I$41*$R$41</f>
        <v>14395.405499168501</v>
      </c>
      <c r="S84" s="44">
        <f>$I$41*$S$41</f>
        <v>8468.9588901675816</v>
      </c>
      <c r="T84" s="44">
        <f>$I$41*$T$41</f>
        <v>0</v>
      </c>
      <c r="U84" s="44">
        <f>$I$41*$U$41</f>
        <v>-48181.575488430812</v>
      </c>
      <c r="V84" s="44">
        <f>$I$41*$V$41</f>
        <v>12236.973073774361</v>
      </c>
      <c r="X84" s="44">
        <f>$I$41*$X$41</f>
        <v>4614.1826153271195</v>
      </c>
      <c r="Y84" s="44">
        <f>$I$41*$Y$41</f>
        <v>24721.999051304691</v>
      </c>
      <c r="Z84" s="44">
        <f>$I$41*$Z$41</f>
        <v>0</v>
      </c>
      <c r="AA84" s="44">
        <f>$I$41*$AA$41</f>
        <v>0</v>
      </c>
      <c r="AB84" s="44">
        <f>$I$41*$AB$41</f>
        <v>0</v>
      </c>
      <c r="AC84" s="44">
        <f>$I$41*$AC$41</f>
        <v>436675.93820249406</v>
      </c>
      <c r="AD84" s="44">
        <f>$I$41*$AD$41</f>
        <v>9601.6718893554444</v>
      </c>
      <c r="AE84" s="44">
        <f>$I$41*$AE$41</f>
        <v>8530.0083001613166</v>
      </c>
      <c r="AF84" s="44">
        <f>$I$41*$AF$41</f>
        <v>0</v>
      </c>
      <c r="AG84" s="44">
        <f>$I$41*$AG$41</f>
        <v>-22733.710231908681</v>
      </c>
      <c r="AH84" s="44">
        <f>$I$41*$AH$41</f>
        <v>10972.244022176612</v>
      </c>
    </row>
    <row r="85" spans="1:34" ht="11.25" customHeight="1" x14ac:dyDescent="0.25">
      <c r="A85" s="9" t="s">
        <v>42</v>
      </c>
      <c r="B85" s="9" t="s">
        <v>1009</v>
      </c>
      <c r="C85" s="9" t="s">
        <v>1010</v>
      </c>
      <c r="D85" s="9" t="s">
        <v>1015</v>
      </c>
      <c r="E85" s="9" t="s">
        <v>1016</v>
      </c>
      <c r="F85" s="9" t="s">
        <v>1017</v>
      </c>
      <c r="G85" s="9" t="s">
        <v>1018</v>
      </c>
      <c r="L85" s="44">
        <f>$I$42*$L$42</f>
        <v>0</v>
      </c>
      <c r="M85" s="44">
        <f>$I$42*$M$42</f>
        <v>0</v>
      </c>
      <c r="N85" s="44">
        <f>$I$42*$N$42</f>
        <v>0</v>
      </c>
      <c r="O85" s="44">
        <f>$I$42*$O$42</f>
        <v>0</v>
      </c>
      <c r="P85" s="44">
        <f>$I$42*$P$42</f>
        <v>0</v>
      </c>
      <c r="Q85" s="44">
        <f>$I$42*$Q$42</f>
        <v>0</v>
      </c>
      <c r="R85" s="44">
        <f>$I$42*$R$42</f>
        <v>0</v>
      </c>
      <c r="S85" s="44">
        <f>$I$42*$S$42</f>
        <v>0</v>
      </c>
      <c r="T85" s="44">
        <f>$I$42*$T$42</f>
        <v>0</v>
      </c>
      <c r="U85" s="44">
        <f>$I$42*$U$42</f>
        <v>0</v>
      </c>
      <c r="V85" s="44">
        <f>$I$42*$V$42</f>
        <v>0</v>
      </c>
      <c r="X85" s="44">
        <f>$I$42*$X$42</f>
        <v>0</v>
      </c>
      <c r="Y85" s="44">
        <f>$I$42*$Y$42</f>
        <v>0</v>
      </c>
      <c r="Z85" s="44">
        <f>$I$42*$Z$42</f>
        <v>0</v>
      </c>
      <c r="AA85" s="44">
        <f>$I$42*$AA$42</f>
        <v>0</v>
      </c>
      <c r="AB85" s="44">
        <f>$I$42*$AB$42</f>
        <v>0</v>
      </c>
      <c r="AC85" s="44">
        <f>$I$42*$AC$42</f>
        <v>0</v>
      </c>
      <c r="AD85" s="44">
        <f>$I$42*$AD$42</f>
        <v>0</v>
      </c>
      <c r="AE85" s="44">
        <f>$I$42*$AE$42</f>
        <v>0</v>
      </c>
      <c r="AF85" s="44">
        <f>$I$42*$AF$42</f>
        <v>0</v>
      </c>
      <c r="AG85" s="44">
        <f>$I$42*$AG$42</f>
        <v>0</v>
      </c>
      <c r="AH85" s="44">
        <f>$I$42*$AH$42</f>
        <v>0</v>
      </c>
    </row>
  </sheetData>
  <mergeCells count="69">
    <mergeCell ref="L44:V44"/>
    <mergeCell ref="X44:AH44"/>
    <mergeCell ref="L45:V45"/>
    <mergeCell ref="X45:AH45"/>
    <mergeCell ref="L46:P46"/>
    <mergeCell ref="R46:T46"/>
    <mergeCell ref="X46:AB46"/>
    <mergeCell ref="AD46:AF46"/>
    <mergeCell ref="E36:E38"/>
    <mergeCell ref="F36:F38"/>
    <mergeCell ref="A41:A42"/>
    <mergeCell ref="B41:B42"/>
    <mergeCell ref="C41:C42"/>
    <mergeCell ref="A36:A40"/>
    <mergeCell ref="B36:B38"/>
    <mergeCell ref="C36:C38"/>
    <mergeCell ref="D36:D38"/>
    <mergeCell ref="X1:AH1"/>
    <mergeCell ref="X2:AH2"/>
    <mergeCell ref="X3:AB3"/>
    <mergeCell ref="AD3:AF3"/>
    <mergeCell ref="B33:B35"/>
    <mergeCell ref="C33:C35"/>
    <mergeCell ref="F25:F27"/>
    <mergeCell ref="B29:B31"/>
    <mergeCell ref="C29:C31"/>
    <mergeCell ref="D29:D31"/>
    <mergeCell ref="E29:E31"/>
    <mergeCell ref="F29:F31"/>
    <mergeCell ref="F21:F23"/>
    <mergeCell ref="F8:F10"/>
    <mergeCell ref="F5:F6"/>
    <mergeCell ref="G1:G4"/>
    <mergeCell ref="A21:A35"/>
    <mergeCell ref="B21:B23"/>
    <mergeCell ref="C21:C23"/>
    <mergeCell ref="D21:D23"/>
    <mergeCell ref="E21:E23"/>
    <mergeCell ref="B25:B27"/>
    <mergeCell ref="C25:C27"/>
    <mergeCell ref="D25:D27"/>
    <mergeCell ref="E25:E27"/>
    <mergeCell ref="A8:A20"/>
    <mergeCell ref="B8:B10"/>
    <mergeCell ref="C8:C10"/>
    <mergeCell ref="D8:D10"/>
    <mergeCell ref="E8:E10"/>
    <mergeCell ref="B11:B15"/>
    <mergeCell ref="C11:C15"/>
    <mergeCell ref="B16:B20"/>
    <mergeCell ref="C16:C20"/>
    <mergeCell ref="A5:A7"/>
    <mergeCell ref="B5:B6"/>
    <mergeCell ref="C5:C6"/>
    <mergeCell ref="D5:D6"/>
    <mergeCell ref="E5:E6"/>
    <mergeCell ref="H1:H4"/>
    <mergeCell ref="I1:I4"/>
    <mergeCell ref="J1:J4"/>
    <mergeCell ref="L1:V1"/>
    <mergeCell ref="L2:V2"/>
    <mergeCell ref="L3:P3"/>
    <mergeCell ref="R3:T3"/>
    <mergeCell ref="F1:F4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B8011-3ECE-462E-B8F8-4BA4589BD0D5}">
  <dimension ref="A1:AG15"/>
  <sheetViews>
    <sheetView showGridLines="0" workbookViewId="0">
      <selection activeCell="A22" sqref="A22"/>
    </sheetView>
  </sheetViews>
  <sheetFormatPr defaultRowHeight="11.25" x14ac:dyDescent="0.2"/>
  <cols>
    <col min="1" max="1" width="19.140625" style="14" bestFit="1" customWidth="1"/>
    <col min="2" max="2" width="12.42578125" style="14" bestFit="1" customWidth="1"/>
    <col min="3" max="7" width="10.28515625" style="14" bestFit="1" customWidth="1"/>
    <col min="8" max="8" width="10" style="14" bestFit="1" customWidth="1"/>
    <col min="9" max="9" width="8" style="14" bestFit="1" customWidth="1"/>
    <col min="10" max="10" width="7.28515625" style="14" bestFit="1" customWidth="1"/>
    <col min="11" max="11" width="7.140625" style="14" bestFit="1" customWidth="1"/>
    <col min="12" max="12" width="9.5703125" style="14" bestFit="1" customWidth="1"/>
    <col min="13" max="13" width="9.7109375" style="14" bestFit="1" customWidth="1"/>
    <col min="14" max="14" width="10" style="14" bestFit="1" customWidth="1"/>
    <col min="15" max="15" width="7.42578125" style="14" bestFit="1" customWidth="1"/>
    <col min="16" max="16" width="9.7109375" style="14" bestFit="1" customWidth="1"/>
    <col min="17" max="17" width="11" style="14" bestFit="1" customWidth="1"/>
    <col min="18" max="18" width="7.7109375" style="14" bestFit="1" customWidth="1"/>
    <col min="19" max="19" width="7.140625" style="14" bestFit="1" customWidth="1"/>
    <col min="20" max="20" width="14.5703125" style="14" bestFit="1" customWidth="1"/>
    <col min="21" max="21" width="17.7109375" style="14" bestFit="1" customWidth="1"/>
    <col min="22" max="22" width="18.42578125" style="14" bestFit="1" customWidth="1"/>
    <col min="23" max="23" width="6" style="14" bestFit="1" customWidth="1"/>
    <col min="24" max="24" width="10.85546875" style="14" bestFit="1" customWidth="1"/>
    <col min="25" max="26" width="9.140625" style="14"/>
    <col min="27" max="27" width="3" style="14" bestFit="1" customWidth="1"/>
    <col min="28" max="28" width="21.57031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60</v>
      </c>
      <c r="B1" s="14" t="s">
        <v>61</v>
      </c>
      <c r="C1" s="14" t="s">
        <v>62</v>
      </c>
      <c r="D1" s="14" t="s">
        <v>63</v>
      </c>
      <c r="E1" s="14" t="s">
        <v>64</v>
      </c>
      <c r="F1" s="14" t="s">
        <v>15</v>
      </c>
      <c r="G1" s="14" t="s">
        <v>66</v>
      </c>
      <c r="I1" s="14" t="s">
        <v>1026</v>
      </c>
      <c r="AA1" s="14" t="s">
        <v>34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80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B</v>
      </c>
      <c r="AA2" s="14" t="s">
        <v>80</v>
      </c>
      <c r="AB2" s="14" t="s">
        <v>51</v>
      </c>
      <c r="AC2" s="14" t="s">
        <v>24</v>
      </c>
      <c r="AD2" s="14" t="s">
        <v>24</v>
      </c>
      <c r="AE2" s="14" t="s">
        <v>78</v>
      </c>
      <c r="AG2" s="14" t="s">
        <v>76</v>
      </c>
    </row>
    <row r="3" spans="1:33" x14ac:dyDescent="0.2">
      <c r="AA3" s="14" t="s">
        <v>22</v>
      </c>
      <c r="AB3" s="14" t="s">
        <v>79</v>
      </c>
      <c r="AC3" s="14" t="s">
        <v>40</v>
      </c>
      <c r="AD3" s="14" t="s">
        <v>28</v>
      </c>
      <c r="AE3" s="14" t="s">
        <v>81</v>
      </c>
      <c r="AG3" s="14" t="s">
        <v>77</v>
      </c>
    </row>
    <row r="4" spans="1:33" x14ac:dyDescent="0.2">
      <c r="AA4" s="14" t="s">
        <v>39</v>
      </c>
      <c r="AB4" s="14" t="s">
        <v>35</v>
      </c>
      <c r="AC4" s="14" t="s">
        <v>43</v>
      </c>
      <c r="AD4" s="14" t="s">
        <v>29</v>
      </c>
      <c r="AE4" s="14" t="s">
        <v>82</v>
      </c>
      <c r="AG4" s="14" t="s">
        <v>74</v>
      </c>
    </row>
    <row r="5" spans="1:33" x14ac:dyDescent="0.2">
      <c r="A5" s="14" t="s">
        <v>1019</v>
      </c>
      <c r="B5" s="14" t="str">
        <f>TUSD!$AI$4</f>
        <v>CDE Covid TUSD</v>
      </c>
      <c r="C5" s="14" t="str">
        <f>TUSD!$AJ$4</f>
        <v>TFSEE</v>
      </c>
      <c r="D5" s="14" t="str">
        <f>TUSD!$AK$4</f>
        <v>P&amp;D</v>
      </c>
      <c r="E5" s="14" t="str">
        <f>TUSD!$AL$4</f>
        <v>ONS</v>
      </c>
      <c r="F5" s="14" t="str">
        <f>TUSD!$AM$4</f>
        <v>CCC</v>
      </c>
      <c r="G5" s="14" t="str">
        <f>TUSD!$AN$4</f>
        <v>CDE</v>
      </c>
      <c r="H5" s="14" t="str">
        <f>TUSD!$AO$4</f>
        <v>PROINFA</v>
      </c>
      <c r="I5" s="14" t="str">
        <f>TUSD!$AP$4</f>
        <v>LIMINAR 1</v>
      </c>
      <c r="J5" s="14" t="str">
        <f>TUSD!$AQ$4</f>
        <v>TUSD RB</v>
      </c>
      <c r="K5" s="14" t="str">
        <f>TUSD!$AR$4</f>
        <v>TUSD FR</v>
      </c>
      <c r="L5" s="14" t="str">
        <f>TUSD!$AS$4</f>
        <v>CONEXAO T</v>
      </c>
      <c r="M5" s="14" t="str">
        <f>TUSD!$AT$4</f>
        <v>CONEXAO D</v>
      </c>
      <c r="N5" s="14" t="str">
        <f>TUSD!$AU$4</f>
        <v>CUSD</v>
      </c>
      <c r="O5" s="14" t="str">
        <f>TUSD!$AV$4</f>
        <v>TUSDG-T</v>
      </c>
      <c r="P5" s="14" t="str">
        <f>TUSD!$AW$4</f>
        <v>TUSDG-ONS</v>
      </c>
      <c r="Q5" s="14" t="str">
        <f>TUSD!$AX$4</f>
        <v>DISTRIBUICAO</v>
      </c>
      <c r="R5" s="14" t="str">
        <f>TUSD!$AY$4</f>
        <v>SUBSIDIO</v>
      </c>
      <c r="S5" s="14" t="str">
        <f>TUSD!$AZ$4</f>
        <v>OUTROS</v>
      </c>
      <c r="T5" s="14" t="str">
        <f>TUSD!$BA$4</f>
        <v>PERDAS TECNICAS</v>
      </c>
      <c r="U5" s="14" t="str">
        <f>TUSD!$BB$4</f>
        <v>PERDAS RB/ PERDAS D</v>
      </c>
      <c r="V5" s="14" t="str">
        <f>TUSD!$BC$4</f>
        <v>PERDAS NAO TECNICAS</v>
      </c>
      <c r="W5" s="14" t="str">
        <f>TUSD!$BD$4</f>
        <v>RI</v>
      </c>
      <c r="X5" s="14" t="s">
        <v>446</v>
      </c>
      <c r="AA5" s="14" t="s">
        <v>32</v>
      </c>
      <c r="AB5" s="14" t="s">
        <v>49</v>
      </c>
      <c r="AD5" s="14" t="s">
        <v>30</v>
      </c>
      <c r="AG5" s="14" t="s">
        <v>9</v>
      </c>
    </row>
    <row r="6" spans="1:33" x14ac:dyDescent="0.2">
      <c r="A6" s="14" t="s">
        <v>1020</v>
      </c>
      <c r="B6" s="18">
        <f>SUM(TUSD!$AI$57:'TUSD'!$AI$103)</f>
        <v>167202.40291042964</v>
      </c>
      <c r="C6" s="18">
        <f>SUM(TUSD!$AJ$57:'TUSD'!$AJ$103)</f>
        <v>34574.699732246539</v>
      </c>
      <c r="D6" s="18">
        <f>SUM(TUSD!$AK$57:'TUSD'!$AK$103)</f>
        <v>148166.1162116554</v>
      </c>
      <c r="E6" s="18">
        <f>SUM(TUSD!$AL$57:'TUSD'!$AL$103)</f>
        <v>0</v>
      </c>
      <c r="F6" s="18">
        <f>SUM(TUSD!$AM$57:'TUSD'!$AM$103)</f>
        <v>0</v>
      </c>
      <c r="G6" s="18">
        <f>SUM(TUSD!$AN$57:'TUSD'!$AN$103)</f>
        <v>4429357.188008572</v>
      </c>
      <c r="H6" s="18">
        <f>SUM(TUSD!$AO$57:'TUSD'!$AO$103)</f>
        <v>764970.55442469614</v>
      </c>
      <c r="I6" s="18">
        <f>SUM(TUSD!$AP$57:'TUSD'!$AP$103)</f>
        <v>0</v>
      </c>
      <c r="J6" s="18">
        <f>SUM(TUSD!$AQ$57:'TUSD'!$AQ$103)</f>
        <v>0</v>
      </c>
      <c r="K6" s="18">
        <f>SUM(TUSD!$AR$57:'TUSD'!$AR$103)</f>
        <v>0</v>
      </c>
      <c r="L6" s="18">
        <f>SUM(TUSD!$AS$57:'TUSD'!$AS$103)</f>
        <v>0</v>
      </c>
      <c r="M6" s="18">
        <f>SUM(TUSD!$AT$57:'TUSD'!$AT$103)</f>
        <v>0</v>
      </c>
      <c r="N6" s="18">
        <f>SUM(TUSD!$AU$57:'TUSD'!$AU$103)</f>
        <v>7738332.9415819785</v>
      </c>
      <c r="O6" s="18">
        <f>SUM(TUSD!$AV$57:'TUSD'!$AV$103)</f>
        <v>0</v>
      </c>
      <c r="P6" s="18">
        <f>SUM(TUSD!$AW$57:'TUSD'!$AW$103)</f>
        <v>0</v>
      </c>
      <c r="Q6" s="18">
        <f>SUM(TUSD!$AX$57:'TUSD'!$AX$103)</f>
        <v>5800427.2651245063</v>
      </c>
      <c r="R6" s="18">
        <f>SUM(TUSD!$AY$57:'TUSD'!$AY$103)</f>
        <v>-1042888.6281828075</v>
      </c>
      <c r="S6" s="18">
        <f>SUM(TUSD!$AZ$57:'TUSD'!$AZ$103)</f>
        <v>0</v>
      </c>
      <c r="T6" s="18">
        <f>SUM(TUSD!$BA$57:'TUSD'!$BA$103)</f>
        <v>1080491.4273410232</v>
      </c>
      <c r="U6" s="18">
        <f>SUM(TUSD!$BB$57:'TUSD'!$BB$103)</f>
        <v>30850.118968092454</v>
      </c>
      <c r="V6" s="18">
        <f>SUM(TUSD!$BC$57:'TUSD'!$BC$103)</f>
        <v>146762.80145619274</v>
      </c>
      <c r="W6" s="18">
        <f>SUM(TUSD!$BD$57:'TUSD'!$BD$103)</f>
        <v>-4833.3599014897845</v>
      </c>
      <c r="X6" s="18">
        <f t="shared" ref="X6:X11" si="0">SUM(B6:W6)</f>
        <v>19293413.527675096</v>
      </c>
      <c r="AA6" s="14" t="s">
        <v>42</v>
      </c>
      <c r="AB6" s="14" t="s">
        <v>23</v>
      </c>
      <c r="AD6" s="14" t="s">
        <v>31</v>
      </c>
      <c r="AG6" s="14" t="s">
        <v>71</v>
      </c>
    </row>
    <row r="7" spans="1:33" x14ac:dyDescent="0.2">
      <c r="A7" s="14" t="s">
        <v>1021</v>
      </c>
      <c r="B7" s="18">
        <f>SUM(TUSD!$L$57:'TUSD'!$L$103)</f>
        <v>184837.2333998945</v>
      </c>
      <c r="C7" s="18">
        <f>SUM(TUSD!$M$57:'TUSD'!$M$103)</f>
        <v>31194.539018981981</v>
      </c>
      <c r="D7" s="18">
        <f ca="1">SUM(TUSD!$N$57:'TUSD'!$N$103)</f>
        <v>146410.04912912886</v>
      </c>
      <c r="E7" s="18">
        <f>SUM(TUSD!$O$57:'TUSD'!$O$103)</f>
        <v>0</v>
      </c>
      <c r="F7" s="18">
        <f>SUM(TUSD!$P$57:'TUSD'!$P$103)</f>
        <v>0</v>
      </c>
      <c r="G7" s="18">
        <f>SUM(TUSD!$Q$57:'TUSD'!$Q$103)</f>
        <v>7291971.8757451475</v>
      </c>
      <c r="H7" s="18">
        <f>SUM(TUSD!$R$57:'TUSD'!$R$103)</f>
        <v>1328244.8933777965</v>
      </c>
      <c r="I7" s="18">
        <f>SUM(TUSD!$S$57:'TUSD'!$S$103)</f>
        <v>0</v>
      </c>
      <c r="J7" s="18">
        <f>SUM(TUSD!$T$57:'TUSD'!$T$103)</f>
        <v>0</v>
      </c>
      <c r="K7" s="18">
        <f>SUM(TUSD!$U$57:'TUSD'!$U$103)</f>
        <v>0</v>
      </c>
      <c r="L7" s="18">
        <f>SUM(TUSD!$V$57:'TUSD'!$V$103)</f>
        <v>0</v>
      </c>
      <c r="M7" s="18">
        <f>SUM(TUSD!$W$57:'TUSD'!$W$103)</f>
        <v>0</v>
      </c>
      <c r="N7" s="18">
        <f>SUM(TUSD!$X$57:'TUSD'!$X$103)</f>
        <v>9123539.7028696761</v>
      </c>
      <c r="O7" s="18">
        <f>SUM(TUSD!$Y$57:'TUSD'!$Y$103)</f>
        <v>0</v>
      </c>
      <c r="P7" s="18">
        <f>SUM(TUSD!$Z$57:'TUSD'!$Z$103)</f>
        <v>0</v>
      </c>
      <c r="Q7" s="18">
        <f>SUM(TUSD!$AA$57:'TUSD'!$AA$103)</f>
        <v>5701661.6417483147</v>
      </c>
      <c r="R7" s="18">
        <f ca="1">SUM(TUSD!$AB$57:'TUSD'!$AB$103)</f>
        <v>-2466477.6762882103</v>
      </c>
      <c r="S7" s="18">
        <f ca="1">SUM(TUSD!$AC$57:'TUSD'!$AC$103)</f>
        <v>0</v>
      </c>
      <c r="T7" s="18">
        <f>SUM(TUSD!$AD$57:'TUSD'!$AD$103)</f>
        <v>1083092.6283213764</v>
      </c>
      <c r="U7" s="18">
        <f>SUM(TUSD!$AE$57:'TUSD'!$AE$103)</f>
        <v>34830.791339294505</v>
      </c>
      <c r="V7" s="18">
        <f ca="1">SUM(TUSD!$AF$57:'TUSD'!$AF$103)</f>
        <v>121589.58825380901</v>
      </c>
      <c r="W7" s="18">
        <f ca="1">SUM(TUSD!$AG$57:'TUSD'!$AG$103)</f>
        <v>21646.552489728685</v>
      </c>
      <c r="X7" s="18">
        <f t="shared" ca="1" si="0"/>
        <v>22602541.819404937</v>
      </c>
      <c r="AB7" s="14" t="s">
        <v>85</v>
      </c>
      <c r="AD7" s="14" t="s">
        <v>86</v>
      </c>
      <c r="AG7" s="14" t="s">
        <v>72</v>
      </c>
    </row>
    <row r="8" spans="1:33" x14ac:dyDescent="0.2">
      <c r="A8" s="14" t="s">
        <v>1024</v>
      </c>
      <c r="B8" s="18">
        <f>IF($G$2&lt;&gt;"Não se aplica",SUMIF(TUSD!$G$57:'TUSD'!$G$103,$I$2,TUSD!$AI$57:'TUSD'!$AI$103),IF($F$2&lt;&gt;"Não se aplica",SUMIF(TUSD!$F$57:'TUSD'!$F$103,$I$2,TUSD!$AI$57:'TUSD'!$AI$103),IF($E$2&lt;&gt;"Não se aplica",SUMIF(TUSD!$E$57:'TUSD'!$E$103,$I$2,TUSD!$AI$57:'TUSD'!$AI$103),IF($D$2&lt;&gt;"Não se aplica",SUMIF(TUSD!$D$57:'TUSD'!$D$103,$I$2,TUSD!$AI$57:'TUSD'!$AI$103),IF($C$2&lt;&gt;"Não se aplica",SUMIF(TUSD!$C$57:'TUSD'!$C$103,$I$2,TUSD!$AI$57:'TUSD'!$AI$103),IF($B$2&lt;&gt;"Não se aplica",SUMIF(TUSD!$B$57:'TUSD'!$B$103,$I$2,TUSD!$AI$57:'TUSD'!$AI$103),SUMIF(TUSD!$A$57:'TUSD'!$A$103,$I$2,TUSD!$AI$57:'TUSD'!$AI$103)))))))</f>
        <v>0</v>
      </c>
      <c r="C8" s="18">
        <f>IF($G$2&lt;&gt;"Não se aplica",SUMIF(TUSD!$G$57:'TUSD'!$G$103,$I$2,TUSD!$AJ$57:'TUSD'!$AJ$103),IF($F$2&lt;&gt;"Não se aplica",SUMIF(TUSD!$F$57:'TUSD'!$F$103,$I$2,TUSD!$AJ$57:'TUSD'!$AJ$103),IF($E$2&lt;&gt;"Não se aplica",SUMIF(TUSD!$E$57:'TUSD'!$E$103,$I$2,TUSD!$AJ$57:'TUSD'!$AJ$103),IF($D$2&lt;&gt;"Não se aplica",SUMIF(TUSD!$D$57:'TUSD'!$D$103,$I$2,TUSD!$AJ$57:'TUSD'!$AJ$103),IF($C$2&lt;&gt;"Não se aplica",SUMIF(TUSD!$C$57:'TUSD'!$C$103,$I$2,TUSD!$AJ$57:'TUSD'!$AJ$103),IF($B$2&lt;&gt;"Não se aplica",SUMIF(TUSD!$B$57:'TUSD'!$B$103,$I$2,TUSD!$AJ$57:'TUSD'!$AJ$103),SUMIF(TUSD!$A$57:'TUSD'!$A$103,$I$2,TUSD!$AJ$57:'TUSD'!$AJ$103)))))))</f>
        <v>5.3154815984658598E-10</v>
      </c>
      <c r="D8" s="18">
        <f>IF($G$2&lt;&gt;"Não se aplica",SUMIF(TUSD!$G$57:'TUSD'!$G$103,$I$2,TUSD!$AK$57:'TUSD'!$AK$103),IF($F$2&lt;&gt;"Não se aplica",SUMIF(TUSD!$F$57:'TUSD'!$F$103,$I$2,TUSD!$AK$57:'TUSD'!$AK$103),IF($E$2&lt;&gt;"Não se aplica",SUMIF(TUSD!$E$57:'TUSD'!$E$103,$I$2,TUSD!$AK$57:'TUSD'!$AK$103),IF($D$2&lt;&gt;"Não se aplica",SUMIF(TUSD!$D$57:'TUSD'!$D$103,$I$2,TUSD!$AK$57:'TUSD'!$AK$103),IF($C$2&lt;&gt;"Não se aplica",SUMIF(TUSD!$C$57:'TUSD'!$C$103,$I$2,TUSD!$AK$57:'TUSD'!$AK$103),IF($B$2&lt;&gt;"Não se aplica",SUMIF(TUSD!$B$57:'TUSD'!$B$103,$I$2,TUSD!$AK$57:'TUSD'!$AK$103),SUMIF(TUSD!$A$57:'TUSD'!$A$103,$I$2,TUSD!$AK$57:'TUSD'!$AK$103)))))))</f>
        <v>1.9307307965173681E-9</v>
      </c>
      <c r="E8" s="18">
        <f>IF($G$2&lt;&gt;"Não se aplica",SUMIF(TUSD!$G$57:'TUSD'!$G$103,$I$2,TUSD!$AL$57:'TUSD'!$AL$103),IF($F$2&lt;&gt;"Não se aplica",SUMIF(TUSD!$F$57:'TUSD'!$F$103,$I$2,TUSD!$AL$57:'TUSD'!$AL$103),IF($E$2&lt;&gt;"Não se aplica",SUMIF(TUSD!$E$57:'TUSD'!$E$103,$I$2,TUSD!$AL$57:'TUSD'!$AL$103),IF($D$2&lt;&gt;"Não se aplica",SUMIF(TUSD!$D$57:'TUSD'!$D$103,$I$2,TUSD!$AL$57:'TUSD'!$AL$103),IF($C$2&lt;&gt;"Não se aplica",SUMIF(TUSD!$C$57:'TUSD'!$C$103,$I$2,TUSD!$AL$57:'TUSD'!$AL$103),IF($B$2&lt;&gt;"Não se aplica",SUMIF(TUSD!$B$57:'TUSD'!$B$103,$I$2,TUSD!$AL$57:'TUSD'!$AL$103),SUMIF(TUSD!$A$57:'TUSD'!$A$103,$I$2,TUSD!$AL$57:'TUSD'!$AL$103)))))))</f>
        <v>0</v>
      </c>
      <c r="F8" s="18">
        <f>IF($G$2&lt;&gt;"Não se aplica",SUMIF(TUSD!$G$57:'TUSD'!$G$103,$I$2,TUSD!$AM$57:'TUSD'!$AM$103),IF($F$2&lt;&gt;"Não se aplica",SUMIF(TUSD!$F$57:'TUSD'!$F$103,$I$2,TUSD!$AM$57:'TUSD'!$AM$103),IF($E$2&lt;&gt;"Não se aplica",SUMIF(TUSD!$E$57:'TUSD'!$E$103,$I$2,TUSD!$AM$57:'TUSD'!$AM$103),IF($D$2&lt;&gt;"Não se aplica",SUMIF(TUSD!$D$57:'TUSD'!$D$103,$I$2,TUSD!$AM$57:'TUSD'!$AM$103),IF($C$2&lt;&gt;"Não se aplica",SUMIF(TUSD!$C$57:'TUSD'!$C$103,$I$2,TUSD!$AM$57:'TUSD'!$AM$103),IF($B$2&lt;&gt;"Não se aplica",SUMIF(TUSD!$B$57:'TUSD'!$B$103,$I$2,TUSD!$AM$57:'TUSD'!$AM$103),SUMIF(TUSD!$A$57:'TUSD'!$A$103,$I$2,TUSD!$AM$57:'TUSD'!$AM$103)))))))</f>
        <v>0</v>
      </c>
      <c r="G8" s="18">
        <f>IF($G$2&lt;&gt;"Não se aplica",SUMIF(TUSD!$G$57:'TUSD'!$G$103,$I$2,TUSD!$AN$57:'TUSD'!$AN$103),IF($F$2&lt;&gt;"Não se aplica",SUMIF(TUSD!$F$57:'TUSD'!$F$103,$I$2,TUSD!$AN$57:'TUSD'!$AN$103),IF($E$2&lt;&gt;"Não se aplica",SUMIF(TUSD!$E$57:'TUSD'!$E$103,$I$2,TUSD!$AN$57:'TUSD'!$AN$103),IF($D$2&lt;&gt;"Não se aplica",SUMIF(TUSD!$D$57:'TUSD'!$D$103,$I$2,TUSD!$AN$57:'TUSD'!$AN$103),IF($C$2&lt;&gt;"Não se aplica",SUMIF(TUSD!$C$57:'TUSD'!$C$103,$I$2,TUSD!$AN$57:'TUSD'!$AN$103),IF($B$2&lt;&gt;"Não se aplica",SUMIF(TUSD!$B$57:'TUSD'!$B$103,$I$2,TUSD!$AN$57:'TUSD'!$AN$103),SUMIF(TUSD!$A$57:'TUSD'!$A$103,$I$2,TUSD!$AN$57:'TUSD'!$AN$103)))))))</f>
        <v>0</v>
      </c>
      <c r="H8" s="18">
        <f>IF($G$2&lt;&gt;"Não se aplica",SUMIF(TUSD!$G$57:'TUSD'!$G$103,$I$2,TUSD!$AO$57:'TUSD'!$AO$103),IF($F$2&lt;&gt;"Não se aplica",SUMIF(TUSD!$F$57:'TUSD'!$F$103,$I$2,TUSD!$AO$57:'TUSD'!$AO$103),IF($E$2&lt;&gt;"Não se aplica",SUMIF(TUSD!$E$57:'TUSD'!$E$103,$I$2,TUSD!$AO$57:'TUSD'!$AO$103),IF($D$2&lt;&gt;"Não se aplica",SUMIF(TUSD!$D$57:'TUSD'!$D$103,$I$2,TUSD!$AO$57:'TUSD'!$AO$103),IF($C$2&lt;&gt;"Não se aplica",SUMIF(TUSD!$C$57:'TUSD'!$C$103,$I$2,TUSD!$AO$57:'TUSD'!$AO$103),IF($B$2&lt;&gt;"Não se aplica",SUMIF(TUSD!$B$57:'TUSD'!$B$103,$I$2,TUSD!$AO$57:'TUSD'!$AO$103),SUMIF(TUSD!$A$57:'TUSD'!$A$103,$I$2,TUSD!$AO$57:'TUSD'!$AO$103)))))))</f>
        <v>0</v>
      </c>
      <c r="I8" s="18">
        <f>IF($G$2&lt;&gt;"Não se aplica",SUMIF(TUSD!$G$57:'TUSD'!$G$103,$I$2,TUSD!$AP$57:'TUSD'!$AP$103),IF($F$2&lt;&gt;"Não se aplica",SUMIF(TUSD!$F$57:'TUSD'!$F$103,$I$2,TUSD!$AP$57:'TUSD'!$AP$103),IF($E$2&lt;&gt;"Não se aplica",SUMIF(TUSD!$E$57:'TUSD'!$E$103,$I$2,TUSD!$AP$57:'TUSD'!$AP$103),IF($D$2&lt;&gt;"Não se aplica",SUMIF(TUSD!$D$57:'TUSD'!$D$103,$I$2,TUSD!$AP$57:'TUSD'!$AP$103),IF($C$2&lt;&gt;"Não se aplica",SUMIF(TUSD!$C$57:'TUSD'!$C$103,$I$2,TUSD!$AP$57:'TUSD'!$AP$103),IF($B$2&lt;&gt;"Não se aplica",SUMIF(TUSD!$B$57:'TUSD'!$B$103,$I$2,TUSD!$AP$57:'TUSD'!$AP$103),SUMIF(TUSD!$A$57:'TUSD'!$A$103,$I$2,TUSD!$AP$57:'TUSD'!$AP$103)))))))</f>
        <v>0</v>
      </c>
      <c r="J8" s="18">
        <f>IF($G$2&lt;&gt;"Não se aplica",SUMIF(TUSD!$G$57:'TUSD'!$G$103,$I$2,TUSD!$AQ$57:'TUSD'!$AQ$103),IF($F$2&lt;&gt;"Não se aplica",SUMIF(TUSD!$F$57:'TUSD'!$F$103,$I$2,TUSD!$AQ$57:'TUSD'!$AQ$103),IF($E$2&lt;&gt;"Não se aplica",SUMIF(TUSD!$E$57:'TUSD'!$E$103,$I$2,TUSD!$AQ$57:'TUSD'!$AQ$103),IF($D$2&lt;&gt;"Não se aplica",SUMIF(TUSD!$D$57:'TUSD'!$D$103,$I$2,TUSD!$AQ$57:'TUSD'!$AQ$103),IF($C$2&lt;&gt;"Não se aplica",SUMIF(TUSD!$C$57:'TUSD'!$C$103,$I$2,TUSD!$AQ$57:'TUSD'!$AQ$103),IF($B$2&lt;&gt;"Não se aplica",SUMIF(TUSD!$B$57:'TUSD'!$B$103,$I$2,TUSD!$AQ$57:'TUSD'!$AQ$103),SUMIF(TUSD!$A$57:'TUSD'!$A$103,$I$2,TUSD!$AQ$57:'TUSD'!$AQ$103)))))))</f>
        <v>0</v>
      </c>
      <c r="K8" s="18">
        <f>IF($G$2&lt;&gt;"Não se aplica",SUMIF(TUSD!$G$57:'TUSD'!$G$103,$I$2,TUSD!$AR$57:'TUSD'!$AR$103),IF($F$2&lt;&gt;"Não se aplica",SUMIF(TUSD!$F$57:'TUSD'!$F$103,$I$2,TUSD!$AR$57:'TUSD'!$AR$103),IF($E$2&lt;&gt;"Não se aplica",SUMIF(TUSD!$E$57:'TUSD'!$E$103,$I$2,TUSD!$AR$57:'TUSD'!$AR$103),IF($D$2&lt;&gt;"Não se aplica",SUMIF(TUSD!$D$57:'TUSD'!$D$103,$I$2,TUSD!$AR$57:'TUSD'!$AR$103),IF($C$2&lt;&gt;"Não se aplica",SUMIF(TUSD!$C$57:'TUSD'!$C$103,$I$2,TUSD!$AR$57:'TUSD'!$AR$103),IF($B$2&lt;&gt;"Não se aplica",SUMIF(TUSD!$B$57:'TUSD'!$B$103,$I$2,TUSD!$AR$57:'TUSD'!$AR$103),SUMIF(TUSD!$A$57:'TUSD'!$A$103,$I$2,TUSD!$AR$57:'TUSD'!$AR$103)))))))</f>
        <v>0</v>
      </c>
      <c r="L8" s="18">
        <f>IF($G$2&lt;&gt;"Não se aplica",SUMIF(TUSD!$G$57:'TUSD'!$G$103,$I$2,TUSD!$AS$57:'TUSD'!$AS$103),IF($F$2&lt;&gt;"Não se aplica",SUMIF(TUSD!$F$57:'TUSD'!$F$103,$I$2,TUSD!$AS$57:'TUSD'!$AS$103),IF($E$2&lt;&gt;"Não se aplica",SUMIF(TUSD!$E$57:'TUSD'!$E$103,$I$2,TUSD!$AS$57:'TUSD'!$AS$103),IF($D$2&lt;&gt;"Não se aplica",SUMIF(TUSD!$D$57:'TUSD'!$D$103,$I$2,TUSD!$AS$57:'TUSD'!$AS$103),IF($C$2&lt;&gt;"Não se aplica",SUMIF(TUSD!$C$57:'TUSD'!$C$103,$I$2,TUSD!$AS$57:'TUSD'!$AS$103),IF($B$2&lt;&gt;"Não se aplica",SUMIF(TUSD!$B$57:'TUSD'!$B$103,$I$2,TUSD!$AS$57:'TUSD'!$AS$103),SUMIF(TUSD!$A$57:'TUSD'!$A$103,$I$2,TUSD!$AS$57:'TUSD'!$AS$103)))))))</f>
        <v>0</v>
      </c>
      <c r="M8" s="18">
        <f>IF($G$2&lt;&gt;"Não se aplica",SUMIF(TUSD!$G$57:'TUSD'!$G$103,$I$2,TUSD!$AT$57:'TUSD'!$AT$103),IF($F$2&lt;&gt;"Não se aplica",SUMIF(TUSD!$F$57:'TUSD'!$F$103,$I$2,TUSD!$AT$57:'TUSD'!$AT$103),IF($E$2&lt;&gt;"Não se aplica",SUMIF(TUSD!$E$57:'TUSD'!$E$103,$I$2,TUSD!$AT$57:'TUSD'!$AT$103),IF($D$2&lt;&gt;"Não se aplica",SUMIF(TUSD!$D$57:'TUSD'!$D$103,$I$2,TUSD!$AT$57:'TUSD'!$AT$103),IF($C$2&lt;&gt;"Não se aplica",SUMIF(TUSD!$C$57:'TUSD'!$C$103,$I$2,TUSD!$AT$57:'TUSD'!$AT$103),IF($B$2&lt;&gt;"Não se aplica",SUMIF(TUSD!$B$57:'TUSD'!$B$103,$I$2,TUSD!$AT$57:'TUSD'!$AT$103),SUMIF(TUSD!$A$57:'TUSD'!$A$103,$I$2,TUSD!$AT$57:'TUSD'!$AT$103)))))))</f>
        <v>0</v>
      </c>
      <c r="N8" s="18">
        <f>IF($G$2&lt;&gt;"Não se aplica",SUMIF(TUSD!$G$57:'TUSD'!$G$103,$I$2,TUSD!$AU$57:'TUSD'!$AU$103),IF($F$2&lt;&gt;"Não se aplica",SUMIF(TUSD!$F$57:'TUSD'!$F$103,$I$2,TUSD!$AU$57:'TUSD'!$AU$103),IF($E$2&lt;&gt;"Não se aplica",SUMIF(TUSD!$E$57:'TUSD'!$E$103,$I$2,TUSD!$AU$57:'TUSD'!$AU$103),IF($D$2&lt;&gt;"Não se aplica",SUMIF(TUSD!$D$57:'TUSD'!$D$103,$I$2,TUSD!$AU$57:'TUSD'!$AU$103),IF($C$2&lt;&gt;"Não se aplica",SUMIF(TUSD!$C$57:'TUSD'!$C$103,$I$2,TUSD!$AU$57:'TUSD'!$AU$103),IF($B$2&lt;&gt;"Não se aplica",SUMIF(TUSD!$B$57:'TUSD'!$B$103,$I$2,TUSD!$AU$57:'TUSD'!$AU$103),SUMIF(TUSD!$A$57:'TUSD'!$A$103,$I$2,TUSD!$AU$57:'TUSD'!$AU$103)))))))</f>
        <v>0</v>
      </c>
      <c r="O8" s="18">
        <f>IF($G$2&lt;&gt;"Não se aplica",SUMIF(TUSD!$G$57:'TUSD'!$G$103,$I$2,TUSD!$AV$57:'TUSD'!$AV$103),IF($F$2&lt;&gt;"Não se aplica",SUMIF(TUSD!$F$57:'TUSD'!$F$103,$I$2,TUSD!$AV$57:'TUSD'!$AV$103),IF($E$2&lt;&gt;"Não se aplica",SUMIF(TUSD!$E$57:'TUSD'!$E$103,$I$2,TUSD!$AV$57:'TUSD'!$AV$103),IF($D$2&lt;&gt;"Não se aplica",SUMIF(TUSD!$D$57:'TUSD'!$D$103,$I$2,TUSD!$AV$57:'TUSD'!$AV$103),IF($C$2&lt;&gt;"Não se aplica",SUMIF(TUSD!$C$57:'TUSD'!$C$103,$I$2,TUSD!$AV$57:'TUSD'!$AV$103),IF($B$2&lt;&gt;"Não se aplica",SUMIF(TUSD!$B$57:'TUSD'!$B$103,$I$2,TUSD!$AV$57:'TUSD'!$AV$103),SUMIF(TUSD!$A$57:'TUSD'!$A$103,$I$2,TUSD!$AV$57:'TUSD'!$AV$103)))))))</f>
        <v>0</v>
      </c>
      <c r="P8" s="18">
        <f>IF($G$2&lt;&gt;"Não se aplica",SUMIF(TUSD!$G$57:'TUSD'!$G$103,$I$2,TUSD!$AW$57:'TUSD'!$AW$103),IF($F$2&lt;&gt;"Não se aplica",SUMIF(TUSD!$F$57:'TUSD'!$F$103,$I$2,TUSD!$AW$57:'TUSD'!$AW$103),IF($E$2&lt;&gt;"Não se aplica",SUMIF(TUSD!$E$57:'TUSD'!$E$103,$I$2,TUSD!$AW$57:'TUSD'!$AW$103),IF($D$2&lt;&gt;"Não se aplica",SUMIF(TUSD!$D$57:'TUSD'!$D$103,$I$2,TUSD!$AW$57:'TUSD'!$AW$103),IF($C$2&lt;&gt;"Não se aplica",SUMIF(TUSD!$C$57:'TUSD'!$C$103,$I$2,TUSD!$AW$57:'TUSD'!$AW$103),IF($B$2&lt;&gt;"Não se aplica",SUMIF(TUSD!$B$57:'TUSD'!$B$103,$I$2,TUSD!$AW$57:'TUSD'!$AW$103),SUMIF(TUSD!$A$57:'TUSD'!$A$103,$I$2,TUSD!$AW$57:'TUSD'!$AW$103)))))))</f>
        <v>0</v>
      </c>
      <c r="Q8" s="18">
        <f>IF($G$2&lt;&gt;"Não se aplica",SUMIF(TUSD!$G$57:'TUSD'!$G$103,$I$2,TUSD!$AX$57:'TUSD'!$AX$103),IF($F$2&lt;&gt;"Não se aplica",SUMIF(TUSD!$F$57:'TUSD'!$F$103,$I$2,TUSD!$AX$57:'TUSD'!$AX$103),IF($E$2&lt;&gt;"Não se aplica",SUMIF(TUSD!$E$57:'TUSD'!$E$103,$I$2,TUSD!$AX$57:'TUSD'!$AX$103),IF($D$2&lt;&gt;"Não se aplica",SUMIF(TUSD!$D$57:'TUSD'!$D$103,$I$2,TUSD!$AX$57:'TUSD'!$AX$103),IF($C$2&lt;&gt;"Não se aplica",SUMIF(TUSD!$C$57:'TUSD'!$C$103,$I$2,TUSD!$AX$57:'TUSD'!$AX$103),IF($B$2&lt;&gt;"Não se aplica",SUMIF(TUSD!$B$57:'TUSD'!$B$103,$I$2,TUSD!$AX$57:'TUSD'!$AX$103),SUMIF(TUSD!$A$57:'TUSD'!$A$103,$I$2,TUSD!$AX$57:'TUSD'!$AX$103)))))))</f>
        <v>1.5672687351094831E-7</v>
      </c>
      <c r="R8" s="18">
        <f>IF($G$2&lt;&gt;"Não se aplica",SUMIF(TUSD!$G$57:'TUSD'!$G$103,$I$2,TUSD!$AY$57:'TUSD'!$AY$103),IF($F$2&lt;&gt;"Não se aplica",SUMIF(TUSD!$F$57:'TUSD'!$F$103,$I$2,TUSD!$AY$57:'TUSD'!$AY$103),IF($E$2&lt;&gt;"Não se aplica",SUMIF(TUSD!$E$57:'TUSD'!$E$103,$I$2,TUSD!$AY$57:'TUSD'!$AY$103),IF($D$2&lt;&gt;"Não se aplica",SUMIF(TUSD!$D$57:'TUSD'!$D$103,$I$2,TUSD!$AY$57:'TUSD'!$AY$103),IF($C$2&lt;&gt;"Não se aplica",SUMIF(TUSD!$C$57:'TUSD'!$C$103,$I$2,TUSD!$AY$57:'TUSD'!$AY$103),IF($B$2&lt;&gt;"Não se aplica",SUMIF(TUSD!$B$57:'TUSD'!$B$103,$I$2,TUSD!$AY$57:'TUSD'!$AY$103),SUMIF(TUSD!$A$57:'TUSD'!$A$103,$I$2,TUSD!$AY$57:'TUSD'!$AY$103)))))))</f>
        <v>-8.5573045919483592E-9</v>
      </c>
      <c r="S8" s="18">
        <f>IF($G$2&lt;&gt;"Não se aplica",SUMIF(TUSD!$G$57:'TUSD'!$G$103,$I$2,TUSD!$AZ$57:'TUSD'!$AZ$103),IF($F$2&lt;&gt;"Não se aplica",SUMIF(TUSD!$F$57:'TUSD'!$F$103,$I$2,TUSD!$AZ$57:'TUSD'!$AZ$103),IF($E$2&lt;&gt;"Não se aplica",SUMIF(TUSD!$E$57:'TUSD'!$E$103,$I$2,TUSD!$AZ$57:'TUSD'!$AZ$103),IF($D$2&lt;&gt;"Não se aplica",SUMIF(TUSD!$D$57:'TUSD'!$D$103,$I$2,TUSD!$AZ$57:'TUSD'!$AZ$103),IF($C$2&lt;&gt;"Não se aplica",SUMIF(TUSD!$C$57:'TUSD'!$C$103,$I$2,TUSD!$AZ$57:'TUSD'!$AZ$103),IF($B$2&lt;&gt;"Não se aplica",SUMIF(TUSD!$B$57:'TUSD'!$B$103,$I$2,TUSD!$AZ$57:'TUSD'!$AZ$103),SUMIF(TUSD!$A$57:'TUSD'!$A$103,$I$2,TUSD!$AZ$57:'TUSD'!$AZ$103)))))))</f>
        <v>0</v>
      </c>
      <c r="T8" s="18">
        <f>IF($G$2&lt;&gt;"Não se aplica",SUMIF(TUSD!$G$57:'TUSD'!$G$103,$I$2,TUSD!$BA$57:'TUSD'!$BA$103),IF($F$2&lt;&gt;"Não se aplica",SUMIF(TUSD!$F$57:'TUSD'!$F$103,$I$2,TUSD!$BA$57:'TUSD'!$BA$103),IF($E$2&lt;&gt;"Não se aplica",SUMIF(TUSD!$E$57:'TUSD'!$E$103,$I$2,TUSD!$BA$57:'TUSD'!$BA$103),IF($D$2&lt;&gt;"Não se aplica",SUMIF(TUSD!$D$57:'TUSD'!$D$103,$I$2,TUSD!$BA$57:'TUSD'!$BA$103),IF($C$2&lt;&gt;"Não se aplica",SUMIF(TUSD!$C$57:'TUSD'!$C$103,$I$2,TUSD!$BA$57:'TUSD'!$BA$103),IF($B$2&lt;&gt;"Não se aplica",SUMIF(TUSD!$B$57:'TUSD'!$B$103,$I$2,TUSD!$BA$57:'TUSD'!$BA$103),SUMIF(TUSD!$A$57:'TUSD'!$A$103,$I$2,TUSD!$BA$57:'TUSD'!$BA$103)))))))</f>
        <v>0</v>
      </c>
      <c r="U8" s="18">
        <f>IF($G$2&lt;&gt;"Não se aplica",SUMIF(TUSD!$G$57:'TUSD'!$G$103,$I$2,TUSD!$BB$57:'TUSD'!$BB$103),IF($F$2&lt;&gt;"Não se aplica",SUMIF(TUSD!$F$57:'TUSD'!$F$103,$I$2,TUSD!$BB$57:'TUSD'!$BB$103),IF($E$2&lt;&gt;"Não se aplica",SUMIF(TUSD!$E$57:'TUSD'!$E$103,$I$2,TUSD!$BB$57:'TUSD'!$BB$103),IF($D$2&lt;&gt;"Não se aplica",SUMIF(TUSD!$D$57:'TUSD'!$D$103,$I$2,TUSD!$BB$57:'TUSD'!$BB$103),IF($C$2&lt;&gt;"Não se aplica",SUMIF(TUSD!$C$57:'TUSD'!$C$103,$I$2,TUSD!$BB$57:'TUSD'!$BB$103),IF($B$2&lt;&gt;"Não se aplica",SUMIF(TUSD!$B$57:'TUSD'!$B$103,$I$2,TUSD!$BB$57:'TUSD'!$BB$103),SUMIF(TUSD!$A$57:'TUSD'!$A$103,$I$2,TUSD!$BB$57:'TUSD'!$BB$103)))))))</f>
        <v>0</v>
      </c>
      <c r="V8" s="18">
        <f>IF($G$2&lt;&gt;"Não se aplica",SUMIF(TUSD!$G$57:'TUSD'!$G$103,$I$2,TUSD!$BC$57:'TUSD'!$BC$103),IF($F$2&lt;&gt;"Não se aplica",SUMIF(TUSD!$F$57:'TUSD'!$F$103,$I$2,TUSD!$BC$57:'TUSD'!$BC$103),IF($E$2&lt;&gt;"Não se aplica",SUMIF(TUSD!$E$57:'TUSD'!$E$103,$I$2,TUSD!$BC$57:'TUSD'!$BC$103),IF($D$2&lt;&gt;"Não se aplica",SUMIF(TUSD!$D$57:'TUSD'!$D$103,$I$2,TUSD!$BC$57:'TUSD'!$BC$103),IF($C$2&lt;&gt;"Não se aplica",SUMIF(TUSD!$C$57:'TUSD'!$C$103,$I$2,TUSD!$BC$57:'TUSD'!$BC$103),IF($B$2&lt;&gt;"Não se aplica",SUMIF(TUSD!$B$57:'TUSD'!$B$103,$I$2,TUSD!$BC$57:'TUSD'!$BC$103),SUMIF(TUSD!$A$57:'TUSD'!$A$103,$I$2,TUSD!$BC$57:'TUSD'!$BC$103)))))))</f>
        <v>0</v>
      </c>
      <c r="W8" s="18">
        <f>IF($G$2&lt;&gt;"Não se aplica",SUMIF(TUSD!$G$57:'TUSD'!$G$103,$I$2,TUSD!$BD$57:'TUSD'!$BD$103),IF($F$2&lt;&gt;"Não se aplica",SUMIF(TUSD!$F$57:'TUSD'!$F$103,$I$2,TUSD!$BD$57:'TUSD'!$BD$103),IF($E$2&lt;&gt;"Não se aplica",SUMIF(TUSD!$E$57:'TUSD'!$E$103,$I$2,TUSD!$BD$57:'TUSD'!$BD$103),IF($D$2&lt;&gt;"Não se aplica",SUMIF(TUSD!$D$57:'TUSD'!$D$103,$I$2,TUSD!$BD$57:'TUSD'!$BD$103),IF($C$2&lt;&gt;"Não se aplica",SUMIF(TUSD!$C$57:'TUSD'!$C$103,$I$2,TUSD!$BD$57:'TUSD'!$BD$103),IF($B$2&lt;&gt;"Não se aplica",SUMIF(TUSD!$B$57:'TUSD'!$B$103,$I$2,TUSD!$BD$57:'TUSD'!$BD$103),SUMIF(TUSD!$A$57:'TUSD'!$A$103,$I$2,TUSD!$BD$57:'TUSD'!$BD$103)))))))</f>
        <v>0</v>
      </c>
      <c r="X8" s="18">
        <f t="shared" si="0"/>
        <v>1.5063184787536392E-7</v>
      </c>
      <c r="AD8" s="14" t="s">
        <v>87</v>
      </c>
      <c r="AG8" s="14" t="s">
        <v>83</v>
      </c>
    </row>
    <row r="9" spans="1:33" x14ac:dyDescent="0.2">
      <c r="A9" s="14" t="s">
        <v>1025</v>
      </c>
      <c r="B9" s="18">
        <f>IF($G$2&lt;&gt;"Não se aplica",SUMIF(TUSD!$G$57:'TUSD'!$G$103,$I$2,TUSD!$L$57:'TUSD'!$L$103),IF($F$2&lt;&gt;"Não se aplica",SUMIF(TUSD!$F$57:'TUSD'!$F$103,$I$2,TUSD!$L$57:'TUSD'!$L$103),IF($E$2&lt;&gt;"Não se aplica",SUMIF(TUSD!$E$57:'TUSD'!$E$103,$I$2,TUSD!$L$57:'TUSD'!$L$103),IF($D$2&lt;&gt;"Não se aplica",SUMIF(TUSD!$D$57:'TUSD'!$D$103,$I$2,TUSD!$L$57:'TUSD'!$L$103),IF($C$2&lt;&gt;"Não se aplica",SUMIF(TUSD!$C$57:'TUSD'!$C$103,$I$2,TUSD!$L$57:'TUSD'!$L$103),IF($B$2&lt;&gt;"Não se aplica",SUMIF(TUSD!$B$57:'TUSD'!$B$103,$I$2,TUSD!$L$57:'TUSD'!$L$103),SUMIF(TUSD!$A$57:'TUSD'!$A$103,$I$2,TUSD!$L$57:'TUSD'!$L$103)))))))</f>
        <v>0</v>
      </c>
      <c r="C9" s="18">
        <f>IF($G$2&lt;&gt;"Não se aplica",SUMIF(TUSD!$G$57:'TUSD'!$G$103,$I$2,TUSD!$M$57:'TUSD'!$M$103),IF($F$2&lt;&gt;"Não se aplica",SUMIF(TUSD!$F$57:'TUSD'!$F$103,$I$2,TUSD!$M$57:'TUSD'!$M$103),IF($E$2&lt;&gt;"Não se aplica",SUMIF(TUSD!$E$57:'TUSD'!$E$103,$I$2,TUSD!$M$57:'TUSD'!$M$103),IF($D$2&lt;&gt;"Não se aplica",SUMIF(TUSD!$D$57:'TUSD'!$D$103,$I$2,TUSD!$M$57:'TUSD'!$M$103),IF($C$2&lt;&gt;"Não se aplica",SUMIF(TUSD!$C$57:'TUSD'!$C$103,$I$2,TUSD!$M$57:'TUSD'!$M$103),IF($B$2&lt;&gt;"Não se aplica",SUMIF(TUSD!$B$57:'TUSD'!$B$103,$I$2,TUSD!$M$57:'TUSD'!$M$103),SUMIF(TUSD!$A$57:'TUSD'!$A$103,$I$2,TUSD!$M$57:'TUSD'!$M$103)))))))</f>
        <v>4.0403252053573098E-10</v>
      </c>
      <c r="D9" s="18">
        <f ca="1">IF($G$2&lt;&gt;"Não se aplica",SUMIF(TUSD!$G$57:'TUSD'!$G$103,$I$2,TUSD!$N$57:'TUSD'!$N$103),IF($F$2&lt;&gt;"Não se aplica",SUMIF(TUSD!$F$57:'TUSD'!$F$103,$I$2,TUSD!$N$57:'TUSD'!$N$103),IF($E$2&lt;&gt;"Não se aplica",SUMIF(TUSD!$E$57:'TUSD'!$E$103,$I$2,TUSD!$N$57:'TUSD'!$N$103),IF($D$2&lt;&gt;"Não se aplica",SUMIF(TUSD!$D$57:'TUSD'!$D$103,$I$2,TUSD!$N$57:'TUSD'!$N$103),IF($C$2&lt;&gt;"Não se aplica",SUMIF(TUSD!$C$57:'TUSD'!$C$103,$I$2,TUSD!$N$57:'TUSD'!$N$103),IF($B$2&lt;&gt;"Não se aplica",SUMIF(TUSD!$B$57:'TUSD'!$B$103,$I$2,TUSD!$N$57:'TUSD'!$N$103),SUMIF(TUSD!$A$57:'TUSD'!$A$103,$I$2,TUSD!$N$57:'TUSD'!$N$103)))))))</f>
        <v>1.1257452327968768E-9</v>
      </c>
      <c r="E9" s="18">
        <f>IF($G$2&lt;&gt;"Não se aplica",SUMIF(TUSD!$G$57:'TUSD'!$G$103,$I$2,TUSD!$O$57:'TUSD'!$O$103),IF($F$2&lt;&gt;"Não se aplica",SUMIF(TUSD!$F$57:'TUSD'!$F$103,$I$2,TUSD!$O$57:'TUSD'!$O$103),IF($E$2&lt;&gt;"Não se aplica",SUMIF(TUSD!$E$57:'TUSD'!$E$103,$I$2,TUSD!$O$57:'TUSD'!$O$103),IF($D$2&lt;&gt;"Não se aplica",SUMIF(TUSD!$D$57:'TUSD'!$D$103,$I$2,TUSD!$O$57:'TUSD'!$O$103),IF($C$2&lt;&gt;"Não se aplica",SUMIF(TUSD!$C$57:'TUSD'!$C$103,$I$2,TUSD!$O$57:'TUSD'!$O$103),IF($B$2&lt;&gt;"Não se aplica",SUMIF(TUSD!$B$57:'TUSD'!$B$103,$I$2,TUSD!$O$57:'TUSD'!$O$103),SUMIF(TUSD!$A$57:'TUSD'!$A$103,$I$2,TUSD!$O$57:'TUSD'!$O$103)))))))</f>
        <v>0</v>
      </c>
      <c r="F9" s="18">
        <f>IF($G$2&lt;&gt;"Não se aplica",SUMIF(TUSD!$G$57:'TUSD'!$G$103,$I$2,TUSD!$P$57:'TUSD'!$P$103),IF($F$2&lt;&gt;"Não se aplica",SUMIF(TUSD!$F$57:'TUSD'!$F$103,$I$2,TUSD!$P$57:'TUSD'!$P$103),IF($E$2&lt;&gt;"Não se aplica",SUMIF(TUSD!$E$57:'TUSD'!$E$103,$I$2,TUSD!$P$57:'TUSD'!$P$103),IF($D$2&lt;&gt;"Não se aplica",SUMIF(TUSD!$D$57:'TUSD'!$D$103,$I$2,TUSD!$P$57:'TUSD'!$P$103),IF($C$2&lt;&gt;"Não se aplica",SUMIF(TUSD!$C$57:'TUSD'!$C$103,$I$2,TUSD!$P$57:'TUSD'!$P$103),IF($B$2&lt;&gt;"Não se aplica",SUMIF(TUSD!$B$57:'TUSD'!$B$103,$I$2,TUSD!$P$57:'TUSD'!$P$103),SUMIF(TUSD!$A$57:'TUSD'!$A$103,$I$2,TUSD!$P$57:'TUSD'!$P$103)))))))</f>
        <v>0</v>
      </c>
      <c r="G9" s="18">
        <f>IF($G$2&lt;&gt;"Não se aplica",SUMIF(TUSD!$G$57:'TUSD'!$G$103,$I$2,TUSD!$Q$57:'TUSD'!$Q$103),IF($F$2&lt;&gt;"Não se aplica",SUMIF(TUSD!$F$57:'TUSD'!$F$103,$I$2,TUSD!$Q$57:'TUSD'!$Q$103),IF($E$2&lt;&gt;"Não se aplica",SUMIF(TUSD!$E$57:'TUSD'!$E$103,$I$2,TUSD!$Q$57:'TUSD'!$Q$103),IF($D$2&lt;&gt;"Não se aplica",SUMIF(TUSD!$D$57:'TUSD'!$D$103,$I$2,TUSD!$Q$57:'TUSD'!$Q$103),IF($C$2&lt;&gt;"Não se aplica",SUMIF(TUSD!$C$57:'TUSD'!$C$103,$I$2,TUSD!$Q$57:'TUSD'!$Q$103),IF($B$2&lt;&gt;"Não se aplica",SUMIF(TUSD!$B$57:'TUSD'!$B$103,$I$2,TUSD!$Q$57:'TUSD'!$Q$103),SUMIF(TUSD!$A$57:'TUSD'!$A$103,$I$2,TUSD!$Q$57:'TUSD'!$Q$103)))))))</f>
        <v>0</v>
      </c>
      <c r="H9" s="18">
        <f>IF($G$2&lt;&gt;"Não se aplica",SUMIF(TUSD!$G$57:'TUSD'!$G$103,$I$2,TUSD!$R$57:'TUSD'!$R$103),IF($F$2&lt;&gt;"Não se aplica",SUMIF(TUSD!$F$57:'TUSD'!$F$103,$I$2,TUSD!$R$57:'TUSD'!$R$103),IF($E$2&lt;&gt;"Não se aplica",SUMIF(TUSD!$E$57:'TUSD'!$E$103,$I$2,TUSD!$R$57:'TUSD'!$R$103),IF($D$2&lt;&gt;"Não se aplica",SUMIF(TUSD!$D$57:'TUSD'!$D$103,$I$2,TUSD!$R$57:'TUSD'!$R$103),IF($C$2&lt;&gt;"Não se aplica",SUMIF(TUSD!$C$57:'TUSD'!$C$103,$I$2,TUSD!$R$57:'TUSD'!$R$103),IF($B$2&lt;&gt;"Não se aplica",SUMIF(TUSD!$B$57:'TUSD'!$B$103,$I$2,TUSD!$R$57:'TUSD'!$R$103),SUMIF(TUSD!$A$57:'TUSD'!$A$103,$I$2,TUSD!$R$57:'TUSD'!$R$103)))))))</f>
        <v>0</v>
      </c>
      <c r="I9" s="18">
        <f>IF($G$2&lt;&gt;"Não se aplica",SUMIF(TUSD!$G$57:'TUSD'!$G$103,$I$2,TUSD!$S$57:'TUSD'!$S$103),IF($F$2&lt;&gt;"Não se aplica",SUMIF(TUSD!$F$57:'TUSD'!$F$103,$I$2,TUSD!$S$57:'TUSD'!$S$103),IF($E$2&lt;&gt;"Não se aplica",SUMIF(TUSD!$E$57:'TUSD'!$E$103,$I$2,TUSD!$S$57:'TUSD'!$S$103),IF($D$2&lt;&gt;"Não se aplica",SUMIF(TUSD!$D$57:'TUSD'!$D$103,$I$2,TUSD!$S$57:'TUSD'!$S$103),IF($C$2&lt;&gt;"Não se aplica",SUMIF(TUSD!$C$57:'TUSD'!$C$103,$I$2,TUSD!$S$57:'TUSD'!$S$103),IF($B$2&lt;&gt;"Não se aplica",SUMIF(TUSD!$B$57:'TUSD'!$B$103,$I$2,TUSD!$S$57:'TUSD'!$S$103),SUMIF(TUSD!$A$57:'TUSD'!$A$103,$I$2,TUSD!$S$57:'TUSD'!$S$103)))))))</f>
        <v>0</v>
      </c>
      <c r="J9" s="18">
        <f>IF($G$2&lt;&gt;"Não se aplica",SUMIF(TUSD!$G$57:'TUSD'!$G$103,$I$2,TUSD!$T$57:'TUSD'!$T$103),IF($F$2&lt;&gt;"Não se aplica",SUMIF(TUSD!$F$57:'TUSD'!$F$103,$I$2,TUSD!$T$57:'TUSD'!$T$103),IF($E$2&lt;&gt;"Não se aplica",SUMIF(TUSD!$E$57:'TUSD'!$E$103,$I$2,TUSD!$T$57:'TUSD'!$T$103),IF($D$2&lt;&gt;"Não se aplica",SUMIF(TUSD!$D$57:'TUSD'!$D$103,$I$2,TUSD!$T$57:'TUSD'!$T$103),IF($C$2&lt;&gt;"Não se aplica",SUMIF(TUSD!$C$57:'TUSD'!$C$103,$I$2,TUSD!$T$57:'TUSD'!$T$103),IF($B$2&lt;&gt;"Não se aplica",SUMIF(TUSD!$B$57:'TUSD'!$B$103,$I$2,TUSD!$T$57:'TUSD'!$T$103),SUMIF(TUSD!$A$57:'TUSD'!$A$103,$I$2,TUSD!$T$57:'TUSD'!$T$103)))))))</f>
        <v>0</v>
      </c>
      <c r="K9" s="18">
        <f>IF($G$2&lt;&gt;"Não se aplica",SUMIF(TUSD!$G$57:'TUSD'!$G$103,$I$2,TUSD!$U$57:'TUSD'!$U$103),IF($F$2&lt;&gt;"Não se aplica",SUMIF(TUSD!$F$57:'TUSD'!$F$103,$I$2,TUSD!$U$57:'TUSD'!$U$103),IF($E$2&lt;&gt;"Não se aplica",SUMIF(TUSD!$E$57:'TUSD'!$E$103,$I$2,TUSD!$U$57:'TUSD'!$U$103),IF($D$2&lt;&gt;"Não se aplica",SUMIF(TUSD!$D$57:'TUSD'!$D$103,$I$2,TUSD!$U$57:'TUSD'!$U$103),IF($C$2&lt;&gt;"Não se aplica",SUMIF(TUSD!$C$57:'TUSD'!$C$103,$I$2,TUSD!$U$57:'TUSD'!$U$103),IF($B$2&lt;&gt;"Não se aplica",SUMIF(TUSD!$B$57:'TUSD'!$B$103,$I$2,TUSD!$U$57:'TUSD'!$U$103),SUMIF(TUSD!$A$57:'TUSD'!$A$103,$I$2,TUSD!$U$57:'TUSD'!$U$103)))))))</f>
        <v>0</v>
      </c>
      <c r="L9" s="18">
        <f>IF($G$2&lt;&gt;"Não se aplica",SUMIF(TUSD!$G$57:'TUSD'!$G$103,$I$2,TUSD!$V$57:'TUSD'!$V$103),IF($F$2&lt;&gt;"Não se aplica",SUMIF(TUSD!$F$57:'TUSD'!$F$103,$I$2,TUSD!$V$57:'TUSD'!$V$103),IF($E$2&lt;&gt;"Não se aplica",SUMIF(TUSD!$E$57:'TUSD'!$E$103,$I$2,TUSD!$V$57:'TUSD'!$V$103),IF($D$2&lt;&gt;"Não se aplica",SUMIF(TUSD!$D$57:'TUSD'!$D$103,$I$2,TUSD!$V$57:'TUSD'!$V$103),IF($C$2&lt;&gt;"Não se aplica",SUMIF(TUSD!$C$57:'TUSD'!$C$103,$I$2,TUSD!$V$57:'TUSD'!$V$103),IF($B$2&lt;&gt;"Não se aplica",SUMIF(TUSD!$B$57:'TUSD'!$B$103,$I$2,TUSD!$V$57:'TUSD'!$V$103),SUMIF(TUSD!$A$57:'TUSD'!$A$103,$I$2,TUSD!$V$57:'TUSD'!$V$103)))))))</f>
        <v>0</v>
      </c>
      <c r="M9" s="18">
        <f>IF($G$2&lt;&gt;"Não se aplica",SUMIF(TUSD!$G$57:'TUSD'!$G$103,$I$2,TUSD!$W$57:'TUSD'!$W$103),IF($F$2&lt;&gt;"Não se aplica",SUMIF(TUSD!$F$57:'TUSD'!$F$103,$I$2,TUSD!$W$57:'TUSD'!$W$103),IF($E$2&lt;&gt;"Não se aplica",SUMIF(TUSD!$E$57:'TUSD'!$E$103,$I$2,TUSD!$W$57:'TUSD'!$W$103),IF($D$2&lt;&gt;"Não se aplica",SUMIF(TUSD!$D$57:'TUSD'!$D$103,$I$2,TUSD!$W$57:'TUSD'!$W$103),IF($C$2&lt;&gt;"Não se aplica",SUMIF(TUSD!$C$57:'TUSD'!$C$103,$I$2,TUSD!$W$57:'TUSD'!$W$103),IF($B$2&lt;&gt;"Não se aplica",SUMIF(TUSD!$B$57:'TUSD'!$B$103,$I$2,TUSD!$W$57:'TUSD'!$W$103),SUMIF(TUSD!$A$57:'TUSD'!$A$103,$I$2,TUSD!$W$57:'TUSD'!$W$103)))))))</f>
        <v>0</v>
      </c>
      <c r="N9" s="18">
        <f>IF($G$2&lt;&gt;"Não se aplica",SUMIF(TUSD!$G$57:'TUSD'!$G$103,$I$2,TUSD!$X$57:'TUSD'!$X$103),IF($F$2&lt;&gt;"Não se aplica",SUMIF(TUSD!$F$57:'TUSD'!$F$103,$I$2,TUSD!$X$57:'TUSD'!$X$103),IF($E$2&lt;&gt;"Não se aplica",SUMIF(TUSD!$E$57:'TUSD'!$E$103,$I$2,TUSD!$X$57:'TUSD'!$X$103),IF($D$2&lt;&gt;"Não se aplica",SUMIF(TUSD!$D$57:'TUSD'!$D$103,$I$2,TUSD!$X$57:'TUSD'!$X$103),IF($C$2&lt;&gt;"Não se aplica",SUMIF(TUSD!$C$57:'TUSD'!$C$103,$I$2,TUSD!$X$57:'TUSD'!$X$103),IF($B$2&lt;&gt;"Não se aplica",SUMIF(TUSD!$B$57:'TUSD'!$B$103,$I$2,TUSD!$X$57:'TUSD'!$X$103),SUMIF(TUSD!$A$57:'TUSD'!$A$103,$I$2,TUSD!$X$57:'TUSD'!$X$103)))))))</f>
        <v>0</v>
      </c>
      <c r="O9" s="18">
        <f>IF($G$2&lt;&gt;"Não se aplica",SUMIF(TUSD!$G$57:'TUSD'!$G$103,$I$2,TUSD!$Y$57:'TUSD'!$Y$103),IF($F$2&lt;&gt;"Não se aplica",SUMIF(TUSD!$F$57:'TUSD'!$F$103,$I$2,TUSD!$Y$57:'TUSD'!$Y$103),IF($E$2&lt;&gt;"Não se aplica",SUMIF(TUSD!$E$57:'TUSD'!$E$103,$I$2,TUSD!$Y$57:'TUSD'!$Y$103),IF($D$2&lt;&gt;"Não se aplica",SUMIF(TUSD!$D$57:'TUSD'!$D$103,$I$2,TUSD!$Y$57:'TUSD'!$Y$103),IF($C$2&lt;&gt;"Não se aplica",SUMIF(TUSD!$C$57:'TUSD'!$C$103,$I$2,TUSD!$Y$57:'TUSD'!$Y$103),IF($B$2&lt;&gt;"Não se aplica",SUMIF(TUSD!$B$57:'TUSD'!$B$103,$I$2,TUSD!$Y$57:'TUSD'!$Y$103),SUMIF(TUSD!$A$57:'TUSD'!$A$103,$I$2,TUSD!$Y$57:'TUSD'!$Y$103)))))))</f>
        <v>0</v>
      </c>
      <c r="P9" s="18">
        <f>IF($G$2&lt;&gt;"Não se aplica",SUMIF(TUSD!$G$57:'TUSD'!$G$103,$I$2,TUSD!$Z$57:'TUSD'!$Z$103),IF($F$2&lt;&gt;"Não se aplica",SUMIF(TUSD!$F$57:'TUSD'!$F$103,$I$2,TUSD!$Z$57:'TUSD'!$Z$103),IF($E$2&lt;&gt;"Não se aplica",SUMIF(TUSD!$E$57:'TUSD'!$E$103,$I$2,TUSD!$Z$57:'TUSD'!$Z$103),IF($D$2&lt;&gt;"Não se aplica",SUMIF(TUSD!$D$57:'TUSD'!$D$103,$I$2,TUSD!$Z$57:'TUSD'!$Z$103),IF($C$2&lt;&gt;"Não se aplica",SUMIF(TUSD!$C$57:'TUSD'!$C$103,$I$2,TUSD!$Z$57:'TUSD'!$Z$103),IF($B$2&lt;&gt;"Não se aplica",SUMIF(TUSD!$B$57:'TUSD'!$B$103,$I$2,TUSD!$Z$57:'TUSD'!$Z$103),SUMIF(TUSD!$A$57:'TUSD'!$A$103,$I$2,TUSD!$Z$57:'TUSD'!$Z$103)))))))</f>
        <v>0</v>
      </c>
      <c r="Q9" s="18">
        <f>IF($G$2&lt;&gt;"Não se aplica",SUMIF(TUSD!$G$57:'TUSD'!$G$103,$I$2,TUSD!$AA$57:'TUSD'!$AA$103),IF($F$2&lt;&gt;"Não se aplica",SUMIF(TUSD!$F$57:'TUSD'!$F$103,$I$2,TUSD!$AA$57:'TUSD'!$AA$103),IF($E$2&lt;&gt;"Não se aplica",SUMIF(TUSD!$E$57:'TUSD'!$E$103,$I$2,TUSD!$AA$57:'TUSD'!$AA$103),IF($D$2&lt;&gt;"Não se aplica",SUMIF(TUSD!$D$57:'TUSD'!$D$103,$I$2,TUSD!$AA$57:'TUSD'!$AA$103),IF($C$2&lt;&gt;"Não se aplica",SUMIF(TUSD!$C$57:'TUSD'!$C$103,$I$2,TUSD!$AA$57:'TUSD'!$AA$103),IF($B$2&lt;&gt;"Não se aplica",SUMIF(TUSD!$B$57:'TUSD'!$B$103,$I$2,TUSD!$AA$57:'TUSD'!$AA$103),SUMIF(TUSD!$A$57:'TUSD'!$A$103,$I$2,TUSD!$AA$57:'TUSD'!$AA$103)))))))</f>
        <v>1.3833730781129626E-7</v>
      </c>
      <c r="R9" s="18">
        <f ca="1">IF($G$2&lt;&gt;"Não se aplica",SUMIF(TUSD!$G$57:'TUSD'!$G$103,$I$2,TUSD!$AB$57:'TUSD'!$AB$103),IF($F$2&lt;&gt;"Não se aplica",SUMIF(TUSD!$F$57:'TUSD'!$F$103,$I$2,TUSD!$AB$57:'TUSD'!$AB$103),IF($E$2&lt;&gt;"Não se aplica",SUMIF(TUSD!$E$57:'TUSD'!$E$103,$I$2,TUSD!$AB$57:'TUSD'!$AB$103),IF($D$2&lt;&gt;"Não se aplica",SUMIF(TUSD!$D$57:'TUSD'!$D$103,$I$2,TUSD!$AB$57:'TUSD'!$AB$103),IF($C$2&lt;&gt;"Não se aplica",SUMIF(TUSD!$C$57:'TUSD'!$C$103,$I$2,TUSD!$AB$57:'TUSD'!$AB$103),IF($B$2&lt;&gt;"Não se aplica",SUMIF(TUSD!$B$57:'TUSD'!$B$103,$I$2,TUSD!$AB$57:'TUSD'!$AB$103),SUMIF(TUSD!$A$57:'TUSD'!$A$103,$I$2,TUSD!$AB$57:'TUSD'!$AB$103)))))))</f>
        <v>-1.5000870394815597E-8</v>
      </c>
      <c r="S9" s="18">
        <f ca="1">IF($G$2&lt;&gt;"Não se aplica",SUMIF(TUSD!$G$57:'TUSD'!$G$103,$I$2,TUSD!$AC$57:'TUSD'!$AC$103),IF($F$2&lt;&gt;"Não se aplica",SUMIF(TUSD!$F$57:'TUSD'!$F$103,$I$2,TUSD!$AC$57:'TUSD'!$AC$103),IF($E$2&lt;&gt;"Não se aplica",SUMIF(TUSD!$E$57:'TUSD'!$E$103,$I$2,TUSD!$AC$57:'TUSD'!$AC$103),IF($D$2&lt;&gt;"Não se aplica",SUMIF(TUSD!$D$57:'TUSD'!$D$103,$I$2,TUSD!$AC$57:'TUSD'!$AC$103),IF($C$2&lt;&gt;"Não se aplica",SUMIF(TUSD!$C$57:'TUSD'!$C$103,$I$2,TUSD!$AC$57:'TUSD'!$AC$103),IF($B$2&lt;&gt;"Não se aplica",SUMIF(TUSD!$B$57:'TUSD'!$B$103,$I$2,TUSD!$AC$57:'TUSD'!$AC$103),SUMIF(TUSD!$A$57:'TUSD'!$A$103,$I$2,TUSD!$AC$57:'TUSD'!$AC$103)))))))</f>
        <v>0</v>
      </c>
      <c r="T9" s="18">
        <f>IF($G$2&lt;&gt;"Não se aplica",SUMIF(TUSD!$G$57:'TUSD'!$G$103,$I$2,TUSD!$AD$57:'TUSD'!$AD$103),IF($F$2&lt;&gt;"Não se aplica",SUMIF(TUSD!$F$57:'TUSD'!$F$103,$I$2,TUSD!$AD$57:'TUSD'!$AD$103),IF($E$2&lt;&gt;"Não se aplica",SUMIF(TUSD!$E$57:'TUSD'!$E$103,$I$2,TUSD!$AD$57:'TUSD'!$AD$103),IF($D$2&lt;&gt;"Não se aplica",SUMIF(TUSD!$D$57:'TUSD'!$D$103,$I$2,TUSD!$AD$57:'TUSD'!$AD$103),IF($C$2&lt;&gt;"Não se aplica",SUMIF(TUSD!$C$57:'TUSD'!$C$103,$I$2,TUSD!$AD$57:'TUSD'!$AD$103),IF($B$2&lt;&gt;"Não se aplica",SUMIF(TUSD!$B$57:'TUSD'!$B$103,$I$2,TUSD!$AD$57:'TUSD'!$AD$103),SUMIF(TUSD!$A$57:'TUSD'!$A$103,$I$2,TUSD!$AD$57:'TUSD'!$AD$103)))))))</f>
        <v>0</v>
      </c>
      <c r="U9" s="18">
        <f>IF($G$2&lt;&gt;"Não se aplica",SUMIF(TUSD!$G$57:'TUSD'!$G$103,$I$2,TUSD!$AE$57:'TUSD'!$AE$103),IF($F$2&lt;&gt;"Não se aplica",SUMIF(TUSD!$F$57:'TUSD'!$F$103,$I$2,TUSD!$AE$57:'TUSD'!$AE$103),IF($E$2&lt;&gt;"Não se aplica",SUMIF(TUSD!$E$57:'TUSD'!$E$103,$I$2,TUSD!$AE$57:'TUSD'!$AE$103),IF($D$2&lt;&gt;"Não se aplica",SUMIF(TUSD!$D$57:'TUSD'!$D$103,$I$2,TUSD!$AE$57:'TUSD'!$AE$103),IF($C$2&lt;&gt;"Não se aplica",SUMIF(TUSD!$C$57:'TUSD'!$C$103,$I$2,TUSD!$AE$57:'TUSD'!$AE$103),IF($B$2&lt;&gt;"Não se aplica",SUMIF(TUSD!$B$57:'TUSD'!$B$103,$I$2,TUSD!$AE$57:'TUSD'!$AE$103),SUMIF(TUSD!$A$57:'TUSD'!$A$103,$I$2,TUSD!$AE$57:'TUSD'!$AE$103)))))))</f>
        <v>0</v>
      </c>
      <c r="V9" s="18">
        <f ca="1">IF($G$2&lt;&gt;"Não se aplica",SUMIF(TUSD!$G$57:'TUSD'!$G$103,$I$2,TUSD!$AF$57:'TUSD'!$AF$103),IF($F$2&lt;&gt;"Não se aplica",SUMIF(TUSD!$F$57:'TUSD'!$F$103,$I$2,TUSD!$AF$57:'TUSD'!$AF$103),IF($E$2&lt;&gt;"Não se aplica",SUMIF(TUSD!$E$57:'TUSD'!$E$103,$I$2,TUSD!$AF$57:'TUSD'!$AF$103),IF($D$2&lt;&gt;"Não se aplica",SUMIF(TUSD!$D$57:'TUSD'!$D$103,$I$2,TUSD!$AF$57:'TUSD'!$AF$103),IF($C$2&lt;&gt;"Não se aplica",SUMIF(TUSD!$C$57:'TUSD'!$C$103,$I$2,TUSD!$AF$57:'TUSD'!$AF$103),IF($B$2&lt;&gt;"Não se aplica",SUMIF(TUSD!$B$57:'TUSD'!$B$103,$I$2,TUSD!$AF$57:'TUSD'!$AF$103),SUMIF(TUSD!$A$57:'TUSD'!$A$103,$I$2,TUSD!$AF$57:'TUSD'!$AF$103)))))))</f>
        <v>0</v>
      </c>
      <c r="W9" s="18">
        <f ca="1">IF($G$2&lt;&gt;"Não se aplica",SUMIF(TUSD!$G$57:'TUSD'!$G$103,$I$2,TUSD!$AG$57:'TUSD'!$AG$103),IF($F$2&lt;&gt;"Não se aplica",SUMIF(TUSD!$F$57:'TUSD'!$F$103,$I$2,TUSD!$AG$57:'TUSD'!$AG$103),IF($E$2&lt;&gt;"Não se aplica",SUMIF(TUSD!$E$57:'TUSD'!$E$103,$I$2,TUSD!$AG$57:'TUSD'!$AG$103),IF($D$2&lt;&gt;"Não se aplica",SUMIF(TUSD!$D$57:'TUSD'!$D$103,$I$2,TUSD!$AG$57:'TUSD'!$AG$103),IF($C$2&lt;&gt;"Não se aplica",SUMIF(TUSD!$C$57:'TUSD'!$C$103,$I$2,TUSD!$AG$57:'TUSD'!$AG$103),IF($B$2&lt;&gt;"Não se aplica",SUMIF(TUSD!$B$57:'TUSD'!$B$103,$I$2,TUSD!$AG$57:'TUSD'!$AG$103),SUMIF(TUSD!$A$57:'TUSD'!$A$103,$I$2,TUSD!$AG$57:'TUSD'!$AG$103)))))))</f>
        <v>0</v>
      </c>
      <c r="X9" s="18">
        <f t="shared" ca="1" si="0"/>
        <v>1.2486621516981326E-7</v>
      </c>
      <c r="AD9" s="14" t="s">
        <v>44</v>
      </c>
    </row>
    <row r="10" spans="1:33" x14ac:dyDescent="0.2">
      <c r="A10" s="14" t="s">
        <v>1022</v>
      </c>
      <c r="B10" s="18">
        <f>SUMIF(TUSD!$A$57:'TUSD'!$A$103,$A$2,TUSD!$AI$57:'TUSD'!$AI$103)</f>
        <v>0</v>
      </c>
      <c r="C10" s="18">
        <f>SUMIF(TUSD!$A$57:'TUSD'!$A$103,$A$2,TUSD!$AJ$57:'TUSD'!$AJ$103)</f>
        <v>5.3154815984658598E-10</v>
      </c>
      <c r="D10" s="18">
        <f>SUMIF(TUSD!$A$57:'TUSD'!$A$103,$A$2,TUSD!$AK$57:'TUSD'!$AK$103)</f>
        <v>1.9307307965173681E-9</v>
      </c>
      <c r="E10" s="18">
        <f>SUMIF(TUSD!$A$57:'TUSD'!$A$103,$A$2,TUSD!$AL$57:'TUSD'!$AL$103)</f>
        <v>0</v>
      </c>
      <c r="F10" s="18">
        <f>SUMIF(TUSD!$A$57:'TUSD'!$A$103,$A$2,TUSD!$AM$57:'TUSD'!$AM$103)</f>
        <v>0</v>
      </c>
      <c r="G10" s="18">
        <f>SUMIF(TUSD!$A$57:'TUSD'!$A$103,$A$2,TUSD!$AN$57:'TUSD'!$AN$103)</f>
        <v>0</v>
      </c>
      <c r="H10" s="18">
        <f>SUMIF(TUSD!$A$57:'TUSD'!$A$103,$A$2,TUSD!$AO$57:'TUSD'!$AO$103)</f>
        <v>0</v>
      </c>
      <c r="I10" s="18">
        <f>SUMIF(TUSD!$A$57:'TUSD'!$A$103,$A$2,TUSD!$AP$57:'TUSD'!$AP$103)</f>
        <v>0</v>
      </c>
      <c r="J10" s="18">
        <f>SUMIF(TUSD!$A$57:'TUSD'!$A$103,$A$2,TUSD!$AQ$57:'TUSD'!$AQ$103)</f>
        <v>0</v>
      </c>
      <c r="K10" s="18">
        <f>SUMIF(TUSD!$A$57:'TUSD'!$A$103,$A$2,TUSD!$AR$57:'TUSD'!$AR$103)</f>
        <v>0</v>
      </c>
      <c r="L10" s="18">
        <f>SUMIF(TUSD!$A$57:'TUSD'!$A$103,$A$2,TUSD!$AS$57:'TUSD'!$AS$103)</f>
        <v>0</v>
      </c>
      <c r="M10" s="18">
        <f>SUMIF(TUSD!$A$57:'TUSD'!$A$103,$A$2,TUSD!$AT$57:'TUSD'!$AT$103)</f>
        <v>0</v>
      </c>
      <c r="N10" s="18">
        <f>SUMIF(TUSD!$A$57:'TUSD'!$A$103,$A$2,TUSD!$AU$57:'TUSD'!$AU$103)</f>
        <v>0</v>
      </c>
      <c r="O10" s="18">
        <f>SUMIF(TUSD!$A$57:'TUSD'!$A$103,$A$2,TUSD!$AV$57:'TUSD'!$AV$103)</f>
        <v>0</v>
      </c>
      <c r="P10" s="18">
        <f>SUMIF(TUSD!$A$57:'TUSD'!$A$103,$A$2,TUSD!$AW$57:'TUSD'!$AW$103)</f>
        <v>0</v>
      </c>
      <c r="Q10" s="18">
        <f>SUMIF(TUSD!$A$57:'TUSD'!$A$103,$A$2,TUSD!$AX$57:'TUSD'!$AX$103)</f>
        <v>1.5672687351094831E-7</v>
      </c>
      <c r="R10" s="18">
        <f>SUMIF(TUSD!$A$57:'TUSD'!$A$103,$A$2,TUSD!$AY$57:'TUSD'!$AY$103)</f>
        <v>-8.5573045919483592E-9</v>
      </c>
      <c r="S10" s="18">
        <f>SUMIF(TUSD!$A$57:'TUSD'!$A$103,$A$2,TUSD!$AZ$57:'TUSD'!$AZ$103)</f>
        <v>0</v>
      </c>
      <c r="T10" s="18">
        <f>SUMIF(TUSD!$A$57:'TUSD'!$A$103,$A$2,TUSD!$BA$57:'TUSD'!$BA$103)</f>
        <v>0</v>
      </c>
      <c r="U10" s="18">
        <f>SUMIF(TUSD!$A$57:'TUSD'!$A$103,$A$2,TUSD!$BB$57:'TUSD'!$BB$103)</f>
        <v>0</v>
      </c>
      <c r="V10" s="18">
        <f>SUMIF(TUSD!$A$57:'TUSD'!$A$103,$A$2,TUSD!$BC$57:'TUSD'!$BC$103)</f>
        <v>0</v>
      </c>
      <c r="W10" s="18">
        <f>SUMIF(TUSD!$A$57:'TUSD'!$A$103,$A$2,TUSD!$BD$57:'TUSD'!$BD$103)</f>
        <v>0</v>
      </c>
      <c r="X10" s="18">
        <f t="shared" si="0"/>
        <v>1.5063184787536392E-7</v>
      </c>
      <c r="AD10" s="14" t="s">
        <v>88</v>
      </c>
    </row>
    <row r="11" spans="1:33" x14ac:dyDescent="0.2">
      <c r="A11" s="14" t="s">
        <v>1023</v>
      </c>
      <c r="B11" s="18">
        <f>SUMIF(TUSD!$A$57:'TUSD'!$A$103,$A$2,TUSD!$L$57:'TUSD'!$L$103)</f>
        <v>0</v>
      </c>
      <c r="C11" s="18">
        <f>SUMIF(TUSD!$A$57:'TUSD'!$A$103,$A$2,TUSD!$M$57:'TUSD'!$M$103)</f>
        <v>4.0403252053573098E-10</v>
      </c>
      <c r="D11" s="18">
        <f ca="1">SUMIF(TUSD!$A$57:'TUSD'!$A$103,$A$2,TUSD!$N$57:'TUSD'!$N$103)</f>
        <v>1.1257452327968768E-9</v>
      </c>
      <c r="E11" s="18">
        <f>SUMIF(TUSD!$A$57:'TUSD'!$A$103,$A$2,TUSD!$O$57:'TUSD'!$O$103)</f>
        <v>0</v>
      </c>
      <c r="F11" s="18">
        <f>SUMIF(TUSD!$A$57:'TUSD'!$A$103,$A$2,TUSD!$P$57:'TUSD'!$P$103)</f>
        <v>0</v>
      </c>
      <c r="G11" s="18">
        <f>SUMIF(TUSD!$A$57:'TUSD'!$A$103,$A$2,TUSD!$Q$57:'TUSD'!$Q$103)</f>
        <v>0</v>
      </c>
      <c r="H11" s="18">
        <f>SUMIF(TUSD!$A$57:'TUSD'!$A$103,$A$2,TUSD!$R$57:'TUSD'!$R$103)</f>
        <v>0</v>
      </c>
      <c r="I11" s="18">
        <f>SUMIF(TUSD!$A$57:'TUSD'!$A$103,$A$2,TUSD!$S$57:'TUSD'!$S$103)</f>
        <v>0</v>
      </c>
      <c r="J11" s="18">
        <f>SUMIF(TUSD!$A$57:'TUSD'!$A$103,$A$2,TUSD!$T$57:'TUSD'!$T$103)</f>
        <v>0</v>
      </c>
      <c r="K11" s="18">
        <f>SUMIF(TUSD!$A$57:'TUSD'!$A$103,$A$2,TUSD!$U$57:'TUSD'!$U$103)</f>
        <v>0</v>
      </c>
      <c r="L11" s="18">
        <f>SUMIF(TUSD!$A$57:'TUSD'!$A$103,$A$2,TUSD!$V$57:'TUSD'!$V$103)</f>
        <v>0</v>
      </c>
      <c r="M11" s="18">
        <f>SUMIF(TUSD!$A$57:'TUSD'!$A$103,$A$2,TUSD!$W$57:'TUSD'!$W$103)</f>
        <v>0</v>
      </c>
      <c r="N11" s="18">
        <f>SUMIF(TUSD!$A$57:'TUSD'!$A$103,$A$2,TUSD!$X$57:'TUSD'!$X$103)</f>
        <v>0</v>
      </c>
      <c r="O11" s="18">
        <f>SUMIF(TUSD!$A$57:'TUSD'!$A$103,$A$2,TUSD!$Y$57:'TUSD'!$Y$103)</f>
        <v>0</v>
      </c>
      <c r="P11" s="18">
        <f>SUMIF(TUSD!$A$57:'TUSD'!$A$103,$A$2,TUSD!$Z$57:'TUSD'!$Z$103)</f>
        <v>0</v>
      </c>
      <c r="Q11" s="18">
        <f>SUMIF(TUSD!$A$57:'TUSD'!$A$103,$A$2,TUSD!$AA$57:'TUSD'!$AA$103)</f>
        <v>1.3833730781129626E-7</v>
      </c>
      <c r="R11" s="18">
        <f ca="1">SUMIF(TUSD!$A$57:'TUSD'!$A$103,$A$2,TUSD!$AB$57:'TUSD'!$AB$103)</f>
        <v>-1.5000870394815597E-8</v>
      </c>
      <c r="S11" s="18">
        <f ca="1">SUMIF(TUSD!$A$57:'TUSD'!$A$103,$A$2,TUSD!$AC$57:'TUSD'!$AC$103)</f>
        <v>0</v>
      </c>
      <c r="T11" s="18">
        <f>SUMIF(TUSD!$A$57:'TUSD'!$A$103,$A$2,TUSD!$AD$57:'TUSD'!$AD$103)</f>
        <v>0</v>
      </c>
      <c r="U11" s="18">
        <f>SUMIF(TUSD!$A$57:'TUSD'!$A$103,$A$2,TUSD!$AE$57:'TUSD'!$AE$103)</f>
        <v>0</v>
      </c>
      <c r="V11" s="18">
        <f ca="1">SUMIF(TUSD!$A$57:'TUSD'!$A$103,$A$2,TUSD!$AF$57:'TUSD'!$AF$103)</f>
        <v>0</v>
      </c>
      <c r="W11" s="18">
        <f ca="1">SUMIF(TUSD!$A$57:'TUSD'!$A$103,$A$2,TUSD!$AG$57:'TUSD'!$AG$103)</f>
        <v>0</v>
      </c>
      <c r="X11" s="18">
        <f t="shared" ca="1" si="0"/>
        <v>1.2486621516981326E-7</v>
      </c>
    </row>
    <row r="13" spans="1:33" x14ac:dyDescent="0.2">
      <c r="A13" s="14" t="s">
        <v>1027</v>
      </c>
      <c r="B13" s="29">
        <f t="shared" ref="B13:X13" si="1">IF($X$6&lt;&gt;0,(B$7-B$6)/$X$6,0)</f>
        <v>9.1403371747404314E-4</v>
      </c>
      <c r="C13" s="29">
        <f t="shared" si="1"/>
        <v>-1.7519765014189671E-4</v>
      </c>
      <c r="D13" s="29">
        <f t="shared" ca="1" si="1"/>
        <v>-9.1018993606682474E-5</v>
      </c>
      <c r="E13" s="29">
        <f t="shared" si="1"/>
        <v>0</v>
      </c>
      <c r="F13" s="29">
        <f t="shared" si="1"/>
        <v>0</v>
      </c>
      <c r="G13" s="29">
        <f t="shared" si="1"/>
        <v>0.14837263937925491</v>
      </c>
      <c r="H13" s="29">
        <f t="shared" si="1"/>
        <v>2.9195162284015811E-2</v>
      </c>
      <c r="I13" s="29">
        <f t="shared" si="1"/>
        <v>0</v>
      </c>
      <c r="J13" s="29">
        <f t="shared" si="1"/>
        <v>0</v>
      </c>
      <c r="K13" s="29">
        <f t="shared" si="1"/>
        <v>0</v>
      </c>
      <c r="L13" s="29">
        <f t="shared" si="1"/>
        <v>0</v>
      </c>
      <c r="M13" s="29">
        <f t="shared" si="1"/>
        <v>0</v>
      </c>
      <c r="N13" s="29">
        <f t="shared" si="1"/>
        <v>7.1796873026160571E-2</v>
      </c>
      <c r="O13" s="29">
        <f t="shared" si="1"/>
        <v>0</v>
      </c>
      <c r="P13" s="29">
        <f t="shared" si="1"/>
        <v>0</v>
      </c>
      <c r="Q13" s="29">
        <f t="shared" si="1"/>
        <v>-5.1191368097987947E-3</v>
      </c>
      <c r="R13" s="29">
        <f t="shared" ca="1" si="1"/>
        <v>-7.378627146841385E-2</v>
      </c>
      <c r="S13" s="29">
        <f t="shared" ca="1" si="1"/>
        <v>0</v>
      </c>
      <c r="T13" s="29">
        <f t="shared" si="1"/>
        <v>1.3482326373308293E-4</v>
      </c>
      <c r="U13" s="29">
        <f t="shared" si="1"/>
        <v>2.063228658574101E-4</v>
      </c>
      <c r="V13" s="29">
        <f t="shared" ca="1" si="1"/>
        <v>-1.304756836641399E-3</v>
      </c>
      <c r="W13" s="29">
        <f t="shared" ca="1" si="1"/>
        <v>1.3724845711327769E-3</v>
      </c>
      <c r="X13" s="29">
        <f t="shared" ca="1" si="1"/>
        <v>0.17151595734902592</v>
      </c>
    </row>
    <row r="14" spans="1:33" x14ac:dyDescent="0.2">
      <c r="A14" s="14" t="s">
        <v>1028</v>
      </c>
      <c r="B14" s="29">
        <f t="shared" ref="B14:X14" si="2">IF($X$10&lt;&gt;0,(B$9-B$8)/$X$10,0)</f>
        <v>0</v>
      </c>
      <c r="C14" s="29">
        <f t="shared" si="2"/>
        <v>-8.4653837225952527E-4</v>
      </c>
      <c r="D14" s="29">
        <f t="shared" ca="1" si="2"/>
        <v>-5.3440595403606407E-3</v>
      </c>
      <c r="E14" s="29">
        <f t="shared" si="2"/>
        <v>0</v>
      </c>
      <c r="F14" s="29">
        <f t="shared" si="2"/>
        <v>0</v>
      </c>
      <c r="G14" s="29">
        <f t="shared" si="2"/>
        <v>0</v>
      </c>
      <c r="H14" s="29">
        <f t="shared" si="2"/>
        <v>0</v>
      </c>
      <c r="I14" s="29">
        <f t="shared" si="2"/>
        <v>0</v>
      </c>
      <c r="J14" s="29">
        <f t="shared" si="2"/>
        <v>0</v>
      </c>
      <c r="K14" s="29">
        <f t="shared" si="2"/>
        <v>0</v>
      </c>
      <c r="L14" s="29">
        <f t="shared" si="2"/>
        <v>0</v>
      </c>
      <c r="M14" s="29">
        <f t="shared" si="2"/>
        <v>0</v>
      </c>
      <c r="N14" s="29">
        <f t="shared" si="2"/>
        <v>0</v>
      </c>
      <c r="O14" s="29">
        <f t="shared" si="2"/>
        <v>0</v>
      </c>
      <c r="P14" s="29">
        <f t="shared" si="2"/>
        <v>0</v>
      </c>
      <c r="Q14" s="29">
        <f t="shared" si="2"/>
        <v>-0.12208285272360185</v>
      </c>
      <c r="R14" s="29">
        <f t="shared" ca="1" si="2"/>
        <v>-4.2776915332000606E-2</v>
      </c>
      <c r="S14" s="29">
        <f t="shared" ca="1" si="2"/>
        <v>0</v>
      </c>
      <c r="T14" s="29">
        <f t="shared" si="2"/>
        <v>0</v>
      </c>
      <c r="U14" s="29">
        <f t="shared" si="2"/>
        <v>0</v>
      </c>
      <c r="V14" s="29">
        <f t="shared" ca="1" si="2"/>
        <v>0</v>
      </c>
      <c r="W14" s="29">
        <f t="shared" ca="1" si="2"/>
        <v>0</v>
      </c>
      <c r="X14" s="29">
        <f t="shared" ca="1" si="2"/>
        <v>-0.17105036596822279</v>
      </c>
    </row>
    <row r="15" spans="1:33" x14ac:dyDescent="0.2">
      <c r="A15" s="14" t="s">
        <v>1029</v>
      </c>
      <c r="B15" s="29">
        <f t="shared" ref="B15:X15" si="3">IF($X$8&lt;&gt;0,(B$9-B$8)/$X$8,0)</f>
        <v>0</v>
      </c>
      <c r="C15" s="29">
        <f t="shared" si="3"/>
        <v>-8.4653837225952527E-4</v>
      </c>
      <c r="D15" s="29">
        <f t="shared" ca="1" si="3"/>
        <v>-5.3440595403606407E-3</v>
      </c>
      <c r="E15" s="29">
        <f t="shared" si="3"/>
        <v>0</v>
      </c>
      <c r="F15" s="29">
        <f t="shared" si="3"/>
        <v>0</v>
      </c>
      <c r="G15" s="29">
        <f t="shared" si="3"/>
        <v>0</v>
      </c>
      <c r="H15" s="29">
        <f t="shared" si="3"/>
        <v>0</v>
      </c>
      <c r="I15" s="29">
        <f t="shared" si="3"/>
        <v>0</v>
      </c>
      <c r="J15" s="29">
        <f t="shared" si="3"/>
        <v>0</v>
      </c>
      <c r="K15" s="29">
        <f t="shared" si="3"/>
        <v>0</v>
      </c>
      <c r="L15" s="29">
        <f t="shared" si="3"/>
        <v>0</v>
      </c>
      <c r="M15" s="29">
        <f t="shared" si="3"/>
        <v>0</v>
      </c>
      <c r="N15" s="29">
        <f t="shared" si="3"/>
        <v>0</v>
      </c>
      <c r="O15" s="29">
        <f t="shared" si="3"/>
        <v>0</v>
      </c>
      <c r="P15" s="29">
        <f t="shared" si="3"/>
        <v>0</v>
      </c>
      <c r="Q15" s="29">
        <f t="shared" si="3"/>
        <v>-0.12208285272360185</v>
      </c>
      <c r="R15" s="29">
        <f t="shared" ca="1" si="3"/>
        <v>-4.2776915332000606E-2</v>
      </c>
      <c r="S15" s="29">
        <f t="shared" ca="1" si="3"/>
        <v>0</v>
      </c>
      <c r="T15" s="29">
        <f t="shared" si="3"/>
        <v>0</v>
      </c>
      <c r="U15" s="29">
        <f t="shared" si="3"/>
        <v>0</v>
      </c>
      <c r="V15" s="29">
        <f t="shared" ca="1" si="3"/>
        <v>0</v>
      </c>
      <c r="W15" s="29">
        <f t="shared" ca="1" si="3"/>
        <v>0</v>
      </c>
      <c r="X15" s="29">
        <f t="shared" ca="1" si="3"/>
        <v>-0.17105036596822279</v>
      </c>
    </row>
  </sheetData>
  <dataValidations count="6">
    <dataValidation type="list" allowBlank="1" showInputMessage="1" showErrorMessage="1" error="Deve-se selecionar grupo válido" sqref="A2" xr:uid="{31D91B96-5424-46F4-8A02-32E0ADD3A1B2}">
      <formula1>AA1:AA6</formula1>
    </dataValidation>
    <dataValidation type="list" allowBlank="1" showInputMessage="1" showErrorMessage="1" error="Deve-se selecionar grupo válido" sqref="B2" xr:uid="{F850B427-FFEE-4BBF-A16F-30E4F997BF09}">
      <formula1>AB1:AB7</formula1>
    </dataValidation>
    <dataValidation type="list" allowBlank="1" showInputMessage="1" showErrorMessage="1" error="Deve-se selecionar grupo válido" sqref="C2 E2" xr:uid="{530CB33D-7B11-4E03-94D8-E29171393D20}">
      <formula1>AC1:AC4</formula1>
    </dataValidation>
    <dataValidation type="list" allowBlank="1" showInputMessage="1" showErrorMessage="1" error="Deve-se selecionar grupo válido" sqref="D2" xr:uid="{A047A20C-6656-43BC-9891-9BDBD633D6E5}">
      <formula1>AD1:AD10</formula1>
    </dataValidation>
    <dataValidation type="list" allowBlank="1" showInputMessage="1" showErrorMessage="1" error="Deve-se selecionar grupo válido" sqref="F2" xr:uid="{ED81DF89-10E5-4466-A106-E9897592B921}">
      <formula1>AF1:AF1</formula1>
    </dataValidation>
    <dataValidation type="list" allowBlank="1" showInputMessage="1" showErrorMessage="1" error="Deve-se selecionar grupo válido" sqref="G2" xr:uid="{3EFD57AF-4C71-4CB6-BBD5-D1024FE3D60D}">
      <formula1>AG1:AG8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8E120-5C62-4308-9A6D-6E1BFE85FD5E}">
  <dimension ref="A1:AG15"/>
  <sheetViews>
    <sheetView showGridLines="0" topLeftCell="A16" workbookViewId="0">
      <selection activeCell="M19" sqref="M19"/>
    </sheetView>
  </sheetViews>
  <sheetFormatPr defaultRowHeight="11.25" x14ac:dyDescent="0.2"/>
  <cols>
    <col min="1" max="1" width="19.140625" style="14" bestFit="1" customWidth="1"/>
    <col min="2" max="2" width="10.5703125" style="14" bestFit="1" customWidth="1"/>
    <col min="3" max="6" width="10.28515625" style="14" bestFit="1" customWidth="1"/>
    <col min="7" max="7" width="14.85546875" style="14" bestFit="1" customWidth="1"/>
    <col min="8" max="8" width="8.7109375" style="14" bestFit="1" customWidth="1"/>
    <col min="9" max="9" width="9.5703125" style="14" bestFit="1" customWidth="1"/>
    <col min="10" max="10" width="6.42578125" style="14" bestFit="1" customWidth="1"/>
    <col min="11" max="11" width="10.5703125" style="14" bestFit="1" customWidth="1"/>
    <col min="12" max="12" width="10.7109375" style="14" bestFit="1" customWidth="1"/>
    <col min="13" max="13" width="10.85546875" style="14" bestFit="1" customWidth="1"/>
    <col min="14" max="26" width="9.140625" style="14"/>
    <col min="27" max="27" width="3" style="14" bestFit="1" customWidth="1"/>
    <col min="28" max="28" width="27.1406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60</v>
      </c>
      <c r="B1" s="14" t="s">
        <v>61</v>
      </c>
      <c r="C1" s="14" t="s">
        <v>62</v>
      </c>
      <c r="D1" s="14" t="s">
        <v>63</v>
      </c>
      <c r="E1" s="14" t="s">
        <v>64</v>
      </c>
      <c r="F1" s="14" t="s">
        <v>15</v>
      </c>
      <c r="G1" s="14" t="s">
        <v>66</v>
      </c>
      <c r="I1" s="14" t="s">
        <v>1026</v>
      </c>
      <c r="AA1" s="14" t="s">
        <v>34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34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4" t="s">
        <v>22</v>
      </c>
      <c r="AB2" s="14" t="s">
        <v>69</v>
      </c>
      <c r="AC2" s="14" t="s">
        <v>24</v>
      </c>
      <c r="AD2" s="14" t="s">
        <v>24</v>
      </c>
      <c r="AG2" s="14" t="s">
        <v>71</v>
      </c>
    </row>
    <row r="3" spans="1:33" x14ac:dyDescent="0.2">
      <c r="AA3" s="14" t="s">
        <v>39</v>
      </c>
      <c r="AB3" s="14" t="s">
        <v>73</v>
      </c>
      <c r="AC3" s="14" t="s">
        <v>40</v>
      </c>
      <c r="AD3" s="14" t="s">
        <v>28</v>
      </c>
      <c r="AG3" s="14" t="s">
        <v>72</v>
      </c>
    </row>
    <row r="4" spans="1:33" x14ac:dyDescent="0.2">
      <c r="AA4" s="14" t="s">
        <v>32</v>
      </c>
      <c r="AB4" s="14" t="s">
        <v>84</v>
      </c>
      <c r="AC4" s="14" t="s">
        <v>43</v>
      </c>
      <c r="AD4" s="14" t="s">
        <v>29</v>
      </c>
      <c r="AG4" s="14" t="s">
        <v>74</v>
      </c>
    </row>
    <row r="5" spans="1:33" x14ac:dyDescent="0.2">
      <c r="A5" s="14" t="s">
        <v>1019</v>
      </c>
      <c r="B5" s="14" t="str">
        <f>TE!$X$4</f>
        <v>P&amp;D</v>
      </c>
      <c r="C5" s="14" t="str">
        <f>TE!$Y$4</f>
        <v>ESS/ERR</v>
      </c>
      <c r="D5" s="14" t="str">
        <f>TE!$Z$4</f>
        <v>CFURH</v>
      </c>
      <c r="E5" s="14" t="str">
        <f>TE!$AA$4</f>
        <v>CDE Covid TE</v>
      </c>
      <c r="F5" s="14" t="str">
        <f>TE!$AB$4</f>
        <v>CDE ELET</v>
      </c>
      <c r="G5" s="14" t="str">
        <f>TE!$AC$4</f>
        <v>ENERGIA REVENDA</v>
      </c>
      <c r="H5" s="14" t="str">
        <f>TE!$AD$4</f>
        <v>ITAIPU</v>
      </c>
      <c r="I5" s="14" t="str">
        <f>TE!$AE$4</f>
        <v>TUST ITAIPU</v>
      </c>
      <c r="J5" s="14" t="str">
        <f>TE!$AF$4</f>
        <v>TUST CI</v>
      </c>
      <c r="K5" s="14" t="str">
        <f>TE!$AG$4</f>
        <v>SUBSIDIO</v>
      </c>
      <c r="L5" s="14" t="str">
        <f>TE!$AH$4</f>
        <v>PERDAS RB/C</v>
      </c>
      <c r="M5" s="14" t="s">
        <v>446</v>
      </c>
      <c r="AA5" s="14" t="s">
        <v>42</v>
      </c>
      <c r="AD5" s="14" t="s">
        <v>30</v>
      </c>
      <c r="AG5" s="14" t="s">
        <v>83</v>
      </c>
    </row>
    <row r="6" spans="1:33" x14ac:dyDescent="0.2">
      <c r="A6" s="14" t="s">
        <v>1020</v>
      </c>
      <c r="B6" s="18">
        <f>SUM(TE!$X$48:'TE'!$X$85)</f>
        <v>143446.45333684579</v>
      </c>
      <c r="C6" s="18">
        <f>SUM(TE!$Y$48:'TE'!$Y$85)</f>
        <v>768561.49375767738</v>
      </c>
      <c r="D6" s="18">
        <f>SUM(TE!$Z$48:'TE'!$Z$85)</f>
        <v>0</v>
      </c>
      <c r="E6" s="18">
        <f>SUM(TE!$AA$48:'TE'!$AA$85)</f>
        <v>0</v>
      </c>
      <c r="F6" s="18">
        <f>SUM(TE!$AB$48:'TE'!$AB$85)</f>
        <v>0</v>
      </c>
      <c r="G6" s="18">
        <f>SUM(TE!$AC$48:'TE'!$AC$85)</f>
        <v>13579983.967948012</v>
      </c>
      <c r="H6" s="18">
        <f>SUM(TE!$AD$48:'TE'!$AD$85)</f>
        <v>298498.32428760157</v>
      </c>
      <c r="I6" s="18">
        <f>SUM(TE!$AE$48:'TE'!$AE$85)</f>
        <v>265182.27378507185</v>
      </c>
      <c r="J6" s="18">
        <f>SUM(TE!$AF$48:'TE'!$AF$85)</f>
        <v>0</v>
      </c>
      <c r="K6" s="18">
        <f>SUM(TE!$AG$48:'TE'!$AG$85)</f>
        <v>-706958.94472818973</v>
      </c>
      <c r="L6" s="18">
        <f>SUM(TE!$AH$48:'TE'!$AH$85)</f>
        <v>341106.89180342673</v>
      </c>
      <c r="M6" s="18">
        <f t="shared" ref="M6:M11" si="0">SUM(B6:L6)</f>
        <v>14689820.460190443</v>
      </c>
      <c r="AD6" s="14" t="s">
        <v>31</v>
      </c>
    </row>
    <row r="7" spans="1:33" x14ac:dyDescent="0.2">
      <c r="A7" s="14" t="s">
        <v>1021</v>
      </c>
      <c r="B7" s="18">
        <f>SUM(TE!$L$48:'TE'!$L$85)</f>
        <v>149264.25611449755</v>
      </c>
      <c r="C7" s="18">
        <f>SUM(TE!$M$48:'TE'!$M$85)</f>
        <v>1855958.297752694</v>
      </c>
      <c r="D7" s="18">
        <f>SUM(TE!$N$48:'TE'!$N$85)</f>
        <v>0</v>
      </c>
      <c r="E7" s="18">
        <f>SUM(TE!$O$48:'TE'!$O$85)</f>
        <v>146502.26113830259</v>
      </c>
      <c r="F7" s="18">
        <f>SUM(TE!$P$48:'TE'!$P$85)</f>
        <v>-985421.70043990447</v>
      </c>
      <c r="G7" s="18">
        <f>SUM(TE!$Q$48:'TE'!$Q$85)</f>
        <v>13157871.019260351</v>
      </c>
      <c r="H7" s="18">
        <f>SUM(TE!$R$48:'TE'!$R$85)</f>
        <v>447546.65830791119</v>
      </c>
      <c r="I7" s="18">
        <f>SUM(TE!$S$48:'TE'!$S$85)</f>
        <v>263296.10866887408</v>
      </c>
      <c r="J7" s="18">
        <f>SUM(TE!$T$48:'TE'!$T$85)</f>
        <v>0</v>
      </c>
      <c r="K7" s="18">
        <f>SUM(TE!$U$48:'TE'!$U$85)</f>
        <v>-1498386.2685733526</v>
      </c>
      <c r="L7" s="18">
        <f>SUM(TE!$V$48:'TE'!$V$85)</f>
        <v>380441.96860504843</v>
      </c>
      <c r="M7" s="18">
        <f t="shared" si="0"/>
        <v>13917072.600834424</v>
      </c>
      <c r="AD7" s="14" t="s">
        <v>86</v>
      </c>
    </row>
    <row r="8" spans="1:33" x14ac:dyDescent="0.2">
      <c r="A8" s="14" t="s">
        <v>1024</v>
      </c>
      <c r="B8" s="18">
        <f>IF($G$2&lt;&gt;"Não se aplica",SUMIF(TE!$G$48:'TE'!$G$85,$I$2,TE!$X$48:'TE'!$X$85),IF($F$2&lt;&gt;"Não se aplica",SUMIF(TE!$F$48:'TE'!$F$85,$I$2,TE!$X$48:'TE'!$X$85),IF($E$2&lt;&gt;"Não se aplica",SUMIF(TE!$E$48:'TE'!$E$85,$I$2,TE!$X$48:'TE'!$X$85),IF($D$2&lt;&gt;"Não se aplica",SUMIF(TE!$D$48:'TE'!$D$85,$I$2,TE!$X$48:'TE'!$X$85),IF($C$2&lt;&gt;"Não se aplica",SUMIF(TE!$C$48:'TE'!$C$85,$I$2,TE!$X$48:'TE'!$X$85),IF($B$2&lt;&gt;"Não se aplica",SUMIF(TE!$B$48:'TE'!$B$85,$I$2,TE!$X$48:'TE'!$X$85),SUMIF(TE!$A$48:'TE'!$A$85,$I$2,TE!$X$48:'TE'!$X$85)))))))</f>
        <v>59858.354462341369</v>
      </c>
      <c r="C8" s="18">
        <f>IF($G$2&lt;&gt;"Não se aplica",SUMIF(TE!$G$48:'TE'!$G$85,$I$2,TE!$Y$48:'TE'!$Y$85),IF($F$2&lt;&gt;"Não se aplica",SUMIF(TE!$F$48:'TE'!$F$85,$I$2,TE!$Y$48:'TE'!$Y$85),IF($E$2&lt;&gt;"Não se aplica",SUMIF(TE!$E$48:'TE'!$E$85,$I$2,TE!$Y$48:'TE'!$Y$85),IF($D$2&lt;&gt;"Não se aplica",SUMIF(TE!$D$48:'TE'!$D$85,$I$2,TE!$Y$48:'TE'!$Y$85),IF($C$2&lt;&gt;"Não se aplica",SUMIF(TE!$C$48:'TE'!$C$85,$I$2,TE!$Y$48:'TE'!$Y$85),IF($B$2&lt;&gt;"Não se aplica",SUMIF(TE!$B$48:'TE'!$B$85,$I$2,TE!$Y$48:'TE'!$Y$85),SUMIF(TE!$A$48:'TE'!$A$85,$I$2,TE!$Y$48:'TE'!$Y$85)))))))</f>
        <v>320710.79660243337</v>
      </c>
      <c r="D8" s="18">
        <f>IF($G$2&lt;&gt;"Não se aplica",SUMIF(TE!$G$48:'TE'!$G$85,$I$2,TE!$Z$48:'TE'!$Z$85),IF($F$2&lt;&gt;"Não se aplica",SUMIF(TE!$F$48:'TE'!$F$85,$I$2,TE!$Z$48:'TE'!$Z$85),IF($E$2&lt;&gt;"Não se aplica",SUMIF(TE!$E$48:'TE'!$E$85,$I$2,TE!$Z$48:'TE'!$Z$85),IF($D$2&lt;&gt;"Não se aplica",SUMIF(TE!$D$48:'TE'!$D$85,$I$2,TE!$Z$48:'TE'!$Z$85),IF($C$2&lt;&gt;"Não se aplica",SUMIF(TE!$C$48:'TE'!$C$85,$I$2,TE!$Z$48:'TE'!$Z$85),IF($B$2&lt;&gt;"Não se aplica",SUMIF(TE!$B$48:'TE'!$B$85,$I$2,TE!$Z$48:'TE'!$Z$85),SUMIF(TE!$A$48:'TE'!$A$85,$I$2,TE!$Z$48:'TE'!$Z$85)))))))</f>
        <v>0</v>
      </c>
      <c r="E8" s="18">
        <f>IF($G$2&lt;&gt;"Não se aplica",SUMIF(TE!$G$48:'TE'!$G$85,$I$2,TE!$AA$48:'TE'!$AA$85),IF($F$2&lt;&gt;"Não se aplica",SUMIF(TE!$F$48:'TE'!$F$85,$I$2,TE!$AA$48:'TE'!$AA$85),IF($E$2&lt;&gt;"Não se aplica",SUMIF(TE!$E$48:'TE'!$E$85,$I$2,TE!$AA$48:'TE'!$AA$85),IF($D$2&lt;&gt;"Não se aplica",SUMIF(TE!$D$48:'TE'!$D$85,$I$2,TE!$AA$48:'TE'!$AA$85),IF($C$2&lt;&gt;"Não se aplica",SUMIF(TE!$C$48:'TE'!$C$85,$I$2,TE!$AA$48:'TE'!$AA$85),IF($B$2&lt;&gt;"Não se aplica",SUMIF(TE!$B$48:'TE'!$B$85,$I$2,TE!$AA$48:'TE'!$AA$85),SUMIF(TE!$A$48:'TE'!$A$85,$I$2,TE!$AA$48:'TE'!$AA$85)))))))</f>
        <v>0</v>
      </c>
      <c r="F8" s="18">
        <f>IF($G$2&lt;&gt;"Não se aplica",SUMIF(TE!$G$48:'TE'!$G$85,$I$2,TE!$AB$48:'TE'!$AB$85),IF($F$2&lt;&gt;"Não se aplica",SUMIF(TE!$F$48:'TE'!$F$85,$I$2,TE!$AB$48:'TE'!$AB$85),IF($E$2&lt;&gt;"Não se aplica",SUMIF(TE!$E$48:'TE'!$E$85,$I$2,TE!$AB$48:'TE'!$AB$85),IF($D$2&lt;&gt;"Não se aplica",SUMIF(TE!$D$48:'TE'!$D$85,$I$2,TE!$AB$48:'TE'!$AB$85),IF($C$2&lt;&gt;"Não se aplica",SUMIF(TE!$C$48:'TE'!$C$85,$I$2,TE!$AB$48:'TE'!$AB$85),IF($B$2&lt;&gt;"Não se aplica",SUMIF(TE!$B$48:'TE'!$B$85,$I$2,TE!$AB$48:'TE'!$AB$85),SUMIF(TE!$A$48:'TE'!$A$85,$I$2,TE!$AB$48:'TE'!$AB$85)))))))</f>
        <v>0</v>
      </c>
      <c r="G8" s="18">
        <f>IF($G$2&lt;&gt;"Não se aplica",SUMIF(TE!$G$48:'TE'!$G$85,$I$2,TE!$AC$48:'TE'!$AC$85),IF($F$2&lt;&gt;"Não se aplica",SUMIF(TE!$F$48:'TE'!$F$85,$I$2,TE!$AC$48:'TE'!$AC$85),IF($E$2&lt;&gt;"Não se aplica",SUMIF(TE!$E$48:'TE'!$E$85,$I$2,TE!$AC$48:'TE'!$AC$85),IF($D$2&lt;&gt;"Não se aplica",SUMIF(TE!$D$48:'TE'!$D$85,$I$2,TE!$AC$48:'TE'!$AC$85),IF($C$2&lt;&gt;"Não se aplica",SUMIF(TE!$C$48:'TE'!$C$85,$I$2,TE!$AC$48:'TE'!$AC$85),IF($B$2&lt;&gt;"Não se aplica",SUMIF(TE!$B$48:'TE'!$B$85,$I$2,TE!$AC$48:'TE'!$AC$85),SUMIF(TE!$A$48:'TE'!$A$85,$I$2,TE!$AC$48:'TE'!$AC$85)))))))</f>
        <v>5669413.1460677609</v>
      </c>
      <c r="H8" s="18">
        <f>IF($G$2&lt;&gt;"Não se aplica",SUMIF(TE!$G$48:'TE'!$G$85,$I$2,TE!$AD$48:'TE'!$AD$85),IF($F$2&lt;&gt;"Não se aplica",SUMIF(TE!$F$48:'TE'!$F$85,$I$2,TE!$AD$48:'TE'!$AD$85),IF($E$2&lt;&gt;"Não se aplica",SUMIF(TE!$E$48:'TE'!$E$85,$I$2,TE!$AD$48:'TE'!$AD$85),IF($D$2&lt;&gt;"Não se aplica",SUMIF(TE!$D$48:'TE'!$D$85,$I$2,TE!$AD$48:'TE'!$AD$85),IF($C$2&lt;&gt;"Não se aplica",SUMIF(TE!$C$48:'TE'!$C$85,$I$2,TE!$AD$48:'TE'!$AD$85),IF($B$2&lt;&gt;"Não se aplica",SUMIF(TE!$B$48:'TE'!$B$85,$I$2,TE!$AD$48:'TE'!$AD$85),SUMIF(TE!$A$48:'TE'!$A$85,$I$2,TE!$AD$48:'TE'!$AD$85)))))))</f>
        <v>124559.4999805595</v>
      </c>
      <c r="I8" s="18">
        <f>IF($G$2&lt;&gt;"Não se aplica",SUMIF(TE!$G$48:'TE'!$G$85,$I$2,TE!$AE$48:'TE'!$AE$85),IF($F$2&lt;&gt;"Não se aplica",SUMIF(TE!$F$48:'TE'!$F$85,$I$2,TE!$AE$48:'TE'!$AE$85),IF($E$2&lt;&gt;"Não se aplica",SUMIF(TE!$E$48:'TE'!$E$85,$I$2,TE!$AE$48:'TE'!$AE$85),IF($D$2&lt;&gt;"Não se aplica",SUMIF(TE!$D$48:'TE'!$D$85,$I$2,TE!$AE$48:'TE'!$AE$85),IF($C$2&lt;&gt;"Não se aplica",SUMIF(TE!$C$48:'TE'!$C$85,$I$2,TE!$AE$48:'TE'!$AE$85),IF($B$2&lt;&gt;"Não se aplica",SUMIF(TE!$B$48:'TE'!$B$85,$I$2,TE!$AE$48:'TE'!$AE$85),SUMIF(TE!$A$48:'TE'!$A$85,$I$2,TE!$AE$48:'TE'!$AE$85)))))))</f>
        <v>110657.14189588286</v>
      </c>
      <c r="J8" s="18">
        <f>IF($G$2&lt;&gt;"Não se aplica",SUMIF(TE!$G$48:'TE'!$G$85,$I$2,TE!$AF$48:'TE'!$AF$85),IF($F$2&lt;&gt;"Não se aplica",SUMIF(TE!$F$48:'TE'!$F$85,$I$2,TE!$AF$48:'TE'!$AF$85),IF($E$2&lt;&gt;"Não se aplica",SUMIF(TE!$E$48:'TE'!$E$85,$I$2,TE!$AF$48:'TE'!$AF$85),IF($D$2&lt;&gt;"Não se aplica",SUMIF(TE!$D$48:'TE'!$D$85,$I$2,TE!$AF$48:'TE'!$AF$85),IF($C$2&lt;&gt;"Não se aplica",SUMIF(TE!$C$48:'TE'!$C$85,$I$2,TE!$AF$48:'TE'!$AF$85),IF($B$2&lt;&gt;"Não se aplica",SUMIF(TE!$B$48:'TE'!$B$85,$I$2,TE!$AF$48:'TE'!$AF$85),SUMIF(TE!$A$48:'TE'!$A$85,$I$2,TE!$AF$48:'TE'!$AF$85)))))))</f>
        <v>0</v>
      </c>
      <c r="K8" s="18">
        <f>IF($G$2&lt;&gt;"Não se aplica",SUMIF(TE!$G$48:'TE'!$G$85,$I$2,TE!$AG$48:'TE'!$AG$85),IF($F$2&lt;&gt;"Não se aplica",SUMIF(TE!$F$48:'TE'!$F$85,$I$2,TE!$AG$48:'TE'!$AG$85),IF($E$2&lt;&gt;"Não se aplica",SUMIF(TE!$E$48:'TE'!$E$85,$I$2,TE!$AG$48:'TE'!$AG$85),IF($D$2&lt;&gt;"Não se aplica",SUMIF(TE!$D$48:'TE'!$D$85,$I$2,TE!$AG$48:'TE'!$AG$85),IF($C$2&lt;&gt;"Não se aplica",SUMIF(TE!$C$48:'TE'!$C$85,$I$2,TE!$AG$48:'TE'!$AG$85),IF($B$2&lt;&gt;"Não se aplica",SUMIF(TE!$B$48:'TE'!$B$85,$I$2,TE!$AG$48:'TE'!$AG$85),SUMIF(TE!$A$48:'TE'!$A$85,$I$2,TE!$AG$48:'TE'!$AG$85)))))))</f>
        <v>-295127.9731969377</v>
      </c>
      <c r="L8" s="18">
        <f>IF($G$2&lt;&gt;"Não se aplica",SUMIF(TE!$G$48:'TE'!$G$85,$I$2,TE!$AH$48:'TE'!$AH$85),IF($F$2&lt;&gt;"Não se aplica",SUMIF(TE!$F$48:'TE'!$F$85,$I$2,TE!$AH$48:'TE'!$AH$85),IF($E$2&lt;&gt;"Não se aplica",SUMIF(TE!$E$48:'TE'!$E$85,$I$2,TE!$AH$48:'TE'!$AH$85),IF($D$2&lt;&gt;"Não se aplica",SUMIF(TE!$D$48:'TE'!$D$85,$I$2,TE!$AH$48:'TE'!$AH$85),IF($C$2&lt;&gt;"Não se aplica",SUMIF(TE!$C$48:'TE'!$C$85,$I$2,TE!$AH$48:'TE'!$AH$85),IF($B$2&lt;&gt;"Não se aplica",SUMIF(TE!$B$48:'TE'!$B$85,$I$2,TE!$AH$48:'TE'!$AH$85),SUMIF(TE!$A$48:'TE'!$A$85,$I$2,TE!$AH$48:'TE'!$AH$85)))))))</f>
        <v>142339.50553779516</v>
      </c>
      <c r="M8" s="18">
        <f t="shared" si="0"/>
        <v>6132410.4713498354</v>
      </c>
      <c r="AD8" s="14" t="s">
        <v>87</v>
      </c>
    </row>
    <row r="9" spans="1:33" x14ac:dyDescent="0.2">
      <c r="A9" s="14" t="s">
        <v>1025</v>
      </c>
      <c r="B9" s="18">
        <f>IF($G$2&lt;&gt;"Não se aplica",SUMIF(TE!$G$48:'TE'!$G$85,$I$2,TE!$L$48:'TE'!$L$85),IF($F$2&lt;&gt;"Não se aplica",SUMIF(TE!$F$48:'TE'!$F$85,$I$2,TE!$L$48:'TE'!$L$85),IF($E$2&lt;&gt;"Não se aplica",SUMIF(TE!$E$48:'TE'!$E$85,$I$2,TE!$L$48:'TE'!$L$85),IF($D$2&lt;&gt;"Não se aplica",SUMIF(TE!$D$48:'TE'!$D$85,$I$2,TE!$L$48:'TE'!$L$85),IF($C$2&lt;&gt;"Não se aplica",SUMIF(TE!$C$48:'TE'!$C$85,$I$2,TE!$L$48:'TE'!$L$85),IF($B$2&lt;&gt;"Não se aplica",SUMIF(TE!$B$48:'TE'!$B$85,$I$2,TE!$L$48:'TE'!$L$85),SUMIF(TE!$A$48:'TE'!$A$85,$I$2,TE!$L$48:'TE'!$L$85)))))))</f>
        <v>62283.269184081524</v>
      </c>
      <c r="C9" s="18">
        <f>IF($G$2&lt;&gt;"Não se aplica",SUMIF(TE!$G$48:'TE'!$G$85,$I$2,TE!$M$48:'TE'!$M$85),IF($F$2&lt;&gt;"Não se aplica",SUMIF(TE!$F$48:'TE'!$F$85,$I$2,TE!$M$48:'TE'!$M$85),IF($E$2&lt;&gt;"Não se aplica",SUMIF(TE!$E$48:'TE'!$E$85,$I$2,TE!$M$48:'TE'!$M$85),IF($D$2&lt;&gt;"Não se aplica",SUMIF(TE!$D$48:'TE'!$D$85,$I$2,TE!$M$48:'TE'!$M$85),IF($C$2&lt;&gt;"Não se aplica",SUMIF(TE!$C$48:'TE'!$C$85,$I$2,TE!$M$48:'TE'!$M$85),IF($B$2&lt;&gt;"Não se aplica",SUMIF(TE!$B$48:'TE'!$B$85,$I$2,TE!$M$48:'TE'!$M$85),SUMIF(TE!$A$48:'TE'!$A$85,$I$2,TE!$M$48:'TE'!$M$85)))))))</f>
        <v>774432.89681281813</v>
      </c>
      <c r="D9" s="18">
        <f>IF($G$2&lt;&gt;"Não se aplica",SUMIF(TE!$G$48:'TE'!$G$85,$I$2,TE!$N$48:'TE'!$N$85),IF($F$2&lt;&gt;"Não se aplica",SUMIF(TE!$F$48:'TE'!$F$85,$I$2,TE!$N$48:'TE'!$N$85),IF($E$2&lt;&gt;"Não se aplica",SUMIF(TE!$E$48:'TE'!$E$85,$I$2,TE!$N$48:'TE'!$N$85),IF($D$2&lt;&gt;"Não se aplica",SUMIF(TE!$D$48:'TE'!$D$85,$I$2,TE!$N$48:'TE'!$N$85),IF($C$2&lt;&gt;"Não se aplica",SUMIF(TE!$C$48:'TE'!$C$85,$I$2,TE!$N$48:'TE'!$N$85),IF($B$2&lt;&gt;"Não se aplica",SUMIF(TE!$B$48:'TE'!$B$85,$I$2,TE!$N$48:'TE'!$N$85),SUMIF(TE!$A$48:'TE'!$A$85,$I$2,TE!$N$48:'TE'!$N$85)))))))</f>
        <v>0</v>
      </c>
      <c r="E9" s="18">
        <f>IF($G$2&lt;&gt;"Não se aplica",SUMIF(TE!$G$48:'TE'!$G$85,$I$2,TE!$O$48:'TE'!$O$85),IF($F$2&lt;&gt;"Não se aplica",SUMIF(TE!$F$48:'TE'!$F$85,$I$2,TE!$O$48:'TE'!$O$85),IF($E$2&lt;&gt;"Não se aplica",SUMIF(TE!$E$48:'TE'!$E$85,$I$2,TE!$O$48:'TE'!$O$85),IF($D$2&lt;&gt;"Não se aplica",SUMIF(TE!$D$48:'TE'!$D$85,$I$2,TE!$O$48:'TE'!$O$85),IF($C$2&lt;&gt;"Não se aplica",SUMIF(TE!$C$48:'TE'!$C$85,$I$2,TE!$O$48:'TE'!$O$85),IF($B$2&lt;&gt;"Não se aplica",SUMIF(TE!$B$48:'TE'!$B$85,$I$2,TE!$O$48:'TE'!$O$85),SUMIF(TE!$A$48:'TE'!$A$85,$I$2,TE!$O$48:'TE'!$O$85)))))))</f>
        <v>61130.775740135534</v>
      </c>
      <c r="F9" s="18">
        <f>IF($G$2&lt;&gt;"Não se aplica",SUMIF(TE!$G$48:'TE'!$G$85,$I$2,TE!$P$48:'TE'!$P$85),IF($F$2&lt;&gt;"Não se aplica",SUMIF(TE!$F$48:'TE'!$F$85,$I$2,TE!$P$48:'TE'!$P$85),IF($E$2&lt;&gt;"Não se aplica",SUMIF(TE!$E$48:'TE'!$E$85,$I$2,TE!$P$48:'TE'!$P$85),IF($D$2&lt;&gt;"Não se aplica",SUMIF(TE!$D$48:'TE'!$D$85,$I$2,TE!$P$48:'TE'!$P$85),IF($C$2&lt;&gt;"Não se aplica",SUMIF(TE!$C$48:'TE'!$C$85,$I$2,TE!$P$48:'TE'!$P$85),IF($B$2&lt;&gt;"Não se aplica",SUMIF(TE!$B$48:'TE'!$B$85,$I$2,TE!$P$48:'TE'!$P$85),SUMIF(TE!$A$48:'TE'!$A$85,$I$2,TE!$P$48:'TE'!$P$85)))))))</f>
        <v>-411185.41455265874</v>
      </c>
      <c r="G9" s="18">
        <f>IF($G$2&lt;&gt;"Não se aplica",SUMIF(TE!$G$48:'TE'!$G$85,$I$2,TE!$Q$48:'TE'!$Q$85),IF($F$2&lt;&gt;"Não se aplica",SUMIF(TE!$F$48:'TE'!$F$85,$I$2,TE!$Q$48:'TE'!$Q$85),IF($E$2&lt;&gt;"Não se aplica",SUMIF(TE!$E$48:'TE'!$E$85,$I$2,TE!$Q$48:'TE'!$Q$85),IF($D$2&lt;&gt;"Não se aplica",SUMIF(TE!$D$48:'TE'!$D$85,$I$2,TE!$Q$48:'TE'!$Q$85),IF($C$2&lt;&gt;"Não se aplica",SUMIF(TE!$C$48:'TE'!$C$85,$I$2,TE!$Q$48:'TE'!$Q$85),IF($B$2&lt;&gt;"Não se aplica",SUMIF(TE!$B$48:'TE'!$B$85,$I$2,TE!$Q$48:'TE'!$Q$85),SUMIF(TE!$A$48:'TE'!$A$85,$I$2,TE!$Q$48:'TE'!$Q$85)))))))</f>
        <v>5492943.1091641141</v>
      </c>
      <c r="H9" s="18">
        <f>IF($G$2&lt;&gt;"Não se aplica",SUMIF(TE!$G$48:'TE'!$G$85,$I$2,TE!$R$48:'TE'!$R$85),IF($F$2&lt;&gt;"Não se aplica",SUMIF(TE!$F$48:'TE'!$F$85,$I$2,TE!$R$48:'TE'!$R$85),IF($E$2&lt;&gt;"Não se aplica",SUMIF(TE!$E$48:'TE'!$E$85,$I$2,TE!$R$48:'TE'!$R$85),IF($D$2&lt;&gt;"Não se aplica",SUMIF(TE!$D$48:'TE'!$D$85,$I$2,TE!$R$48:'TE'!$R$85),IF($C$2&lt;&gt;"Não se aplica",SUMIF(TE!$C$48:'TE'!$C$85,$I$2,TE!$R$48:'TE'!$R$85),IF($B$2&lt;&gt;"Não se aplica",SUMIF(TE!$B$48:'TE'!$B$85,$I$2,TE!$R$48:'TE'!$R$85),SUMIF(TE!$A$48:'TE'!$A$85,$I$2,TE!$R$48:'TE'!$R$85)))))))</f>
        <v>186747.11359192184</v>
      </c>
      <c r="I9" s="18">
        <f>IF($G$2&lt;&gt;"Não se aplica",SUMIF(TE!$G$48:'TE'!$G$85,$I$2,TE!$S$48:'TE'!$S$85),IF($F$2&lt;&gt;"Não se aplica",SUMIF(TE!$F$48:'TE'!$F$85,$I$2,TE!$S$48:'TE'!$S$85),IF($E$2&lt;&gt;"Não se aplica",SUMIF(TE!$E$48:'TE'!$E$85,$I$2,TE!$S$48:'TE'!$S$85),IF($D$2&lt;&gt;"Não se aplica",SUMIF(TE!$D$48:'TE'!$D$85,$I$2,TE!$S$48:'TE'!$S$85),IF($C$2&lt;&gt;"Não se aplica",SUMIF(TE!$C$48:'TE'!$C$85,$I$2,TE!$S$48:'TE'!$S$85),IF($B$2&lt;&gt;"Não se aplica",SUMIF(TE!$B$48:'TE'!$B$85,$I$2,TE!$S$48:'TE'!$S$85),SUMIF(TE!$A$48:'TE'!$A$85,$I$2,TE!$S$48:'TE'!$S$85)))))))</f>
        <v>109865.16690751047</v>
      </c>
      <c r="J9" s="18">
        <f>IF($G$2&lt;&gt;"Não se aplica",SUMIF(TE!$G$48:'TE'!$G$85,$I$2,TE!$T$48:'TE'!$T$85),IF($F$2&lt;&gt;"Não se aplica",SUMIF(TE!$F$48:'TE'!$F$85,$I$2,TE!$T$48:'TE'!$T$85),IF($E$2&lt;&gt;"Não se aplica",SUMIF(TE!$E$48:'TE'!$E$85,$I$2,TE!$T$48:'TE'!$T$85),IF($D$2&lt;&gt;"Não se aplica",SUMIF(TE!$D$48:'TE'!$D$85,$I$2,TE!$T$48:'TE'!$T$85),IF($C$2&lt;&gt;"Não se aplica",SUMIF(TE!$C$48:'TE'!$C$85,$I$2,TE!$T$48:'TE'!$T$85),IF($B$2&lt;&gt;"Não se aplica",SUMIF(TE!$B$48:'TE'!$B$85,$I$2,TE!$T$48:'TE'!$T$85),SUMIF(TE!$A$48:'TE'!$A$85,$I$2,TE!$T$48:'TE'!$T$85)))))))</f>
        <v>0</v>
      </c>
      <c r="K9" s="18">
        <f>IF($G$2&lt;&gt;"Não se aplica",SUMIF(TE!$G$48:'TE'!$G$85,$I$2,TE!$U$48:'TE'!$U$85),IF($F$2&lt;&gt;"Não se aplica",SUMIF(TE!$F$48:'TE'!$F$85,$I$2,TE!$U$48:'TE'!$U$85),IF($E$2&lt;&gt;"Não se aplica",SUMIF(TE!$E$48:'TE'!$E$85,$I$2,TE!$U$48:'TE'!$U$85),IF($D$2&lt;&gt;"Não se aplica",SUMIF(TE!$D$48:'TE'!$D$85,$I$2,TE!$U$48:'TE'!$U$85),IF($C$2&lt;&gt;"Não se aplica",SUMIF(TE!$C$48:'TE'!$C$85,$I$2,TE!$U$48:'TE'!$U$85),IF($B$2&lt;&gt;"Não se aplica",SUMIF(TE!$B$48:'TE'!$B$85,$I$2,TE!$U$48:'TE'!$U$85),SUMIF(TE!$A$48:'TE'!$A$85,$I$2,TE!$U$48:'TE'!$U$85)))))))</f>
        <v>-625489.38771790883</v>
      </c>
      <c r="L9" s="18">
        <f>IF($G$2&lt;&gt;"Não se aplica",SUMIF(TE!$G$48:'TE'!$G$85,$I$2,TE!$V$48:'TE'!$V$85),IF($F$2&lt;&gt;"Não se aplica",SUMIF(TE!$F$48:'TE'!$F$85,$I$2,TE!$V$48:'TE'!$V$85),IF($E$2&lt;&gt;"Não se aplica",SUMIF(TE!$E$48:'TE'!$E$85,$I$2,TE!$V$48:'TE'!$V$85),IF($D$2&lt;&gt;"Não se aplica",SUMIF(TE!$D$48:'TE'!$D$85,$I$2,TE!$V$48:'TE'!$V$85),IF($C$2&lt;&gt;"Não se aplica",SUMIF(TE!$C$48:'TE'!$C$85,$I$2,TE!$V$48:'TE'!$V$85),IF($B$2&lt;&gt;"Não se aplica",SUMIF(TE!$B$48:'TE'!$B$85,$I$2,TE!$V$48:'TE'!$V$85),SUMIF(TE!$A$48:'TE'!$A$85,$I$2,TE!$V$48:'TE'!$V$85)))))))</f>
        <v>158746.44175611634</v>
      </c>
      <c r="M9" s="18">
        <f t="shared" si="0"/>
        <v>5809473.9708861299</v>
      </c>
      <c r="AD9" s="14" t="s">
        <v>44</v>
      </c>
    </row>
    <row r="10" spans="1:33" x14ac:dyDescent="0.2">
      <c r="A10" s="14" t="s">
        <v>1022</v>
      </c>
      <c r="B10" s="18">
        <f>SUMIF(TE!$A$48:'TE'!$A$85,$A$2,TE!$X$48:'TE'!$X$85)</f>
        <v>59858.354462341369</v>
      </c>
      <c r="C10" s="18">
        <f>SUMIF(TE!$A$48:'TE'!$A$85,$A$2,TE!$Y$48:'TE'!$Y$85)</f>
        <v>320710.79660243337</v>
      </c>
      <c r="D10" s="18">
        <f>SUMIF(TE!$A$48:'TE'!$A$85,$A$2,TE!$Z$48:'TE'!$Z$85)</f>
        <v>0</v>
      </c>
      <c r="E10" s="18">
        <f>SUMIF(TE!$A$48:'TE'!$A$85,$A$2,TE!$AA$48:'TE'!$AA$85)</f>
        <v>0</v>
      </c>
      <c r="F10" s="18">
        <f>SUMIF(TE!$A$48:'TE'!$A$85,$A$2,TE!$AB$48:'TE'!$AB$85)</f>
        <v>0</v>
      </c>
      <c r="G10" s="18">
        <f>SUMIF(TE!$A$48:'TE'!$A$85,$A$2,TE!$AC$48:'TE'!$AC$85)</f>
        <v>5669413.1460677609</v>
      </c>
      <c r="H10" s="18">
        <f>SUMIF(TE!$A$48:'TE'!$A$85,$A$2,TE!$AD$48:'TE'!$AD$85)</f>
        <v>124559.4999805595</v>
      </c>
      <c r="I10" s="18">
        <f>SUMIF(TE!$A$48:'TE'!$A$85,$A$2,TE!$AE$48:'TE'!$AE$85)</f>
        <v>110657.14189588286</v>
      </c>
      <c r="J10" s="18">
        <f>SUMIF(TE!$A$48:'TE'!$A$85,$A$2,TE!$AF$48:'TE'!$AF$85)</f>
        <v>0</v>
      </c>
      <c r="K10" s="18">
        <f>SUMIF(TE!$A$48:'TE'!$A$85,$A$2,TE!$AG$48:'TE'!$AG$85)</f>
        <v>-295127.9731969377</v>
      </c>
      <c r="L10" s="18">
        <f>SUMIF(TE!$A$48:'TE'!$A$85,$A$2,TE!$AH$48:'TE'!$AH$85)</f>
        <v>142339.50553779516</v>
      </c>
      <c r="M10" s="18">
        <f t="shared" si="0"/>
        <v>6132410.4713498354</v>
      </c>
      <c r="AD10" s="14" t="s">
        <v>88</v>
      </c>
    </row>
    <row r="11" spans="1:33" x14ac:dyDescent="0.2">
      <c r="A11" s="14" t="s">
        <v>1023</v>
      </c>
      <c r="B11" s="18">
        <f>SUMIF(TE!$A$48:'TE'!$A$85,$A$2,TE!$L$48:'TE'!$L$85)</f>
        <v>62283.269184081524</v>
      </c>
      <c r="C11" s="18">
        <f>SUMIF(TE!$A$48:'TE'!$A$85,$A$2,TE!$M$48:'TE'!$M$85)</f>
        <v>774432.89681281813</v>
      </c>
      <c r="D11" s="18">
        <f>SUMIF(TE!$A$48:'TE'!$A$85,$A$2,TE!$N$48:'TE'!$N$85)</f>
        <v>0</v>
      </c>
      <c r="E11" s="18">
        <f>SUMIF(TE!$A$48:'TE'!$A$85,$A$2,TE!$O$48:'TE'!$O$85)</f>
        <v>61130.775740135534</v>
      </c>
      <c r="F11" s="18">
        <f>SUMIF(TE!$A$48:'TE'!$A$85,$A$2,TE!$P$48:'TE'!$P$85)</f>
        <v>-411185.41455265874</v>
      </c>
      <c r="G11" s="18">
        <f>SUMIF(TE!$A$48:'TE'!$A$85,$A$2,TE!$Q$48:'TE'!$Q$85)</f>
        <v>5492943.1091641141</v>
      </c>
      <c r="H11" s="18">
        <f>SUMIF(TE!$A$48:'TE'!$A$85,$A$2,TE!$R$48:'TE'!$R$85)</f>
        <v>186747.11359192184</v>
      </c>
      <c r="I11" s="18">
        <f>SUMIF(TE!$A$48:'TE'!$A$85,$A$2,TE!$S$48:'TE'!$S$85)</f>
        <v>109865.16690751047</v>
      </c>
      <c r="J11" s="18">
        <f>SUMIF(TE!$A$48:'TE'!$A$85,$A$2,TE!$T$48:'TE'!$T$85)</f>
        <v>0</v>
      </c>
      <c r="K11" s="18">
        <f>SUMIF(TE!$A$48:'TE'!$A$85,$A$2,TE!$U$48:'TE'!$U$85)</f>
        <v>-625489.38771790883</v>
      </c>
      <c r="L11" s="18">
        <f>SUMIF(TE!$A$48:'TE'!$A$85,$A$2,TE!$V$48:'TE'!$V$85)</f>
        <v>158746.44175611634</v>
      </c>
      <c r="M11" s="18">
        <f t="shared" si="0"/>
        <v>5809473.9708861299</v>
      </c>
    </row>
    <row r="13" spans="1:33" x14ac:dyDescent="0.2">
      <c r="A13" s="14" t="s">
        <v>1027</v>
      </c>
      <c r="B13" s="29">
        <f t="shared" ref="B13:M13" si="1">IF($M$6&lt;&gt;0,(B$7-B$6)/$M$6,0)</f>
        <v>3.9604315065783533E-4</v>
      </c>
      <c r="C13" s="29">
        <f t="shared" si="1"/>
        <v>7.4023832145659801E-2</v>
      </c>
      <c r="D13" s="29">
        <f t="shared" si="1"/>
        <v>0</v>
      </c>
      <c r="E13" s="29">
        <f t="shared" si="1"/>
        <v>9.9730464055245022E-3</v>
      </c>
      <c r="F13" s="29">
        <f t="shared" si="1"/>
        <v>-6.7081943112266548E-2</v>
      </c>
      <c r="G13" s="29">
        <f t="shared" si="1"/>
        <v>-2.8735065199169154E-2</v>
      </c>
      <c r="H13" s="29">
        <f t="shared" si="1"/>
        <v>1.0146368665582542E-2</v>
      </c>
      <c r="I13" s="29">
        <f t="shared" si="1"/>
        <v>-1.2839946691719649E-4</v>
      </c>
      <c r="J13" s="29">
        <f t="shared" si="1"/>
        <v>0</v>
      </c>
      <c r="K13" s="29">
        <f t="shared" si="1"/>
        <v>-5.3875901750463091E-2</v>
      </c>
      <c r="L13" s="29">
        <f t="shared" si="1"/>
        <v>2.6777098405130371E-3</v>
      </c>
      <c r="M13" s="29">
        <f t="shared" si="1"/>
        <v>-5.2604309320877944E-2</v>
      </c>
    </row>
    <row r="14" spans="1:33" x14ac:dyDescent="0.2">
      <c r="A14" s="14" t="s">
        <v>1028</v>
      </c>
      <c r="B14" s="29">
        <f t="shared" ref="B14:M14" si="2">IF($M$10&lt;&gt;0,(B$9-B$8)/$M$10,0)</f>
        <v>3.9542602913963048E-4</v>
      </c>
      <c r="C14" s="29">
        <f t="shared" si="2"/>
        <v>7.3987562041083282E-2</v>
      </c>
      <c r="D14" s="29">
        <f t="shared" si="2"/>
        <v>0</v>
      </c>
      <c r="E14" s="29">
        <f t="shared" si="2"/>
        <v>9.9684742281577459E-3</v>
      </c>
      <c r="F14" s="29">
        <f t="shared" si="2"/>
        <v>-6.7051189165122968E-2</v>
      </c>
      <c r="G14" s="29">
        <f t="shared" si="2"/>
        <v>-2.8776618546345133E-2</v>
      </c>
      <c r="H14" s="29">
        <f t="shared" si="2"/>
        <v>1.0140810681525354E-2</v>
      </c>
      <c r="I14" s="29">
        <f t="shared" si="2"/>
        <v>-1.2914578893119327E-4</v>
      </c>
      <c r="J14" s="29">
        <f t="shared" si="2"/>
        <v>0</v>
      </c>
      <c r="K14" s="29">
        <f t="shared" si="2"/>
        <v>-5.3871379951553312E-2</v>
      </c>
      <c r="L14" s="29">
        <f t="shared" si="2"/>
        <v>2.6754465140540022E-3</v>
      </c>
      <c r="M14" s="29">
        <f t="shared" si="2"/>
        <v>-5.2660613957992666E-2</v>
      </c>
    </row>
    <row r="15" spans="1:33" x14ac:dyDescent="0.2">
      <c r="A15" s="14" t="s">
        <v>1029</v>
      </c>
      <c r="B15" s="29">
        <f t="shared" ref="B15:M15" si="3">IF($M$8&lt;&gt;0,(B$9-B$8)/$M$8,0)</f>
        <v>3.9542602913963048E-4</v>
      </c>
      <c r="C15" s="29">
        <f t="shared" si="3"/>
        <v>7.3987562041083282E-2</v>
      </c>
      <c r="D15" s="29">
        <f t="shared" si="3"/>
        <v>0</v>
      </c>
      <c r="E15" s="29">
        <f t="shared" si="3"/>
        <v>9.9684742281577459E-3</v>
      </c>
      <c r="F15" s="29">
        <f t="shared" si="3"/>
        <v>-6.7051189165122968E-2</v>
      </c>
      <c r="G15" s="29">
        <f t="shared" si="3"/>
        <v>-2.8776618546345133E-2</v>
      </c>
      <c r="H15" s="29">
        <f t="shared" si="3"/>
        <v>1.0140810681525354E-2</v>
      </c>
      <c r="I15" s="29">
        <f t="shared" si="3"/>
        <v>-1.2914578893119327E-4</v>
      </c>
      <c r="J15" s="29">
        <f t="shared" si="3"/>
        <v>0</v>
      </c>
      <c r="K15" s="29">
        <f t="shared" si="3"/>
        <v>-5.3871379951553312E-2</v>
      </c>
      <c r="L15" s="29">
        <f t="shared" si="3"/>
        <v>2.6754465140540022E-3</v>
      </c>
      <c r="M15" s="29">
        <f t="shared" si="3"/>
        <v>-5.2660613957992666E-2</v>
      </c>
    </row>
  </sheetData>
  <dataValidations count="4">
    <dataValidation type="list" allowBlank="1" showInputMessage="1" showErrorMessage="1" sqref="A2 G2" xr:uid="{C33C958E-CA96-4C4F-B07C-627E0DB04B20}">
      <formula1>AA1:AA5</formula1>
    </dataValidation>
    <dataValidation type="list" allowBlank="1" showInputMessage="1" showErrorMessage="1" sqref="B2 C2" xr:uid="{0378C35F-AD30-462F-851D-6DC5D64FB238}">
      <formula1>AB1:AB4</formula1>
    </dataValidation>
    <dataValidation type="list" allowBlank="1" showInputMessage="1" showErrorMessage="1" sqref="D2" xr:uid="{606CCEF4-F029-4827-8CDE-C4AF44CF2A9E}">
      <formula1>AD1:AD10</formula1>
    </dataValidation>
    <dataValidation type="list" allowBlank="1" showInputMessage="1" showErrorMessage="1" sqref="E2 F2" xr:uid="{2949E1B2-3598-465C-A283-44F5F9680502}">
      <formula1>AE1:AE1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906D-06ED-4E0F-8D8D-3DCAB542D87B}">
  <sheetPr>
    <tabColor indexed="12" tint="-0.249977111117893"/>
  </sheetPr>
  <dimension ref="A1:BC58"/>
  <sheetViews>
    <sheetView showGridLines="0" topLeftCell="AJ1" workbookViewId="0">
      <selection activeCell="AX9" sqref="AX9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7.85546875" style="9" bestFit="1" customWidth="1"/>
    <col min="14" max="14" width="8.7109375" style="9" bestFit="1" customWidth="1"/>
    <col min="15" max="15" width="4.140625" style="9" bestFit="1" customWidth="1"/>
    <col min="16" max="16" width="4.42578125" style="9" bestFit="1" customWidth="1"/>
    <col min="17" max="18" width="10" style="9" bestFit="1" customWidth="1"/>
    <col min="19" max="19" width="8.7109375" style="9" bestFit="1" customWidth="1"/>
    <col min="20" max="20" width="10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" style="9" bestFit="1" customWidth="1"/>
    <col min="31" max="31" width="10.5703125" style="9" bestFit="1" customWidth="1"/>
    <col min="32" max="32" width="7.28515625" style="9" bestFit="1" customWidth="1"/>
    <col min="33" max="33" width="10.5703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0.85546875" style="9" bestFit="1" customWidth="1"/>
    <col min="40" max="40" width="9.140625" style="9"/>
    <col min="41" max="41" width="11.140625" style="9" bestFit="1" customWidth="1"/>
    <col min="42" max="42" width="10.85546875" style="9" bestFit="1" customWidth="1"/>
    <col min="43" max="49" width="9.140625" style="9"/>
    <col min="50" max="50" width="16.140625" style="9" bestFit="1" customWidth="1"/>
    <col min="51" max="51" width="13.85546875" style="9" bestFit="1" customWidth="1"/>
    <col min="52" max="16384" width="9.140625" style="9"/>
  </cols>
  <sheetData>
    <row r="1" spans="1:55" ht="11.25" customHeight="1" x14ac:dyDescent="0.25">
      <c r="A1" s="133" t="s">
        <v>60</v>
      </c>
      <c r="B1" s="133" t="s">
        <v>61</v>
      </c>
      <c r="C1" s="133" t="s">
        <v>62</v>
      </c>
      <c r="D1" s="133" t="s">
        <v>63</v>
      </c>
      <c r="E1" s="133" t="s">
        <v>64</v>
      </c>
      <c r="F1" s="133" t="s">
        <v>15</v>
      </c>
      <c r="G1" s="133" t="s">
        <v>66</v>
      </c>
      <c r="H1" s="133" t="s">
        <v>67</v>
      </c>
      <c r="I1" s="133" t="s">
        <v>509</v>
      </c>
      <c r="J1" s="129"/>
      <c r="L1" s="134" t="s">
        <v>520</v>
      </c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  <c r="AA1" s="134"/>
      <c r="AB1" s="134"/>
      <c r="AC1" s="134"/>
      <c r="AD1" s="134"/>
      <c r="AE1" s="134"/>
      <c r="AF1" s="134"/>
      <c r="AG1" s="134"/>
      <c r="AH1" s="134"/>
      <c r="AI1" s="134"/>
      <c r="AJ1" s="134"/>
      <c r="AK1" s="134"/>
      <c r="AL1" s="134"/>
      <c r="AM1" s="134"/>
      <c r="AO1" s="44"/>
      <c r="AP1" s="138" t="s">
        <v>511</v>
      </c>
      <c r="AQ1" s="154" t="s">
        <v>1</v>
      </c>
      <c r="AR1" s="152" t="s">
        <v>2</v>
      </c>
      <c r="AS1" s="152" t="s">
        <v>3</v>
      </c>
      <c r="AT1" s="152" t="s">
        <v>4</v>
      </c>
      <c r="AU1" s="152" t="s">
        <v>5</v>
      </c>
      <c r="AV1" s="152" t="s">
        <v>1058</v>
      </c>
      <c r="AW1" s="152" t="s">
        <v>1059</v>
      </c>
      <c r="AX1" s="152" t="s">
        <v>1060</v>
      </c>
      <c r="AY1" s="152" t="s">
        <v>1061</v>
      </c>
      <c r="AZ1" s="152" t="s">
        <v>1062</v>
      </c>
      <c r="BC1" s="152" t="s">
        <v>1063</v>
      </c>
    </row>
    <row r="2" spans="1:55" ht="11.25" customHeight="1" x14ac:dyDescent="0.25">
      <c r="A2" s="133"/>
      <c r="B2" s="133"/>
      <c r="C2" s="133"/>
      <c r="D2" s="133"/>
      <c r="E2" s="133"/>
      <c r="F2" s="133"/>
      <c r="G2" s="133"/>
      <c r="H2" s="133"/>
      <c r="I2" s="133"/>
      <c r="J2" s="129"/>
      <c r="L2" s="134" t="s">
        <v>408</v>
      </c>
      <c r="M2" s="134"/>
      <c r="N2" s="134"/>
      <c r="O2" s="134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  <c r="AA2" s="134"/>
      <c r="AB2" s="134"/>
      <c r="AC2" s="134"/>
      <c r="AD2" s="134"/>
      <c r="AE2" s="134"/>
      <c r="AF2" s="134"/>
      <c r="AG2" s="134"/>
      <c r="AH2" s="134"/>
      <c r="AI2" s="134"/>
      <c r="AJ2" s="134"/>
      <c r="AK2" s="134"/>
      <c r="AL2" s="134"/>
      <c r="AM2" s="134"/>
      <c r="AO2" s="44"/>
      <c r="AP2" s="139"/>
      <c r="AQ2" s="155"/>
      <c r="AR2" s="153"/>
      <c r="AS2" s="153"/>
      <c r="AT2" s="153"/>
      <c r="AU2" s="153"/>
      <c r="AV2" s="153"/>
      <c r="AW2" s="153"/>
      <c r="AX2" s="153"/>
      <c r="AY2" s="153"/>
      <c r="AZ2" s="153"/>
      <c r="BC2" s="153"/>
    </row>
    <row r="3" spans="1:55" ht="11.25" customHeight="1" x14ac:dyDescent="0.25">
      <c r="A3" s="133"/>
      <c r="B3" s="133"/>
      <c r="C3" s="133"/>
      <c r="D3" s="133"/>
      <c r="E3" s="133"/>
      <c r="F3" s="133"/>
      <c r="G3" s="133"/>
      <c r="H3" s="133"/>
      <c r="I3" s="133"/>
      <c r="J3" s="129"/>
      <c r="L3" s="134" t="s">
        <v>409</v>
      </c>
      <c r="M3" s="134"/>
      <c r="N3" s="134"/>
      <c r="O3" s="134"/>
      <c r="P3" s="134"/>
      <c r="Q3" s="134"/>
      <c r="R3" s="134"/>
      <c r="S3" s="134"/>
      <c r="T3" s="134"/>
      <c r="U3" s="134" t="s">
        <v>418</v>
      </c>
      <c r="V3" s="134"/>
      <c r="W3" s="134"/>
      <c r="X3" s="134"/>
      <c r="Y3" s="134"/>
      <c r="Z3" s="134"/>
      <c r="AA3" s="134"/>
      <c r="AB3" s="134"/>
      <c r="AC3" s="134" t="s">
        <v>426</v>
      </c>
      <c r="AD3" s="134"/>
      <c r="AE3" s="134" t="s">
        <v>428</v>
      </c>
      <c r="AF3" s="134"/>
      <c r="AG3" s="134"/>
      <c r="AH3" s="134" t="s">
        <v>431</v>
      </c>
      <c r="AI3" s="134"/>
      <c r="AJ3" s="134"/>
      <c r="AK3" s="134"/>
      <c r="AL3" s="134"/>
      <c r="AM3" s="134" t="s">
        <v>417</v>
      </c>
      <c r="AO3" s="44"/>
      <c r="AP3" s="139"/>
      <c r="AQ3" s="155"/>
      <c r="AR3" s="153"/>
      <c r="AS3" s="153"/>
      <c r="AT3" s="153"/>
      <c r="AU3" s="153"/>
      <c r="AV3" s="153"/>
      <c r="AW3" s="153"/>
      <c r="AX3" s="153"/>
      <c r="AY3" s="153"/>
      <c r="AZ3" s="153"/>
      <c r="BC3" s="153"/>
    </row>
    <row r="4" spans="1:55" ht="11.25" customHeight="1" x14ac:dyDescent="0.25">
      <c r="A4" s="133"/>
      <c r="B4" s="133"/>
      <c r="C4" s="133"/>
      <c r="D4" s="133"/>
      <c r="E4" s="133"/>
      <c r="F4" s="133"/>
      <c r="G4" s="133"/>
      <c r="H4" s="133"/>
      <c r="I4" s="133"/>
      <c r="J4" s="129"/>
      <c r="L4" s="40" t="s">
        <v>494</v>
      </c>
      <c r="M4" s="40" t="s">
        <v>410</v>
      </c>
      <c r="N4" s="40" t="s">
        <v>411</v>
      </c>
      <c r="O4" s="40" t="s">
        <v>412</v>
      </c>
      <c r="P4" s="40" t="s">
        <v>413</v>
      </c>
      <c r="Q4" s="40" t="s">
        <v>414</v>
      </c>
      <c r="R4" s="40" t="s">
        <v>415</v>
      </c>
      <c r="S4" s="40" t="s">
        <v>416</v>
      </c>
      <c r="T4" s="40" t="s">
        <v>417</v>
      </c>
      <c r="U4" s="40" t="s">
        <v>419</v>
      </c>
      <c r="V4" s="40" t="s">
        <v>420</v>
      </c>
      <c r="W4" s="40" t="s">
        <v>421</v>
      </c>
      <c r="X4" s="40" t="s">
        <v>422</v>
      </c>
      <c r="Y4" s="40" t="s">
        <v>423</v>
      </c>
      <c r="Z4" s="40" t="s">
        <v>424</v>
      </c>
      <c r="AA4" s="40" t="s">
        <v>425</v>
      </c>
      <c r="AB4" s="40" t="s">
        <v>417</v>
      </c>
      <c r="AC4" s="40" t="s">
        <v>427</v>
      </c>
      <c r="AD4" s="40" t="s">
        <v>417</v>
      </c>
      <c r="AE4" s="40" t="s">
        <v>429</v>
      </c>
      <c r="AF4" s="40" t="s">
        <v>430</v>
      </c>
      <c r="AG4" s="40" t="s">
        <v>417</v>
      </c>
      <c r="AH4" s="40" t="s">
        <v>432</v>
      </c>
      <c r="AI4" s="40" t="s">
        <v>433</v>
      </c>
      <c r="AJ4" s="40" t="s">
        <v>434</v>
      </c>
      <c r="AK4" s="40" t="s">
        <v>435</v>
      </c>
      <c r="AL4" s="40" t="s">
        <v>417</v>
      </c>
      <c r="AM4" s="136"/>
      <c r="AO4" s="45" t="s">
        <v>522</v>
      </c>
      <c r="AP4" s="140"/>
      <c r="AQ4" s="155"/>
      <c r="AR4" s="153"/>
      <c r="AS4" s="153"/>
      <c r="AT4" s="153"/>
      <c r="AU4" s="153"/>
      <c r="AV4" s="153"/>
      <c r="AW4" s="153"/>
      <c r="AX4" s="153"/>
      <c r="AY4" s="153"/>
      <c r="AZ4" s="153"/>
      <c r="BC4" s="153"/>
    </row>
    <row r="5" spans="1:55" ht="11.25" customHeight="1" x14ac:dyDescent="0.25">
      <c r="A5" s="137" t="s">
        <v>34</v>
      </c>
      <c r="B5" s="137" t="s">
        <v>51</v>
      </c>
      <c r="C5" s="137" t="s">
        <v>25</v>
      </c>
      <c r="D5" s="137" t="s">
        <v>25</v>
      </c>
      <c r="E5" s="137" t="s">
        <v>25</v>
      </c>
      <c r="F5" s="137" t="s">
        <v>25</v>
      </c>
      <c r="G5" s="41" t="s">
        <v>76</v>
      </c>
      <c r="H5" s="41" t="s">
        <v>75</v>
      </c>
      <c r="I5" s="41">
        <f>'MERCADO TUSD'!$U$2</f>
        <v>20487</v>
      </c>
      <c r="J5" s="15"/>
      <c r="L5" s="31">
        <f>'TUSD BE'!$L$5*'TUSD BE'!$L$58</f>
        <v>0</v>
      </c>
      <c r="M5" s="31">
        <f>'TUSD BE'!$M$5*'TUSD BE'!$M$58</f>
        <v>0</v>
      </c>
      <c r="N5" s="31">
        <f ca="1">'TUSD BE'!$N$5*'TUSD BE'!$N$58</f>
        <v>0</v>
      </c>
      <c r="O5" s="31">
        <f>'TUSD BE'!$O$5*'TUSD BE'!$O$58</f>
        <v>0</v>
      </c>
      <c r="P5" s="31">
        <f>'TUSD BE'!$P$5*'TUSD BE'!$P$58</f>
        <v>0</v>
      </c>
      <c r="Q5" s="31">
        <f>'TUSD BE'!$Q$5*'TUSD BE'!$Q$58</f>
        <v>0</v>
      </c>
      <c r="R5" s="31">
        <f>'TUSD BE'!$R$5*'TUSD BE'!$R$58</f>
        <v>0</v>
      </c>
      <c r="S5" s="31">
        <f>'TUSD BE'!$R$5*'TUSD BE'!$S$58</f>
        <v>0</v>
      </c>
      <c r="T5" s="31">
        <f ca="1">SUM($L$5:$S$5)</f>
        <v>0</v>
      </c>
      <c r="U5" s="31">
        <f>'TUSD BE'!$U$5*'TUSD BE'!$U$58</f>
        <v>0</v>
      </c>
      <c r="V5" s="31">
        <f>'TUSD BE'!$V$5*'TUSD BE'!$V$58</f>
        <v>0</v>
      </c>
      <c r="W5" s="31">
        <f>'TUSD BE'!$W$5*'TUSD BE'!$W$58</f>
        <v>0</v>
      </c>
      <c r="X5" s="31">
        <f>'TUSD BE'!$X$5*'TUSD BE'!$X$58</f>
        <v>0</v>
      </c>
      <c r="Y5" s="31">
        <f>'TUSD BE'!$Y$5*'TUSD BE'!$Y$58</f>
        <v>1.4162052576105069</v>
      </c>
      <c r="Z5" s="31">
        <f>'TUSD BE'!$Z$5*'TUSD BE'!$Z$58</f>
        <v>0</v>
      </c>
      <c r="AA5" s="31">
        <f>'TUSD BE'!$AA$5*'TUSD BE'!$AA$58</f>
        <v>0</v>
      </c>
      <c r="AB5" s="31">
        <f>SUM($U$5:$AA$5)</f>
        <v>1.4162052576105069</v>
      </c>
      <c r="AC5" s="31">
        <f>'TUSD BE'!$AC$5*'TUSD BE'!$AC$58</f>
        <v>-0.11221862071963694</v>
      </c>
      <c r="AD5" s="31">
        <f>SUM($AC$5:$AC$5)</f>
        <v>-0.11221862071963694</v>
      </c>
      <c r="AE5" s="31">
        <f ca="1">$AO$5*$AO$55</f>
        <v>-3.9843979689927789</v>
      </c>
      <c r="AF5" s="31">
        <f ca="1">$AP$5*$AP$55</f>
        <v>0</v>
      </c>
      <c r="AG5" s="31">
        <f ca="1">SUM($AE$5:$AF$5)</f>
        <v>-3.9843979689927789</v>
      </c>
      <c r="AH5" s="31">
        <f>'TUSD BE'!$AH$5*'TUSD BE'!$AH$58</f>
        <v>0</v>
      </c>
      <c r="AI5" s="31">
        <f>'TUSD BE'!$AI$5*'TUSD BE'!$AI$58</f>
        <v>0</v>
      </c>
      <c r="AJ5" s="31">
        <f ca="1">'TUSD BE'!$AJ$5*'TUSD BE'!$AJ$58</f>
        <v>0</v>
      </c>
      <c r="AK5" s="31">
        <f ca="1">'TUSD BE'!$AK$5*'TUSD BE'!$AK$58</f>
        <v>0</v>
      </c>
      <c r="AL5" s="31">
        <f ca="1">SUM($AH$5:$AK$5)</f>
        <v>0</v>
      </c>
      <c r="AM5" s="31">
        <f ca="1">SUMIF($L$4:$AL$4,"SUBTOTAL",$L$5:$AL$5)+AZ5</f>
        <v>-2.680411332101909</v>
      </c>
      <c r="AO5" s="44">
        <f ca="1">+'TUSD BE'!$T$5+'TUSD BE'!$AB$5+'TUSD BE'!$AD$5+'TUSD BE'!$AL$5</f>
        <v>37.76658146591916</v>
      </c>
      <c r="AP5" s="44">
        <f ca="1">+'TUSD BE'!$T$5+'TUSD BE'!$AB$5+'TUSD BE'!$AD$5+'TUSD BE'!$AL$5</f>
        <v>37.76658146591916</v>
      </c>
      <c r="AQ5" s="9" t="str">
        <f t="shared" ref="AQ5:AQ51" si="0">IF($A5="",AQ4,$A5)</f>
        <v>A4</v>
      </c>
      <c r="AR5" s="9" t="str">
        <f t="shared" ref="AR5:AR51" si="1">IF($B5="",AR4,$B5)</f>
        <v>Azul</v>
      </c>
      <c r="AS5" s="9" t="str">
        <f t="shared" ref="AS5:AS51" si="2">IF($C5="",AS4,$C5)</f>
        <v>Não se aplica</v>
      </c>
      <c r="AT5" s="9" t="str">
        <f t="shared" ref="AT5:AT51" si="3">IF($D5="",AT4,$D5)</f>
        <v>Não se aplica</v>
      </c>
      <c r="AU5" s="9" t="str">
        <f t="shared" ref="AU5:AU51" si="4">IF($E5="",AU4,$E5)</f>
        <v>Não se aplica</v>
      </c>
      <c r="AV5" s="9">
        <f t="shared" ref="AV5:AV51" si="5">IF(OR(AR5="Distribuição",AR5="Geração"),0,1)</f>
        <v>1</v>
      </c>
      <c r="AW5" s="9">
        <f ca="1">IFERROR(VLOOKUP(AQ5,TarifaMedia!$C$17:$G$17,5,0),0)</f>
        <v>0</v>
      </c>
      <c r="AX5" s="15">
        <f ca="1">'TUSD BE'!$AM5+'TUSD BF'!$AM5+'TUSD CVA'!$AM5</f>
        <v>35.086170133817248</v>
      </c>
      <c r="AY5" s="9">
        <v>47.94</v>
      </c>
      <c r="AZ5" s="9">
        <f t="shared" ref="AZ5:AZ51" ca="1" si="6">(AY5-AX5)*AW5*AV5</f>
        <v>0</v>
      </c>
      <c r="BC5" s="93" t="s">
        <v>1064</v>
      </c>
    </row>
    <row r="6" spans="1:55" ht="11.25" customHeight="1" x14ac:dyDescent="0.25">
      <c r="A6" s="137"/>
      <c r="B6" s="137"/>
      <c r="C6" s="137"/>
      <c r="D6" s="137"/>
      <c r="E6" s="137"/>
      <c r="F6" s="137"/>
      <c r="G6" s="41" t="s">
        <v>77</v>
      </c>
      <c r="H6" s="41" t="s">
        <v>75</v>
      </c>
      <c r="I6" s="41">
        <f>'MERCADO TUSD'!$U$3</f>
        <v>21624</v>
      </c>
      <c r="J6" s="15"/>
      <c r="L6" s="31">
        <f>'TUSD BE'!$L$6*'TUSD BE'!$L$58</f>
        <v>0</v>
      </c>
      <c r="M6" s="31">
        <f>'TUSD BE'!$M$6*'TUSD BE'!$M$58</f>
        <v>0</v>
      </c>
      <c r="N6" s="31">
        <f ca="1">'TUSD BE'!$N$6*'TUSD BE'!$N$58</f>
        <v>0</v>
      </c>
      <c r="O6" s="31">
        <f>'TUSD BE'!$O$6*'TUSD BE'!$O$58</f>
        <v>0</v>
      </c>
      <c r="P6" s="31">
        <f>'TUSD BE'!$P$6*'TUSD BE'!$P$58</f>
        <v>0</v>
      </c>
      <c r="Q6" s="31">
        <f>'TUSD BE'!$Q$6*'TUSD BE'!$Q$58</f>
        <v>0</v>
      </c>
      <c r="R6" s="31">
        <f>'TUSD BE'!$R$6*'TUSD BE'!$R$58</f>
        <v>0</v>
      </c>
      <c r="S6" s="31">
        <f>'TUSD BE'!$R$6*'TUSD BE'!$S$58</f>
        <v>0</v>
      </c>
      <c r="T6" s="31">
        <f ca="1">SUM($L$6:$S$6)</f>
        <v>0</v>
      </c>
      <c r="U6" s="31">
        <f>'TUSD BE'!$U$6*'TUSD BE'!$U$58</f>
        <v>0</v>
      </c>
      <c r="V6" s="31">
        <f>'TUSD BE'!$V$6*'TUSD BE'!$V$58</f>
        <v>0</v>
      </c>
      <c r="W6" s="31">
        <f>'TUSD BE'!$W$6*'TUSD BE'!$W$58</f>
        <v>0</v>
      </c>
      <c r="X6" s="31">
        <f>'TUSD BE'!$X$6*'TUSD BE'!$X$58</f>
        <v>0</v>
      </c>
      <c r="Y6" s="31">
        <f>'TUSD BE'!$Y$6*'TUSD BE'!$Y$58</f>
        <v>0.82894555860018881</v>
      </c>
      <c r="Z6" s="31">
        <f>'TUSD BE'!$Z$6*'TUSD BE'!$Z$58</f>
        <v>0</v>
      </c>
      <c r="AA6" s="31">
        <f>'TUSD BE'!$AA$6*'TUSD BE'!$AA$58</f>
        <v>0</v>
      </c>
      <c r="AB6" s="31">
        <f>SUM($U$6:$AA$6)</f>
        <v>0.82894555860018881</v>
      </c>
      <c r="AC6" s="31">
        <f>'TUSD BE'!$AC$6*'TUSD BE'!$AC$58</f>
        <v>-4.8791594623099871E-2</v>
      </c>
      <c r="AD6" s="31">
        <f>SUM($AC$6:$AC$6)</f>
        <v>-4.8791594623099871E-2</v>
      </c>
      <c r="AE6" s="31">
        <f ca="1">$AO$6*$AO$55</f>
        <v>-2.2237279131182603</v>
      </c>
      <c r="AF6" s="31">
        <f ca="1">$AP$6*$AP$55</f>
        <v>0</v>
      </c>
      <c r="AG6" s="31">
        <f ca="1">SUM($AE$6:$AF$6)</f>
        <v>-2.2237279131182603</v>
      </c>
      <c r="AH6" s="31">
        <f>'TUSD BE'!$AH$6*'TUSD BE'!$AH$58</f>
        <v>0</v>
      </c>
      <c r="AI6" s="31">
        <f>'TUSD BE'!$AI$6*'TUSD BE'!$AI$58</f>
        <v>0</v>
      </c>
      <c r="AJ6" s="31">
        <f ca="1">'TUSD BE'!$AJ$6*'TUSD BE'!$AJ$58</f>
        <v>0</v>
      </c>
      <c r="AK6" s="31">
        <f ca="1">'TUSD BE'!$AK$6*'TUSD BE'!$AK$58</f>
        <v>0</v>
      </c>
      <c r="AL6" s="31">
        <f ca="1">SUM($AH$6:$AK$6)</f>
        <v>0</v>
      </c>
      <c r="AM6" s="31">
        <f ca="1">SUMIF($L$4:$AL$4,"SUBTOTAL",$L$6:$AL$6)+AZ6</f>
        <v>-1.4435739491411714</v>
      </c>
      <c r="AO6" s="44">
        <f ca="1">+'TUSD BE'!$T$6+'TUSD BE'!$AB$6+'TUSD BE'!$AD$6+'TUSD BE'!$AL$6</f>
        <v>21.077864721944241</v>
      </c>
      <c r="AP6" s="44">
        <f ca="1">+'TUSD BE'!$T$6+'TUSD BE'!$AB$6+'TUSD BE'!$AD$6+'TUSD BE'!$AL$6</f>
        <v>21.077864721944241</v>
      </c>
      <c r="AQ6" s="9" t="str">
        <f t="shared" si="0"/>
        <v>A4</v>
      </c>
      <c r="AR6" s="9" t="str">
        <f t="shared" si="1"/>
        <v>Azul</v>
      </c>
      <c r="AS6" s="9" t="str">
        <f t="shared" si="2"/>
        <v>Não se aplica</v>
      </c>
      <c r="AT6" s="9" t="str">
        <f t="shared" si="3"/>
        <v>Não se aplica</v>
      </c>
      <c r="AU6" s="9" t="str">
        <f t="shared" si="4"/>
        <v>Não se aplica</v>
      </c>
      <c r="AV6" s="9">
        <f t="shared" si="5"/>
        <v>1</v>
      </c>
      <c r="AW6" s="9">
        <f ca="1">IFERROR(VLOOKUP(AQ6,TarifaMedia!$C$17:$G$17,5,0),0)</f>
        <v>0</v>
      </c>
      <c r="AX6" s="15">
        <f ca="1">'TUSD BE'!$AM6+'TUSD BF'!$AM6+'TUSD CVA'!$AM6</f>
        <v>19.63429077280307</v>
      </c>
      <c r="AY6" s="9">
        <v>32.31</v>
      </c>
      <c r="AZ6" s="9">
        <f t="shared" ca="1" si="6"/>
        <v>0</v>
      </c>
      <c r="BC6" s="93" t="s">
        <v>1065</v>
      </c>
    </row>
    <row r="7" spans="1:55" ht="11.25" customHeight="1" x14ac:dyDescent="0.25">
      <c r="A7" s="137"/>
      <c r="B7" s="137"/>
      <c r="C7" s="137"/>
      <c r="D7" s="137"/>
      <c r="E7" s="137"/>
      <c r="F7" s="137"/>
      <c r="G7" s="41" t="s">
        <v>74</v>
      </c>
      <c r="H7" s="41" t="s">
        <v>70</v>
      </c>
      <c r="I7" s="41">
        <f>'MERCADO TUSD'!$U$4</f>
        <v>8675.9390000000003</v>
      </c>
      <c r="J7" s="15"/>
      <c r="L7" s="31">
        <f>'TUSD BE'!$L$7*'TUSD BE'!$L$58</f>
        <v>4.1675723657298103E-2</v>
      </c>
      <c r="M7" s="31">
        <f>'TUSD BE'!$M$7*'TUSD BE'!$M$58</f>
        <v>-2.826520952851741E-3</v>
      </c>
      <c r="N7" s="31">
        <f ca="1">'TUSD BE'!$N$7*'TUSD BE'!$N$58</f>
        <v>5.2266933871218434E-8</v>
      </c>
      <c r="O7" s="31">
        <f>'TUSD BE'!$O$7*'TUSD BE'!$O$58</f>
        <v>0</v>
      </c>
      <c r="P7" s="31">
        <f>'TUSD BE'!$P$7*'TUSD BE'!$P$58</f>
        <v>0</v>
      </c>
      <c r="Q7" s="31">
        <f>'TUSD BE'!$Q$7*'TUSD BE'!$Q$58</f>
        <v>1.1775740381386646</v>
      </c>
      <c r="R7" s="31">
        <f>'TUSD BE'!$R$7*'TUSD BE'!$R$58</f>
        <v>0.26830949317951003</v>
      </c>
      <c r="S7" s="31">
        <f>'TUSD BE'!$R$7*'TUSD BE'!$S$58</f>
        <v>0</v>
      </c>
      <c r="T7" s="31">
        <f ca="1">SUM($L$7:$S$7)</f>
        <v>1.4847327862895547</v>
      </c>
      <c r="U7" s="31">
        <f>'TUSD BE'!$U$7*'TUSD BE'!$U$58</f>
        <v>0</v>
      </c>
      <c r="V7" s="31">
        <f>'TUSD BE'!$V$7*'TUSD BE'!$V$58</f>
        <v>0</v>
      </c>
      <c r="W7" s="31">
        <f>'TUSD BE'!$W$7*'TUSD BE'!$W$58</f>
        <v>0</v>
      </c>
      <c r="X7" s="31">
        <f>'TUSD BE'!$X$7*'TUSD BE'!$X$58</f>
        <v>0</v>
      </c>
      <c r="Y7" s="31">
        <f>'TUSD BE'!$Y$7*'TUSD BE'!$Y$58</f>
        <v>0</v>
      </c>
      <c r="Z7" s="31">
        <f>'TUSD BE'!$Z$7*'TUSD BE'!$Z$58</f>
        <v>0</v>
      </c>
      <c r="AA7" s="31">
        <f>'TUSD BE'!$AA$7*'TUSD BE'!$AA$58</f>
        <v>0</v>
      </c>
      <c r="AB7" s="31">
        <f>SUM($U$7:$AA$7)</f>
        <v>0</v>
      </c>
      <c r="AC7" s="31">
        <f>'TUSD BE'!$AC$7*'TUSD BE'!$AC$58</f>
        <v>0</v>
      </c>
      <c r="AD7" s="31">
        <f>SUM($AC$7:$AC$7)</f>
        <v>0</v>
      </c>
      <c r="AE7" s="31">
        <f ca="1">$AO$7*$AO$55</f>
        <v>-11.419788281754164</v>
      </c>
      <c r="AF7" s="31">
        <f ca="1">$AP$7*$AP$55</f>
        <v>0</v>
      </c>
      <c r="AG7" s="31">
        <f ca="1">SUM($AE$7:$AF$7)</f>
        <v>-11.419788281754164</v>
      </c>
      <c r="AH7" s="31">
        <f>'TUSD BE'!$AH$7*'TUSD BE'!$AH$58</f>
        <v>-0.64344372545479267</v>
      </c>
      <c r="AI7" s="31">
        <f>'TUSD BE'!$AI$7*'TUSD BE'!$AI$58</f>
        <v>-2.0692278346154683E-2</v>
      </c>
      <c r="AJ7" s="31">
        <f ca="1">'TUSD BE'!$AJ$7*'TUSD BE'!$AJ$58</f>
        <v>-7.917379154775718E-2</v>
      </c>
      <c r="AK7" s="31">
        <f ca="1">'TUSD BE'!$AK$7*'TUSD BE'!$AK$58</f>
        <v>2.7996762252195908E-2</v>
      </c>
      <c r="AL7" s="31">
        <f ca="1">SUM($AH$7:$AK$7)</f>
        <v>-0.71531303309650862</v>
      </c>
      <c r="AM7" s="31">
        <f ca="1">SUMIF($L$4:$AL$4,"SUBTOTAL",$L$7:$AL$7)+AZ7</f>
        <v>-10.650368528561117</v>
      </c>
      <c r="AO7" s="44">
        <f ca="1">+'TUSD BE'!$T$7+'TUSD BE'!$AB$7+'TUSD BE'!$AD$7+'TUSD BE'!$AL$7</f>
        <v>108.2437968854409</v>
      </c>
      <c r="AP7" s="44">
        <f ca="1">+'TUSD BE'!$T$7+'TUSD BE'!$AB$7+'TUSD BE'!$AD$7+'TUSD BE'!$AL$7</f>
        <v>108.2437968854409</v>
      </c>
      <c r="AQ7" s="9" t="str">
        <f t="shared" si="0"/>
        <v>A4</v>
      </c>
      <c r="AR7" s="9" t="str">
        <f t="shared" si="1"/>
        <v>Azul</v>
      </c>
      <c r="AS7" s="9" t="str">
        <f t="shared" si="2"/>
        <v>Não se aplica</v>
      </c>
      <c r="AT7" s="9" t="str">
        <f t="shared" si="3"/>
        <v>Não se aplica</v>
      </c>
      <c r="AU7" s="9" t="str">
        <f t="shared" si="4"/>
        <v>Não se aplica</v>
      </c>
      <c r="AV7" s="9">
        <f t="shared" si="5"/>
        <v>1</v>
      </c>
      <c r="AW7" s="9">
        <f ca="1">IFERROR(VLOOKUP(AQ7,TarifaMedia!$C$17:$G$17,5,0),0)</f>
        <v>0</v>
      </c>
      <c r="AX7" s="15">
        <f ca="1">'TUSD BE'!$AM7+'TUSD BF'!$AM7+'TUSD CVA'!$AM7</f>
        <v>114.48039155571371</v>
      </c>
      <c r="AY7" s="9">
        <v>116.79</v>
      </c>
      <c r="AZ7" s="9">
        <f t="shared" ca="1" si="6"/>
        <v>0</v>
      </c>
      <c r="BC7" s="93" t="s">
        <v>1066</v>
      </c>
    </row>
    <row r="8" spans="1:55" ht="11.25" customHeight="1" x14ac:dyDescent="0.25">
      <c r="A8" s="137"/>
      <c r="B8" s="137"/>
      <c r="C8" s="137"/>
      <c r="D8" s="137"/>
      <c r="E8" s="42" t="s">
        <v>78</v>
      </c>
      <c r="F8" s="42" t="s">
        <v>25</v>
      </c>
      <c r="G8" s="41" t="s">
        <v>74</v>
      </c>
      <c r="H8" s="41" t="s">
        <v>70</v>
      </c>
      <c r="I8" s="41">
        <f>'MERCADO TUSD'!$U$5</f>
        <v>0</v>
      </c>
      <c r="J8" s="15"/>
      <c r="L8" s="31">
        <f>'TUSD BE'!$L$8*'TUSD BE'!$L$58</f>
        <v>0</v>
      </c>
      <c r="M8" s="31">
        <f>'TUSD BE'!$M$8*'TUSD BE'!$M$58</f>
        <v>-2.826520952851741E-3</v>
      </c>
      <c r="N8" s="31">
        <f ca="1">'TUSD BE'!$N$8*'TUSD BE'!$N$58</f>
        <v>5.0151177671311982E-8</v>
      </c>
      <c r="O8" s="31">
        <f>'TUSD BE'!$O$8*'TUSD BE'!$O$58</f>
        <v>0</v>
      </c>
      <c r="P8" s="31">
        <f>'TUSD BE'!$P$8*'TUSD BE'!$P$58</f>
        <v>0</v>
      </c>
      <c r="Q8" s="31">
        <f>'TUSD BE'!$Q$8*'TUSD BE'!$Q$58</f>
        <v>0</v>
      </c>
      <c r="R8" s="31">
        <f>'TUSD BE'!$R$8*'TUSD BE'!$R$58</f>
        <v>0</v>
      </c>
      <c r="S8" s="31">
        <f>'TUSD BE'!$R$8*'TUSD BE'!$S$58</f>
        <v>0</v>
      </c>
      <c r="T8" s="31">
        <f ca="1">SUM($L$8:$S$8)</f>
        <v>-2.8264708016740698E-3</v>
      </c>
      <c r="U8" s="31">
        <f>'TUSD BE'!$U$8*'TUSD BE'!$U$58</f>
        <v>0</v>
      </c>
      <c r="V8" s="31">
        <f>'TUSD BE'!$V$8*'TUSD BE'!$V$58</f>
        <v>0</v>
      </c>
      <c r="W8" s="31">
        <f>'TUSD BE'!$W$8*'TUSD BE'!$W$58</f>
        <v>0</v>
      </c>
      <c r="X8" s="31">
        <f>'TUSD BE'!$X$8*'TUSD BE'!$X$58</f>
        <v>0</v>
      </c>
      <c r="Y8" s="31">
        <f>'TUSD BE'!$Y$8*'TUSD BE'!$Y$58</f>
        <v>0</v>
      </c>
      <c r="Z8" s="31">
        <f>'TUSD BE'!$Z$8*'TUSD BE'!$Z$58</f>
        <v>0</v>
      </c>
      <c r="AA8" s="31">
        <f>'TUSD BE'!$AA$8*'TUSD BE'!$AA$58</f>
        <v>0</v>
      </c>
      <c r="AB8" s="31">
        <f>SUM($U$8:$AA$8)</f>
        <v>0</v>
      </c>
      <c r="AC8" s="31">
        <f>'TUSD BE'!$AC$8*'TUSD BE'!$AC$58</f>
        <v>0</v>
      </c>
      <c r="AD8" s="31">
        <f>SUM($AC$8:$AC$8)</f>
        <v>0</v>
      </c>
      <c r="AE8" s="31">
        <f ca="1">$AO$8*$AO$55</f>
        <v>-1.3312919431011787</v>
      </c>
      <c r="AF8" s="31">
        <f ca="1">$AP$8*$AP$55</f>
        <v>0</v>
      </c>
      <c r="AG8" s="31">
        <f ca="1">SUM($AE$8:$AF$8)</f>
        <v>-1.3312919431011787</v>
      </c>
      <c r="AH8" s="31">
        <f>'TUSD BE'!$AH$8*'TUSD BE'!$AH$58</f>
        <v>-0.64344372545479267</v>
      </c>
      <c r="AI8" s="31">
        <f>'TUSD BE'!$AI$8*'TUSD BE'!$AI$58</f>
        <v>-2.0692278346154683E-2</v>
      </c>
      <c r="AJ8" s="31">
        <f ca="1">'TUSD BE'!$AJ$8*'TUSD BE'!$AJ$58</f>
        <v>-7.917379154775718E-2</v>
      </c>
      <c r="AK8" s="31">
        <f ca="1">'TUSD BE'!$AK$8*'TUSD BE'!$AK$58</f>
        <v>2.7996762252195908E-2</v>
      </c>
      <c r="AL8" s="31">
        <f ca="1">SUM($AH$8:$AK$8)</f>
        <v>-0.71531303309650862</v>
      </c>
      <c r="AM8" s="31">
        <f ca="1">SUMIF($L$4:$AL$4,"SUBTOTAL",$L$8:$AL$8)+AZ8</f>
        <v>-2.0494314469993613</v>
      </c>
      <c r="AO8" s="44">
        <f ca="1">+'TUSD BE'!$T$8+'TUSD BE'!$AB$8+'TUSD BE'!$AD$8+'TUSD BE'!$AL$8</f>
        <v>12.618806157247993</v>
      </c>
      <c r="AP8" s="44">
        <f ca="1">+'TUSD BE'!$T$8+'TUSD BE'!$AB$8+'TUSD BE'!$AD$8+'TUSD BE'!$AL$8</f>
        <v>12.618806157247993</v>
      </c>
      <c r="AQ8" s="9" t="str">
        <f t="shared" si="0"/>
        <v>A4</v>
      </c>
      <c r="AR8" s="9" t="str">
        <f t="shared" si="1"/>
        <v>Azul</v>
      </c>
      <c r="AS8" s="9" t="str">
        <f t="shared" si="2"/>
        <v>Não se aplica</v>
      </c>
      <c r="AT8" s="9" t="str">
        <f t="shared" si="3"/>
        <v>Não se aplica</v>
      </c>
      <c r="AU8" s="9" t="str">
        <f t="shared" si="4"/>
        <v>APE</v>
      </c>
      <c r="AV8" s="9">
        <f t="shared" si="5"/>
        <v>1</v>
      </c>
      <c r="AW8" s="9">
        <f ca="1">IFERROR(VLOOKUP(AQ8,TarifaMedia!$C$17:$G$17,5,0),0)</f>
        <v>0</v>
      </c>
      <c r="AX8" s="15">
        <f ca="1">'TUSD BE'!$AM8+'TUSD BF'!$AM8+'TUSD CVA'!$AM8</f>
        <v>11.866269482883245</v>
      </c>
      <c r="AY8" s="9">
        <v>17.61</v>
      </c>
      <c r="AZ8" s="9">
        <f t="shared" ca="1" si="6"/>
        <v>0</v>
      </c>
      <c r="BC8" s="93" t="s">
        <v>1067</v>
      </c>
    </row>
    <row r="9" spans="1:55" ht="11.25" customHeight="1" x14ac:dyDescent="0.25">
      <c r="A9" s="137"/>
      <c r="B9" s="42" t="s">
        <v>79</v>
      </c>
      <c r="C9" s="42" t="s">
        <v>25</v>
      </c>
      <c r="D9" s="42" t="s">
        <v>25</v>
      </c>
      <c r="E9" s="42" t="s">
        <v>25</v>
      </c>
      <c r="F9" s="42" t="s">
        <v>25</v>
      </c>
      <c r="G9" s="41" t="s">
        <v>9</v>
      </c>
      <c r="H9" s="41" t="s">
        <v>75</v>
      </c>
      <c r="I9" s="41">
        <f>'MERCADO TUSD'!$U$6</f>
        <v>0</v>
      </c>
      <c r="J9" s="15"/>
      <c r="L9" s="31">
        <f>'TUSD BE'!$L$9*'TUSD BE'!$L$58</f>
        <v>0</v>
      </c>
      <c r="M9" s="31">
        <f>'TUSD BE'!$M$9*'TUSD BE'!$M$58</f>
        <v>-2.9582904696233989E-4</v>
      </c>
      <c r="N9" s="31">
        <f ca="1">'TUSD BE'!$N$9*'TUSD BE'!$N$58</f>
        <v>6.8550500876968814E-9</v>
      </c>
      <c r="O9" s="31">
        <f>'TUSD BE'!$O$9*'TUSD BE'!$O$58</f>
        <v>0</v>
      </c>
      <c r="P9" s="31">
        <f>'TUSD BE'!$P$9*'TUSD BE'!$P$58</f>
        <v>0</v>
      </c>
      <c r="Q9" s="31">
        <f>'TUSD BE'!$Q$9*'TUSD BE'!$Q$58</f>
        <v>0</v>
      </c>
      <c r="R9" s="31">
        <f>'TUSD BE'!$R$9*'TUSD BE'!$R$58</f>
        <v>0</v>
      </c>
      <c r="S9" s="31">
        <f>'TUSD BE'!$R$9*'TUSD BE'!$S$58</f>
        <v>0</v>
      </c>
      <c r="T9" s="31">
        <f ca="1">SUM($L$9:$S$9)</f>
        <v>-2.958221919122522E-4</v>
      </c>
      <c r="U9" s="31">
        <f>'TUSD BE'!$U$9*'TUSD BE'!$U$58</f>
        <v>0</v>
      </c>
      <c r="V9" s="31">
        <f>'TUSD BE'!$V$9*'TUSD BE'!$V$58</f>
        <v>0</v>
      </c>
      <c r="W9" s="31">
        <f>'TUSD BE'!$W$9*'TUSD BE'!$W$58</f>
        <v>0</v>
      </c>
      <c r="X9" s="31">
        <f>'TUSD BE'!$X$9*'TUSD BE'!$X$58</f>
        <v>0</v>
      </c>
      <c r="Y9" s="31">
        <f>'TUSD BE'!$Y$9*'TUSD BE'!$Y$58</f>
        <v>0</v>
      </c>
      <c r="Z9" s="31">
        <f>'TUSD BE'!$Z$9*'TUSD BE'!$Z$58</f>
        <v>0</v>
      </c>
      <c r="AA9" s="31">
        <f>'TUSD BE'!$AA$9*'TUSD BE'!$AA$58</f>
        <v>0</v>
      </c>
      <c r="AB9" s="31">
        <f>SUM($U$9:$AA$9)</f>
        <v>0</v>
      </c>
      <c r="AC9" s="31">
        <f>'TUSD BE'!$AC$9*'TUSD BE'!$AC$58</f>
        <v>-5.5130203405768012E-2</v>
      </c>
      <c r="AD9" s="31">
        <f>SUM($AC$9:$AC$9)</f>
        <v>-5.5130203405768012E-2</v>
      </c>
      <c r="AE9" s="31">
        <f ca="1">$AO$9*$AO$55</f>
        <v>-0.35919762593769938</v>
      </c>
      <c r="AF9" s="31">
        <f ca="1">$AP$9*$AP$55</f>
        <v>0</v>
      </c>
      <c r="AG9" s="31">
        <f ca="1">SUM($AE$9:$AF$9)</f>
        <v>-0.35919762593769938</v>
      </c>
      <c r="AH9" s="31">
        <f>'TUSD BE'!$AH$9*'TUSD BE'!$AH$58</f>
        <v>0</v>
      </c>
      <c r="AI9" s="31">
        <f>'TUSD BE'!$AI$9*'TUSD BE'!$AI$58</f>
        <v>0</v>
      </c>
      <c r="AJ9" s="31">
        <f ca="1">'TUSD BE'!$AJ$9*'TUSD BE'!$AJ$58</f>
        <v>0</v>
      </c>
      <c r="AK9" s="31">
        <f ca="1">'TUSD BE'!$AK$9*'TUSD BE'!$AK$58</f>
        <v>0</v>
      </c>
      <c r="AL9" s="31">
        <f ca="1">SUM($AH$9:$AK$9)</f>
        <v>0</v>
      </c>
      <c r="AM9" s="31">
        <f ca="1">SUMIF($L$4:$AL$4,"SUBTOTAL",$L$9:$AL$9)+AZ9</f>
        <v>-0.41462365153537967</v>
      </c>
      <c r="AO9" s="44">
        <f ca="1">+'TUSD BE'!$T$9+'TUSD BE'!$AB$9+'TUSD BE'!$AD$9+'TUSD BE'!$AL$9</f>
        <v>3.4046966462464501</v>
      </c>
      <c r="AP9" s="44">
        <f ca="1">+'TUSD BE'!$T$9+'TUSD BE'!$AB$9+'TUSD BE'!$AD$9+'TUSD BE'!$AL$9</f>
        <v>3.4046966462464501</v>
      </c>
      <c r="AQ9" s="9" t="str">
        <f t="shared" si="0"/>
        <v>A4</v>
      </c>
      <c r="AR9" s="9" t="str">
        <f t="shared" si="1"/>
        <v>Geração</v>
      </c>
      <c r="AS9" s="9" t="str">
        <f t="shared" si="2"/>
        <v>Não se aplica</v>
      </c>
      <c r="AT9" s="9" t="str">
        <f t="shared" si="3"/>
        <v>Não se aplica</v>
      </c>
      <c r="AU9" s="9" t="str">
        <f t="shared" si="4"/>
        <v>Não se aplica</v>
      </c>
      <c r="AV9" s="9">
        <f t="shared" si="5"/>
        <v>0</v>
      </c>
      <c r="AW9" s="9">
        <f ca="1">IFERROR(VLOOKUP(AQ9,TarifaMedia!$C$17:$G$17,5,0),0)</f>
        <v>0</v>
      </c>
      <c r="AX9" s="15">
        <f ca="1">'TUSD BE'!$AM9+'TUSD BF'!$AM9+'TUSD CVA'!$AM9</f>
        <v>2.9900729947110705</v>
      </c>
      <c r="AY9" s="9">
        <v>8.82</v>
      </c>
      <c r="AZ9" s="9">
        <f t="shared" ca="1" si="6"/>
        <v>0</v>
      </c>
      <c r="BC9" s="93" t="s">
        <v>1068</v>
      </c>
    </row>
    <row r="10" spans="1:55" ht="11.25" customHeight="1" x14ac:dyDescent="0.25">
      <c r="A10" s="137"/>
      <c r="B10" s="137" t="s">
        <v>35</v>
      </c>
      <c r="C10" s="137" t="s">
        <v>25</v>
      </c>
      <c r="D10" s="137" t="s">
        <v>25</v>
      </c>
      <c r="E10" s="137" t="s">
        <v>25</v>
      </c>
      <c r="F10" s="137" t="s">
        <v>25</v>
      </c>
      <c r="G10" s="41" t="s">
        <v>9</v>
      </c>
      <c r="H10" s="41" t="s">
        <v>75</v>
      </c>
      <c r="I10" s="41">
        <f>'MERCADO TUSD'!$U$7</f>
        <v>83769</v>
      </c>
      <c r="J10" s="15"/>
      <c r="L10" s="31">
        <f>'TUSD BE'!$L$10*'TUSD BE'!$L$58</f>
        <v>0</v>
      </c>
      <c r="M10" s="31">
        <f>'TUSD BE'!$M$10*'TUSD BE'!$M$58</f>
        <v>0</v>
      </c>
      <c r="N10" s="31">
        <f ca="1">'TUSD BE'!$N$10*'TUSD BE'!$N$58</f>
        <v>0</v>
      </c>
      <c r="O10" s="31">
        <f>'TUSD BE'!$O$10*'TUSD BE'!$O$58</f>
        <v>0</v>
      </c>
      <c r="P10" s="31">
        <f>'TUSD BE'!$P$10*'TUSD BE'!$P$58</f>
        <v>0</v>
      </c>
      <c r="Q10" s="31">
        <f>'TUSD BE'!$Q$10*'TUSD BE'!$Q$58</f>
        <v>0</v>
      </c>
      <c r="R10" s="31">
        <f>'TUSD BE'!$R$10*'TUSD BE'!$R$58</f>
        <v>0</v>
      </c>
      <c r="S10" s="31">
        <f>'TUSD BE'!$R$10*'TUSD BE'!$S$58</f>
        <v>0</v>
      </c>
      <c r="T10" s="31">
        <f ca="1">SUM($L$10:$S$10)</f>
        <v>0</v>
      </c>
      <c r="U10" s="31">
        <f>'TUSD BE'!$U$10*'TUSD BE'!$U$58</f>
        <v>0</v>
      </c>
      <c r="V10" s="31">
        <f>'TUSD BE'!$V$10*'TUSD BE'!$V$58</f>
        <v>0</v>
      </c>
      <c r="W10" s="31">
        <f>'TUSD BE'!$W$10*'TUSD BE'!$W$58</f>
        <v>0</v>
      </c>
      <c r="X10" s="31">
        <f>'TUSD BE'!$X$10*'TUSD BE'!$X$58</f>
        <v>0</v>
      </c>
      <c r="Y10" s="31">
        <f>'TUSD BE'!$Y$10*'TUSD BE'!$Y$58</f>
        <v>0.82894555860018881</v>
      </c>
      <c r="Z10" s="31">
        <f>'TUSD BE'!$Z$10*'TUSD BE'!$Z$58</f>
        <v>0</v>
      </c>
      <c r="AA10" s="31">
        <f>'TUSD BE'!$AA$10*'TUSD BE'!$AA$58</f>
        <v>0</v>
      </c>
      <c r="AB10" s="31">
        <f>SUM($U$10:$AA$10)</f>
        <v>0.82894555860018881</v>
      </c>
      <c r="AC10" s="31">
        <f>'TUSD BE'!$AC$10*'TUSD BE'!$AC$58</f>
        <v>-4.8791594623099871E-2</v>
      </c>
      <c r="AD10" s="31">
        <f>SUM($AC$10:$AC$10)</f>
        <v>-4.8791594623099871E-2</v>
      </c>
      <c r="AE10" s="31">
        <f ca="1">$AO$10*$AO$55</f>
        <v>-2.2237279131182603</v>
      </c>
      <c r="AF10" s="31">
        <f ca="1">$AP$10*$AP$55</f>
        <v>0</v>
      </c>
      <c r="AG10" s="31">
        <f ca="1">SUM($AE$10:$AF$10)</f>
        <v>-2.2237279131182603</v>
      </c>
      <c r="AH10" s="31">
        <f>'TUSD BE'!$AH$10*'TUSD BE'!$AH$58</f>
        <v>0</v>
      </c>
      <c r="AI10" s="31">
        <f>'TUSD BE'!$AI$10*'TUSD BE'!$AI$58</f>
        <v>0</v>
      </c>
      <c r="AJ10" s="31">
        <f ca="1">'TUSD BE'!$AJ$10*'TUSD BE'!$AJ$58</f>
        <v>0</v>
      </c>
      <c r="AK10" s="31">
        <f ca="1">'TUSD BE'!$AK$10*'TUSD BE'!$AK$58</f>
        <v>0</v>
      </c>
      <c r="AL10" s="31">
        <f ca="1">SUM($AH$10:$AK$10)</f>
        <v>0</v>
      </c>
      <c r="AM10" s="31">
        <f ca="1">SUMIF($L$4:$AL$4,"SUBTOTAL",$L$10:$AL$10)+AZ10</f>
        <v>-1.4435739491411714</v>
      </c>
      <c r="AO10" s="44">
        <f ca="1">+'TUSD BE'!$T$10+'TUSD BE'!$AB$10+'TUSD BE'!$AD$10+'TUSD BE'!$AL$10</f>
        <v>21.077864721944241</v>
      </c>
      <c r="AP10" s="44">
        <f ca="1">+'TUSD BE'!$T$10+'TUSD BE'!$AB$10+'TUSD BE'!$AD$10+'TUSD BE'!$AL$10</f>
        <v>21.077864721944241</v>
      </c>
      <c r="AQ10" s="9" t="str">
        <f t="shared" si="0"/>
        <v>A4</v>
      </c>
      <c r="AR10" s="9" t="str">
        <f t="shared" si="1"/>
        <v>Verde</v>
      </c>
      <c r="AS10" s="9" t="str">
        <f t="shared" si="2"/>
        <v>Não se aplica</v>
      </c>
      <c r="AT10" s="9" t="str">
        <f t="shared" si="3"/>
        <v>Não se aplica</v>
      </c>
      <c r="AU10" s="9" t="str">
        <f t="shared" si="4"/>
        <v>Não se aplica</v>
      </c>
      <c r="AV10" s="9">
        <f t="shared" si="5"/>
        <v>1</v>
      </c>
      <c r="AW10" s="9">
        <f ca="1">IFERROR(VLOOKUP(AQ10,TarifaMedia!$C$17:$G$17,5,0),0)</f>
        <v>0</v>
      </c>
      <c r="AX10" s="15">
        <f ca="1">'TUSD BE'!$AM10+'TUSD BF'!$AM10+'TUSD CVA'!$AM10</f>
        <v>19.63429077280307</v>
      </c>
      <c r="AY10" s="9">
        <v>32.31</v>
      </c>
      <c r="AZ10" s="9">
        <f t="shared" ca="1" si="6"/>
        <v>0</v>
      </c>
      <c r="BC10" s="93" t="s">
        <v>1069</v>
      </c>
    </row>
    <row r="11" spans="1:55" ht="11.25" customHeight="1" x14ac:dyDescent="0.25">
      <c r="A11" s="137"/>
      <c r="B11" s="137"/>
      <c r="C11" s="137"/>
      <c r="D11" s="137"/>
      <c r="E11" s="137"/>
      <c r="F11" s="137"/>
      <c r="G11" s="41" t="s">
        <v>71</v>
      </c>
      <c r="H11" s="41" t="s">
        <v>70</v>
      </c>
      <c r="I11" s="41">
        <f>'MERCADO TUSD'!$U$8</f>
        <v>2568.357</v>
      </c>
      <c r="J11" s="15"/>
      <c r="L11" s="31">
        <f>'TUSD BE'!$L$11*'TUSD BE'!$L$58</f>
        <v>4.1675723657298103E-2</v>
      </c>
      <c r="M11" s="31">
        <f>'TUSD BE'!$M$11*'TUSD BE'!$M$58</f>
        <v>-2.826520952851741E-3</v>
      </c>
      <c r="N11" s="31">
        <f ca="1">'TUSD BE'!$N$11*'TUSD BE'!$N$58</f>
        <v>1.7759938211945185E-6</v>
      </c>
      <c r="O11" s="31">
        <f>'TUSD BE'!$O$11*'TUSD BE'!$O$58</f>
        <v>0</v>
      </c>
      <c r="P11" s="31">
        <f>'TUSD BE'!$P$11*'TUSD BE'!$P$58</f>
        <v>0</v>
      </c>
      <c r="Q11" s="31">
        <f>'TUSD BE'!$Q$11*'TUSD BE'!$Q$58</f>
        <v>1.1775740381386646</v>
      </c>
      <c r="R11" s="31">
        <f>'TUSD BE'!$R$11*'TUSD BE'!$R$58</f>
        <v>0.26830949317951003</v>
      </c>
      <c r="S11" s="31">
        <f>'TUSD BE'!$R$11*'TUSD BE'!$S$58</f>
        <v>0</v>
      </c>
      <c r="T11" s="31">
        <f ca="1">SUM($L$11:$S$11)</f>
        <v>1.4847345100164422</v>
      </c>
      <c r="U11" s="31">
        <f>'TUSD BE'!$U$11*'TUSD BE'!$U$58</f>
        <v>0</v>
      </c>
      <c r="V11" s="31">
        <f>'TUSD BE'!$V$11*'TUSD BE'!$V$58</f>
        <v>0</v>
      </c>
      <c r="W11" s="31">
        <f>'TUSD BE'!$W$11*'TUSD BE'!$W$58</f>
        <v>0</v>
      </c>
      <c r="X11" s="31">
        <f>'TUSD BE'!$X$11*'TUSD BE'!$X$58</f>
        <v>0</v>
      </c>
      <c r="Y11" s="31">
        <f>'TUSD BE'!$Y$11*'TUSD BE'!$Y$58</f>
        <v>34.059781063822065</v>
      </c>
      <c r="Z11" s="31">
        <f>'TUSD BE'!$Z$11*'TUSD BE'!$Z$58</f>
        <v>0</v>
      </c>
      <c r="AA11" s="31">
        <f>'TUSD BE'!$AA$11*'TUSD BE'!$AA$58</f>
        <v>0</v>
      </c>
      <c r="AB11" s="31">
        <f>SUM($U$11:$AA$11)</f>
        <v>34.059781063822065</v>
      </c>
      <c r="AC11" s="31">
        <f>'TUSD BE'!$AC$11*'TUSD BE'!$AC$58</f>
        <v>-2.6988673805702343</v>
      </c>
      <c r="AD11" s="31">
        <f>SUM($AC$11:$AC$11)</f>
        <v>-2.6988673805702343</v>
      </c>
      <c r="AE11" s="31">
        <f ca="1">$AO$11*$AO$55</f>
        <v>-108.2123281475006</v>
      </c>
      <c r="AF11" s="31">
        <f ca="1">$AP$11*$AP$55</f>
        <v>0</v>
      </c>
      <c r="AG11" s="31">
        <f ca="1">SUM($AE$11:$AF$11)</f>
        <v>-108.2123281475006</v>
      </c>
      <c r="AH11" s="31">
        <f>'TUSD BE'!$AH$11*'TUSD BE'!$AH$58</f>
        <v>-0.64344372545479267</v>
      </c>
      <c r="AI11" s="31">
        <f>'TUSD BE'!$AI$11*'TUSD BE'!$AI$58</f>
        <v>-2.0692278346154683E-2</v>
      </c>
      <c r="AJ11" s="31">
        <f ca="1">'TUSD BE'!$AJ$11*'TUSD BE'!$AJ$58</f>
        <v>-7.917379154775718E-2</v>
      </c>
      <c r="AK11" s="31">
        <f ca="1">'TUSD BE'!$AK$11*'TUSD BE'!$AK$58</f>
        <v>2.7996762252195908E-2</v>
      </c>
      <c r="AL11" s="31">
        <f ca="1">SUM($AH$11:$AK$11)</f>
        <v>-0.71531303309650862</v>
      </c>
      <c r="AM11" s="31">
        <f ca="1">SUMIF($L$4:$AL$4,"SUBTOTAL",$L$11:$AL$11)+AZ11</f>
        <v>-76.081992987328832</v>
      </c>
      <c r="AO11" s="44">
        <f ca="1">+'TUSD BE'!$T$11+'TUSD BE'!$AB$11+'TUSD BE'!$AD$11+'TUSD BE'!$AL$11</f>
        <v>1025.7031898930688</v>
      </c>
      <c r="AP11" s="44">
        <f ca="1">+'TUSD BE'!$T$11+'TUSD BE'!$AB$11+'TUSD BE'!$AD$11+'TUSD BE'!$AL$11</f>
        <v>1025.7031898930688</v>
      </c>
      <c r="AQ11" s="9" t="str">
        <f t="shared" si="0"/>
        <v>A4</v>
      </c>
      <c r="AR11" s="9" t="str">
        <f t="shared" si="1"/>
        <v>Verde</v>
      </c>
      <c r="AS11" s="9" t="str">
        <f t="shared" si="2"/>
        <v>Não se aplica</v>
      </c>
      <c r="AT11" s="9" t="str">
        <f t="shared" si="3"/>
        <v>Não se aplica</v>
      </c>
      <c r="AU11" s="9" t="str">
        <f t="shared" si="4"/>
        <v>Não se aplica</v>
      </c>
      <c r="AV11" s="9">
        <f t="shared" si="5"/>
        <v>1</v>
      </c>
      <c r="AW11" s="9">
        <f ca="1">IFERROR(VLOOKUP(AQ11,TarifaMedia!$C$17:$G$17,5,0),0)</f>
        <v>0</v>
      </c>
      <c r="AX11" s="15">
        <f ca="1">'TUSD BE'!$AM11+'TUSD BF'!$AM11+'TUSD CVA'!$AM11</f>
        <v>966.5081601045739</v>
      </c>
      <c r="AY11" s="9">
        <v>1283.23</v>
      </c>
      <c r="AZ11" s="9">
        <f t="shared" ca="1" si="6"/>
        <v>0</v>
      </c>
      <c r="BC11" s="93" t="s">
        <v>1070</v>
      </c>
    </row>
    <row r="12" spans="1:55" ht="11.25" customHeight="1" x14ac:dyDescent="0.25">
      <c r="A12" s="137"/>
      <c r="B12" s="137"/>
      <c r="C12" s="137"/>
      <c r="D12" s="137"/>
      <c r="E12" s="137"/>
      <c r="F12" s="137"/>
      <c r="G12" s="41" t="s">
        <v>72</v>
      </c>
      <c r="H12" s="41" t="s">
        <v>70</v>
      </c>
      <c r="I12" s="41">
        <f>'MERCADO TUSD'!$U$9</f>
        <v>26371.822</v>
      </c>
      <c r="J12" s="15"/>
      <c r="L12" s="31">
        <f>'TUSD BE'!$L$12*'TUSD BE'!$L$58</f>
        <v>4.1675723657298103E-2</v>
      </c>
      <c r="M12" s="31">
        <f>'TUSD BE'!$M$12*'TUSD BE'!$M$58</f>
        <v>-2.826520952851741E-3</v>
      </c>
      <c r="N12" s="31">
        <f ca="1">'TUSD BE'!$N$12*'TUSD BE'!$N$58</f>
        <v>5.2266933871218434E-8</v>
      </c>
      <c r="O12" s="31">
        <f>'TUSD BE'!$O$12*'TUSD BE'!$O$58</f>
        <v>0</v>
      </c>
      <c r="P12" s="31">
        <f>'TUSD BE'!$P$12*'TUSD BE'!$P$58</f>
        <v>0</v>
      </c>
      <c r="Q12" s="31">
        <f>'TUSD BE'!$Q$12*'TUSD BE'!$Q$58</f>
        <v>1.1775740381386646</v>
      </c>
      <c r="R12" s="31">
        <f>'TUSD BE'!$R$12*'TUSD BE'!$R$58</f>
        <v>0.26830949317951003</v>
      </c>
      <c r="S12" s="31">
        <f>'TUSD BE'!$R$12*'TUSD BE'!$S$58</f>
        <v>0</v>
      </c>
      <c r="T12" s="31">
        <f ca="1">SUM($L$12:$S$12)</f>
        <v>1.4847327862895547</v>
      </c>
      <c r="U12" s="31">
        <f>'TUSD BE'!$U$12*'TUSD BE'!$U$58</f>
        <v>0</v>
      </c>
      <c r="V12" s="31">
        <f>'TUSD BE'!$V$12*'TUSD BE'!$V$58</f>
        <v>0</v>
      </c>
      <c r="W12" s="31">
        <f>'TUSD BE'!$W$12*'TUSD BE'!$W$58</f>
        <v>0</v>
      </c>
      <c r="X12" s="31">
        <f>'TUSD BE'!$X$12*'TUSD BE'!$X$58</f>
        <v>0</v>
      </c>
      <c r="Y12" s="31">
        <f>'TUSD BE'!$Y$12*'TUSD BE'!$Y$58</f>
        <v>0</v>
      </c>
      <c r="Z12" s="31">
        <f>'TUSD BE'!$Z$12*'TUSD BE'!$Z$58</f>
        <v>0</v>
      </c>
      <c r="AA12" s="31">
        <f>'TUSD BE'!$AA$12*'TUSD BE'!$AA$58</f>
        <v>0</v>
      </c>
      <c r="AB12" s="31">
        <f>SUM($U$12:$AA$12)</f>
        <v>0</v>
      </c>
      <c r="AC12" s="31">
        <f>'TUSD BE'!$AC$12*'TUSD BE'!$AC$58</f>
        <v>0</v>
      </c>
      <c r="AD12" s="31">
        <f>SUM($AC$12:$AC$12)</f>
        <v>0</v>
      </c>
      <c r="AE12" s="31">
        <f ca="1">$AO$12*$AO$55</f>
        <v>-11.419788281754164</v>
      </c>
      <c r="AF12" s="31">
        <f ca="1">$AP$12*$AP$55</f>
        <v>0</v>
      </c>
      <c r="AG12" s="31">
        <f ca="1">SUM($AE$12:$AF$12)</f>
        <v>-11.419788281754164</v>
      </c>
      <c r="AH12" s="31">
        <f>'TUSD BE'!$AH$12*'TUSD BE'!$AH$58</f>
        <v>-0.64344372545479267</v>
      </c>
      <c r="AI12" s="31">
        <f>'TUSD BE'!$AI$12*'TUSD BE'!$AI$58</f>
        <v>-2.0692278346154683E-2</v>
      </c>
      <c r="AJ12" s="31">
        <f ca="1">'TUSD BE'!$AJ$12*'TUSD BE'!$AJ$58</f>
        <v>-7.917379154775718E-2</v>
      </c>
      <c r="AK12" s="31">
        <f ca="1">'TUSD BE'!$AK$12*'TUSD BE'!$AK$58</f>
        <v>2.7996762252195908E-2</v>
      </c>
      <c r="AL12" s="31">
        <f ca="1">SUM($AH$12:$AK$12)</f>
        <v>-0.71531303309650862</v>
      </c>
      <c r="AM12" s="31">
        <f ca="1">SUMIF($L$4:$AL$4,"SUBTOTAL",$L$12:$AL$12)+AZ12</f>
        <v>-10.650368528561117</v>
      </c>
      <c r="AO12" s="44">
        <f ca="1">+'TUSD BE'!$T$12+'TUSD BE'!$AB$12+'TUSD BE'!$AD$12+'TUSD BE'!$AL$12</f>
        <v>108.2437968854409</v>
      </c>
      <c r="AP12" s="44">
        <f ca="1">+'TUSD BE'!$T$12+'TUSD BE'!$AB$12+'TUSD BE'!$AD$12+'TUSD BE'!$AL$12</f>
        <v>108.2437968854409</v>
      </c>
      <c r="AQ12" s="9" t="str">
        <f t="shared" si="0"/>
        <v>A4</v>
      </c>
      <c r="AR12" s="9" t="str">
        <f t="shared" si="1"/>
        <v>Verde</v>
      </c>
      <c r="AS12" s="9" t="str">
        <f t="shared" si="2"/>
        <v>Não se aplica</v>
      </c>
      <c r="AT12" s="9" t="str">
        <f t="shared" si="3"/>
        <v>Não se aplica</v>
      </c>
      <c r="AU12" s="9" t="str">
        <f t="shared" si="4"/>
        <v>Não se aplica</v>
      </c>
      <c r="AV12" s="9">
        <f t="shared" si="5"/>
        <v>1</v>
      </c>
      <c r="AW12" s="9">
        <f ca="1">IFERROR(VLOOKUP(AQ12,TarifaMedia!$C$17:$G$17,5,0),0)</f>
        <v>0</v>
      </c>
      <c r="AX12" s="15">
        <f ca="1">'TUSD BE'!$AM12+'TUSD BF'!$AM12+'TUSD CVA'!$AM12</f>
        <v>114.48039155571371</v>
      </c>
      <c r="AY12" s="9">
        <v>116.79</v>
      </c>
      <c r="AZ12" s="9">
        <f t="shared" ca="1" si="6"/>
        <v>0</v>
      </c>
      <c r="BC12" s="93" t="s">
        <v>1071</v>
      </c>
    </row>
    <row r="13" spans="1:55" ht="11.25" customHeight="1" x14ac:dyDescent="0.25">
      <c r="A13" s="137"/>
      <c r="B13" s="137"/>
      <c r="C13" s="137"/>
      <c r="D13" s="137"/>
      <c r="E13" s="137" t="s">
        <v>78</v>
      </c>
      <c r="F13" s="137" t="s">
        <v>25</v>
      </c>
      <c r="G13" s="41" t="s">
        <v>71</v>
      </c>
      <c r="H13" s="41" t="s">
        <v>70</v>
      </c>
      <c r="I13" s="41">
        <f>'MERCADO TUSD'!$U$10</f>
        <v>0</v>
      </c>
      <c r="J13" s="15"/>
      <c r="L13" s="31">
        <f>'TUSD BE'!$L$13*'TUSD BE'!$L$58</f>
        <v>0</v>
      </c>
      <c r="M13" s="31">
        <f>'TUSD BE'!$M$13*'TUSD BE'!$M$58</f>
        <v>-2.826520952851741E-3</v>
      </c>
      <c r="N13" s="31">
        <f ca="1">'TUSD BE'!$N$13*'TUSD BE'!$N$58</f>
        <v>1.7738780649946116E-6</v>
      </c>
      <c r="O13" s="31">
        <f>'TUSD BE'!$O$13*'TUSD BE'!$O$58</f>
        <v>0</v>
      </c>
      <c r="P13" s="31">
        <f>'TUSD BE'!$P$13*'TUSD BE'!$P$58</f>
        <v>0</v>
      </c>
      <c r="Q13" s="31">
        <f>'TUSD BE'!$Q$13*'TUSD BE'!$Q$58</f>
        <v>0</v>
      </c>
      <c r="R13" s="31">
        <f>'TUSD BE'!$R$13*'TUSD BE'!$R$58</f>
        <v>0</v>
      </c>
      <c r="S13" s="31">
        <f>'TUSD BE'!$R$13*'TUSD BE'!$S$58</f>
        <v>0</v>
      </c>
      <c r="T13" s="31">
        <f ca="1">SUM($L$13:$S$13)</f>
        <v>-2.8247470747867465E-3</v>
      </c>
      <c r="U13" s="31">
        <f>'TUSD BE'!$U$13*'TUSD BE'!$U$58</f>
        <v>0</v>
      </c>
      <c r="V13" s="31">
        <f>'TUSD BE'!$V$13*'TUSD BE'!$V$58</f>
        <v>0</v>
      </c>
      <c r="W13" s="31">
        <f>'TUSD BE'!$W$13*'TUSD BE'!$W$58</f>
        <v>0</v>
      </c>
      <c r="X13" s="31">
        <f>'TUSD BE'!$X$13*'TUSD BE'!$X$58</f>
        <v>0</v>
      </c>
      <c r="Y13" s="31">
        <f>'TUSD BE'!$Y$13*'TUSD BE'!$Y$58</f>
        <v>34.059781063822065</v>
      </c>
      <c r="Z13" s="31">
        <f>'TUSD BE'!$Z$13*'TUSD BE'!$Z$58</f>
        <v>0</v>
      </c>
      <c r="AA13" s="31">
        <f>'TUSD BE'!$AA$13*'TUSD BE'!$AA$58</f>
        <v>0</v>
      </c>
      <c r="AB13" s="31">
        <f>SUM($U$13:$AA$13)</f>
        <v>34.059781063822065</v>
      </c>
      <c r="AC13" s="31">
        <f>'TUSD BE'!$AC$13*'TUSD BE'!$AC$58</f>
        <v>-2.6988673805702343</v>
      </c>
      <c r="AD13" s="31">
        <f>SUM($AC$13:$AC$13)</f>
        <v>-2.6988673805702343</v>
      </c>
      <c r="AE13" s="31">
        <f ca="1">$AO$13*$AO$55</f>
        <v>-98.123831808847626</v>
      </c>
      <c r="AF13" s="31">
        <f ca="1">$AP$13*$AP$55</f>
        <v>0</v>
      </c>
      <c r="AG13" s="31">
        <f ca="1">SUM($AE$13:$AF$13)</f>
        <v>-98.123831808847626</v>
      </c>
      <c r="AH13" s="31">
        <f>'TUSD BE'!$AH$13*'TUSD BE'!$AH$58</f>
        <v>-0.64344372545479267</v>
      </c>
      <c r="AI13" s="31">
        <f>'TUSD BE'!$AI$13*'TUSD BE'!$AI$58</f>
        <v>-2.0692278346154683E-2</v>
      </c>
      <c r="AJ13" s="31">
        <f ca="1">'TUSD BE'!$AJ$13*'TUSD BE'!$AJ$58</f>
        <v>-7.917379154775718E-2</v>
      </c>
      <c r="AK13" s="31">
        <f ca="1">'TUSD BE'!$AK$13*'TUSD BE'!$AK$58</f>
        <v>2.7996762252195908E-2</v>
      </c>
      <c r="AL13" s="31">
        <f ca="1">SUM($AH$13:$AK$13)</f>
        <v>-0.71531303309650862</v>
      </c>
      <c r="AM13" s="31">
        <f ca="1">SUMIF($L$4:$AL$4,"SUBTOTAL",$L$13:$AL$13)+AZ13</f>
        <v>-67.481055905767093</v>
      </c>
      <c r="AO13" s="44">
        <f ca="1">+'TUSD BE'!$T$13+'TUSD BE'!$AB$13+'TUSD BE'!$AD$13+'TUSD BE'!$AL$13</f>
        <v>930.07819916487608</v>
      </c>
      <c r="AP13" s="44">
        <f ca="1">+'TUSD BE'!$T$13+'TUSD BE'!$AB$13+'TUSD BE'!$AD$13+'TUSD BE'!$AL$13</f>
        <v>930.07819916487608</v>
      </c>
      <c r="AQ13" s="9" t="str">
        <f t="shared" si="0"/>
        <v>A4</v>
      </c>
      <c r="AR13" s="9" t="str">
        <f t="shared" si="1"/>
        <v>Verde</v>
      </c>
      <c r="AS13" s="9" t="str">
        <f t="shared" si="2"/>
        <v>Não se aplica</v>
      </c>
      <c r="AT13" s="9" t="str">
        <f t="shared" si="3"/>
        <v>Não se aplica</v>
      </c>
      <c r="AU13" s="9" t="str">
        <f t="shared" si="4"/>
        <v>APE</v>
      </c>
      <c r="AV13" s="9">
        <f t="shared" si="5"/>
        <v>1</v>
      </c>
      <c r="AW13" s="9">
        <f ca="1">IFERROR(VLOOKUP(AQ13,TarifaMedia!$C$17:$G$17,5,0),0)</f>
        <v>0</v>
      </c>
      <c r="AX13" s="15">
        <f ca="1">'TUSD BE'!$AM13+'TUSD BF'!$AM13+'TUSD CVA'!$AM13</f>
        <v>863.89403803174355</v>
      </c>
      <c r="AY13" s="9">
        <v>1184.06</v>
      </c>
      <c r="AZ13" s="9">
        <f t="shared" ca="1" si="6"/>
        <v>0</v>
      </c>
      <c r="BC13" s="93" t="s">
        <v>1072</v>
      </c>
    </row>
    <row r="14" spans="1:55" ht="11.25" customHeight="1" x14ac:dyDescent="0.25">
      <c r="A14" s="137"/>
      <c r="B14" s="137"/>
      <c r="C14" s="137"/>
      <c r="D14" s="137"/>
      <c r="E14" s="137"/>
      <c r="F14" s="137"/>
      <c r="G14" s="41" t="s">
        <v>72</v>
      </c>
      <c r="H14" s="41" t="s">
        <v>70</v>
      </c>
      <c r="I14" s="41">
        <f>'MERCADO TUSD'!$U$11</f>
        <v>0</v>
      </c>
      <c r="J14" s="15"/>
      <c r="L14" s="31">
        <f>'TUSD BE'!$L$14*'TUSD BE'!$L$58</f>
        <v>0</v>
      </c>
      <c r="M14" s="31">
        <f>'TUSD BE'!$M$14*'TUSD BE'!$M$58</f>
        <v>-2.826520952851741E-3</v>
      </c>
      <c r="N14" s="31">
        <f ca="1">'TUSD BE'!$N$14*'TUSD BE'!$N$58</f>
        <v>5.0151177671311982E-8</v>
      </c>
      <c r="O14" s="31">
        <f>'TUSD BE'!$O$14*'TUSD BE'!$O$58</f>
        <v>0</v>
      </c>
      <c r="P14" s="31">
        <f>'TUSD BE'!$P$14*'TUSD BE'!$P$58</f>
        <v>0</v>
      </c>
      <c r="Q14" s="31">
        <f>'TUSD BE'!$Q$14*'TUSD BE'!$Q$58</f>
        <v>0</v>
      </c>
      <c r="R14" s="31">
        <f>'TUSD BE'!$R$14*'TUSD BE'!$R$58</f>
        <v>0</v>
      </c>
      <c r="S14" s="31">
        <f>'TUSD BE'!$R$14*'TUSD BE'!$S$58</f>
        <v>0</v>
      </c>
      <c r="T14" s="31">
        <f ca="1">SUM($L$14:$S$14)</f>
        <v>-2.8264708016740698E-3</v>
      </c>
      <c r="U14" s="31">
        <f>'TUSD BE'!$U$14*'TUSD BE'!$U$58</f>
        <v>0</v>
      </c>
      <c r="V14" s="31">
        <f>'TUSD BE'!$V$14*'TUSD BE'!$V$58</f>
        <v>0</v>
      </c>
      <c r="W14" s="31">
        <f>'TUSD BE'!$W$14*'TUSD BE'!$W$58</f>
        <v>0</v>
      </c>
      <c r="X14" s="31">
        <f>'TUSD BE'!$X$14*'TUSD BE'!$X$58</f>
        <v>0</v>
      </c>
      <c r="Y14" s="31">
        <f>'TUSD BE'!$Y$14*'TUSD BE'!$Y$58</f>
        <v>0</v>
      </c>
      <c r="Z14" s="31">
        <f>'TUSD BE'!$Z$14*'TUSD BE'!$Z$58</f>
        <v>0</v>
      </c>
      <c r="AA14" s="31">
        <f>'TUSD BE'!$AA$14*'TUSD BE'!$AA$58</f>
        <v>0</v>
      </c>
      <c r="AB14" s="31">
        <f>SUM($U$14:$AA$14)</f>
        <v>0</v>
      </c>
      <c r="AC14" s="31">
        <f>'TUSD BE'!$AC$14*'TUSD BE'!$AC$58</f>
        <v>0</v>
      </c>
      <c r="AD14" s="31">
        <f>SUM($AC$14:$AC$14)</f>
        <v>0</v>
      </c>
      <c r="AE14" s="31">
        <f ca="1">$AO$14*$AO$55</f>
        <v>-1.3312919431011787</v>
      </c>
      <c r="AF14" s="31">
        <f ca="1">$AP$14*$AP$55</f>
        <v>0</v>
      </c>
      <c r="AG14" s="31">
        <f ca="1">SUM($AE$14:$AF$14)</f>
        <v>-1.3312919431011787</v>
      </c>
      <c r="AH14" s="31">
        <f>'TUSD BE'!$AH$14*'TUSD BE'!$AH$58</f>
        <v>-0.64344372545479267</v>
      </c>
      <c r="AI14" s="31">
        <f>'TUSD BE'!$AI$14*'TUSD BE'!$AI$58</f>
        <v>-2.0692278346154683E-2</v>
      </c>
      <c r="AJ14" s="31">
        <f ca="1">'TUSD BE'!$AJ$14*'TUSD BE'!$AJ$58</f>
        <v>-7.917379154775718E-2</v>
      </c>
      <c r="AK14" s="31">
        <f ca="1">'TUSD BE'!$AK$14*'TUSD BE'!$AK$58</f>
        <v>2.7996762252195908E-2</v>
      </c>
      <c r="AL14" s="31">
        <f ca="1">SUM($AH$14:$AK$14)</f>
        <v>-0.71531303309650862</v>
      </c>
      <c r="AM14" s="31">
        <f ca="1">SUMIF($L$4:$AL$4,"SUBTOTAL",$L$14:$AL$14)+AZ14</f>
        <v>-2.0494314469993613</v>
      </c>
      <c r="AO14" s="44">
        <f ca="1">+'TUSD BE'!$T$14+'TUSD BE'!$AB$14+'TUSD BE'!$AD$14+'TUSD BE'!$AL$14</f>
        <v>12.618806157247993</v>
      </c>
      <c r="AP14" s="44">
        <f ca="1">+'TUSD BE'!$T$14+'TUSD BE'!$AB$14+'TUSD BE'!$AD$14+'TUSD BE'!$AL$14</f>
        <v>12.618806157247993</v>
      </c>
      <c r="AQ14" s="9" t="str">
        <f t="shared" si="0"/>
        <v>A4</v>
      </c>
      <c r="AR14" s="9" t="str">
        <f t="shared" si="1"/>
        <v>Verde</v>
      </c>
      <c r="AS14" s="9" t="str">
        <f t="shared" si="2"/>
        <v>Não se aplica</v>
      </c>
      <c r="AT14" s="9" t="str">
        <f t="shared" si="3"/>
        <v>Não se aplica</v>
      </c>
      <c r="AU14" s="9" t="str">
        <f t="shared" si="4"/>
        <v>APE</v>
      </c>
      <c r="AV14" s="9">
        <f t="shared" si="5"/>
        <v>1</v>
      </c>
      <c r="AW14" s="9">
        <f ca="1">IFERROR(VLOOKUP(AQ14,TarifaMedia!$C$17:$G$17,5,0),0)</f>
        <v>0</v>
      </c>
      <c r="AX14" s="15">
        <f ca="1">'TUSD BE'!$AM14+'TUSD BF'!$AM14+'TUSD CVA'!$AM14</f>
        <v>11.866269482883245</v>
      </c>
      <c r="AY14" s="9">
        <v>17.61</v>
      </c>
      <c r="AZ14" s="9">
        <f t="shared" ca="1" si="6"/>
        <v>0</v>
      </c>
      <c r="BC14" s="93" t="s">
        <v>1073</v>
      </c>
    </row>
    <row r="15" spans="1:55" ht="11.25" customHeight="1" x14ac:dyDescent="0.25">
      <c r="A15" s="137" t="s">
        <v>80</v>
      </c>
      <c r="B15" s="137" t="s">
        <v>79</v>
      </c>
      <c r="C15" s="137" t="s">
        <v>25</v>
      </c>
      <c r="D15" s="137" t="s">
        <v>25</v>
      </c>
      <c r="E15" s="42" t="s">
        <v>81</v>
      </c>
      <c r="F15" s="42" t="s">
        <v>25</v>
      </c>
      <c r="G15" s="41" t="s">
        <v>9</v>
      </c>
      <c r="H15" s="41" t="s">
        <v>75</v>
      </c>
      <c r="I15" s="41">
        <f>'MERCADO TUSD'!$U$12+0.00000001</f>
        <v>1E-8</v>
      </c>
      <c r="J15" s="15"/>
      <c r="L15" s="31">
        <f>'TUSD BE'!$L$15*'TUSD BE'!$L$58</f>
        <v>0</v>
      </c>
      <c r="M15" s="31">
        <f>'TUSD BE'!$M$15*'TUSD BE'!$M$58</f>
        <v>-4.5635643678686546E-4</v>
      </c>
      <c r="N15" s="31">
        <f ca="1">'TUSD BE'!$N$15*'TUSD BE'!$N$58</f>
        <v>1.0578780999532227E-8</v>
      </c>
      <c r="O15" s="31">
        <f>'TUSD BE'!$O$15*'TUSD BE'!$O$58</f>
        <v>0</v>
      </c>
      <c r="P15" s="31">
        <f>'TUSD BE'!$P$15*'TUSD BE'!$P$58</f>
        <v>0</v>
      </c>
      <c r="Q15" s="31">
        <f>'TUSD BE'!$Q$15*'TUSD BE'!$Q$58</f>
        <v>0</v>
      </c>
      <c r="R15" s="31">
        <f>'TUSD BE'!$R$15*'TUSD BE'!$R$58</f>
        <v>0</v>
      </c>
      <c r="S15" s="31">
        <f>'TUSD BE'!$R$15*'TUSD BE'!$S$58</f>
        <v>0</v>
      </c>
      <c r="T15" s="31">
        <f ca="1">SUM($L$15:$S$15)</f>
        <v>-4.5634585800586594E-4</v>
      </c>
      <c r="U15" s="31">
        <f>'TUSD BE'!$U$15*'TUSD BE'!$U$58</f>
        <v>0</v>
      </c>
      <c r="V15" s="31">
        <f>'TUSD BE'!$V$15*'TUSD BE'!$V$58</f>
        <v>0</v>
      </c>
      <c r="W15" s="31">
        <f>'TUSD BE'!$W$15*'TUSD BE'!$W$58</f>
        <v>0</v>
      </c>
      <c r="X15" s="31">
        <f>'TUSD BE'!$X$15*'TUSD BE'!$X$58</f>
        <v>0</v>
      </c>
      <c r="Y15" s="31">
        <f>'TUSD BE'!$Y$15*'TUSD BE'!$Y$58</f>
        <v>0</v>
      </c>
      <c r="Z15" s="31">
        <f>'TUSD BE'!$Z$15*'TUSD BE'!$Z$58</f>
        <v>0</v>
      </c>
      <c r="AA15" s="31">
        <f>'TUSD BE'!$AA$15*'TUSD BE'!$AA$58</f>
        <v>0</v>
      </c>
      <c r="AB15" s="31">
        <f>SUM($U$15:$AA$15)</f>
        <v>0</v>
      </c>
      <c r="AC15" s="31">
        <f>'TUSD BE'!$AC$15*'TUSD BE'!$AC$58</f>
        <v>-8.4953732995695225E-2</v>
      </c>
      <c r="AD15" s="31">
        <f>SUM($AC$15:$AC$15)</f>
        <v>-8.4953732995695225E-2</v>
      </c>
      <c r="AE15" s="31">
        <f ca="1">$AO$15*$AO$55</f>
        <v>-0.55352209099002969</v>
      </c>
      <c r="AF15" s="31">
        <f ca="1">$AP$15*$AP$55</f>
        <v>0</v>
      </c>
      <c r="AG15" s="31">
        <f ca="1">SUM($AE$15:$AF$15)</f>
        <v>-0.55352209099002969</v>
      </c>
      <c r="AH15" s="31">
        <f>'TUSD BE'!$AH$15*'TUSD BE'!$AH$58</f>
        <v>0</v>
      </c>
      <c r="AI15" s="31">
        <f>'TUSD BE'!$AI$15*'TUSD BE'!$AI$58</f>
        <v>0</v>
      </c>
      <c r="AJ15" s="31">
        <f ca="1">'TUSD BE'!$AJ$15*'TUSD BE'!$AJ$58</f>
        <v>0</v>
      </c>
      <c r="AK15" s="31">
        <f ca="1">'TUSD BE'!$AK$15*'TUSD BE'!$AK$58</f>
        <v>0</v>
      </c>
      <c r="AL15" s="31">
        <f ca="1">SUM($AH$15:$AK$15)</f>
        <v>0</v>
      </c>
      <c r="AM15" s="31">
        <f ca="1">SUMIF($L$4:$AL$4,"SUBTOTAL",$L$15:$AL$15)+AZ15</f>
        <v>-0.6389321698437308</v>
      </c>
      <c r="AO15" s="44">
        <f ca="1">+'TUSD BE'!$T$15+'TUSD BE'!$AB$15+'TUSD BE'!$AD$15+'TUSD BE'!$AL$15</f>
        <v>5.2466237823741748</v>
      </c>
      <c r="AP15" s="44">
        <f ca="1">+'TUSD BE'!$T$15+'TUSD BE'!$AB$15+'TUSD BE'!$AD$15+'TUSD BE'!$AL$15</f>
        <v>5.2466237823741748</v>
      </c>
      <c r="AQ15" s="9" t="str">
        <f t="shared" si="0"/>
        <v>B</v>
      </c>
      <c r="AR15" s="9" t="str">
        <f t="shared" si="1"/>
        <v>Geração</v>
      </c>
      <c r="AS15" s="9" t="str">
        <f t="shared" si="2"/>
        <v>Não se aplica</v>
      </c>
      <c r="AT15" s="9" t="str">
        <f t="shared" si="3"/>
        <v>Não se aplica</v>
      </c>
      <c r="AU15" s="9" t="str">
        <f t="shared" si="4"/>
        <v>TIPO 01</v>
      </c>
      <c r="AV15" s="9">
        <f t="shared" si="5"/>
        <v>0</v>
      </c>
      <c r="AW15" s="9">
        <f ca="1">TarifaMedia!$G$20</f>
        <v>0</v>
      </c>
      <c r="AX15" s="15">
        <f ca="1">'TUSD BE'!$AM15+'TUSD BF'!$AM15+'TUSD CVA'!$AM15</f>
        <v>4.6076916125304441</v>
      </c>
      <c r="AY15" s="9">
        <v>5.23</v>
      </c>
      <c r="AZ15" s="9">
        <f t="shared" ca="1" si="6"/>
        <v>0</v>
      </c>
      <c r="BC15" s="93" t="s">
        <v>1074</v>
      </c>
    </row>
    <row r="16" spans="1:55" ht="11.25" customHeight="1" x14ac:dyDescent="0.25">
      <c r="A16" s="137"/>
      <c r="B16" s="137"/>
      <c r="C16" s="137"/>
      <c r="D16" s="137"/>
      <c r="E16" s="42" t="s">
        <v>82</v>
      </c>
      <c r="F16" s="42" t="s">
        <v>25</v>
      </c>
      <c r="G16" s="41" t="s">
        <v>9</v>
      </c>
      <c r="H16" s="41" t="s">
        <v>75</v>
      </c>
      <c r="I16" s="41">
        <f>'MERCADO TUSD'!$U$13+0.00000001</f>
        <v>1E-8</v>
      </c>
      <c r="J16" s="15"/>
      <c r="L16" s="31">
        <f>'TUSD BE'!$L$16*'TUSD BE'!$L$58</f>
        <v>0</v>
      </c>
      <c r="M16" s="31">
        <f>'TUSD BE'!$M$16*'TUSD BE'!$M$58</f>
        <v>-4.5635643678686546E-4</v>
      </c>
      <c r="N16" s="31">
        <f ca="1">'TUSD BE'!$N$16*'TUSD BE'!$N$58</f>
        <v>1.0578780999532227E-8</v>
      </c>
      <c r="O16" s="31">
        <f>'TUSD BE'!$O$16*'TUSD BE'!$O$58</f>
        <v>0</v>
      </c>
      <c r="P16" s="31">
        <f>'TUSD BE'!$P$16*'TUSD BE'!$P$58</f>
        <v>0</v>
      </c>
      <c r="Q16" s="31">
        <f>'TUSD BE'!$Q$16*'TUSD BE'!$Q$58</f>
        <v>0</v>
      </c>
      <c r="R16" s="31">
        <f>'TUSD BE'!$R$16*'TUSD BE'!$R$58</f>
        <v>0</v>
      </c>
      <c r="S16" s="31">
        <f>'TUSD BE'!$R$16*'TUSD BE'!$S$58</f>
        <v>0</v>
      </c>
      <c r="T16" s="31">
        <f ca="1">SUM($L$16:$S$16)</f>
        <v>-4.5634585800586594E-4</v>
      </c>
      <c r="U16" s="31">
        <f>'TUSD BE'!$U$16*'TUSD BE'!$U$58</f>
        <v>0</v>
      </c>
      <c r="V16" s="31">
        <f>'TUSD BE'!$V$16*'TUSD BE'!$V$58</f>
        <v>0</v>
      </c>
      <c r="W16" s="31">
        <f>'TUSD BE'!$W$16*'TUSD BE'!$W$58</f>
        <v>0</v>
      </c>
      <c r="X16" s="31">
        <f>'TUSD BE'!$X$16*'TUSD BE'!$X$58</f>
        <v>0</v>
      </c>
      <c r="Y16" s="31">
        <f>'TUSD BE'!$Y$16*'TUSD BE'!$Y$58</f>
        <v>0</v>
      </c>
      <c r="Z16" s="31">
        <f>'TUSD BE'!$Z$16*'TUSD BE'!$Z$58</f>
        <v>0</v>
      </c>
      <c r="AA16" s="31">
        <f>'TUSD BE'!$AA$16*'TUSD BE'!$AA$58</f>
        <v>0</v>
      </c>
      <c r="AB16" s="31">
        <f>SUM($U$16:$AA$16)</f>
        <v>0</v>
      </c>
      <c r="AC16" s="31">
        <f>'TUSD BE'!$AC$16*'TUSD BE'!$AC$58</f>
        <v>-0.14617520980375276</v>
      </c>
      <c r="AD16" s="31">
        <f>SUM($AC$16:$AC$16)</f>
        <v>-0.14617520980375276</v>
      </c>
      <c r="AE16" s="31">
        <f ca="1">$AO$16*$AO$55</f>
        <v>-0.94656494849152994</v>
      </c>
      <c r="AF16" s="31">
        <f ca="1">$AP$16*$AP$55</f>
        <v>0</v>
      </c>
      <c r="AG16" s="31">
        <f ca="1">SUM($AE$16:$AF$16)</f>
        <v>-0.94656494849152994</v>
      </c>
      <c r="AH16" s="31">
        <f>'TUSD BE'!$AH$16*'TUSD BE'!$AH$58</f>
        <v>0</v>
      </c>
      <c r="AI16" s="31">
        <f>'TUSD BE'!$AI$16*'TUSD BE'!$AI$58</f>
        <v>0</v>
      </c>
      <c r="AJ16" s="31">
        <f ca="1">'TUSD BE'!$AJ$16*'TUSD BE'!$AJ$58</f>
        <v>0</v>
      </c>
      <c r="AK16" s="31">
        <f ca="1">'TUSD BE'!$AK$16*'TUSD BE'!$AK$58</f>
        <v>0</v>
      </c>
      <c r="AL16" s="31">
        <f ca="1">SUM($AH$16:$AK$16)</f>
        <v>0</v>
      </c>
      <c r="AM16" s="31">
        <f ca="1">SUMIF($L$4:$AL$4,"SUBTOTAL",$L$16:$AL$16)+AZ16</f>
        <v>-1.0931965041532885</v>
      </c>
      <c r="AO16" s="44">
        <f ca="1">+'TUSD BE'!$T$16+'TUSD BE'!$AB$16+'TUSD BE'!$AD$16+'TUSD BE'!$AL$16</f>
        <v>8.9721264086041721</v>
      </c>
      <c r="AP16" s="44">
        <f ca="1">+'TUSD BE'!$T$16+'TUSD BE'!$AB$16+'TUSD BE'!$AD$16+'TUSD BE'!$AL$16</f>
        <v>8.9721264086041721</v>
      </c>
      <c r="AQ16" s="9" t="str">
        <f t="shared" si="0"/>
        <v>B</v>
      </c>
      <c r="AR16" s="9" t="str">
        <f t="shared" si="1"/>
        <v>Geração</v>
      </c>
      <c r="AS16" s="9" t="str">
        <f t="shared" si="2"/>
        <v>Não se aplica</v>
      </c>
      <c r="AT16" s="9" t="str">
        <f t="shared" si="3"/>
        <v>Não se aplica</v>
      </c>
      <c r="AU16" s="9" t="str">
        <f t="shared" si="4"/>
        <v>TIPO 02</v>
      </c>
      <c r="AV16" s="9">
        <f t="shared" si="5"/>
        <v>0</v>
      </c>
      <c r="AW16" s="9">
        <f ca="1">TarifaMedia!$G$20</f>
        <v>0</v>
      </c>
      <c r="AX16" s="15">
        <f ca="1">'TUSD BE'!$AM16+'TUSD BF'!$AM16+'TUSD CVA'!$AM16</f>
        <v>7.8789299044508834</v>
      </c>
      <c r="AY16" s="9">
        <v>13.5</v>
      </c>
      <c r="AZ16" s="9">
        <f t="shared" ca="1" si="6"/>
        <v>0</v>
      </c>
      <c r="BC16" s="93" t="s">
        <v>1075</v>
      </c>
    </row>
    <row r="17" spans="1:55" ht="11.25" customHeight="1" x14ac:dyDescent="0.25">
      <c r="A17" s="137" t="s">
        <v>22</v>
      </c>
      <c r="B17" s="137" t="s">
        <v>49</v>
      </c>
      <c r="C17" s="137" t="s">
        <v>24</v>
      </c>
      <c r="D17" s="137" t="s">
        <v>24</v>
      </c>
      <c r="E17" s="137" t="s">
        <v>25</v>
      </c>
      <c r="F17" s="137" t="s">
        <v>25</v>
      </c>
      <c r="G17" s="41" t="s">
        <v>71</v>
      </c>
      <c r="H17" s="41" t="s">
        <v>70</v>
      </c>
      <c r="I17" s="41">
        <f>'MERCADO TUSD'!$U$14</f>
        <v>0</v>
      </c>
      <c r="J17" s="15"/>
      <c r="L17" s="31">
        <f>'TUSD BE'!$L$17*'TUSD BE'!$L$58</f>
        <v>4.96139567348787E-2</v>
      </c>
      <c r="M17" s="31">
        <f>'TUSD BE'!$M$17*'TUSD BE'!$M$58</f>
        <v>-1.67938644926648E-2</v>
      </c>
      <c r="N17" s="31">
        <f ca="1">'TUSD BE'!$N$17*'TUSD BE'!$N$58</f>
        <v>1.856308149292787E-6</v>
      </c>
      <c r="O17" s="31">
        <f>'TUSD BE'!$O$17*'TUSD BE'!$O$58</f>
        <v>0</v>
      </c>
      <c r="P17" s="31">
        <f>'TUSD BE'!$P$17*'TUSD BE'!$P$58</f>
        <v>0</v>
      </c>
      <c r="Q17" s="31">
        <f>'TUSD BE'!$Q$17*'TUSD BE'!$Q$58</f>
        <v>1.4018738549269818</v>
      </c>
      <c r="R17" s="31">
        <f>'TUSD BE'!$R$17*'TUSD BE'!$R$58</f>
        <v>0.26830949317951003</v>
      </c>
      <c r="S17" s="31">
        <f>'TUSD BE'!$R$17*'TUSD BE'!$S$58</f>
        <v>0</v>
      </c>
      <c r="T17" s="31">
        <f ca="1">SUM($L$17:$S$17)</f>
        <v>1.703005296656855</v>
      </c>
      <c r="U17" s="31">
        <f>'TUSD BE'!$U$17*'TUSD BE'!$U$58</f>
        <v>0</v>
      </c>
      <c r="V17" s="31">
        <f>'TUSD BE'!$V$17*'TUSD BE'!$V$58</f>
        <v>0</v>
      </c>
      <c r="W17" s="31">
        <f>'TUSD BE'!$W$17*'TUSD BE'!$W$58</f>
        <v>0</v>
      </c>
      <c r="X17" s="31">
        <f>'TUSD BE'!$X$17*'TUSD BE'!$X$58</f>
        <v>0</v>
      </c>
      <c r="Y17" s="31">
        <f>'TUSD BE'!$Y$17*'TUSD BE'!$Y$58</f>
        <v>19.204785700954542</v>
      </c>
      <c r="Z17" s="31">
        <f>'TUSD BE'!$Z$17*'TUSD BE'!$Z$58</f>
        <v>0</v>
      </c>
      <c r="AA17" s="31">
        <f>'TUSD BE'!$AA$17*'TUSD BE'!$AA$58</f>
        <v>0</v>
      </c>
      <c r="AB17" s="31">
        <f>SUM($U$17:$AA$17)</f>
        <v>19.204785700954542</v>
      </c>
      <c r="AC17" s="31">
        <f>'TUSD BE'!$AC$17*'TUSD BE'!$AC$58</f>
        <v>-7.9459561316864509</v>
      </c>
      <c r="AD17" s="31">
        <f>SUM($AC$17:$AC$17)</f>
        <v>-7.9459561316864509</v>
      </c>
      <c r="AE17" s="31">
        <f ca="1">$AO$17*$AO$55</f>
        <v>-110.31122738474595</v>
      </c>
      <c r="AF17" s="31">
        <f ca="1">$AP$17*$AP$55</f>
        <v>0</v>
      </c>
      <c r="AG17" s="31">
        <f ca="1">SUM($AE$17:$AF$17)</f>
        <v>-110.31122738474595</v>
      </c>
      <c r="AH17" s="31">
        <f>'TUSD BE'!$AH$17*'TUSD BE'!$AH$58</f>
        <v>-1.1186428756246387</v>
      </c>
      <c r="AI17" s="31">
        <f>'TUSD BE'!$AI$17*'TUSD BE'!$AI$58</f>
        <v>-3.5974039122080477E-2</v>
      </c>
      <c r="AJ17" s="31">
        <f ca="1">'TUSD BE'!$AJ$17*'TUSD BE'!$AJ$58</f>
        <v>-0.11825381198647125</v>
      </c>
      <c r="AK17" s="31">
        <f ca="1">'TUSD BE'!$AK$17*'TUSD BE'!$AK$58</f>
        <v>4.181590643671651E-2</v>
      </c>
      <c r="AL17" s="31">
        <f ca="1">SUM($AH$17:$AK$17)</f>
        <v>-1.231054820296474</v>
      </c>
      <c r="AM17" s="31">
        <f ca="1">SUMIF($L$4:$AL$4,"SUBTOTAL",$L$17:$AL$17)+AZ17</f>
        <v>-98.580447339117484</v>
      </c>
      <c r="AO17" s="44">
        <f ca="1">+'TUSD BE'!$T$17+'TUSD BE'!$AB$17+'TUSD BE'!$AD$17+'TUSD BE'!$AL$17</f>
        <v>1045.5978514326691</v>
      </c>
      <c r="AP17" s="44">
        <f ca="1">+'TUSD BE'!$T$17+'TUSD BE'!$AB$17+'TUSD BE'!$AD$17+'TUSD BE'!$AL$17</f>
        <v>1045.5978514326691</v>
      </c>
      <c r="AQ17" s="9" t="str">
        <f t="shared" si="0"/>
        <v>B1</v>
      </c>
      <c r="AR17" s="9" t="str">
        <f t="shared" si="1"/>
        <v>Branca</v>
      </c>
      <c r="AS17" s="9" t="str">
        <f t="shared" si="2"/>
        <v>Residencial</v>
      </c>
      <c r="AT17" s="9" t="str">
        <f t="shared" si="3"/>
        <v>Residencial</v>
      </c>
      <c r="AU17" s="9" t="str">
        <f t="shared" si="4"/>
        <v>Não se aplica</v>
      </c>
      <c r="AV17" s="9">
        <f t="shared" si="5"/>
        <v>1</v>
      </c>
      <c r="AW17" s="9">
        <f ca="1">TarifaMedia!$G$20</f>
        <v>0</v>
      </c>
      <c r="AX17" s="15">
        <f ca="1">'TUSD BE'!$AM17+'TUSD BF'!$AM17+'TUSD CVA'!$AM17</f>
        <v>967.18721855969568</v>
      </c>
      <c r="AY17" s="9">
        <v>871.05</v>
      </c>
      <c r="AZ17" s="9">
        <f t="shared" ca="1" si="6"/>
        <v>0</v>
      </c>
      <c r="BC17" s="93" t="s">
        <v>1076</v>
      </c>
    </row>
    <row r="18" spans="1:55" ht="11.25" customHeight="1" x14ac:dyDescent="0.25">
      <c r="A18" s="137"/>
      <c r="B18" s="137"/>
      <c r="C18" s="137"/>
      <c r="D18" s="137"/>
      <c r="E18" s="137"/>
      <c r="F18" s="137"/>
      <c r="G18" s="41" t="s">
        <v>83</v>
      </c>
      <c r="H18" s="41" t="s">
        <v>70</v>
      </c>
      <c r="I18" s="41">
        <f>'MERCADO TUSD'!$U$15</f>
        <v>0</v>
      </c>
      <c r="J18" s="15"/>
      <c r="L18" s="31">
        <f>'TUSD BE'!$L$18*'TUSD BE'!$L$58</f>
        <v>4.96139567348787E-2</v>
      </c>
      <c r="M18" s="31">
        <f>'TUSD BE'!$M$18*'TUSD BE'!$M$58</f>
        <v>-1.67938644926648E-2</v>
      </c>
      <c r="N18" s="31">
        <f ca="1">'TUSD BE'!$N$18*'TUSD BE'!$N$58</f>
        <v>9.7192734712239283E-7</v>
      </c>
      <c r="O18" s="31">
        <f>'TUSD BE'!$O$18*'TUSD BE'!$O$58</f>
        <v>0</v>
      </c>
      <c r="P18" s="31">
        <f>'TUSD BE'!$P$18*'TUSD BE'!$P$58</f>
        <v>0</v>
      </c>
      <c r="Q18" s="31">
        <f>'TUSD BE'!$Q$18*'TUSD BE'!$Q$58</f>
        <v>1.4018738549269818</v>
      </c>
      <c r="R18" s="31">
        <f>'TUSD BE'!$R$18*'TUSD BE'!$R$58</f>
        <v>0.26830949317951003</v>
      </c>
      <c r="S18" s="31">
        <f>'TUSD BE'!$R$18*'TUSD BE'!$S$58</f>
        <v>0</v>
      </c>
      <c r="T18" s="31">
        <f ca="1">SUM($L$18:$S$18)</f>
        <v>1.7030044122760528</v>
      </c>
      <c r="U18" s="31">
        <f>'TUSD BE'!$U$18*'TUSD BE'!$U$58</f>
        <v>0</v>
      </c>
      <c r="V18" s="31">
        <f>'TUSD BE'!$V$18*'TUSD BE'!$V$58</f>
        <v>0</v>
      </c>
      <c r="W18" s="31">
        <f>'TUSD BE'!$W$18*'TUSD BE'!$W$58</f>
        <v>0</v>
      </c>
      <c r="X18" s="31">
        <f>'TUSD BE'!$X$18*'TUSD BE'!$X$58</f>
        <v>0</v>
      </c>
      <c r="Y18" s="31">
        <f>'TUSD BE'!$Y$18*'TUSD BE'!$Y$58</f>
        <v>9.6023954445638644</v>
      </c>
      <c r="Z18" s="31">
        <f>'TUSD BE'!$Z$18*'TUSD BE'!$Z$58</f>
        <v>0</v>
      </c>
      <c r="AA18" s="31">
        <f>'TUSD BE'!$AA$18*'TUSD BE'!$AA$58</f>
        <v>0</v>
      </c>
      <c r="AB18" s="31">
        <f>SUM($U$18:$AA$18)</f>
        <v>9.6023954445638644</v>
      </c>
      <c r="AC18" s="31">
        <f>'TUSD BE'!$AC$18*'TUSD BE'!$AC$58</f>
        <v>-3.972978918723848</v>
      </c>
      <c r="AD18" s="31">
        <f>SUM($AC$18:$AC$18)</f>
        <v>-3.972978918723848</v>
      </c>
      <c r="AE18" s="31">
        <f ca="1">$AO$18*$AO$55</f>
        <v>-62.177413933916412</v>
      </c>
      <c r="AF18" s="31">
        <f ca="1">$AP$18*$AP$55</f>
        <v>0</v>
      </c>
      <c r="AG18" s="31">
        <f ca="1">SUM($AE$18:$AF$18)</f>
        <v>-62.177413933916412</v>
      </c>
      <c r="AH18" s="31">
        <f>'TUSD BE'!$AH$18*'TUSD BE'!$AH$58</f>
        <v>-1.1186428756246387</v>
      </c>
      <c r="AI18" s="31">
        <f>'TUSD BE'!$AI$18*'TUSD BE'!$AI$58</f>
        <v>-3.5974039122080477E-2</v>
      </c>
      <c r="AJ18" s="31">
        <f ca="1">'TUSD BE'!$AJ$18*'TUSD BE'!$AJ$58</f>
        <v>-0.11825381198647125</v>
      </c>
      <c r="AK18" s="31">
        <f ca="1">'TUSD BE'!$AK$18*'TUSD BE'!$AK$58</f>
        <v>4.181590643671651E-2</v>
      </c>
      <c r="AL18" s="31">
        <f ca="1">SUM($AH$18:$AK$18)</f>
        <v>-1.231054820296474</v>
      </c>
      <c r="AM18" s="31">
        <f ca="1">SUMIF($L$4:$AL$4,"SUBTOTAL",$L$18:$AL$18)+AZ18</f>
        <v>-56.076047816096811</v>
      </c>
      <c r="AO18" s="44">
        <f ca="1">+'TUSD BE'!$T$18+'TUSD BE'!$AB$18+'TUSD BE'!$AD$18+'TUSD BE'!$AL$18</f>
        <v>589.3558793448143</v>
      </c>
      <c r="AP18" s="44">
        <f ca="1">+'TUSD BE'!$T$18+'TUSD BE'!$AB$18+'TUSD BE'!$AD$18+'TUSD BE'!$AL$18</f>
        <v>589.3558793448143</v>
      </c>
      <c r="AQ18" s="9" t="str">
        <f t="shared" si="0"/>
        <v>B1</v>
      </c>
      <c r="AR18" s="9" t="str">
        <f t="shared" si="1"/>
        <v>Branca</v>
      </c>
      <c r="AS18" s="9" t="str">
        <f t="shared" si="2"/>
        <v>Residencial</v>
      </c>
      <c r="AT18" s="9" t="str">
        <f t="shared" si="3"/>
        <v>Residencial</v>
      </c>
      <c r="AU18" s="9" t="str">
        <f t="shared" si="4"/>
        <v>Não se aplica</v>
      </c>
      <c r="AV18" s="9">
        <f t="shared" si="5"/>
        <v>1</v>
      </c>
      <c r="AW18" s="9">
        <f ca="1">TarifaMedia!$G$20</f>
        <v>0</v>
      </c>
      <c r="AX18" s="15">
        <f ca="1">'TUSD BE'!$AM18+'TUSD BF'!$AM18+'TUSD CVA'!$AM18</f>
        <v>553.4496459948615</v>
      </c>
      <c r="AY18" s="9">
        <v>582.04</v>
      </c>
      <c r="AZ18" s="9">
        <f t="shared" ca="1" si="6"/>
        <v>0</v>
      </c>
      <c r="BC18" s="93" t="s">
        <v>1077</v>
      </c>
    </row>
    <row r="19" spans="1:55" ht="11.25" customHeight="1" x14ac:dyDescent="0.25">
      <c r="A19" s="137"/>
      <c r="B19" s="137"/>
      <c r="C19" s="137"/>
      <c r="D19" s="137"/>
      <c r="E19" s="137"/>
      <c r="F19" s="137"/>
      <c r="G19" s="41" t="s">
        <v>72</v>
      </c>
      <c r="H19" s="41" t="s">
        <v>70</v>
      </c>
      <c r="I19" s="41">
        <f>'MERCADO TUSD'!$U$16</f>
        <v>0</v>
      </c>
      <c r="J19" s="15"/>
      <c r="L19" s="31">
        <f>'TUSD BE'!$L$19*'TUSD BE'!$L$58</f>
        <v>4.96139567348787E-2</v>
      </c>
      <c r="M19" s="31">
        <f>'TUSD BE'!$M$19*'TUSD BE'!$M$58</f>
        <v>-1.67938644926648E-2</v>
      </c>
      <c r="N19" s="31">
        <f ca="1">'TUSD BE'!$N$19*'TUSD BE'!$N$58</f>
        <v>2.644224938104574E-7</v>
      </c>
      <c r="O19" s="31">
        <f>'TUSD BE'!$O$19*'TUSD BE'!$O$58</f>
        <v>0</v>
      </c>
      <c r="P19" s="31">
        <f>'TUSD BE'!$P$19*'TUSD BE'!$P$58</f>
        <v>0</v>
      </c>
      <c r="Q19" s="31">
        <f>'TUSD BE'!$Q$19*'TUSD BE'!$Q$58</f>
        <v>1.4018738549269818</v>
      </c>
      <c r="R19" s="31">
        <f>'TUSD BE'!$R$19*'TUSD BE'!$R$58</f>
        <v>0.26830949317951003</v>
      </c>
      <c r="S19" s="31">
        <f>'TUSD BE'!$R$19*'TUSD BE'!$S$58</f>
        <v>0</v>
      </c>
      <c r="T19" s="31">
        <f ca="1">SUM($L$19:$S$19)</f>
        <v>1.7030037047711994</v>
      </c>
      <c r="U19" s="31">
        <f>'TUSD BE'!$U$19*'TUSD BE'!$U$58</f>
        <v>0</v>
      </c>
      <c r="V19" s="31">
        <f>'TUSD BE'!$V$19*'TUSD BE'!$V$58</f>
        <v>0</v>
      </c>
      <c r="W19" s="31">
        <f>'TUSD BE'!$W$19*'TUSD BE'!$W$58</f>
        <v>0</v>
      </c>
      <c r="X19" s="31">
        <f>'TUSD BE'!$X$19*'TUSD BE'!$X$58</f>
        <v>0</v>
      </c>
      <c r="Y19" s="31">
        <f>'TUSD BE'!$Y$19*'TUSD BE'!$Y$58</f>
        <v>1.9204801265474094</v>
      </c>
      <c r="Z19" s="31">
        <f>'TUSD BE'!$Z$19*'TUSD BE'!$Z$58</f>
        <v>0</v>
      </c>
      <c r="AA19" s="31">
        <f>'TUSD BE'!$AA$19*'TUSD BE'!$AA$58</f>
        <v>0</v>
      </c>
      <c r="AB19" s="31">
        <f>SUM($U$19:$AA$19)</f>
        <v>1.9204801265474094</v>
      </c>
      <c r="AC19" s="31">
        <f>'TUSD BE'!$AC$19*'TUSD BE'!$AC$58</f>
        <v>-0.79459646604926726</v>
      </c>
      <c r="AD19" s="31">
        <f>SUM($AC$19:$AC$19)</f>
        <v>-0.79459646604926726</v>
      </c>
      <c r="AE19" s="31">
        <f ca="1">$AO$19*$AO$55</f>
        <v>-23.670351499717018</v>
      </c>
      <c r="AF19" s="31">
        <f ca="1">$AP$19*$AP$55</f>
        <v>0</v>
      </c>
      <c r="AG19" s="31">
        <f ca="1">SUM($AE$19:$AF$19)</f>
        <v>-23.670351499717018</v>
      </c>
      <c r="AH19" s="31">
        <f>'TUSD BE'!$AH$19*'TUSD BE'!$AH$58</f>
        <v>-1.1186428756246387</v>
      </c>
      <c r="AI19" s="31">
        <f>'TUSD BE'!$AI$19*'TUSD BE'!$AI$58</f>
        <v>-3.5974039122080477E-2</v>
      </c>
      <c r="AJ19" s="31">
        <f ca="1">'TUSD BE'!$AJ$19*'TUSD BE'!$AJ$58</f>
        <v>-0.11825381198647125</v>
      </c>
      <c r="AK19" s="31">
        <f ca="1">'TUSD BE'!$AK$19*'TUSD BE'!$AK$58</f>
        <v>4.181590643671651E-2</v>
      </c>
      <c r="AL19" s="31">
        <f ca="1">SUM($AH$19:$AK$19)</f>
        <v>-1.231054820296474</v>
      </c>
      <c r="AM19" s="31">
        <f ca="1">SUMIF($L$4:$AL$4,"SUBTOTAL",$L$19:$AL$19)+AZ19</f>
        <v>-22.072518954744151</v>
      </c>
      <c r="AO19" s="44">
        <f ca="1">+'TUSD BE'!$T$19+'TUSD BE'!$AB$19+'TUSD BE'!$AD$19+'TUSD BE'!$AL$19</f>
        <v>224.36219102555833</v>
      </c>
      <c r="AP19" s="44">
        <f ca="1">+'TUSD BE'!$T$19+'TUSD BE'!$AB$19+'TUSD BE'!$AD$19+'TUSD BE'!$AL$19</f>
        <v>224.36219102555833</v>
      </c>
      <c r="AQ19" s="9" t="str">
        <f t="shared" si="0"/>
        <v>B1</v>
      </c>
      <c r="AR19" s="9" t="str">
        <f t="shared" si="1"/>
        <v>Branca</v>
      </c>
      <c r="AS19" s="9" t="str">
        <f t="shared" si="2"/>
        <v>Residencial</v>
      </c>
      <c r="AT19" s="9" t="str">
        <f t="shared" si="3"/>
        <v>Residencial</v>
      </c>
      <c r="AU19" s="9" t="str">
        <f t="shared" si="4"/>
        <v>Não se aplica</v>
      </c>
      <c r="AV19" s="9">
        <f t="shared" si="5"/>
        <v>1</v>
      </c>
      <c r="AW19" s="9">
        <f ca="1">TarifaMedia!$G$20</f>
        <v>0</v>
      </c>
      <c r="AX19" s="15">
        <f ca="1">'TUSD BE'!$AM19+'TUSD BF'!$AM19+'TUSD CVA'!$AM19</f>
        <v>222.45948653695817</v>
      </c>
      <c r="AY19" s="9">
        <v>293.04000000000002</v>
      </c>
      <c r="AZ19" s="9">
        <f t="shared" ca="1" si="6"/>
        <v>0</v>
      </c>
      <c r="BC19" s="93" t="s">
        <v>1078</v>
      </c>
    </row>
    <row r="20" spans="1:55" ht="11.25" customHeight="1" x14ac:dyDescent="0.25">
      <c r="A20" s="137"/>
      <c r="B20" s="137" t="s">
        <v>23</v>
      </c>
      <c r="C20" s="137" t="s">
        <v>24</v>
      </c>
      <c r="D20" s="42" t="s">
        <v>24</v>
      </c>
      <c r="E20" s="42" t="s">
        <v>25</v>
      </c>
      <c r="F20" s="42" t="s">
        <v>25</v>
      </c>
      <c r="G20" s="41" t="s">
        <v>74</v>
      </c>
      <c r="H20" s="41" t="s">
        <v>70</v>
      </c>
      <c r="I20" s="41">
        <f>'MERCADO TUSD'!$U$17</f>
        <v>20530.876000000004</v>
      </c>
      <c r="J20" s="15"/>
      <c r="L20" s="31">
        <f>'TUSD BE'!$L$20*'TUSD BE'!$L$58</f>
        <v>4.96139567348787E-2</v>
      </c>
      <c r="M20" s="31">
        <f>'TUSD BE'!$M$20*'TUSD BE'!$M$58</f>
        <v>-1.67938644926648E-2</v>
      </c>
      <c r="N20" s="31">
        <f ca="1">'TUSD BE'!$N$20*'TUSD BE'!$N$58</f>
        <v>5.9290676153437237E-7</v>
      </c>
      <c r="O20" s="31">
        <f>'TUSD BE'!$O$20*'TUSD BE'!$O$58</f>
        <v>0</v>
      </c>
      <c r="P20" s="31">
        <f>'TUSD BE'!$P$20*'TUSD BE'!$P$58</f>
        <v>0</v>
      </c>
      <c r="Q20" s="31">
        <f>'TUSD BE'!$Q$20*'TUSD BE'!$Q$58</f>
        <v>1.4018738549269818</v>
      </c>
      <c r="R20" s="31">
        <f>'TUSD BE'!$R$20*'TUSD BE'!$R$58</f>
        <v>0.26830949317951003</v>
      </c>
      <c r="S20" s="31">
        <f>'TUSD BE'!$R$20*'TUSD BE'!$S$58</f>
        <v>0</v>
      </c>
      <c r="T20" s="31">
        <f ca="1">SUM($L$20:$S$20)</f>
        <v>1.7030040332554672</v>
      </c>
      <c r="U20" s="31">
        <f>'TUSD BE'!$U$20*'TUSD BE'!$U$58</f>
        <v>0</v>
      </c>
      <c r="V20" s="31">
        <f>'TUSD BE'!$V$20*'TUSD BE'!$V$58</f>
        <v>0</v>
      </c>
      <c r="W20" s="31">
        <f>'TUSD BE'!$W$20*'TUSD BE'!$W$58</f>
        <v>0</v>
      </c>
      <c r="X20" s="31">
        <f>'TUSD BE'!$X$20*'TUSD BE'!$X$58</f>
        <v>0</v>
      </c>
      <c r="Y20" s="31">
        <f>'TUSD BE'!$Y$20*'TUSD BE'!$Y$58</f>
        <v>5.4870845935145454</v>
      </c>
      <c r="Z20" s="31">
        <f>'TUSD BE'!$Z$20*'TUSD BE'!$Z$58</f>
        <v>0</v>
      </c>
      <c r="AA20" s="31">
        <f>'TUSD BE'!$AA$20*'TUSD BE'!$AA$58</f>
        <v>0</v>
      </c>
      <c r="AB20" s="31">
        <f>SUM($U$20:$AA$20)</f>
        <v>5.4870845935145454</v>
      </c>
      <c r="AC20" s="31">
        <f>'TUSD BE'!$AC$20*'TUSD BE'!$AC$58</f>
        <v>-2.2702726931214881</v>
      </c>
      <c r="AD20" s="31">
        <f>SUM($AC$20:$AC$20)</f>
        <v>-2.2702726931214881</v>
      </c>
      <c r="AE20" s="31">
        <f ca="1">$AO$20*$AO$55</f>
        <v>-41.54862394577416</v>
      </c>
      <c r="AF20" s="31">
        <f ca="1">$AP$20*$AP$55</f>
        <v>0</v>
      </c>
      <c r="AG20" s="31">
        <f ca="1">SUM($AE$20:$AF$20)</f>
        <v>-41.54862394577416</v>
      </c>
      <c r="AH20" s="31">
        <f>'TUSD BE'!$AH$20*'TUSD BE'!$AH$58</f>
        <v>-1.1186428756246387</v>
      </c>
      <c r="AI20" s="31">
        <f>'TUSD BE'!$AI$20*'TUSD BE'!$AI$58</f>
        <v>-3.5974039122080477E-2</v>
      </c>
      <c r="AJ20" s="31">
        <f ca="1">'TUSD BE'!$AJ$20*'TUSD BE'!$AJ$58</f>
        <v>-0.11825381198647125</v>
      </c>
      <c r="AK20" s="31">
        <f ca="1">'TUSD BE'!$AK$20*'TUSD BE'!$AK$58</f>
        <v>4.181590643671651E-2</v>
      </c>
      <c r="AL20" s="31">
        <f ca="1">SUM($AH$20:$AK$20)</f>
        <v>-1.231054820296474</v>
      </c>
      <c r="AM20" s="31">
        <f ca="1">SUMIF($L$4:$AL$4,"SUBTOTAL",$L$20:$AL$20)+AZ20</f>
        <v>-37.859862832422102</v>
      </c>
      <c r="AO20" s="44">
        <f ca="1">+'TUSD BE'!$T$20+'TUSD BE'!$AB$20+'TUSD BE'!$AD$20+'TUSD BE'!$AL$20</f>
        <v>393.82348431464209</v>
      </c>
      <c r="AP20" s="44">
        <f ca="1">+'TUSD BE'!$T$20+'TUSD BE'!$AB$20+'TUSD BE'!$AD$20+'TUSD BE'!$AL$20</f>
        <v>393.82348431464209</v>
      </c>
      <c r="AQ20" s="9" t="str">
        <f t="shared" si="0"/>
        <v>B1</v>
      </c>
      <c r="AR20" s="9" t="str">
        <f t="shared" si="1"/>
        <v>Convencional</v>
      </c>
      <c r="AS20" s="9" t="str">
        <f t="shared" si="2"/>
        <v>Residencial</v>
      </c>
      <c r="AT20" s="9" t="str">
        <f t="shared" si="3"/>
        <v>Residencial</v>
      </c>
      <c r="AU20" s="9" t="str">
        <f t="shared" si="4"/>
        <v>Não se aplica</v>
      </c>
      <c r="AV20" s="9">
        <f t="shared" si="5"/>
        <v>1</v>
      </c>
      <c r="AW20" s="9">
        <f ca="1">TarifaMedia!$G$20</f>
        <v>0</v>
      </c>
      <c r="AX20" s="15">
        <f ca="1">'TUSD BE'!$AM20+'TUSD BF'!$AM20+'TUSD CVA'!$AM20</f>
        <v>376.13343594836397</v>
      </c>
      <c r="AY20" s="9">
        <v>437.54</v>
      </c>
      <c r="AZ20" s="9">
        <f t="shared" ca="1" si="6"/>
        <v>0</v>
      </c>
      <c r="BC20" s="93" t="s">
        <v>1079</v>
      </c>
    </row>
    <row r="21" spans="1:55" ht="11.25" customHeight="1" x14ac:dyDescent="0.25">
      <c r="A21" s="137"/>
      <c r="B21" s="137"/>
      <c r="C21" s="137"/>
      <c r="D21" s="42" t="s">
        <v>28</v>
      </c>
      <c r="E21" s="42" t="s">
        <v>25</v>
      </c>
      <c r="F21" s="42" t="s">
        <v>25</v>
      </c>
      <c r="G21" s="41" t="s">
        <v>74</v>
      </c>
      <c r="H21" s="41" t="s">
        <v>70</v>
      </c>
      <c r="I21" s="41">
        <f>'MERCADO TUSD'!$U$18</f>
        <v>165.006</v>
      </c>
      <c r="J21" s="15"/>
      <c r="L21" s="31">
        <f>'TUSD BE'!$L$21*'TUSD BE'!$L$58</f>
        <v>0</v>
      </c>
      <c r="M21" s="31">
        <f>'TUSD BE'!$M$21*'TUSD BE'!$M$58</f>
        <v>-1.67938644926648E-2</v>
      </c>
      <c r="N21" s="31">
        <f ca="1">'TUSD BE'!$N$21*'TUSD BE'!$N$58</f>
        <v>5.9079100533446589E-7</v>
      </c>
      <c r="O21" s="31">
        <f>'TUSD BE'!$O$21*'TUSD BE'!$O$58</f>
        <v>0</v>
      </c>
      <c r="P21" s="31">
        <f>'TUSD BE'!$P$21*'TUSD BE'!$P$58</f>
        <v>0</v>
      </c>
      <c r="Q21" s="31">
        <f>'TUSD BE'!$Q$21*'TUSD BE'!$Q$58</f>
        <v>0</v>
      </c>
      <c r="R21" s="31">
        <f>'TUSD BE'!$R$21*'TUSD BE'!$R$58</f>
        <v>0</v>
      </c>
      <c r="S21" s="31">
        <f>'TUSD BE'!$R$21*'TUSD BE'!$S$58</f>
        <v>0</v>
      </c>
      <c r="T21" s="31">
        <f ca="1">SUM($L$21:$S$21)</f>
        <v>-1.6793273701659464E-2</v>
      </c>
      <c r="U21" s="31">
        <f>'TUSD BE'!$U$21*'TUSD BE'!$U$58</f>
        <v>0</v>
      </c>
      <c r="V21" s="31">
        <f>'TUSD BE'!$V$21*'TUSD BE'!$V$58</f>
        <v>0</v>
      </c>
      <c r="W21" s="31">
        <f>'TUSD BE'!$W$21*'TUSD BE'!$W$58</f>
        <v>0</v>
      </c>
      <c r="X21" s="31">
        <f>'TUSD BE'!$X$21*'TUSD BE'!$X$58</f>
        <v>0</v>
      </c>
      <c r="Y21" s="31">
        <f>'TUSD BE'!$Y$21*'TUSD BE'!$Y$58</f>
        <v>5.4870845935145454</v>
      </c>
      <c r="Z21" s="31">
        <f>'TUSD BE'!$Z$21*'TUSD BE'!$Z$58</f>
        <v>0</v>
      </c>
      <c r="AA21" s="31">
        <f>'TUSD BE'!$AA$21*'TUSD BE'!$AA$58</f>
        <v>0</v>
      </c>
      <c r="AB21" s="31">
        <f>SUM($U$21:$AA$21)</f>
        <v>5.4870845935145454</v>
      </c>
      <c r="AC21" s="31">
        <f>'TUSD BE'!$AC$21*'TUSD BE'!$AC$58</f>
        <v>-2.2702726931214881</v>
      </c>
      <c r="AD21" s="31">
        <f>SUM($AC$21:$AC$21)</f>
        <v>-2.2702726931214881</v>
      </c>
      <c r="AE21" s="31">
        <f ca="1">$AO$21*$AO$55</f>
        <v>-29.836778054260634</v>
      </c>
      <c r="AF21" s="31">
        <f ca="1">$AP$21*$AP$55</f>
        <v>0</v>
      </c>
      <c r="AG21" s="31">
        <f ca="1">SUM($AE$21:$AF$21)</f>
        <v>-29.836778054260634</v>
      </c>
      <c r="AH21" s="31">
        <f>'TUSD BE'!$AH$21*'TUSD BE'!$AH$58</f>
        <v>-1.1186428756246387</v>
      </c>
      <c r="AI21" s="31">
        <f>'TUSD BE'!$AI$21*'TUSD BE'!$AI$58</f>
        <v>-3.5974039122080477E-2</v>
      </c>
      <c r="AJ21" s="31">
        <f ca="1">'TUSD BE'!$AJ$21*'TUSD BE'!$AJ$58</f>
        <v>-0.11825381198647125</v>
      </c>
      <c r="AK21" s="31">
        <f ca="1">'TUSD BE'!$AK$21*'TUSD BE'!$AK$58</f>
        <v>4.181590643671651E-2</v>
      </c>
      <c r="AL21" s="31">
        <f ca="1">SUM($AH$21:$AK$21)</f>
        <v>-1.231054820296474</v>
      </c>
      <c r="AM21" s="31">
        <f ca="1">SUMIF($L$4:$AL$4,"SUBTOTAL",$L$21:$AL$21)+AZ21</f>
        <v>-27.867814247865709</v>
      </c>
      <c r="AO21" s="44">
        <f ca="1">+'TUSD BE'!$T$21+'TUSD BE'!$AB$21+'TUSD BE'!$AD$21+'TUSD BE'!$AL$21</f>
        <v>282.81138526722941</v>
      </c>
      <c r="AP21" s="44">
        <f ca="1">+'TUSD BE'!$T$21+'TUSD BE'!$AB$21+'TUSD BE'!$AD$21+'TUSD BE'!$AL$21</f>
        <v>282.81138526722941</v>
      </c>
      <c r="AQ21" s="9" t="str">
        <f t="shared" si="0"/>
        <v>B1</v>
      </c>
      <c r="AR21" s="9" t="str">
        <f t="shared" si="1"/>
        <v>Convencional</v>
      </c>
      <c r="AS21" s="9" t="str">
        <f t="shared" si="2"/>
        <v>Residencial</v>
      </c>
      <c r="AT21" s="9" t="str">
        <f t="shared" si="3"/>
        <v>Residencial baixa renda – faixa 01</v>
      </c>
      <c r="AU21" s="9" t="str">
        <f t="shared" si="4"/>
        <v>Não se aplica</v>
      </c>
      <c r="AV21" s="9">
        <f t="shared" si="5"/>
        <v>1</v>
      </c>
      <c r="AW21" s="9">
        <f ca="1">TarifaMedia!$G$20</f>
        <v>0</v>
      </c>
      <c r="AX21" s="15">
        <f ca="1">'TUSD BE'!$AM21+'TUSD BF'!$AM21+'TUSD CVA'!$AM21</f>
        <v>257.16442079434273</v>
      </c>
      <c r="AY21" s="9">
        <v>322.51</v>
      </c>
      <c r="AZ21" s="9">
        <f t="shared" ca="1" si="6"/>
        <v>0</v>
      </c>
      <c r="BC21" s="93" t="s">
        <v>1080</v>
      </c>
    </row>
    <row r="22" spans="1:55" ht="11.25" customHeight="1" x14ac:dyDescent="0.25">
      <c r="A22" s="137"/>
      <c r="B22" s="137"/>
      <c r="C22" s="137"/>
      <c r="D22" s="42" t="s">
        <v>29</v>
      </c>
      <c r="E22" s="42" t="s">
        <v>25</v>
      </c>
      <c r="F22" s="42" t="s">
        <v>25</v>
      </c>
      <c r="G22" s="41" t="s">
        <v>74</v>
      </c>
      <c r="H22" s="41" t="s">
        <v>70</v>
      </c>
      <c r="I22" s="41">
        <f>'MERCADO TUSD'!$U$19</f>
        <v>350.56600000000003</v>
      </c>
      <c r="J22" s="15"/>
      <c r="L22" s="31">
        <f>'TUSD BE'!$L$22*'TUSD BE'!$L$58</f>
        <v>0</v>
      </c>
      <c r="M22" s="31">
        <f>'TUSD BE'!$M$22*'TUSD BE'!$M$58</f>
        <v>-1.67938644926648E-2</v>
      </c>
      <c r="N22" s="31">
        <f ca="1">'TUSD BE'!$N$22*'TUSD BE'!$N$58</f>
        <v>5.9079100533446589E-7</v>
      </c>
      <c r="O22" s="31">
        <f>'TUSD BE'!$O$22*'TUSD BE'!$O$58</f>
        <v>0</v>
      </c>
      <c r="P22" s="31">
        <f>'TUSD BE'!$P$22*'TUSD BE'!$P$58</f>
        <v>0</v>
      </c>
      <c r="Q22" s="31">
        <f>'TUSD BE'!$Q$22*'TUSD BE'!$Q$58</f>
        <v>0</v>
      </c>
      <c r="R22" s="31">
        <f>'TUSD BE'!$R$22*'TUSD BE'!$R$58</f>
        <v>0</v>
      </c>
      <c r="S22" s="31">
        <f>'TUSD BE'!$R$22*'TUSD BE'!$S$58</f>
        <v>0</v>
      </c>
      <c r="T22" s="31">
        <f ca="1">SUM($L$22:$S$22)</f>
        <v>-1.6793273701659464E-2</v>
      </c>
      <c r="U22" s="31">
        <f>'TUSD BE'!$U$22*'TUSD BE'!$U$58</f>
        <v>0</v>
      </c>
      <c r="V22" s="31">
        <f>'TUSD BE'!$V$22*'TUSD BE'!$V$58</f>
        <v>0</v>
      </c>
      <c r="W22" s="31">
        <f>'TUSD BE'!$W$22*'TUSD BE'!$W$58</f>
        <v>0</v>
      </c>
      <c r="X22" s="31">
        <f>'TUSD BE'!$X$22*'TUSD BE'!$X$58</f>
        <v>0</v>
      </c>
      <c r="Y22" s="31">
        <f>'TUSD BE'!$Y$22*'TUSD BE'!$Y$58</f>
        <v>5.4870845935145454</v>
      </c>
      <c r="Z22" s="31">
        <f>'TUSD BE'!$Z$22*'TUSD BE'!$Z$58</f>
        <v>0</v>
      </c>
      <c r="AA22" s="31">
        <f>'TUSD BE'!$AA$22*'TUSD BE'!$AA$58</f>
        <v>0</v>
      </c>
      <c r="AB22" s="31">
        <f>SUM($U$22:$AA$22)</f>
        <v>5.4870845935145454</v>
      </c>
      <c r="AC22" s="31">
        <f>'TUSD BE'!$AC$22*'TUSD BE'!$AC$58</f>
        <v>-2.2702726931214881</v>
      </c>
      <c r="AD22" s="31">
        <f>SUM($AC$22:$AC$22)</f>
        <v>-2.2702726931214881</v>
      </c>
      <c r="AE22" s="31">
        <f ca="1">$AO$22*$AO$55</f>
        <v>-29.836778054260634</v>
      </c>
      <c r="AF22" s="31">
        <f ca="1">$AP$22*$AP$55</f>
        <v>0</v>
      </c>
      <c r="AG22" s="31">
        <f ca="1">SUM($AE$22:$AF$22)</f>
        <v>-29.836778054260634</v>
      </c>
      <c r="AH22" s="31">
        <f>'TUSD BE'!$AH$22*'TUSD BE'!$AH$58</f>
        <v>-1.1186428756246387</v>
      </c>
      <c r="AI22" s="31">
        <f>'TUSD BE'!$AI$22*'TUSD BE'!$AI$58</f>
        <v>-3.5974039122080477E-2</v>
      </c>
      <c r="AJ22" s="31">
        <f ca="1">'TUSD BE'!$AJ$22*'TUSD BE'!$AJ$58</f>
        <v>-0.11825381198647125</v>
      </c>
      <c r="AK22" s="31">
        <f ca="1">'TUSD BE'!$AK$22*'TUSD BE'!$AK$58</f>
        <v>4.181590643671651E-2</v>
      </c>
      <c r="AL22" s="31">
        <f ca="1">SUM($AH$22:$AK$22)</f>
        <v>-1.231054820296474</v>
      </c>
      <c r="AM22" s="31">
        <f ca="1">SUMIF($L$4:$AL$4,"SUBTOTAL",$L$22:$AL$22)+AZ22</f>
        <v>-27.867814247865709</v>
      </c>
      <c r="AO22" s="44">
        <f ca="1">+'TUSD BE'!$T$22+'TUSD BE'!$AB$22+'TUSD BE'!$AD$22+'TUSD BE'!$AL$22</f>
        <v>282.81138526722941</v>
      </c>
      <c r="AP22" s="44">
        <f ca="1">+'TUSD BE'!$T$22+'TUSD BE'!$AB$22+'TUSD BE'!$AD$22+'TUSD BE'!$AL$22</f>
        <v>282.81138526722941</v>
      </c>
      <c r="AQ22" s="9" t="str">
        <f t="shared" si="0"/>
        <v>B1</v>
      </c>
      <c r="AR22" s="9" t="str">
        <f t="shared" si="1"/>
        <v>Convencional</v>
      </c>
      <c r="AS22" s="9" t="str">
        <f t="shared" si="2"/>
        <v>Residencial</v>
      </c>
      <c r="AT22" s="9" t="str">
        <f t="shared" si="3"/>
        <v>Residencial baixa renda – faixa 02</v>
      </c>
      <c r="AU22" s="9" t="str">
        <f t="shared" si="4"/>
        <v>Não se aplica</v>
      </c>
      <c r="AV22" s="9">
        <f t="shared" si="5"/>
        <v>1</v>
      </c>
      <c r="AW22" s="9">
        <f ca="1">TarifaMedia!$G$20</f>
        <v>0</v>
      </c>
      <c r="AX22" s="15">
        <f ca="1">'TUSD BE'!$AM22+'TUSD BF'!$AM22+'TUSD CVA'!$AM22</f>
        <v>257.16442079434273</v>
      </c>
      <c r="AY22" s="9">
        <v>322.51</v>
      </c>
      <c r="AZ22" s="9">
        <f t="shared" ca="1" si="6"/>
        <v>0</v>
      </c>
      <c r="BC22" s="93" t="s">
        <v>1080</v>
      </c>
    </row>
    <row r="23" spans="1:55" ht="11.25" customHeight="1" x14ac:dyDescent="0.25">
      <c r="A23" s="137"/>
      <c r="B23" s="137"/>
      <c r="C23" s="137"/>
      <c r="D23" s="42" t="s">
        <v>30</v>
      </c>
      <c r="E23" s="42" t="s">
        <v>25</v>
      </c>
      <c r="F23" s="42" t="s">
        <v>25</v>
      </c>
      <c r="G23" s="41" t="s">
        <v>74</v>
      </c>
      <c r="H23" s="41" t="s">
        <v>70</v>
      </c>
      <c r="I23" s="41">
        <f>'MERCADO TUSD'!$U$20</f>
        <v>338.63600000000002</v>
      </c>
      <c r="J23" s="15"/>
      <c r="L23" s="31">
        <f>'TUSD BE'!$L$23*'TUSD BE'!$L$58</f>
        <v>0</v>
      </c>
      <c r="M23" s="31">
        <f>'TUSD BE'!$M$23*'TUSD BE'!$M$58</f>
        <v>-1.67938644926648E-2</v>
      </c>
      <c r="N23" s="31">
        <f ca="1">'TUSD BE'!$N$23*'TUSD BE'!$N$58</f>
        <v>5.9079100533446589E-7</v>
      </c>
      <c r="O23" s="31">
        <f>'TUSD BE'!$O$23*'TUSD BE'!$O$58</f>
        <v>0</v>
      </c>
      <c r="P23" s="31">
        <f>'TUSD BE'!$P$23*'TUSD BE'!$P$58</f>
        <v>0</v>
      </c>
      <c r="Q23" s="31">
        <f>'TUSD BE'!$Q$23*'TUSD BE'!$Q$58</f>
        <v>0</v>
      </c>
      <c r="R23" s="31">
        <f>'TUSD BE'!$R$23*'TUSD BE'!$R$58</f>
        <v>0</v>
      </c>
      <c r="S23" s="31">
        <f>'TUSD BE'!$R$23*'TUSD BE'!$S$58</f>
        <v>0</v>
      </c>
      <c r="T23" s="31">
        <f ca="1">SUM($L$23:$S$23)</f>
        <v>-1.6793273701659464E-2</v>
      </c>
      <c r="U23" s="31">
        <f>'TUSD BE'!$U$23*'TUSD BE'!$U$58</f>
        <v>0</v>
      </c>
      <c r="V23" s="31">
        <f>'TUSD BE'!$V$23*'TUSD BE'!$V$58</f>
        <v>0</v>
      </c>
      <c r="W23" s="31">
        <f>'TUSD BE'!$W$23*'TUSD BE'!$W$58</f>
        <v>0</v>
      </c>
      <c r="X23" s="31">
        <f>'TUSD BE'!$X$23*'TUSD BE'!$X$58</f>
        <v>0</v>
      </c>
      <c r="Y23" s="31">
        <f>'TUSD BE'!$Y$23*'TUSD BE'!$Y$58</f>
        <v>5.4870845935145454</v>
      </c>
      <c r="Z23" s="31">
        <f>'TUSD BE'!$Z$23*'TUSD BE'!$Z$58</f>
        <v>0</v>
      </c>
      <c r="AA23" s="31">
        <f>'TUSD BE'!$AA$23*'TUSD BE'!$AA$58</f>
        <v>0</v>
      </c>
      <c r="AB23" s="31">
        <f>SUM($U$23:$AA$23)</f>
        <v>5.4870845935145454</v>
      </c>
      <c r="AC23" s="31">
        <f>'TUSD BE'!$AC$23*'TUSD BE'!$AC$58</f>
        <v>-2.2702726931214881</v>
      </c>
      <c r="AD23" s="31">
        <f>SUM($AC$23:$AC$23)</f>
        <v>-2.2702726931214881</v>
      </c>
      <c r="AE23" s="31">
        <f ca="1">$AO$23*$AO$55</f>
        <v>-29.836778054260634</v>
      </c>
      <c r="AF23" s="31">
        <f ca="1">$AP$23*$AP$55</f>
        <v>0</v>
      </c>
      <c r="AG23" s="31">
        <f ca="1">SUM($AE$23:$AF$23)</f>
        <v>-29.836778054260634</v>
      </c>
      <c r="AH23" s="31">
        <f>'TUSD BE'!$AH$23*'TUSD BE'!$AH$58</f>
        <v>-1.1186428756246387</v>
      </c>
      <c r="AI23" s="31">
        <f>'TUSD BE'!$AI$23*'TUSD BE'!$AI$58</f>
        <v>-3.5974039122080477E-2</v>
      </c>
      <c r="AJ23" s="31">
        <f ca="1">'TUSD BE'!$AJ$23*'TUSD BE'!$AJ$58</f>
        <v>-0.11825381198647125</v>
      </c>
      <c r="AK23" s="31">
        <f ca="1">'TUSD BE'!$AK$23*'TUSD BE'!$AK$58</f>
        <v>4.181590643671651E-2</v>
      </c>
      <c r="AL23" s="31">
        <f ca="1">SUM($AH$23:$AK$23)</f>
        <v>-1.231054820296474</v>
      </c>
      <c r="AM23" s="31">
        <f ca="1">SUMIF($L$4:$AL$4,"SUBTOTAL",$L$23:$AL$23)+AZ23</f>
        <v>-27.867814247865709</v>
      </c>
      <c r="AO23" s="44">
        <f ca="1">+'TUSD BE'!$T$23+'TUSD BE'!$AB$23+'TUSD BE'!$AD$23+'TUSD BE'!$AL$23</f>
        <v>282.81138526722941</v>
      </c>
      <c r="AP23" s="44">
        <f ca="1">+'TUSD BE'!$T$23+'TUSD BE'!$AB$23+'TUSD BE'!$AD$23+'TUSD BE'!$AL$23</f>
        <v>282.81138526722941</v>
      </c>
      <c r="AQ23" s="9" t="str">
        <f t="shared" si="0"/>
        <v>B1</v>
      </c>
      <c r="AR23" s="9" t="str">
        <f t="shared" si="1"/>
        <v>Convencional</v>
      </c>
      <c r="AS23" s="9" t="str">
        <f t="shared" si="2"/>
        <v>Residencial</v>
      </c>
      <c r="AT23" s="9" t="str">
        <f t="shared" si="3"/>
        <v>Residencial baixa renda – faixa 03</v>
      </c>
      <c r="AU23" s="9" t="str">
        <f t="shared" si="4"/>
        <v>Não se aplica</v>
      </c>
      <c r="AV23" s="9">
        <f t="shared" si="5"/>
        <v>1</v>
      </c>
      <c r="AW23" s="9">
        <f ca="1">TarifaMedia!$G$20</f>
        <v>0</v>
      </c>
      <c r="AX23" s="15">
        <f ca="1">'TUSD BE'!$AM23+'TUSD BF'!$AM23+'TUSD CVA'!$AM23</f>
        <v>257.16442079434273</v>
      </c>
      <c r="AY23" s="9">
        <v>322.51</v>
      </c>
      <c r="AZ23" s="9">
        <f t="shared" ca="1" si="6"/>
        <v>0</v>
      </c>
      <c r="BC23" s="93" t="s">
        <v>1080</v>
      </c>
    </row>
    <row r="24" spans="1:55" ht="11.25" customHeight="1" x14ac:dyDescent="0.25">
      <c r="A24" s="137"/>
      <c r="B24" s="137"/>
      <c r="C24" s="137"/>
      <c r="D24" s="42" t="s">
        <v>31</v>
      </c>
      <c r="E24" s="42" t="s">
        <v>25</v>
      </c>
      <c r="F24" s="42" t="s">
        <v>25</v>
      </c>
      <c r="G24" s="41" t="s">
        <v>74</v>
      </c>
      <c r="H24" s="41" t="s">
        <v>70</v>
      </c>
      <c r="I24" s="41">
        <f>'MERCADO TUSD'!$U$21</f>
        <v>113.66699999999999</v>
      </c>
      <c r="J24" s="15"/>
      <c r="L24" s="31">
        <f>'TUSD BE'!$L$24*'TUSD BE'!$L$58</f>
        <v>0</v>
      </c>
      <c r="M24" s="31">
        <f>'TUSD BE'!$M$24*'TUSD BE'!$M$58</f>
        <v>-1.67938644926648E-2</v>
      </c>
      <c r="N24" s="31">
        <f ca="1">'TUSD BE'!$N$24*'TUSD BE'!$N$58</f>
        <v>5.9079100533446589E-7</v>
      </c>
      <c r="O24" s="31">
        <f>'TUSD BE'!$O$24*'TUSD BE'!$O$58</f>
        <v>0</v>
      </c>
      <c r="P24" s="31">
        <f>'TUSD BE'!$P$24*'TUSD BE'!$P$58</f>
        <v>0</v>
      </c>
      <c r="Q24" s="31">
        <f>'TUSD BE'!$Q$24*'TUSD BE'!$Q$58</f>
        <v>0</v>
      </c>
      <c r="R24" s="31">
        <f>'TUSD BE'!$R$24*'TUSD BE'!$R$58</f>
        <v>0</v>
      </c>
      <c r="S24" s="31">
        <f>'TUSD BE'!$R$24*'TUSD BE'!$S$58</f>
        <v>0</v>
      </c>
      <c r="T24" s="31">
        <f ca="1">SUM($L$24:$S$24)</f>
        <v>-1.6793273701659464E-2</v>
      </c>
      <c r="U24" s="31">
        <f>'TUSD BE'!$U$24*'TUSD BE'!$U$58</f>
        <v>0</v>
      </c>
      <c r="V24" s="31">
        <f>'TUSD BE'!$V$24*'TUSD BE'!$V$58</f>
        <v>0</v>
      </c>
      <c r="W24" s="31">
        <f>'TUSD BE'!$W$24*'TUSD BE'!$W$58</f>
        <v>0</v>
      </c>
      <c r="X24" s="31">
        <f>'TUSD BE'!$X$24*'TUSD BE'!$X$58</f>
        <v>0</v>
      </c>
      <c r="Y24" s="31">
        <f>'TUSD BE'!$Y$24*'TUSD BE'!$Y$58</f>
        <v>5.4870845935145454</v>
      </c>
      <c r="Z24" s="31">
        <f>'TUSD BE'!$Z$24*'TUSD BE'!$Z$58</f>
        <v>0</v>
      </c>
      <c r="AA24" s="31">
        <f>'TUSD BE'!$AA$24*'TUSD BE'!$AA$58</f>
        <v>0</v>
      </c>
      <c r="AB24" s="31">
        <f>SUM($U$24:$AA$24)</f>
        <v>5.4870845935145454</v>
      </c>
      <c r="AC24" s="31">
        <f>'TUSD BE'!$AC$24*'TUSD BE'!$AC$58</f>
        <v>-2.2702726931214881</v>
      </c>
      <c r="AD24" s="31">
        <f>SUM($AC$24:$AC$24)</f>
        <v>-2.2702726931214881</v>
      </c>
      <c r="AE24" s="31">
        <f ca="1">$AO$24*$AO$55</f>
        <v>-29.836778054260634</v>
      </c>
      <c r="AF24" s="31">
        <f ca="1">$AP$24*$AP$55</f>
        <v>0</v>
      </c>
      <c r="AG24" s="31">
        <f ca="1">SUM($AE$24:$AF$24)</f>
        <v>-29.836778054260634</v>
      </c>
      <c r="AH24" s="31">
        <f>'TUSD BE'!$AH$24*'TUSD BE'!$AH$58</f>
        <v>-1.1186428756246387</v>
      </c>
      <c r="AI24" s="31">
        <f>'TUSD BE'!$AI$24*'TUSD BE'!$AI$58</f>
        <v>-3.5974039122080477E-2</v>
      </c>
      <c r="AJ24" s="31">
        <f ca="1">'TUSD BE'!$AJ$24*'TUSD BE'!$AJ$58</f>
        <v>-0.11825381198647125</v>
      </c>
      <c r="AK24" s="31">
        <f ca="1">'TUSD BE'!$AK$24*'TUSD BE'!$AK$58</f>
        <v>4.181590643671651E-2</v>
      </c>
      <c r="AL24" s="31">
        <f ca="1">SUM($AH$24:$AK$24)</f>
        <v>-1.231054820296474</v>
      </c>
      <c r="AM24" s="31">
        <f ca="1">SUMIF($L$4:$AL$4,"SUBTOTAL",$L$24:$AL$24)+AZ24</f>
        <v>-27.867814247865709</v>
      </c>
      <c r="AO24" s="44">
        <f ca="1">+'TUSD BE'!$T$24+'TUSD BE'!$AB$24+'TUSD BE'!$AD$24+'TUSD BE'!$AL$24</f>
        <v>282.81138526722941</v>
      </c>
      <c r="AP24" s="44">
        <f ca="1">+'TUSD BE'!$T$24+'TUSD BE'!$AB$24+'TUSD BE'!$AD$24+'TUSD BE'!$AL$24</f>
        <v>282.81138526722941</v>
      </c>
      <c r="AQ24" s="9" t="str">
        <f t="shared" si="0"/>
        <v>B1</v>
      </c>
      <c r="AR24" s="9" t="str">
        <f t="shared" si="1"/>
        <v>Convencional</v>
      </c>
      <c r="AS24" s="9" t="str">
        <f t="shared" si="2"/>
        <v>Residencial</v>
      </c>
      <c r="AT24" s="9" t="str">
        <f t="shared" si="3"/>
        <v>Residencial baixa renda – faixa 04</v>
      </c>
      <c r="AU24" s="9" t="str">
        <f t="shared" si="4"/>
        <v>Não se aplica</v>
      </c>
      <c r="AV24" s="9">
        <f t="shared" si="5"/>
        <v>1</v>
      </c>
      <c r="AW24" s="9">
        <f ca="1">TarifaMedia!$G$20</f>
        <v>0</v>
      </c>
      <c r="AX24" s="15">
        <f ca="1">'TUSD BE'!$AM24+'TUSD BF'!$AM24+'TUSD CVA'!$AM24</f>
        <v>257.16442079434273</v>
      </c>
      <c r="AY24" s="9">
        <v>322.51</v>
      </c>
      <c r="AZ24" s="9">
        <f t="shared" ca="1" si="6"/>
        <v>0</v>
      </c>
      <c r="BC24" s="93" t="s">
        <v>1080</v>
      </c>
    </row>
    <row r="25" spans="1:55" ht="11.25" customHeight="1" x14ac:dyDescent="0.25">
      <c r="A25" s="137"/>
      <c r="B25" s="137" t="s">
        <v>85</v>
      </c>
      <c r="C25" s="137" t="s">
        <v>24</v>
      </c>
      <c r="D25" s="42" t="s">
        <v>24</v>
      </c>
      <c r="E25" s="42" t="s">
        <v>25</v>
      </c>
      <c r="F25" s="42" t="s">
        <v>25</v>
      </c>
      <c r="G25" s="41" t="s">
        <v>74</v>
      </c>
      <c r="H25" s="41" t="s">
        <v>70</v>
      </c>
      <c r="I25" s="41">
        <f>'MERCADO TUSD'!$U$22</f>
        <v>0</v>
      </c>
      <c r="J25" s="15"/>
      <c r="L25" s="31">
        <f>'TUSD BE'!$L$25*'TUSD BE'!$L$58</f>
        <v>4.96139567348787E-2</v>
      </c>
      <c r="M25" s="31">
        <f>'TUSD BE'!$M$25*'TUSD BE'!$M$58</f>
        <v>-1.67938644926648E-2</v>
      </c>
      <c r="N25" s="31">
        <f ca="1">'TUSD BE'!$N$25*'TUSD BE'!$N$58</f>
        <v>5.9290676153437237E-7</v>
      </c>
      <c r="O25" s="31">
        <f>'TUSD BE'!$O$25*'TUSD BE'!$O$58</f>
        <v>0</v>
      </c>
      <c r="P25" s="31">
        <f>'TUSD BE'!$P$25*'TUSD BE'!$P$58</f>
        <v>0</v>
      </c>
      <c r="Q25" s="31">
        <f>'TUSD BE'!$Q$25*'TUSD BE'!$Q$58</f>
        <v>1.4018738549269818</v>
      </c>
      <c r="R25" s="31">
        <f>'TUSD BE'!$R$25*'TUSD BE'!$R$58</f>
        <v>0.26830949317951003</v>
      </c>
      <c r="S25" s="31">
        <f>'TUSD BE'!$R$25*'TUSD BE'!$S$58</f>
        <v>0</v>
      </c>
      <c r="T25" s="31">
        <f ca="1">SUM($L$25:$S$25)</f>
        <v>1.7030040332554672</v>
      </c>
      <c r="U25" s="31">
        <f>'TUSD BE'!$U$25*'TUSD BE'!$U$58</f>
        <v>0</v>
      </c>
      <c r="V25" s="31">
        <f>'TUSD BE'!$V$25*'TUSD BE'!$V$58</f>
        <v>0</v>
      </c>
      <c r="W25" s="31">
        <f>'TUSD BE'!$W$25*'TUSD BE'!$W$58</f>
        <v>0</v>
      </c>
      <c r="X25" s="31">
        <f>'TUSD BE'!$X$25*'TUSD BE'!$X$58</f>
        <v>0</v>
      </c>
      <c r="Y25" s="31">
        <f>'TUSD BE'!$Y$25*'TUSD BE'!$Y$58</f>
        <v>5.4870845935145454</v>
      </c>
      <c r="Z25" s="31">
        <f>'TUSD BE'!$Z$25*'TUSD BE'!$Z$58</f>
        <v>0</v>
      </c>
      <c r="AA25" s="31">
        <f>'TUSD BE'!$AA$25*'TUSD BE'!$AA$58</f>
        <v>0</v>
      </c>
      <c r="AB25" s="31">
        <f>SUM($U$25:$AA$25)</f>
        <v>5.4870845935145454</v>
      </c>
      <c r="AC25" s="31">
        <f>'TUSD BE'!$AC$25*'TUSD BE'!$AC$58</f>
        <v>-2.2702726931214881</v>
      </c>
      <c r="AD25" s="31">
        <f>SUM($AC$25:$AC$25)</f>
        <v>-2.2702726931214881</v>
      </c>
      <c r="AE25" s="31">
        <f ca="1">$AO$25*$AO$55</f>
        <v>-41.54862394577416</v>
      </c>
      <c r="AF25" s="31">
        <f ca="1">$AP$25*$AP$55</f>
        <v>0</v>
      </c>
      <c r="AG25" s="31">
        <f ca="1">SUM($AE$25:$AF$25)</f>
        <v>-41.54862394577416</v>
      </c>
      <c r="AH25" s="31">
        <f>'TUSD BE'!$AH$25*'TUSD BE'!$AH$58</f>
        <v>-1.1186428756246387</v>
      </c>
      <c r="AI25" s="31">
        <f>'TUSD BE'!$AI$25*'TUSD BE'!$AI$58</f>
        <v>-3.5974039122080477E-2</v>
      </c>
      <c r="AJ25" s="31">
        <f ca="1">'TUSD BE'!$AJ$25*'TUSD BE'!$AJ$58</f>
        <v>-0.11825381198647125</v>
      </c>
      <c r="AK25" s="31">
        <f ca="1">'TUSD BE'!$AK$25*'TUSD BE'!$AK$58</f>
        <v>4.181590643671651E-2</v>
      </c>
      <c r="AL25" s="31">
        <f ca="1">SUM($AH$25:$AK$25)</f>
        <v>-1.231054820296474</v>
      </c>
      <c r="AM25" s="31">
        <f ca="1">SUMIF($L$4:$AL$4,"SUBTOTAL",$L$25:$AL$25)+AZ25</f>
        <v>-37.859862832422102</v>
      </c>
      <c r="AO25" s="44">
        <f ca="1">+'TUSD BE'!$T$25+'TUSD BE'!$AB$25+'TUSD BE'!$AD$25+'TUSD BE'!$AL$25</f>
        <v>393.82348431464209</v>
      </c>
      <c r="AP25" s="44">
        <f ca="1">+'TUSD BE'!$T$25+'TUSD BE'!$AB$25+'TUSD BE'!$AD$25+'TUSD BE'!$AL$25</f>
        <v>393.82348431464209</v>
      </c>
      <c r="AQ25" s="9" t="str">
        <f t="shared" si="0"/>
        <v>B1</v>
      </c>
      <c r="AR25" s="9" t="str">
        <f t="shared" si="1"/>
        <v>Convencional pré-pagamento</v>
      </c>
      <c r="AS25" s="9" t="str">
        <f t="shared" si="2"/>
        <v>Residencial</v>
      </c>
      <c r="AT25" s="9" t="str">
        <f t="shared" si="3"/>
        <v>Residencial</v>
      </c>
      <c r="AU25" s="9" t="str">
        <f t="shared" si="4"/>
        <v>Não se aplica</v>
      </c>
      <c r="AV25" s="9">
        <f t="shared" si="5"/>
        <v>1</v>
      </c>
      <c r="AW25" s="9">
        <f ca="1">TarifaMedia!$G$20</f>
        <v>0</v>
      </c>
      <c r="AX25" s="15">
        <f ca="1">'TUSD BE'!$AM25+'TUSD BF'!$AM25+'TUSD CVA'!$AM25</f>
        <v>376.13343594836397</v>
      </c>
      <c r="AY25" s="9">
        <v>437.54</v>
      </c>
      <c r="AZ25" s="9">
        <f t="shared" ca="1" si="6"/>
        <v>0</v>
      </c>
      <c r="BC25" s="93" t="s">
        <v>1081</v>
      </c>
    </row>
    <row r="26" spans="1:55" ht="11.25" customHeight="1" x14ac:dyDescent="0.25">
      <c r="A26" s="137"/>
      <c r="B26" s="137"/>
      <c r="C26" s="137"/>
      <c r="D26" s="42" t="s">
        <v>28</v>
      </c>
      <c r="E26" s="42" t="s">
        <v>25</v>
      </c>
      <c r="F26" s="42" t="s">
        <v>25</v>
      </c>
      <c r="G26" s="41" t="s">
        <v>74</v>
      </c>
      <c r="H26" s="41" t="s">
        <v>70</v>
      </c>
      <c r="I26" s="41">
        <f>'MERCADO TUSD'!$U$23</f>
        <v>0</v>
      </c>
      <c r="J26" s="15"/>
      <c r="L26" s="31">
        <f>'TUSD BE'!$L$26*'TUSD BE'!$L$58</f>
        <v>0</v>
      </c>
      <c r="M26" s="31">
        <f>'TUSD BE'!$M$26*'TUSD BE'!$M$58</f>
        <v>-1.67938644926648E-2</v>
      </c>
      <c r="N26" s="31">
        <f ca="1">'TUSD BE'!$N$26*'TUSD BE'!$N$58</f>
        <v>5.9079100533446589E-7</v>
      </c>
      <c r="O26" s="31">
        <f>'TUSD BE'!$O$26*'TUSD BE'!$O$58</f>
        <v>0</v>
      </c>
      <c r="P26" s="31">
        <f>'TUSD BE'!$P$26*'TUSD BE'!$P$58</f>
        <v>0</v>
      </c>
      <c r="Q26" s="31">
        <f>'TUSD BE'!$Q$26*'TUSD BE'!$Q$58</f>
        <v>0</v>
      </c>
      <c r="R26" s="31">
        <f>'TUSD BE'!$R$26*'TUSD BE'!$R$58</f>
        <v>0</v>
      </c>
      <c r="S26" s="31">
        <f>'TUSD BE'!$R$26*'TUSD BE'!$S$58</f>
        <v>0</v>
      </c>
      <c r="T26" s="31">
        <f ca="1">SUM($L$26:$S$26)</f>
        <v>-1.6793273701659464E-2</v>
      </c>
      <c r="U26" s="31">
        <f>'TUSD BE'!$U$26*'TUSD BE'!$U$58</f>
        <v>0</v>
      </c>
      <c r="V26" s="31">
        <f>'TUSD BE'!$V$26*'TUSD BE'!$V$58</f>
        <v>0</v>
      </c>
      <c r="W26" s="31">
        <f>'TUSD BE'!$W$26*'TUSD BE'!$W$58</f>
        <v>0</v>
      </c>
      <c r="X26" s="31">
        <f>'TUSD BE'!$X$26*'TUSD BE'!$X$58</f>
        <v>0</v>
      </c>
      <c r="Y26" s="31">
        <f>'TUSD BE'!$Y$26*'TUSD BE'!$Y$58</f>
        <v>5.4870845935145454</v>
      </c>
      <c r="Z26" s="31">
        <f>'TUSD BE'!$Z$26*'TUSD BE'!$Z$58</f>
        <v>0</v>
      </c>
      <c r="AA26" s="31">
        <f>'TUSD BE'!$AA$26*'TUSD BE'!$AA$58</f>
        <v>0</v>
      </c>
      <c r="AB26" s="31">
        <f>SUM($U$26:$AA$26)</f>
        <v>5.4870845935145454</v>
      </c>
      <c r="AC26" s="31">
        <f>'TUSD BE'!$AC$26*'TUSD BE'!$AC$58</f>
        <v>-2.2702726931214881</v>
      </c>
      <c r="AD26" s="31">
        <f>SUM($AC$26:$AC$26)</f>
        <v>-2.2702726931214881</v>
      </c>
      <c r="AE26" s="31">
        <f ca="1">$AO$26*$AO$55</f>
        <v>-29.836778054260634</v>
      </c>
      <c r="AF26" s="31">
        <f ca="1">$AP$26*$AP$55</f>
        <v>0</v>
      </c>
      <c r="AG26" s="31">
        <f ca="1">SUM($AE$26:$AF$26)</f>
        <v>-29.836778054260634</v>
      </c>
      <c r="AH26" s="31">
        <f>'TUSD BE'!$AH$26*'TUSD BE'!$AH$58</f>
        <v>-1.1186428756246387</v>
      </c>
      <c r="AI26" s="31">
        <f>'TUSD BE'!$AI$26*'TUSD BE'!$AI$58</f>
        <v>-3.5974039122080477E-2</v>
      </c>
      <c r="AJ26" s="31">
        <f ca="1">'TUSD BE'!$AJ$26*'TUSD BE'!$AJ$58</f>
        <v>-0.11825381198647125</v>
      </c>
      <c r="AK26" s="31">
        <f ca="1">'TUSD BE'!$AK$26*'TUSD BE'!$AK$58</f>
        <v>4.181590643671651E-2</v>
      </c>
      <c r="AL26" s="31">
        <f ca="1">SUM($AH$26:$AK$26)</f>
        <v>-1.231054820296474</v>
      </c>
      <c r="AM26" s="31">
        <f ca="1">SUMIF($L$4:$AL$4,"SUBTOTAL",$L$26:$AL$26)+AZ26</f>
        <v>-27.867814247865709</v>
      </c>
      <c r="AO26" s="44">
        <f ca="1">+'TUSD BE'!$T$26+'TUSD BE'!$AB$26+'TUSD BE'!$AD$26+'TUSD BE'!$AL$26</f>
        <v>282.81138526722941</v>
      </c>
      <c r="AP26" s="44">
        <f ca="1">+'TUSD BE'!$T$26+'TUSD BE'!$AB$26+'TUSD BE'!$AD$26+'TUSD BE'!$AL$26</f>
        <v>282.81138526722941</v>
      </c>
      <c r="AQ26" s="9" t="str">
        <f t="shared" si="0"/>
        <v>B1</v>
      </c>
      <c r="AR26" s="9" t="str">
        <f t="shared" si="1"/>
        <v>Convencional pré-pagamento</v>
      </c>
      <c r="AS26" s="9" t="str">
        <f t="shared" si="2"/>
        <v>Residencial</v>
      </c>
      <c r="AT26" s="9" t="str">
        <f t="shared" si="3"/>
        <v>Residencial baixa renda – faixa 01</v>
      </c>
      <c r="AU26" s="9" t="str">
        <f t="shared" si="4"/>
        <v>Não se aplica</v>
      </c>
      <c r="AV26" s="9">
        <f t="shared" si="5"/>
        <v>1</v>
      </c>
      <c r="AW26" s="9">
        <f ca="1">TarifaMedia!$G$20</f>
        <v>0</v>
      </c>
      <c r="AX26" s="15">
        <f ca="1">'TUSD BE'!$AM26+'TUSD BF'!$AM26+'TUSD CVA'!$AM26</f>
        <v>257.16442079434273</v>
      </c>
      <c r="AY26" s="9">
        <v>322.51</v>
      </c>
      <c r="AZ26" s="9">
        <f t="shared" ca="1" si="6"/>
        <v>0</v>
      </c>
      <c r="BC26" s="93" t="s">
        <v>1082</v>
      </c>
    </row>
    <row r="27" spans="1:55" ht="11.25" customHeight="1" x14ac:dyDescent="0.25">
      <c r="A27" s="137"/>
      <c r="B27" s="137"/>
      <c r="C27" s="137"/>
      <c r="D27" s="42" t="s">
        <v>29</v>
      </c>
      <c r="E27" s="42" t="s">
        <v>25</v>
      </c>
      <c r="F27" s="42" t="s">
        <v>25</v>
      </c>
      <c r="G27" s="41" t="s">
        <v>74</v>
      </c>
      <c r="H27" s="41" t="s">
        <v>70</v>
      </c>
      <c r="I27" s="41">
        <f>'MERCADO TUSD'!$U$24</f>
        <v>0</v>
      </c>
      <c r="J27" s="15"/>
      <c r="L27" s="31">
        <f>'TUSD BE'!$L$27*'TUSD BE'!$L$58</f>
        <v>0</v>
      </c>
      <c r="M27" s="31">
        <f>'TUSD BE'!$M$27*'TUSD BE'!$M$58</f>
        <v>-1.67938644926648E-2</v>
      </c>
      <c r="N27" s="31">
        <f ca="1">'TUSD BE'!$N$27*'TUSD BE'!$N$58</f>
        <v>5.9079100533446589E-7</v>
      </c>
      <c r="O27" s="31">
        <f>'TUSD BE'!$O$27*'TUSD BE'!$O$58</f>
        <v>0</v>
      </c>
      <c r="P27" s="31">
        <f>'TUSD BE'!$P$27*'TUSD BE'!$P$58</f>
        <v>0</v>
      </c>
      <c r="Q27" s="31">
        <f>'TUSD BE'!$Q$27*'TUSD BE'!$Q$58</f>
        <v>0</v>
      </c>
      <c r="R27" s="31">
        <f>'TUSD BE'!$R$27*'TUSD BE'!$R$58</f>
        <v>0</v>
      </c>
      <c r="S27" s="31">
        <f>'TUSD BE'!$R$27*'TUSD BE'!$S$58</f>
        <v>0</v>
      </c>
      <c r="T27" s="31">
        <f ca="1">SUM($L$27:$S$27)</f>
        <v>-1.6793273701659464E-2</v>
      </c>
      <c r="U27" s="31">
        <f>'TUSD BE'!$U$27*'TUSD BE'!$U$58</f>
        <v>0</v>
      </c>
      <c r="V27" s="31">
        <f>'TUSD BE'!$V$27*'TUSD BE'!$V$58</f>
        <v>0</v>
      </c>
      <c r="W27" s="31">
        <f>'TUSD BE'!$W$27*'TUSD BE'!$W$58</f>
        <v>0</v>
      </c>
      <c r="X27" s="31">
        <f>'TUSD BE'!$X$27*'TUSD BE'!$X$58</f>
        <v>0</v>
      </c>
      <c r="Y27" s="31">
        <f>'TUSD BE'!$Y$27*'TUSD BE'!$Y$58</f>
        <v>5.4870845935145454</v>
      </c>
      <c r="Z27" s="31">
        <f>'TUSD BE'!$Z$27*'TUSD BE'!$Z$58</f>
        <v>0</v>
      </c>
      <c r="AA27" s="31">
        <f>'TUSD BE'!$AA$27*'TUSD BE'!$AA$58</f>
        <v>0</v>
      </c>
      <c r="AB27" s="31">
        <f>SUM($U$27:$AA$27)</f>
        <v>5.4870845935145454</v>
      </c>
      <c r="AC27" s="31">
        <f>'TUSD BE'!$AC$27*'TUSD BE'!$AC$58</f>
        <v>-2.2702726931214881</v>
      </c>
      <c r="AD27" s="31">
        <f>SUM($AC$27:$AC$27)</f>
        <v>-2.2702726931214881</v>
      </c>
      <c r="AE27" s="31">
        <f ca="1">$AO$27*$AO$55</f>
        <v>-29.836778054260634</v>
      </c>
      <c r="AF27" s="31">
        <f ca="1">$AP$27*$AP$55</f>
        <v>0</v>
      </c>
      <c r="AG27" s="31">
        <f ca="1">SUM($AE$27:$AF$27)</f>
        <v>-29.836778054260634</v>
      </c>
      <c r="AH27" s="31">
        <f>'TUSD BE'!$AH$27*'TUSD BE'!$AH$58</f>
        <v>-1.1186428756246387</v>
      </c>
      <c r="AI27" s="31">
        <f>'TUSD BE'!$AI$27*'TUSD BE'!$AI$58</f>
        <v>-3.5974039122080477E-2</v>
      </c>
      <c r="AJ27" s="31">
        <f ca="1">'TUSD BE'!$AJ$27*'TUSD BE'!$AJ$58</f>
        <v>-0.11825381198647125</v>
      </c>
      <c r="AK27" s="31">
        <f ca="1">'TUSD BE'!$AK$27*'TUSD BE'!$AK$58</f>
        <v>4.181590643671651E-2</v>
      </c>
      <c r="AL27" s="31">
        <f ca="1">SUM($AH$27:$AK$27)</f>
        <v>-1.231054820296474</v>
      </c>
      <c r="AM27" s="31">
        <f ca="1">SUMIF($L$4:$AL$4,"SUBTOTAL",$L$27:$AL$27)+AZ27</f>
        <v>-27.867814247865709</v>
      </c>
      <c r="AO27" s="44">
        <f ca="1">+'TUSD BE'!$T$27+'TUSD BE'!$AB$27+'TUSD BE'!$AD$27+'TUSD BE'!$AL$27</f>
        <v>282.81138526722941</v>
      </c>
      <c r="AP27" s="44">
        <f ca="1">+'TUSD BE'!$T$27+'TUSD BE'!$AB$27+'TUSD BE'!$AD$27+'TUSD BE'!$AL$27</f>
        <v>282.81138526722941</v>
      </c>
      <c r="AQ27" s="9" t="str">
        <f t="shared" si="0"/>
        <v>B1</v>
      </c>
      <c r="AR27" s="9" t="str">
        <f t="shared" si="1"/>
        <v>Convencional pré-pagamento</v>
      </c>
      <c r="AS27" s="9" t="str">
        <f t="shared" si="2"/>
        <v>Residencial</v>
      </c>
      <c r="AT27" s="9" t="str">
        <f t="shared" si="3"/>
        <v>Residencial baixa renda – faixa 02</v>
      </c>
      <c r="AU27" s="9" t="str">
        <f t="shared" si="4"/>
        <v>Não se aplica</v>
      </c>
      <c r="AV27" s="9">
        <f t="shared" si="5"/>
        <v>1</v>
      </c>
      <c r="AW27" s="9">
        <f ca="1">TarifaMedia!$G$20</f>
        <v>0</v>
      </c>
      <c r="AX27" s="15">
        <f ca="1">'TUSD BE'!$AM27+'TUSD BF'!$AM27+'TUSD CVA'!$AM27</f>
        <v>257.16442079434273</v>
      </c>
      <c r="AY27" s="9">
        <v>322.51</v>
      </c>
      <c r="AZ27" s="9">
        <f t="shared" ca="1" si="6"/>
        <v>0</v>
      </c>
      <c r="BC27" s="93" t="s">
        <v>1082</v>
      </c>
    </row>
    <row r="28" spans="1:55" ht="11.25" customHeight="1" x14ac:dyDescent="0.25">
      <c r="A28" s="137"/>
      <c r="B28" s="137"/>
      <c r="C28" s="137"/>
      <c r="D28" s="42" t="s">
        <v>30</v>
      </c>
      <c r="E28" s="42" t="s">
        <v>25</v>
      </c>
      <c r="F28" s="42" t="s">
        <v>25</v>
      </c>
      <c r="G28" s="41" t="s">
        <v>74</v>
      </c>
      <c r="H28" s="41" t="s">
        <v>70</v>
      </c>
      <c r="I28" s="41">
        <f>'MERCADO TUSD'!$U$25</f>
        <v>0</v>
      </c>
      <c r="J28" s="15"/>
      <c r="L28" s="31">
        <f>'TUSD BE'!$L$28*'TUSD BE'!$L$58</f>
        <v>0</v>
      </c>
      <c r="M28" s="31">
        <f>'TUSD BE'!$M$28*'TUSD BE'!$M$58</f>
        <v>-1.67938644926648E-2</v>
      </c>
      <c r="N28" s="31">
        <f ca="1">'TUSD BE'!$N$28*'TUSD BE'!$N$58</f>
        <v>5.9079100533446589E-7</v>
      </c>
      <c r="O28" s="31">
        <f>'TUSD BE'!$O$28*'TUSD BE'!$O$58</f>
        <v>0</v>
      </c>
      <c r="P28" s="31">
        <f>'TUSD BE'!$P$28*'TUSD BE'!$P$58</f>
        <v>0</v>
      </c>
      <c r="Q28" s="31">
        <f>'TUSD BE'!$Q$28*'TUSD BE'!$Q$58</f>
        <v>0</v>
      </c>
      <c r="R28" s="31">
        <f>'TUSD BE'!$R$28*'TUSD BE'!$R$58</f>
        <v>0</v>
      </c>
      <c r="S28" s="31">
        <f>'TUSD BE'!$R$28*'TUSD BE'!$S$58</f>
        <v>0</v>
      </c>
      <c r="T28" s="31">
        <f ca="1">SUM($L$28:$S$28)</f>
        <v>-1.6793273701659464E-2</v>
      </c>
      <c r="U28" s="31">
        <f>'TUSD BE'!$U$28*'TUSD BE'!$U$58</f>
        <v>0</v>
      </c>
      <c r="V28" s="31">
        <f>'TUSD BE'!$V$28*'TUSD BE'!$V$58</f>
        <v>0</v>
      </c>
      <c r="W28" s="31">
        <f>'TUSD BE'!$W$28*'TUSD BE'!$W$58</f>
        <v>0</v>
      </c>
      <c r="X28" s="31">
        <f>'TUSD BE'!$X$28*'TUSD BE'!$X$58</f>
        <v>0</v>
      </c>
      <c r="Y28" s="31">
        <f>'TUSD BE'!$Y$28*'TUSD BE'!$Y$58</f>
        <v>5.4870845935145454</v>
      </c>
      <c r="Z28" s="31">
        <f>'TUSD BE'!$Z$28*'TUSD BE'!$Z$58</f>
        <v>0</v>
      </c>
      <c r="AA28" s="31">
        <f>'TUSD BE'!$AA$28*'TUSD BE'!$AA$58</f>
        <v>0</v>
      </c>
      <c r="AB28" s="31">
        <f>SUM($U$28:$AA$28)</f>
        <v>5.4870845935145454</v>
      </c>
      <c r="AC28" s="31">
        <f>'TUSD BE'!$AC$28*'TUSD BE'!$AC$58</f>
        <v>-2.2702726931214881</v>
      </c>
      <c r="AD28" s="31">
        <f>SUM($AC$28:$AC$28)</f>
        <v>-2.2702726931214881</v>
      </c>
      <c r="AE28" s="31">
        <f ca="1">$AO$28*$AO$55</f>
        <v>-29.836778054260634</v>
      </c>
      <c r="AF28" s="31">
        <f ca="1">$AP$28*$AP$55</f>
        <v>0</v>
      </c>
      <c r="AG28" s="31">
        <f ca="1">SUM($AE$28:$AF$28)</f>
        <v>-29.836778054260634</v>
      </c>
      <c r="AH28" s="31">
        <f>'TUSD BE'!$AH$28*'TUSD BE'!$AH$58</f>
        <v>-1.1186428756246387</v>
      </c>
      <c r="AI28" s="31">
        <f>'TUSD BE'!$AI$28*'TUSD BE'!$AI$58</f>
        <v>-3.5974039122080477E-2</v>
      </c>
      <c r="AJ28" s="31">
        <f ca="1">'TUSD BE'!$AJ$28*'TUSD BE'!$AJ$58</f>
        <v>-0.11825381198647125</v>
      </c>
      <c r="AK28" s="31">
        <f ca="1">'TUSD BE'!$AK$28*'TUSD BE'!$AK$58</f>
        <v>4.181590643671651E-2</v>
      </c>
      <c r="AL28" s="31">
        <f ca="1">SUM($AH$28:$AK$28)</f>
        <v>-1.231054820296474</v>
      </c>
      <c r="AM28" s="31">
        <f ca="1">SUMIF($L$4:$AL$4,"SUBTOTAL",$L$28:$AL$28)+AZ28</f>
        <v>-27.867814247865709</v>
      </c>
      <c r="AO28" s="44">
        <f ca="1">+'TUSD BE'!$T$28+'TUSD BE'!$AB$28+'TUSD BE'!$AD$28+'TUSD BE'!$AL$28</f>
        <v>282.81138526722941</v>
      </c>
      <c r="AP28" s="44">
        <f ca="1">+'TUSD BE'!$T$28+'TUSD BE'!$AB$28+'TUSD BE'!$AD$28+'TUSD BE'!$AL$28</f>
        <v>282.81138526722941</v>
      </c>
      <c r="AQ28" s="9" t="str">
        <f t="shared" si="0"/>
        <v>B1</v>
      </c>
      <c r="AR28" s="9" t="str">
        <f t="shared" si="1"/>
        <v>Convencional pré-pagamento</v>
      </c>
      <c r="AS28" s="9" t="str">
        <f t="shared" si="2"/>
        <v>Residencial</v>
      </c>
      <c r="AT28" s="9" t="str">
        <f t="shared" si="3"/>
        <v>Residencial baixa renda – faixa 03</v>
      </c>
      <c r="AU28" s="9" t="str">
        <f t="shared" si="4"/>
        <v>Não se aplica</v>
      </c>
      <c r="AV28" s="9">
        <f t="shared" si="5"/>
        <v>1</v>
      </c>
      <c r="AW28" s="9">
        <f ca="1">TarifaMedia!$G$20</f>
        <v>0</v>
      </c>
      <c r="AX28" s="15">
        <f ca="1">'TUSD BE'!$AM28+'TUSD BF'!$AM28+'TUSD CVA'!$AM28</f>
        <v>257.16442079434273</v>
      </c>
      <c r="AY28" s="9">
        <v>322.51</v>
      </c>
      <c r="AZ28" s="9">
        <f t="shared" ca="1" si="6"/>
        <v>0</v>
      </c>
      <c r="BC28" s="93" t="s">
        <v>1082</v>
      </c>
    </row>
    <row r="29" spans="1:55" ht="11.25" customHeight="1" x14ac:dyDescent="0.25">
      <c r="A29" s="137"/>
      <c r="B29" s="137"/>
      <c r="C29" s="137"/>
      <c r="D29" s="42" t="s">
        <v>31</v>
      </c>
      <c r="E29" s="42" t="s">
        <v>25</v>
      </c>
      <c r="F29" s="42" t="s">
        <v>25</v>
      </c>
      <c r="G29" s="41" t="s">
        <v>74</v>
      </c>
      <c r="H29" s="41" t="s">
        <v>70</v>
      </c>
      <c r="I29" s="41">
        <f>'MERCADO TUSD'!$U$26</f>
        <v>0</v>
      </c>
      <c r="J29" s="15"/>
      <c r="L29" s="31">
        <f>'TUSD BE'!$L$29*'TUSD BE'!$L$58</f>
        <v>0</v>
      </c>
      <c r="M29" s="31">
        <f>'TUSD BE'!$M$29*'TUSD BE'!$M$58</f>
        <v>-1.67938644926648E-2</v>
      </c>
      <c r="N29" s="31">
        <f ca="1">'TUSD BE'!$N$29*'TUSD BE'!$N$58</f>
        <v>5.9079100533446589E-7</v>
      </c>
      <c r="O29" s="31">
        <f>'TUSD BE'!$O$29*'TUSD BE'!$O$58</f>
        <v>0</v>
      </c>
      <c r="P29" s="31">
        <f>'TUSD BE'!$P$29*'TUSD BE'!$P$58</f>
        <v>0</v>
      </c>
      <c r="Q29" s="31">
        <f>'TUSD BE'!$Q$29*'TUSD BE'!$Q$58</f>
        <v>0</v>
      </c>
      <c r="R29" s="31">
        <f>'TUSD BE'!$R$29*'TUSD BE'!$R$58</f>
        <v>0</v>
      </c>
      <c r="S29" s="31">
        <f>'TUSD BE'!$R$29*'TUSD BE'!$S$58</f>
        <v>0</v>
      </c>
      <c r="T29" s="31">
        <f ca="1">SUM($L$29:$S$29)</f>
        <v>-1.6793273701659464E-2</v>
      </c>
      <c r="U29" s="31">
        <f>'TUSD BE'!$U$29*'TUSD BE'!$U$58</f>
        <v>0</v>
      </c>
      <c r="V29" s="31">
        <f>'TUSD BE'!$V$29*'TUSD BE'!$V$58</f>
        <v>0</v>
      </c>
      <c r="W29" s="31">
        <f>'TUSD BE'!$W$29*'TUSD BE'!$W$58</f>
        <v>0</v>
      </c>
      <c r="X29" s="31">
        <f>'TUSD BE'!$X$29*'TUSD BE'!$X$58</f>
        <v>0</v>
      </c>
      <c r="Y29" s="31">
        <f>'TUSD BE'!$Y$29*'TUSD BE'!$Y$58</f>
        <v>5.4870845935145454</v>
      </c>
      <c r="Z29" s="31">
        <f>'TUSD BE'!$Z$29*'TUSD BE'!$Z$58</f>
        <v>0</v>
      </c>
      <c r="AA29" s="31">
        <f>'TUSD BE'!$AA$29*'TUSD BE'!$AA$58</f>
        <v>0</v>
      </c>
      <c r="AB29" s="31">
        <f>SUM($U$29:$AA$29)</f>
        <v>5.4870845935145454</v>
      </c>
      <c r="AC29" s="31">
        <f>'TUSD BE'!$AC$29*'TUSD BE'!$AC$58</f>
        <v>-2.2702726931214881</v>
      </c>
      <c r="AD29" s="31">
        <f>SUM($AC$29:$AC$29)</f>
        <v>-2.2702726931214881</v>
      </c>
      <c r="AE29" s="31">
        <f ca="1">$AO$29*$AO$55</f>
        <v>-29.836778054260634</v>
      </c>
      <c r="AF29" s="31">
        <f ca="1">$AP$29*$AP$55</f>
        <v>0</v>
      </c>
      <c r="AG29" s="31">
        <f ca="1">SUM($AE$29:$AF$29)</f>
        <v>-29.836778054260634</v>
      </c>
      <c r="AH29" s="31">
        <f>'TUSD BE'!$AH$29*'TUSD BE'!$AH$58</f>
        <v>-1.1186428756246387</v>
      </c>
      <c r="AI29" s="31">
        <f>'TUSD BE'!$AI$29*'TUSD BE'!$AI$58</f>
        <v>-3.5974039122080477E-2</v>
      </c>
      <c r="AJ29" s="31">
        <f ca="1">'TUSD BE'!$AJ$29*'TUSD BE'!$AJ$58</f>
        <v>-0.11825381198647125</v>
      </c>
      <c r="AK29" s="31">
        <f ca="1">'TUSD BE'!$AK$29*'TUSD BE'!$AK$58</f>
        <v>4.181590643671651E-2</v>
      </c>
      <c r="AL29" s="31">
        <f ca="1">SUM($AH$29:$AK$29)</f>
        <v>-1.231054820296474</v>
      </c>
      <c r="AM29" s="31">
        <f ca="1">SUMIF($L$4:$AL$4,"SUBTOTAL",$L$29:$AL$29)+AZ29</f>
        <v>-27.867814247865709</v>
      </c>
      <c r="AO29" s="44">
        <f ca="1">+'TUSD BE'!$T$29+'TUSD BE'!$AB$29+'TUSD BE'!$AD$29+'TUSD BE'!$AL$29</f>
        <v>282.81138526722941</v>
      </c>
      <c r="AP29" s="44">
        <f ca="1">+'TUSD BE'!$T$29+'TUSD BE'!$AB$29+'TUSD BE'!$AD$29+'TUSD BE'!$AL$29</f>
        <v>282.81138526722941</v>
      </c>
      <c r="AQ29" s="9" t="str">
        <f t="shared" si="0"/>
        <v>B1</v>
      </c>
      <c r="AR29" s="9" t="str">
        <f t="shared" si="1"/>
        <v>Convencional pré-pagamento</v>
      </c>
      <c r="AS29" s="9" t="str">
        <f t="shared" si="2"/>
        <v>Residencial</v>
      </c>
      <c r="AT29" s="9" t="str">
        <f t="shared" si="3"/>
        <v>Residencial baixa renda – faixa 04</v>
      </c>
      <c r="AU29" s="9" t="str">
        <f t="shared" si="4"/>
        <v>Não se aplica</v>
      </c>
      <c r="AV29" s="9">
        <f t="shared" si="5"/>
        <v>1</v>
      </c>
      <c r="AW29" s="9">
        <f ca="1">TarifaMedia!$G$20</f>
        <v>0</v>
      </c>
      <c r="AX29" s="15">
        <f ca="1">'TUSD BE'!$AM29+'TUSD BF'!$AM29+'TUSD CVA'!$AM29</f>
        <v>257.16442079434273</v>
      </c>
      <c r="AY29" s="9">
        <v>322.51</v>
      </c>
      <c r="AZ29" s="9">
        <f t="shared" ca="1" si="6"/>
        <v>0</v>
      </c>
      <c r="BC29" s="93" t="s">
        <v>1082</v>
      </c>
    </row>
    <row r="30" spans="1:55" ht="11.25" customHeight="1" x14ac:dyDescent="0.25">
      <c r="A30" s="137" t="s">
        <v>39</v>
      </c>
      <c r="B30" s="137" t="s">
        <v>49</v>
      </c>
      <c r="C30" s="137" t="s">
        <v>40</v>
      </c>
      <c r="D30" s="137" t="s">
        <v>25</v>
      </c>
      <c r="E30" s="137" t="s">
        <v>25</v>
      </c>
      <c r="F30" s="137" t="s">
        <v>25</v>
      </c>
      <c r="G30" s="41" t="s">
        <v>71</v>
      </c>
      <c r="H30" s="41" t="s">
        <v>70</v>
      </c>
      <c r="I30" s="41">
        <f>'MERCADO TUSD'!$U$27</f>
        <v>0</v>
      </c>
      <c r="J30" s="15"/>
      <c r="L30" s="31">
        <f>'TUSD BE'!$L$30*'TUSD BE'!$L$58</f>
        <v>4.96139567348787E-2</v>
      </c>
      <c r="M30" s="31">
        <f>'TUSD BE'!$M$30*'TUSD BE'!$M$58</f>
        <v>-1.67938644926648E-2</v>
      </c>
      <c r="N30" s="31">
        <f ca="1">'TUSD BE'!$N$30*'TUSD BE'!$N$58</f>
        <v>1.4267518805675218E-6</v>
      </c>
      <c r="O30" s="31">
        <f>'TUSD BE'!$O$30*'TUSD BE'!$O$58</f>
        <v>0</v>
      </c>
      <c r="P30" s="31">
        <f>'TUSD BE'!$P$30*'TUSD BE'!$P$58</f>
        <v>0</v>
      </c>
      <c r="Q30" s="31">
        <f>'TUSD BE'!$Q$30*'TUSD BE'!$Q$58</f>
        <v>1.4018738549269818</v>
      </c>
      <c r="R30" s="31">
        <f>'TUSD BE'!$R$30*'TUSD BE'!$R$58</f>
        <v>0.26830949317951003</v>
      </c>
      <c r="S30" s="31">
        <f>'TUSD BE'!$R$30*'TUSD BE'!$S$58</f>
        <v>0</v>
      </c>
      <c r="T30" s="31">
        <f ca="1">SUM($L$30:$S$30)</f>
        <v>1.7030048671005864</v>
      </c>
      <c r="U30" s="31">
        <f>'TUSD BE'!$U$30*'TUSD BE'!$U$58</f>
        <v>0</v>
      </c>
      <c r="V30" s="31">
        <f>'TUSD BE'!$V$30*'TUSD BE'!$V$58</f>
        <v>0</v>
      </c>
      <c r="W30" s="31">
        <f>'TUSD BE'!$W$30*'TUSD BE'!$W$58</f>
        <v>0</v>
      </c>
      <c r="X30" s="31">
        <f>'TUSD BE'!$X$30*'TUSD BE'!$X$58</f>
        <v>0</v>
      </c>
      <c r="Y30" s="31">
        <f>'TUSD BE'!$Y$30*'TUSD BE'!$Y$58</f>
        <v>14.540768465823044</v>
      </c>
      <c r="Z30" s="31">
        <f>'TUSD BE'!$Z$30*'TUSD BE'!$Z$58</f>
        <v>0</v>
      </c>
      <c r="AA30" s="31">
        <f>'TUSD BE'!$AA$30*'TUSD BE'!$AA$58</f>
        <v>0</v>
      </c>
      <c r="AB30" s="31">
        <f>SUM($U$30:$AA$30)</f>
        <v>14.540768465823044</v>
      </c>
      <c r="AC30" s="31">
        <f>'TUSD BE'!$AC$30*'TUSD BE'!$AC$58</f>
        <v>-6.0162250248376852</v>
      </c>
      <c r="AD30" s="31">
        <f>SUM($AC$30:$AC$30)</f>
        <v>-6.0162250248376852</v>
      </c>
      <c r="AE30" s="31">
        <f ca="1">$AO$30*$AO$55</f>
        <v>-86.931953063862167</v>
      </c>
      <c r="AF30" s="31">
        <f ca="1">$AP$30*$AP$55</f>
        <v>0</v>
      </c>
      <c r="AG30" s="31">
        <f ca="1">SUM($AE$30:$AF$30)</f>
        <v>-86.931953063862167</v>
      </c>
      <c r="AH30" s="31">
        <f>'TUSD BE'!$AH$30*'TUSD BE'!$AH$58</f>
        <v>-1.1186428756246387</v>
      </c>
      <c r="AI30" s="31">
        <f>'TUSD BE'!$AI$30*'TUSD BE'!$AI$58</f>
        <v>-3.5974039122080477E-2</v>
      </c>
      <c r="AJ30" s="31">
        <f ca="1">'TUSD BE'!$AJ$30*'TUSD BE'!$AJ$58</f>
        <v>-0.11825381198647125</v>
      </c>
      <c r="AK30" s="31">
        <f ca="1">'TUSD BE'!$AK$30*'TUSD BE'!$AK$58</f>
        <v>4.181590643671651E-2</v>
      </c>
      <c r="AL30" s="31">
        <f ca="1">SUM($AH$30:$AK$30)</f>
        <v>-1.231054820296474</v>
      </c>
      <c r="AM30" s="31">
        <f ca="1">SUMIF($L$4:$AL$4,"SUBTOTAL",$L$30:$AL$30)+AZ30</f>
        <v>-77.935459576072702</v>
      </c>
      <c r="AO30" s="44">
        <f ca="1">+'TUSD BE'!$T$30+'TUSD BE'!$AB$30+'TUSD BE'!$AD$30+'TUSD BE'!$AL$30</f>
        <v>823.99466944004996</v>
      </c>
      <c r="AP30" s="44">
        <f ca="1">+'TUSD BE'!$T$30+'TUSD BE'!$AB$30+'TUSD BE'!$AD$30+'TUSD BE'!$AL$30</f>
        <v>823.99466944004996</v>
      </c>
      <c r="AQ30" s="9" t="str">
        <f t="shared" si="0"/>
        <v>B2</v>
      </c>
      <c r="AR30" s="9" t="str">
        <f t="shared" si="1"/>
        <v>Branca</v>
      </c>
      <c r="AS30" s="9" t="str">
        <f t="shared" si="2"/>
        <v>Rural</v>
      </c>
      <c r="AT30" s="9" t="str">
        <f t="shared" si="3"/>
        <v>Não se aplica</v>
      </c>
      <c r="AU30" s="9" t="str">
        <f t="shared" si="4"/>
        <v>Não se aplica</v>
      </c>
      <c r="AV30" s="9">
        <f t="shared" si="5"/>
        <v>1</v>
      </c>
      <c r="AW30" s="9">
        <f ca="1">TarifaMedia!$G$20</f>
        <v>0</v>
      </c>
      <c r="AX30" s="15">
        <f ca="1">'TUSD BE'!$AM30+'TUSD BF'!$AM30+'TUSD CVA'!$AM30</f>
        <v>766.22902433012121</v>
      </c>
      <c r="AY30" s="9">
        <f>ROUND(845.96/(1-CUSTOS!$M$38),2)</f>
        <v>899.96</v>
      </c>
      <c r="AZ30" s="9">
        <f t="shared" ca="1" si="6"/>
        <v>0</v>
      </c>
      <c r="BC30" s="93" t="s">
        <v>1083</v>
      </c>
    </row>
    <row r="31" spans="1:55" ht="11.25" customHeight="1" x14ac:dyDescent="0.25">
      <c r="A31" s="137"/>
      <c r="B31" s="137"/>
      <c r="C31" s="137"/>
      <c r="D31" s="137"/>
      <c r="E31" s="137"/>
      <c r="F31" s="137"/>
      <c r="G31" s="41" t="s">
        <v>83</v>
      </c>
      <c r="H31" s="41" t="s">
        <v>70</v>
      </c>
      <c r="I31" s="41">
        <f>'MERCADO TUSD'!$U$28</f>
        <v>0</v>
      </c>
      <c r="J31" s="15"/>
      <c r="L31" s="31">
        <f>'TUSD BE'!$L$31*'TUSD BE'!$L$58</f>
        <v>4.96139567348787E-2</v>
      </c>
      <c r="M31" s="31">
        <f>'TUSD BE'!$M$31*'TUSD BE'!$M$58</f>
        <v>-1.67938644926648E-2</v>
      </c>
      <c r="N31" s="31">
        <f ca="1">'TUSD BE'!$N$31*'TUSD BE'!$N$58</f>
        <v>8.9106970400618814E-7</v>
      </c>
      <c r="O31" s="31">
        <f>'TUSD BE'!$O$31*'TUSD BE'!$O$58</f>
        <v>0</v>
      </c>
      <c r="P31" s="31">
        <f>'TUSD BE'!$P$31*'TUSD BE'!$P$58</f>
        <v>0</v>
      </c>
      <c r="Q31" s="31">
        <f>'TUSD BE'!$Q$31*'TUSD BE'!$Q$58</f>
        <v>1.4018738549269818</v>
      </c>
      <c r="R31" s="31">
        <f>'TUSD BE'!$R$31*'TUSD BE'!$R$58</f>
        <v>0.26830949317951003</v>
      </c>
      <c r="S31" s="31">
        <f>'TUSD BE'!$R$31*'TUSD BE'!$S$58</f>
        <v>0</v>
      </c>
      <c r="T31" s="31">
        <f ca="1">SUM($L$31:$S$31)</f>
        <v>1.7030043314184098</v>
      </c>
      <c r="U31" s="31">
        <f>'TUSD BE'!$U$31*'TUSD BE'!$U$58</f>
        <v>0</v>
      </c>
      <c r="V31" s="31">
        <f>'TUSD BE'!$V$31*'TUSD BE'!$V$58</f>
        <v>0</v>
      </c>
      <c r="W31" s="31">
        <f>'TUSD BE'!$W$31*'TUSD BE'!$W$58</f>
        <v>0</v>
      </c>
      <c r="X31" s="31">
        <f>'TUSD BE'!$X$31*'TUSD BE'!$X$58</f>
        <v>0</v>
      </c>
      <c r="Y31" s="31">
        <f>'TUSD BE'!$Y$31*'TUSD BE'!$Y$58</f>
        <v>8.7244631547631002</v>
      </c>
      <c r="Z31" s="31">
        <f>'TUSD BE'!$Z$31*'TUSD BE'!$Z$58</f>
        <v>0</v>
      </c>
      <c r="AA31" s="31">
        <f>'TUSD BE'!$AA$31*'TUSD BE'!$AA$58</f>
        <v>0</v>
      </c>
      <c r="AB31" s="31">
        <f>SUM($U$31:$AA$31)</f>
        <v>8.7244631547631002</v>
      </c>
      <c r="AC31" s="31">
        <f>'TUSD BE'!$AC$31*'TUSD BE'!$AC$58</f>
        <v>-3.60973535605486</v>
      </c>
      <c r="AD31" s="31">
        <f>SUM($AC$31:$AC$31)</f>
        <v>-3.60973535605486</v>
      </c>
      <c r="AE31" s="31">
        <f ca="1">$AO$31*$AO$55</f>
        <v>-57.776609817595819</v>
      </c>
      <c r="AF31" s="31">
        <f ca="1">$AP$31*$AP$55</f>
        <v>0</v>
      </c>
      <c r="AG31" s="31">
        <f ca="1">SUM($AE$31:$AF$31)</f>
        <v>-57.776609817595819</v>
      </c>
      <c r="AH31" s="31">
        <f>'TUSD BE'!$AH$31*'TUSD BE'!$AH$58</f>
        <v>-1.1186428756246387</v>
      </c>
      <c r="AI31" s="31">
        <f>'TUSD BE'!$AI$31*'TUSD BE'!$AI$58</f>
        <v>-3.5974039122080477E-2</v>
      </c>
      <c r="AJ31" s="31">
        <f ca="1">'TUSD BE'!$AJ$31*'TUSD BE'!$AJ$58</f>
        <v>-0.11825381198647125</v>
      </c>
      <c r="AK31" s="31">
        <f ca="1">'TUSD BE'!$AK$31*'TUSD BE'!$AK$58</f>
        <v>4.181590643671651E-2</v>
      </c>
      <c r="AL31" s="31">
        <f ca="1">SUM($AH$31:$AK$31)</f>
        <v>-1.231054820296474</v>
      </c>
      <c r="AM31" s="31">
        <f ca="1">SUMIF($L$4:$AL$4,"SUBTOTAL",$L$31:$AL$31)+AZ31</f>
        <v>-52.18993250776564</v>
      </c>
      <c r="AO31" s="44">
        <f ca="1">+'TUSD BE'!$T$31+'TUSD BE'!$AB$31+'TUSD BE'!$AD$31+'TUSD BE'!$AL$31</f>
        <v>547.64234358157103</v>
      </c>
      <c r="AP31" s="44">
        <f ca="1">+'TUSD BE'!$T$31+'TUSD BE'!$AB$31+'TUSD BE'!$AD$31+'TUSD BE'!$AL$31</f>
        <v>547.64234358157103</v>
      </c>
      <c r="AQ31" s="9" t="str">
        <f t="shared" si="0"/>
        <v>B2</v>
      </c>
      <c r="AR31" s="9" t="str">
        <f t="shared" si="1"/>
        <v>Branca</v>
      </c>
      <c r="AS31" s="9" t="str">
        <f t="shared" si="2"/>
        <v>Rural</v>
      </c>
      <c r="AT31" s="9" t="str">
        <f t="shared" si="3"/>
        <v>Não se aplica</v>
      </c>
      <c r="AU31" s="9" t="str">
        <f t="shared" si="4"/>
        <v>Não se aplica</v>
      </c>
      <c r="AV31" s="9">
        <f t="shared" si="5"/>
        <v>1</v>
      </c>
      <c r="AW31" s="9">
        <f ca="1">TarifaMedia!$G$20</f>
        <v>0</v>
      </c>
      <c r="AX31" s="15">
        <f ca="1">'TUSD BE'!$AM31+'TUSD BF'!$AM31+'TUSD CVA'!$AM31</f>
        <v>515.62222553994934</v>
      </c>
      <c r="AY31" s="9">
        <f>ROUND(563.42/(1-CUSTOS!$M$38),2)</f>
        <v>599.38</v>
      </c>
      <c r="AZ31" s="9">
        <f t="shared" ca="1" si="6"/>
        <v>0</v>
      </c>
      <c r="BC31" s="93" t="s">
        <v>1084</v>
      </c>
    </row>
    <row r="32" spans="1:55" ht="11.25" customHeight="1" x14ac:dyDescent="0.25">
      <c r="A32" s="137"/>
      <c r="B32" s="137"/>
      <c r="C32" s="137"/>
      <c r="D32" s="137"/>
      <c r="E32" s="137"/>
      <c r="F32" s="137"/>
      <c r="G32" s="41" t="s">
        <v>72</v>
      </c>
      <c r="H32" s="41" t="s">
        <v>70</v>
      </c>
      <c r="I32" s="41">
        <f>'MERCADO TUSD'!$U$29</f>
        <v>0</v>
      </c>
      <c r="J32" s="15"/>
      <c r="L32" s="31">
        <f>'TUSD BE'!$L$32*'TUSD BE'!$L$58</f>
        <v>4.96139567348787E-2</v>
      </c>
      <c r="M32" s="31">
        <f>'TUSD BE'!$M$32*'TUSD BE'!$M$58</f>
        <v>-1.67938644926648E-2</v>
      </c>
      <c r="N32" s="31">
        <f ca="1">'TUSD BE'!$N$32*'TUSD BE'!$N$58</f>
        <v>3.5538731586923507E-7</v>
      </c>
      <c r="O32" s="31">
        <f>'TUSD BE'!$O$32*'TUSD BE'!$O$58</f>
        <v>0</v>
      </c>
      <c r="P32" s="31">
        <f>'TUSD BE'!$P$32*'TUSD BE'!$P$58</f>
        <v>0</v>
      </c>
      <c r="Q32" s="31">
        <f>'TUSD BE'!$Q$32*'TUSD BE'!$Q$58</f>
        <v>1.4018738549269818</v>
      </c>
      <c r="R32" s="31">
        <f>'TUSD BE'!$R$32*'TUSD BE'!$R$58</f>
        <v>0.26830949317951003</v>
      </c>
      <c r="S32" s="31">
        <f>'TUSD BE'!$R$32*'TUSD BE'!$S$58</f>
        <v>0</v>
      </c>
      <c r="T32" s="31">
        <f ca="1">SUM($L$32:$S$32)</f>
        <v>1.7030037957360216</v>
      </c>
      <c r="U32" s="31">
        <f>'TUSD BE'!$U$32*'TUSD BE'!$U$58</f>
        <v>0</v>
      </c>
      <c r="V32" s="31">
        <f>'TUSD BE'!$V$32*'TUSD BE'!$V$58</f>
        <v>0</v>
      </c>
      <c r="W32" s="31">
        <f>'TUSD BE'!$W$32*'TUSD BE'!$W$58</f>
        <v>0</v>
      </c>
      <c r="X32" s="31">
        <f>'TUSD BE'!$X$32*'TUSD BE'!$X$58</f>
        <v>0</v>
      </c>
      <c r="Y32" s="31">
        <f>'TUSD BE'!$Y$32*'TUSD BE'!$Y$58</f>
        <v>2.9081526555299719</v>
      </c>
      <c r="Z32" s="31">
        <f>'TUSD BE'!$Z$32*'TUSD BE'!$Z$58</f>
        <v>0</v>
      </c>
      <c r="AA32" s="31">
        <f>'TUSD BE'!$AA$32*'TUSD BE'!$AA$58</f>
        <v>0</v>
      </c>
      <c r="AB32" s="31">
        <f>SUM($U$32:$AA$32)</f>
        <v>2.9081526555299719</v>
      </c>
      <c r="AC32" s="31">
        <f>'TUSD BE'!$AC$32*'TUSD BE'!$AC$58</f>
        <v>-1.2032456872720343</v>
      </c>
      <c r="AD32" s="31">
        <f>SUM($AC$32:$AC$32)</f>
        <v>-1.2032456872720343</v>
      </c>
      <c r="AE32" s="31">
        <f ca="1">$AO$32*$AO$55</f>
        <v>-28.621254495290632</v>
      </c>
      <c r="AF32" s="31">
        <f ca="1">$AP$32*$AP$55</f>
        <v>0</v>
      </c>
      <c r="AG32" s="31">
        <f ca="1">SUM($AE$32:$AF$32)</f>
        <v>-28.621254495290632</v>
      </c>
      <c r="AH32" s="31">
        <f>'TUSD BE'!$AH$32*'TUSD BE'!$AH$58</f>
        <v>-1.1186428756246387</v>
      </c>
      <c r="AI32" s="31">
        <f>'TUSD BE'!$AI$32*'TUSD BE'!$AI$58</f>
        <v>-3.5974039122080477E-2</v>
      </c>
      <c r="AJ32" s="31">
        <f ca="1">'TUSD BE'!$AJ$32*'TUSD BE'!$AJ$58</f>
        <v>-0.11825381198647125</v>
      </c>
      <c r="AK32" s="31">
        <f ca="1">'TUSD BE'!$AK$32*'TUSD BE'!$AK$58</f>
        <v>4.181590643671651E-2</v>
      </c>
      <c r="AL32" s="31">
        <f ca="1">SUM($AH$32:$AK$32)</f>
        <v>-1.231054820296474</v>
      </c>
      <c r="AM32" s="31">
        <f ca="1">SUMIF($L$4:$AL$4,"SUBTOTAL",$L$32:$AL$32)+AZ32</f>
        <v>-26.444398551593146</v>
      </c>
      <c r="AO32" s="44">
        <f ca="1">+'TUSD BE'!$T$32+'TUSD BE'!$AB$32+'TUSD BE'!$AD$32+'TUSD BE'!$AL$32</f>
        <v>271.28990325894767</v>
      </c>
      <c r="AP32" s="44">
        <f ca="1">+'TUSD BE'!$T$32+'TUSD BE'!$AB$32+'TUSD BE'!$AD$32+'TUSD BE'!$AL$32</f>
        <v>271.28990325894767</v>
      </c>
      <c r="AQ32" s="9" t="str">
        <f t="shared" si="0"/>
        <v>B2</v>
      </c>
      <c r="AR32" s="9" t="str">
        <f t="shared" si="1"/>
        <v>Branca</v>
      </c>
      <c r="AS32" s="9" t="str">
        <f t="shared" si="2"/>
        <v>Rural</v>
      </c>
      <c r="AT32" s="9" t="str">
        <f t="shared" si="3"/>
        <v>Não se aplica</v>
      </c>
      <c r="AU32" s="9" t="str">
        <f t="shared" si="4"/>
        <v>Não se aplica</v>
      </c>
      <c r="AV32" s="9">
        <f t="shared" si="5"/>
        <v>1</v>
      </c>
      <c r="AW32" s="9">
        <f ca="1">TarifaMedia!$G$20</f>
        <v>0</v>
      </c>
      <c r="AX32" s="15">
        <f ca="1">'TUSD BE'!$AM32+'TUSD BF'!$AM32+'TUSD CVA'!$AM32</f>
        <v>265.01531917349854</v>
      </c>
      <c r="AY32" s="9">
        <f>ROUND(280.89/(1-CUSTOS!$M$38),2)</f>
        <v>298.82</v>
      </c>
      <c r="AZ32" s="9">
        <f t="shared" ca="1" si="6"/>
        <v>0</v>
      </c>
      <c r="BC32" s="93" t="s">
        <v>1085</v>
      </c>
    </row>
    <row r="33" spans="1:55" ht="11.25" customHeight="1" x14ac:dyDescent="0.25">
      <c r="A33" s="137"/>
      <c r="B33" s="42" t="s">
        <v>23</v>
      </c>
      <c r="C33" s="42" t="s">
        <v>40</v>
      </c>
      <c r="D33" s="42" t="s">
        <v>25</v>
      </c>
      <c r="E33" s="42" t="s">
        <v>25</v>
      </c>
      <c r="F33" s="42" t="s">
        <v>25</v>
      </c>
      <c r="G33" s="41" t="s">
        <v>74</v>
      </c>
      <c r="H33" s="41" t="s">
        <v>70</v>
      </c>
      <c r="I33" s="41">
        <f>'MERCADO TUSD'!$U$30</f>
        <v>45.472000000000001</v>
      </c>
      <c r="J33" s="15"/>
      <c r="L33" s="31">
        <f>'TUSD BE'!$L$33*'TUSD BE'!$L$58</f>
        <v>4.96139567348787E-2</v>
      </c>
      <c r="M33" s="31">
        <f>'TUSD BE'!$M$33*'TUSD BE'!$M$58</f>
        <v>-1.67938644926648E-2</v>
      </c>
      <c r="N33" s="31">
        <f ca="1">'TUSD BE'!$N$33*'TUSD BE'!$N$58</f>
        <v>5.9290676153437237E-7</v>
      </c>
      <c r="O33" s="31">
        <f>'TUSD BE'!$O$33*'TUSD BE'!$O$58</f>
        <v>0</v>
      </c>
      <c r="P33" s="31">
        <f>'TUSD BE'!$P$33*'TUSD BE'!$P$58</f>
        <v>0</v>
      </c>
      <c r="Q33" s="31">
        <f>'TUSD BE'!$Q$33*'TUSD BE'!$Q$58</f>
        <v>1.4018738549269818</v>
      </c>
      <c r="R33" s="31">
        <f>'TUSD BE'!$R$33*'TUSD BE'!$R$58</f>
        <v>0.26830949317951003</v>
      </c>
      <c r="S33" s="31">
        <f>'TUSD BE'!$R$33*'TUSD BE'!$S$58</f>
        <v>0</v>
      </c>
      <c r="T33" s="31">
        <f ca="1">SUM($L$33:$S$33)</f>
        <v>1.7030040332554672</v>
      </c>
      <c r="U33" s="31">
        <f>'TUSD BE'!$U$33*'TUSD BE'!$U$58</f>
        <v>0</v>
      </c>
      <c r="V33" s="31">
        <f>'TUSD BE'!$V$33*'TUSD BE'!$V$58</f>
        <v>0</v>
      </c>
      <c r="W33" s="31">
        <f>'TUSD BE'!$W$33*'TUSD BE'!$W$58</f>
        <v>0</v>
      </c>
      <c r="X33" s="31">
        <f>'TUSD BE'!$X$33*'TUSD BE'!$X$58</f>
        <v>0</v>
      </c>
      <c r="Y33" s="31">
        <f>'TUSD BE'!$Y$33*'TUSD BE'!$Y$58</f>
        <v>5.4870845935145454</v>
      </c>
      <c r="Z33" s="31">
        <f>'TUSD BE'!$Z$33*'TUSD BE'!$Z$58</f>
        <v>0</v>
      </c>
      <c r="AA33" s="31">
        <f>'TUSD BE'!$AA$33*'TUSD BE'!$AA$58</f>
        <v>0</v>
      </c>
      <c r="AB33" s="31">
        <f>SUM($U$33:$AA$33)</f>
        <v>5.4870845935145454</v>
      </c>
      <c r="AC33" s="31">
        <f>'TUSD BE'!$AC$33*'TUSD BE'!$AC$58</f>
        <v>-2.2702726931214881</v>
      </c>
      <c r="AD33" s="31">
        <f>SUM($AC$33:$AC$33)</f>
        <v>-2.2702726931214881</v>
      </c>
      <c r="AE33" s="31">
        <f ca="1">$AO$33*$AO$55</f>
        <v>-41.54862394577416</v>
      </c>
      <c r="AF33" s="31">
        <f ca="1">$AP$33*$AP$55</f>
        <v>0</v>
      </c>
      <c r="AG33" s="31">
        <f ca="1">SUM($AE$33:$AF$33)</f>
        <v>-41.54862394577416</v>
      </c>
      <c r="AH33" s="31">
        <f>'TUSD BE'!$AH$33*'TUSD BE'!$AH$58</f>
        <v>-1.1186428756246387</v>
      </c>
      <c r="AI33" s="31">
        <f>'TUSD BE'!$AI$33*'TUSD BE'!$AI$58</f>
        <v>-3.5974039122080477E-2</v>
      </c>
      <c r="AJ33" s="31">
        <f ca="1">'TUSD BE'!$AJ$33*'TUSD BE'!$AJ$58</f>
        <v>-0.11825381198647125</v>
      </c>
      <c r="AK33" s="31">
        <f ca="1">'TUSD BE'!$AK$33*'TUSD BE'!$AK$58</f>
        <v>4.181590643671651E-2</v>
      </c>
      <c r="AL33" s="31">
        <f ca="1">SUM($AH$33:$AK$33)</f>
        <v>-1.231054820296474</v>
      </c>
      <c r="AM33" s="31">
        <f ca="1">SUMIF($L$4:$AL$4,"SUBTOTAL",$L$33:$AL$33)+AZ33</f>
        <v>-37.859862832422102</v>
      </c>
      <c r="AO33" s="44">
        <f ca="1">+'TUSD BE'!$T$33+'TUSD BE'!$AB$33+'TUSD BE'!$AD$33+'TUSD BE'!$AL$33</f>
        <v>393.82348431464209</v>
      </c>
      <c r="AP33" s="44">
        <f ca="1">+'TUSD BE'!$T$33+'TUSD BE'!$AB$33+'TUSD BE'!$AD$33+'TUSD BE'!$AL$33</f>
        <v>393.82348431464209</v>
      </c>
      <c r="AQ33" s="9" t="str">
        <f t="shared" si="0"/>
        <v>B2</v>
      </c>
      <c r="AR33" s="9" t="str">
        <f t="shared" si="1"/>
        <v>Convencional</v>
      </c>
      <c r="AS33" s="9" t="str">
        <f t="shared" si="2"/>
        <v>Rural</v>
      </c>
      <c r="AT33" s="9" t="str">
        <f t="shared" si="3"/>
        <v>Não se aplica</v>
      </c>
      <c r="AU33" s="9" t="str">
        <f t="shared" si="4"/>
        <v>Não se aplica</v>
      </c>
      <c r="AV33" s="9">
        <f t="shared" si="5"/>
        <v>1</v>
      </c>
      <c r="AW33" s="9">
        <f ca="1">TarifaMedia!$G$20</f>
        <v>0</v>
      </c>
      <c r="AX33" s="15">
        <f ca="1">'TUSD BE'!$AM33+'TUSD BF'!$AM33+'TUSD CVA'!$AM33</f>
        <v>376.13343594836397</v>
      </c>
      <c r="AY33" s="9">
        <v>437.54</v>
      </c>
      <c r="AZ33" s="9">
        <f t="shared" ca="1" si="6"/>
        <v>0</v>
      </c>
      <c r="BC33" s="93" t="s">
        <v>1079</v>
      </c>
    </row>
    <row r="34" spans="1:55" ht="11.25" customHeight="1" x14ac:dyDescent="0.25">
      <c r="A34" s="137"/>
      <c r="B34" s="137" t="s">
        <v>49</v>
      </c>
      <c r="C34" s="137" t="s">
        <v>40</v>
      </c>
      <c r="D34" s="137" t="s">
        <v>86</v>
      </c>
      <c r="E34" s="137" t="s">
        <v>25</v>
      </c>
      <c r="F34" s="137" t="s">
        <v>25</v>
      </c>
      <c r="G34" s="41" t="s">
        <v>71</v>
      </c>
      <c r="H34" s="41" t="s">
        <v>70</v>
      </c>
      <c r="I34" s="41">
        <f>'MERCADO TUSD'!$U$31</f>
        <v>0</v>
      </c>
      <c r="J34" s="15"/>
      <c r="L34" s="31">
        <f>'TUSD BE'!$L$34*'TUSD BE'!$L$58</f>
        <v>4.96139567348787E-2</v>
      </c>
      <c r="M34" s="31">
        <f>'TUSD BE'!$M$34*'TUSD BE'!$M$58</f>
        <v>-1.67938644926648E-2</v>
      </c>
      <c r="N34" s="31">
        <f ca="1">'TUSD BE'!$N$34*'TUSD BE'!$N$58</f>
        <v>1.4267518805675218E-6</v>
      </c>
      <c r="O34" s="31">
        <f>'TUSD BE'!$O$34*'TUSD BE'!$O$58</f>
        <v>0</v>
      </c>
      <c r="P34" s="31">
        <f>'TUSD BE'!$P$34*'TUSD BE'!$P$58</f>
        <v>0</v>
      </c>
      <c r="Q34" s="31">
        <f>'TUSD BE'!$Q$34*'TUSD BE'!$Q$58</f>
        <v>1.4018738549269818</v>
      </c>
      <c r="R34" s="31">
        <f>'TUSD BE'!$R$34*'TUSD BE'!$R$58</f>
        <v>0.26830949317951003</v>
      </c>
      <c r="S34" s="31">
        <f>'TUSD BE'!$R$34*'TUSD BE'!$S$58</f>
        <v>0</v>
      </c>
      <c r="T34" s="31">
        <f ca="1">SUM($L$34:$S$34)</f>
        <v>1.7030048671005864</v>
      </c>
      <c r="U34" s="31">
        <f>'TUSD BE'!$U$34*'TUSD BE'!$U$58</f>
        <v>0</v>
      </c>
      <c r="V34" s="31">
        <f>'TUSD BE'!$V$34*'TUSD BE'!$V$58</f>
        <v>0</v>
      </c>
      <c r="W34" s="31">
        <f>'TUSD BE'!$W$34*'TUSD BE'!$W$58</f>
        <v>0</v>
      </c>
      <c r="X34" s="31">
        <f>'TUSD BE'!$X$34*'TUSD BE'!$X$58</f>
        <v>0</v>
      </c>
      <c r="Y34" s="31">
        <f>'TUSD BE'!$Y$34*'TUSD BE'!$Y$58</f>
        <v>14.540768465823044</v>
      </c>
      <c r="Z34" s="31">
        <f>'TUSD BE'!$Z$34*'TUSD BE'!$Z$58</f>
        <v>0</v>
      </c>
      <c r="AA34" s="31">
        <f>'TUSD BE'!$AA$34*'TUSD BE'!$AA$58</f>
        <v>0</v>
      </c>
      <c r="AB34" s="31">
        <f>SUM($U$34:$AA$34)</f>
        <v>14.540768465823044</v>
      </c>
      <c r="AC34" s="31">
        <f>'TUSD BE'!$AC$34*'TUSD BE'!$AC$58</f>
        <v>-6.0162250248376852</v>
      </c>
      <c r="AD34" s="31">
        <f>SUM($AC$34:$AC$34)</f>
        <v>-6.0162250248376852</v>
      </c>
      <c r="AE34" s="31">
        <f ca="1">$AO$34*$AO$55</f>
        <v>-86.931953063862167</v>
      </c>
      <c r="AF34" s="31">
        <f ca="1">$AP$34*$AP$55</f>
        <v>0</v>
      </c>
      <c r="AG34" s="31">
        <f ca="1">SUM($AE$34:$AF$34)</f>
        <v>-86.931953063862167</v>
      </c>
      <c r="AH34" s="31">
        <f>'TUSD BE'!$AH$34*'TUSD BE'!$AH$58</f>
        <v>-1.1186428756246387</v>
      </c>
      <c r="AI34" s="31">
        <f>'TUSD BE'!$AI$34*'TUSD BE'!$AI$58</f>
        <v>-3.5974039122080477E-2</v>
      </c>
      <c r="AJ34" s="31">
        <f ca="1">'TUSD BE'!$AJ$34*'TUSD BE'!$AJ$58</f>
        <v>-0.11825381198647125</v>
      </c>
      <c r="AK34" s="31">
        <f ca="1">'TUSD BE'!$AK$34*'TUSD BE'!$AK$58</f>
        <v>4.181590643671651E-2</v>
      </c>
      <c r="AL34" s="31">
        <f ca="1">SUM($AH$34:$AK$34)</f>
        <v>-1.231054820296474</v>
      </c>
      <c r="AM34" s="31">
        <f ca="1">SUMIF($L$4:$AL$4,"SUBTOTAL",$L$34:$AL$34)+AZ34</f>
        <v>-77.935459576072702</v>
      </c>
      <c r="AO34" s="44">
        <f ca="1">+'TUSD BE'!$T$34+'TUSD BE'!$AB$34+'TUSD BE'!$AD$34+'TUSD BE'!$AL$34</f>
        <v>823.99466944004996</v>
      </c>
      <c r="AP34" s="44">
        <f ca="1">+'TUSD BE'!$T$34+'TUSD BE'!$AB$34+'TUSD BE'!$AD$34+'TUSD BE'!$AL$34</f>
        <v>823.99466944004996</v>
      </c>
      <c r="AQ34" s="9" t="str">
        <f t="shared" si="0"/>
        <v>B2</v>
      </c>
      <c r="AR34" s="9" t="str">
        <f t="shared" si="1"/>
        <v>Branca</v>
      </c>
      <c r="AS34" s="9" t="str">
        <f t="shared" si="2"/>
        <v>Rural</v>
      </c>
      <c r="AT34" s="9" t="str">
        <f t="shared" si="3"/>
        <v>Cooperativa de eletrificação rural</v>
      </c>
      <c r="AU34" s="9" t="str">
        <f t="shared" si="4"/>
        <v>Não se aplica</v>
      </c>
      <c r="AV34" s="9">
        <f t="shared" si="5"/>
        <v>1</v>
      </c>
      <c r="AW34" s="9">
        <f ca="1">TarifaMedia!$G$20</f>
        <v>0</v>
      </c>
      <c r="AX34" s="15">
        <f ca="1">'TUSD BE'!$AM34+'TUSD BF'!$AM34+'TUSD CVA'!$AM34</f>
        <v>766.22902433012121</v>
      </c>
      <c r="AY34" s="9">
        <f>ROUND(845.96/(1-CUSTOS!$M$38),2)</f>
        <v>899.96</v>
      </c>
      <c r="AZ34" s="9">
        <f t="shared" ca="1" si="6"/>
        <v>0</v>
      </c>
      <c r="BC34" s="93" t="s">
        <v>1083</v>
      </c>
    </row>
    <row r="35" spans="1:55" ht="11.25" customHeight="1" x14ac:dyDescent="0.25">
      <c r="A35" s="137"/>
      <c r="B35" s="137"/>
      <c r="C35" s="137"/>
      <c r="D35" s="137"/>
      <c r="E35" s="137"/>
      <c r="F35" s="137"/>
      <c r="G35" s="41" t="s">
        <v>83</v>
      </c>
      <c r="H35" s="41" t="s">
        <v>70</v>
      </c>
      <c r="I35" s="41">
        <f>'MERCADO TUSD'!$U$32</f>
        <v>0</v>
      </c>
      <c r="J35" s="15"/>
      <c r="L35" s="31">
        <f>'TUSD BE'!$L$35*'TUSD BE'!$L$58</f>
        <v>4.96139567348787E-2</v>
      </c>
      <c r="M35" s="31">
        <f>'TUSD BE'!$M$35*'TUSD BE'!$M$58</f>
        <v>-1.67938644926648E-2</v>
      </c>
      <c r="N35" s="31">
        <f ca="1">'TUSD BE'!$N$35*'TUSD BE'!$N$58</f>
        <v>8.9106970400618814E-7</v>
      </c>
      <c r="O35" s="31">
        <f>'TUSD BE'!$O$35*'TUSD BE'!$O$58</f>
        <v>0</v>
      </c>
      <c r="P35" s="31">
        <f>'TUSD BE'!$P$35*'TUSD BE'!$P$58</f>
        <v>0</v>
      </c>
      <c r="Q35" s="31">
        <f>'TUSD BE'!$Q$35*'TUSD BE'!$Q$58</f>
        <v>1.4018738549269818</v>
      </c>
      <c r="R35" s="31">
        <f>'TUSD BE'!$R$35*'TUSD BE'!$R$58</f>
        <v>0.26830949317951003</v>
      </c>
      <c r="S35" s="31">
        <f>'TUSD BE'!$R$35*'TUSD BE'!$S$58</f>
        <v>0</v>
      </c>
      <c r="T35" s="31">
        <f ca="1">SUM($L$35:$S$35)</f>
        <v>1.7030043314184098</v>
      </c>
      <c r="U35" s="31">
        <f>'TUSD BE'!$U$35*'TUSD BE'!$U$58</f>
        <v>0</v>
      </c>
      <c r="V35" s="31">
        <f>'TUSD BE'!$V$35*'TUSD BE'!$V$58</f>
        <v>0</v>
      </c>
      <c r="W35" s="31">
        <f>'TUSD BE'!$W$35*'TUSD BE'!$W$58</f>
        <v>0</v>
      </c>
      <c r="X35" s="31">
        <f>'TUSD BE'!$X$35*'TUSD BE'!$X$58</f>
        <v>0</v>
      </c>
      <c r="Y35" s="31">
        <f>'TUSD BE'!$Y$35*'TUSD BE'!$Y$58</f>
        <v>8.7244631547631002</v>
      </c>
      <c r="Z35" s="31">
        <f>'TUSD BE'!$Z$35*'TUSD BE'!$Z$58</f>
        <v>0</v>
      </c>
      <c r="AA35" s="31">
        <f>'TUSD BE'!$AA$35*'TUSD BE'!$AA$58</f>
        <v>0</v>
      </c>
      <c r="AB35" s="31">
        <f>SUM($U$35:$AA$35)</f>
        <v>8.7244631547631002</v>
      </c>
      <c r="AC35" s="31">
        <f>'TUSD BE'!$AC$35*'TUSD BE'!$AC$58</f>
        <v>-3.60973535605486</v>
      </c>
      <c r="AD35" s="31">
        <f>SUM($AC$35:$AC$35)</f>
        <v>-3.60973535605486</v>
      </c>
      <c r="AE35" s="31">
        <f ca="1">$AO$35*$AO$55</f>
        <v>-57.776609817595819</v>
      </c>
      <c r="AF35" s="31">
        <f ca="1">$AP$35*$AP$55</f>
        <v>0</v>
      </c>
      <c r="AG35" s="31">
        <f ca="1">SUM($AE$35:$AF$35)</f>
        <v>-57.776609817595819</v>
      </c>
      <c r="AH35" s="31">
        <f>'TUSD BE'!$AH$35*'TUSD BE'!$AH$58</f>
        <v>-1.1186428756246387</v>
      </c>
      <c r="AI35" s="31">
        <f>'TUSD BE'!$AI$35*'TUSD BE'!$AI$58</f>
        <v>-3.5974039122080477E-2</v>
      </c>
      <c r="AJ35" s="31">
        <f ca="1">'TUSD BE'!$AJ$35*'TUSD BE'!$AJ$58</f>
        <v>-0.11825381198647125</v>
      </c>
      <c r="AK35" s="31">
        <f ca="1">'TUSD BE'!$AK$35*'TUSD BE'!$AK$58</f>
        <v>4.181590643671651E-2</v>
      </c>
      <c r="AL35" s="31">
        <f ca="1">SUM($AH$35:$AK$35)</f>
        <v>-1.231054820296474</v>
      </c>
      <c r="AM35" s="31">
        <f ca="1">SUMIF($L$4:$AL$4,"SUBTOTAL",$L$35:$AL$35)+AZ35</f>
        <v>-52.18993250776564</v>
      </c>
      <c r="AO35" s="44">
        <f ca="1">+'TUSD BE'!$T$35+'TUSD BE'!$AB$35+'TUSD BE'!$AD$35+'TUSD BE'!$AL$35</f>
        <v>547.64234358157103</v>
      </c>
      <c r="AP35" s="44">
        <f ca="1">+'TUSD BE'!$T$35+'TUSD BE'!$AB$35+'TUSD BE'!$AD$35+'TUSD BE'!$AL$35</f>
        <v>547.64234358157103</v>
      </c>
      <c r="AQ35" s="9" t="str">
        <f t="shared" si="0"/>
        <v>B2</v>
      </c>
      <c r="AR35" s="9" t="str">
        <f t="shared" si="1"/>
        <v>Branca</v>
      </c>
      <c r="AS35" s="9" t="str">
        <f t="shared" si="2"/>
        <v>Rural</v>
      </c>
      <c r="AT35" s="9" t="str">
        <f t="shared" si="3"/>
        <v>Cooperativa de eletrificação rural</v>
      </c>
      <c r="AU35" s="9" t="str">
        <f t="shared" si="4"/>
        <v>Não se aplica</v>
      </c>
      <c r="AV35" s="9">
        <f t="shared" si="5"/>
        <v>1</v>
      </c>
      <c r="AW35" s="9">
        <f ca="1">TarifaMedia!$G$20</f>
        <v>0</v>
      </c>
      <c r="AX35" s="15">
        <f ca="1">'TUSD BE'!$AM35+'TUSD BF'!$AM35+'TUSD CVA'!$AM35</f>
        <v>515.62222553994934</v>
      </c>
      <c r="AY35" s="9">
        <f>ROUND(563.42/(1-CUSTOS!$M$38),2)</f>
        <v>599.38</v>
      </c>
      <c r="AZ35" s="9">
        <f t="shared" ca="1" si="6"/>
        <v>0</v>
      </c>
      <c r="BC35" s="93" t="s">
        <v>1084</v>
      </c>
    </row>
    <row r="36" spans="1:55" ht="11.25" customHeight="1" x14ac:dyDescent="0.25">
      <c r="A36" s="137"/>
      <c r="B36" s="137"/>
      <c r="C36" s="137"/>
      <c r="D36" s="137"/>
      <c r="E36" s="137"/>
      <c r="F36" s="137"/>
      <c r="G36" s="41" t="s">
        <v>72</v>
      </c>
      <c r="H36" s="41" t="s">
        <v>70</v>
      </c>
      <c r="I36" s="41">
        <f>'MERCADO TUSD'!$U$33</f>
        <v>0</v>
      </c>
      <c r="J36" s="15"/>
      <c r="L36" s="31">
        <f>'TUSD BE'!$L$36*'TUSD BE'!$L$58</f>
        <v>4.96139567348787E-2</v>
      </c>
      <c r="M36" s="31">
        <f>'TUSD BE'!$M$36*'TUSD BE'!$M$58</f>
        <v>-1.67938644926648E-2</v>
      </c>
      <c r="N36" s="31">
        <f ca="1">'TUSD BE'!$N$36*'TUSD BE'!$N$58</f>
        <v>3.5538731586923507E-7</v>
      </c>
      <c r="O36" s="31">
        <f>'TUSD BE'!$O$36*'TUSD BE'!$O$58</f>
        <v>0</v>
      </c>
      <c r="P36" s="31">
        <f>'TUSD BE'!$P$36*'TUSD BE'!$P$58</f>
        <v>0</v>
      </c>
      <c r="Q36" s="31">
        <f>'TUSD BE'!$Q$36*'TUSD BE'!$Q$58</f>
        <v>1.4018738549269818</v>
      </c>
      <c r="R36" s="31">
        <f>'TUSD BE'!$R$36*'TUSD BE'!$R$58</f>
        <v>0.26830949317951003</v>
      </c>
      <c r="S36" s="31">
        <f>'TUSD BE'!$R$36*'TUSD BE'!$S$58</f>
        <v>0</v>
      </c>
      <c r="T36" s="31">
        <f ca="1">SUM($L$36:$S$36)</f>
        <v>1.7030037957360216</v>
      </c>
      <c r="U36" s="31">
        <f>'TUSD BE'!$U$36*'TUSD BE'!$U$58</f>
        <v>0</v>
      </c>
      <c r="V36" s="31">
        <f>'TUSD BE'!$V$36*'TUSD BE'!$V$58</f>
        <v>0</v>
      </c>
      <c r="W36" s="31">
        <f>'TUSD BE'!$W$36*'TUSD BE'!$W$58</f>
        <v>0</v>
      </c>
      <c r="X36" s="31">
        <f>'TUSD BE'!$X$36*'TUSD BE'!$X$58</f>
        <v>0</v>
      </c>
      <c r="Y36" s="31">
        <f>'TUSD BE'!$Y$36*'TUSD BE'!$Y$58</f>
        <v>2.9081526555299719</v>
      </c>
      <c r="Z36" s="31">
        <f>'TUSD BE'!$Z$36*'TUSD BE'!$Z$58</f>
        <v>0</v>
      </c>
      <c r="AA36" s="31">
        <f>'TUSD BE'!$AA$36*'TUSD BE'!$AA$58</f>
        <v>0</v>
      </c>
      <c r="AB36" s="31">
        <f>SUM($U$36:$AA$36)</f>
        <v>2.9081526555299719</v>
      </c>
      <c r="AC36" s="31">
        <f>'TUSD BE'!$AC$36*'TUSD BE'!$AC$58</f>
        <v>-1.2032456872720343</v>
      </c>
      <c r="AD36" s="31">
        <f>SUM($AC$36:$AC$36)</f>
        <v>-1.2032456872720343</v>
      </c>
      <c r="AE36" s="31">
        <f ca="1">$AO$36*$AO$55</f>
        <v>-28.621254495290632</v>
      </c>
      <c r="AF36" s="31">
        <f ca="1">$AP$36*$AP$55</f>
        <v>0</v>
      </c>
      <c r="AG36" s="31">
        <f ca="1">SUM($AE$36:$AF$36)</f>
        <v>-28.621254495290632</v>
      </c>
      <c r="AH36" s="31">
        <f>'TUSD BE'!$AH$36*'TUSD BE'!$AH$58</f>
        <v>-1.1186428756246387</v>
      </c>
      <c r="AI36" s="31">
        <f>'TUSD BE'!$AI$36*'TUSD BE'!$AI$58</f>
        <v>-3.5974039122080477E-2</v>
      </c>
      <c r="AJ36" s="31">
        <f ca="1">'TUSD BE'!$AJ$36*'TUSD BE'!$AJ$58</f>
        <v>-0.11825381198647125</v>
      </c>
      <c r="AK36" s="31">
        <f ca="1">'TUSD BE'!$AK$36*'TUSD BE'!$AK$58</f>
        <v>4.181590643671651E-2</v>
      </c>
      <c r="AL36" s="31">
        <f ca="1">SUM($AH$36:$AK$36)</f>
        <v>-1.231054820296474</v>
      </c>
      <c r="AM36" s="31">
        <f ca="1">SUMIF($L$4:$AL$4,"SUBTOTAL",$L$36:$AL$36)+AZ36</f>
        <v>-26.444398551593146</v>
      </c>
      <c r="AO36" s="44">
        <f ca="1">+'TUSD BE'!$T$36+'TUSD BE'!$AB$36+'TUSD BE'!$AD$36+'TUSD BE'!$AL$36</f>
        <v>271.28990325894767</v>
      </c>
      <c r="AP36" s="44">
        <f ca="1">+'TUSD BE'!$T$36+'TUSD BE'!$AB$36+'TUSD BE'!$AD$36+'TUSD BE'!$AL$36</f>
        <v>271.28990325894767</v>
      </c>
      <c r="AQ36" s="9" t="str">
        <f t="shared" si="0"/>
        <v>B2</v>
      </c>
      <c r="AR36" s="9" t="str">
        <f t="shared" si="1"/>
        <v>Branca</v>
      </c>
      <c r="AS36" s="9" t="str">
        <f t="shared" si="2"/>
        <v>Rural</v>
      </c>
      <c r="AT36" s="9" t="str">
        <f t="shared" si="3"/>
        <v>Cooperativa de eletrificação rural</v>
      </c>
      <c r="AU36" s="9" t="str">
        <f t="shared" si="4"/>
        <v>Não se aplica</v>
      </c>
      <c r="AV36" s="9">
        <f t="shared" si="5"/>
        <v>1</v>
      </c>
      <c r="AW36" s="9">
        <f ca="1">TarifaMedia!$G$20</f>
        <v>0</v>
      </c>
      <c r="AX36" s="15">
        <f ca="1">'TUSD BE'!$AM36+'TUSD BF'!$AM36+'TUSD CVA'!$AM36</f>
        <v>265.01531917349854</v>
      </c>
      <c r="AY36" s="9">
        <f>ROUND(280.89/(1-CUSTOS!$M$38),2)</f>
        <v>298.82</v>
      </c>
      <c r="AZ36" s="9">
        <f t="shared" ca="1" si="6"/>
        <v>0</v>
      </c>
      <c r="BC36" s="93" t="s">
        <v>1085</v>
      </c>
    </row>
    <row r="37" spans="1:55" ht="11.25" customHeight="1" x14ac:dyDescent="0.25">
      <c r="A37" s="137"/>
      <c r="B37" s="42" t="s">
        <v>23</v>
      </c>
      <c r="C37" s="42" t="s">
        <v>40</v>
      </c>
      <c r="D37" s="42" t="s">
        <v>86</v>
      </c>
      <c r="E37" s="42" t="s">
        <v>25</v>
      </c>
      <c r="F37" s="42" t="s">
        <v>25</v>
      </c>
      <c r="G37" s="41" t="s">
        <v>74</v>
      </c>
      <c r="H37" s="41" t="s">
        <v>70</v>
      </c>
      <c r="I37" s="41">
        <f>'MERCADO TUSD'!$U$34</f>
        <v>0</v>
      </c>
      <c r="J37" s="15"/>
      <c r="L37" s="31">
        <f>'TUSD BE'!$L$37*'TUSD BE'!$L$58</f>
        <v>4.96139567348787E-2</v>
      </c>
      <c r="M37" s="31">
        <f>'TUSD BE'!$M$37*'TUSD BE'!$M$58</f>
        <v>-1.67938644926648E-2</v>
      </c>
      <c r="N37" s="31">
        <f ca="1">'TUSD BE'!$N$37*'TUSD BE'!$N$58</f>
        <v>5.9290676153437237E-7</v>
      </c>
      <c r="O37" s="31">
        <f>'TUSD BE'!$O$37*'TUSD BE'!$O$58</f>
        <v>0</v>
      </c>
      <c r="P37" s="31">
        <f>'TUSD BE'!$P$37*'TUSD BE'!$P$58</f>
        <v>0</v>
      </c>
      <c r="Q37" s="31">
        <f>'TUSD BE'!$Q$37*'TUSD BE'!$Q$58</f>
        <v>1.4018738549269818</v>
      </c>
      <c r="R37" s="31">
        <f>'TUSD BE'!$R$37*'TUSD BE'!$R$58</f>
        <v>0.26830949317951003</v>
      </c>
      <c r="S37" s="31">
        <f>'TUSD BE'!$R$37*'TUSD BE'!$S$58</f>
        <v>0</v>
      </c>
      <c r="T37" s="31">
        <f ca="1">SUM($L$37:$S$37)</f>
        <v>1.7030040332554672</v>
      </c>
      <c r="U37" s="31">
        <f>'TUSD BE'!$U$37*'TUSD BE'!$U$58</f>
        <v>0</v>
      </c>
      <c r="V37" s="31">
        <f>'TUSD BE'!$V$37*'TUSD BE'!$V$58</f>
        <v>0</v>
      </c>
      <c r="W37" s="31">
        <f>'TUSD BE'!$W$37*'TUSD BE'!$W$58</f>
        <v>0</v>
      </c>
      <c r="X37" s="31">
        <f>'TUSD BE'!$X$37*'TUSD BE'!$X$58</f>
        <v>0</v>
      </c>
      <c r="Y37" s="31">
        <f>'TUSD BE'!$Y$37*'TUSD BE'!$Y$58</f>
        <v>5.4870845935145454</v>
      </c>
      <c r="Z37" s="31">
        <f>'TUSD BE'!$Z$37*'TUSD BE'!$Z$58</f>
        <v>0</v>
      </c>
      <c r="AA37" s="31">
        <f>'TUSD BE'!$AA$37*'TUSD BE'!$AA$58</f>
        <v>0</v>
      </c>
      <c r="AB37" s="31">
        <f>SUM($U$37:$AA$37)</f>
        <v>5.4870845935145454</v>
      </c>
      <c r="AC37" s="31">
        <f>'TUSD BE'!$AC$37*'TUSD BE'!$AC$58</f>
        <v>-2.2702726931214881</v>
      </c>
      <c r="AD37" s="31">
        <f>SUM($AC$37:$AC$37)</f>
        <v>-2.2702726931214881</v>
      </c>
      <c r="AE37" s="31">
        <f ca="1">$AO$37*$AO$55</f>
        <v>-41.54862394577416</v>
      </c>
      <c r="AF37" s="31">
        <f ca="1">$AP$37*$AP$55</f>
        <v>0</v>
      </c>
      <c r="AG37" s="31">
        <f ca="1">SUM($AE$37:$AF$37)</f>
        <v>-41.54862394577416</v>
      </c>
      <c r="AH37" s="31">
        <f>'TUSD BE'!$AH$37*'TUSD BE'!$AH$58</f>
        <v>-1.1186428756246387</v>
      </c>
      <c r="AI37" s="31">
        <f>'TUSD BE'!$AI$37*'TUSD BE'!$AI$58</f>
        <v>-3.5974039122080477E-2</v>
      </c>
      <c r="AJ37" s="31">
        <f ca="1">'TUSD BE'!$AJ$37*'TUSD BE'!$AJ$58</f>
        <v>-0.11825381198647125</v>
      </c>
      <c r="AK37" s="31">
        <f ca="1">'TUSD BE'!$AK$37*'TUSD BE'!$AK$58</f>
        <v>4.181590643671651E-2</v>
      </c>
      <c r="AL37" s="31">
        <f ca="1">SUM($AH$37:$AK$37)</f>
        <v>-1.231054820296474</v>
      </c>
      <c r="AM37" s="31">
        <f ca="1">SUMIF($L$4:$AL$4,"SUBTOTAL",$L$37:$AL$37)+AZ37</f>
        <v>-37.859862832422102</v>
      </c>
      <c r="AO37" s="44">
        <f ca="1">+'TUSD BE'!$T$37+'TUSD BE'!$AB$37+'TUSD BE'!$AD$37+'TUSD BE'!$AL$37</f>
        <v>393.82348431464209</v>
      </c>
      <c r="AP37" s="44">
        <f ca="1">+'TUSD BE'!$T$37+'TUSD BE'!$AB$37+'TUSD BE'!$AD$37+'TUSD BE'!$AL$37</f>
        <v>393.82348431464209</v>
      </c>
      <c r="AQ37" s="9" t="str">
        <f t="shared" si="0"/>
        <v>B2</v>
      </c>
      <c r="AR37" s="9" t="str">
        <f t="shared" si="1"/>
        <v>Convencional</v>
      </c>
      <c r="AS37" s="9" t="str">
        <f t="shared" si="2"/>
        <v>Rural</v>
      </c>
      <c r="AT37" s="9" t="str">
        <f t="shared" si="3"/>
        <v>Cooperativa de eletrificação rural</v>
      </c>
      <c r="AU37" s="9" t="str">
        <f t="shared" si="4"/>
        <v>Não se aplica</v>
      </c>
      <c r="AV37" s="9">
        <f t="shared" si="5"/>
        <v>1</v>
      </c>
      <c r="AW37" s="9">
        <f ca="1">TarifaMedia!$G$20</f>
        <v>0</v>
      </c>
      <c r="AX37" s="15">
        <f ca="1">'TUSD BE'!$AM37+'TUSD BF'!$AM37+'TUSD CVA'!$AM37</f>
        <v>376.13343594836397</v>
      </c>
      <c r="AY37" s="9">
        <v>437.54</v>
      </c>
      <c r="AZ37" s="9">
        <f t="shared" ca="1" si="6"/>
        <v>0</v>
      </c>
      <c r="BC37" s="93" t="s">
        <v>1079</v>
      </c>
    </row>
    <row r="38" spans="1:55" ht="11.25" customHeight="1" x14ac:dyDescent="0.25">
      <c r="A38" s="137"/>
      <c r="B38" s="137" t="s">
        <v>49</v>
      </c>
      <c r="C38" s="137" t="s">
        <v>40</v>
      </c>
      <c r="D38" s="137" t="s">
        <v>87</v>
      </c>
      <c r="E38" s="137" t="s">
        <v>25</v>
      </c>
      <c r="F38" s="137" t="s">
        <v>25</v>
      </c>
      <c r="G38" s="41" t="s">
        <v>71</v>
      </c>
      <c r="H38" s="41" t="s">
        <v>70</v>
      </c>
      <c r="I38" s="41">
        <f>'MERCADO TUSD'!$U$35</f>
        <v>0</v>
      </c>
      <c r="J38" s="15"/>
      <c r="L38" s="31">
        <f>'TUSD BE'!$L$38*'TUSD BE'!$L$58</f>
        <v>4.96139567348787E-2</v>
      </c>
      <c r="M38" s="31">
        <f>'TUSD BE'!$M$38*'TUSD BE'!$M$58</f>
        <v>-1.67938644926648E-2</v>
      </c>
      <c r="N38" s="31">
        <f ca="1">'TUSD BE'!$N$38*'TUSD BE'!$N$58</f>
        <v>1.4267518805675218E-6</v>
      </c>
      <c r="O38" s="31">
        <f>'TUSD BE'!$O$38*'TUSD BE'!$O$58</f>
        <v>0</v>
      </c>
      <c r="P38" s="31">
        <f>'TUSD BE'!$P$38*'TUSD BE'!$P$58</f>
        <v>0</v>
      </c>
      <c r="Q38" s="31">
        <f>'TUSD BE'!$Q$38*'TUSD BE'!$Q$58</f>
        <v>1.4018738549269818</v>
      </c>
      <c r="R38" s="31">
        <f>'TUSD BE'!$R$38*'TUSD BE'!$R$58</f>
        <v>0.26830949317951003</v>
      </c>
      <c r="S38" s="31">
        <f>'TUSD BE'!$R$38*'TUSD BE'!$S$58</f>
        <v>0</v>
      </c>
      <c r="T38" s="31">
        <f ca="1">SUM($L$38:$S$38)</f>
        <v>1.7030048671005864</v>
      </c>
      <c r="U38" s="31">
        <f>'TUSD BE'!$U$38*'TUSD BE'!$U$58</f>
        <v>0</v>
      </c>
      <c r="V38" s="31">
        <f>'TUSD BE'!$V$38*'TUSD BE'!$V$58</f>
        <v>0</v>
      </c>
      <c r="W38" s="31">
        <f>'TUSD BE'!$W$38*'TUSD BE'!$W$58</f>
        <v>0</v>
      </c>
      <c r="X38" s="31">
        <f>'TUSD BE'!$X$38*'TUSD BE'!$X$58</f>
        <v>0</v>
      </c>
      <c r="Y38" s="31">
        <f>'TUSD BE'!$Y$38*'TUSD BE'!$Y$58</f>
        <v>14.540768465823044</v>
      </c>
      <c r="Z38" s="31">
        <f>'TUSD BE'!$Z$38*'TUSD BE'!$Z$58</f>
        <v>0</v>
      </c>
      <c r="AA38" s="31">
        <f>'TUSD BE'!$AA$38*'TUSD BE'!$AA$58</f>
        <v>0</v>
      </c>
      <c r="AB38" s="31">
        <f>SUM($U$38:$AA$38)</f>
        <v>14.540768465823044</v>
      </c>
      <c r="AC38" s="31">
        <f>'TUSD BE'!$AC$38*'TUSD BE'!$AC$58</f>
        <v>-6.0162250248376852</v>
      </c>
      <c r="AD38" s="31">
        <f>SUM($AC$38:$AC$38)</f>
        <v>-6.0162250248376852</v>
      </c>
      <c r="AE38" s="31">
        <f ca="1">$AO$38*$AO$55</f>
        <v>-86.931953063862167</v>
      </c>
      <c r="AF38" s="31">
        <f ca="1">$AP$38*$AP$55</f>
        <v>0</v>
      </c>
      <c r="AG38" s="31">
        <f ca="1">SUM($AE$38:$AF$38)</f>
        <v>-86.931953063862167</v>
      </c>
      <c r="AH38" s="31">
        <f>'TUSD BE'!$AH$38*'TUSD BE'!$AH$58</f>
        <v>-1.1186428756246387</v>
      </c>
      <c r="AI38" s="31">
        <f>'TUSD BE'!$AI$38*'TUSD BE'!$AI$58</f>
        <v>-3.5974039122080477E-2</v>
      </c>
      <c r="AJ38" s="31">
        <f ca="1">'TUSD BE'!$AJ$38*'TUSD BE'!$AJ$58</f>
        <v>-0.11825381198647125</v>
      </c>
      <c r="AK38" s="31">
        <f ca="1">'TUSD BE'!$AK$38*'TUSD BE'!$AK$58</f>
        <v>4.181590643671651E-2</v>
      </c>
      <c r="AL38" s="31">
        <f ca="1">SUM($AH$38:$AK$38)</f>
        <v>-1.231054820296474</v>
      </c>
      <c r="AM38" s="31">
        <f ca="1">SUMIF($L$4:$AL$4,"SUBTOTAL",$L$38:$AL$38)+AZ38</f>
        <v>-77.935459576072702</v>
      </c>
      <c r="AO38" s="44">
        <f ca="1">+'TUSD BE'!$T$38+'TUSD BE'!$AB$38+'TUSD BE'!$AD$38+'TUSD BE'!$AL$38</f>
        <v>823.99466944004996</v>
      </c>
      <c r="AP38" s="44">
        <f ca="1">+'TUSD BE'!$T$38+'TUSD BE'!$AB$38+'TUSD BE'!$AD$38+'TUSD BE'!$AL$38</f>
        <v>823.99466944004996</v>
      </c>
      <c r="AQ38" s="9" t="str">
        <f t="shared" si="0"/>
        <v>B2</v>
      </c>
      <c r="AR38" s="9" t="str">
        <f t="shared" si="1"/>
        <v>Branca</v>
      </c>
      <c r="AS38" s="9" t="str">
        <f t="shared" si="2"/>
        <v>Rural</v>
      </c>
      <c r="AT38" s="9" t="str">
        <f t="shared" si="3"/>
        <v>Serviço público de irrigação rural</v>
      </c>
      <c r="AU38" s="9" t="str">
        <f t="shared" si="4"/>
        <v>Não se aplica</v>
      </c>
      <c r="AV38" s="9">
        <f t="shared" si="5"/>
        <v>1</v>
      </c>
      <c r="AW38" s="9">
        <f ca="1">TarifaMedia!$G$20</f>
        <v>0</v>
      </c>
      <c r="AX38" s="15">
        <f ca="1">'TUSD BE'!$AM38+'TUSD BF'!$AM38+'TUSD CVA'!$AM38</f>
        <v>766.22902433012121</v>
      </c>
      <c r="AY38" s="9">
        <f>ROUND(845.96/(1-CUSTOS!$M$38),2)</f>
        <v>899.96</v>
      </c>
      <c r="AZ38" s="9">
        <f t="shared" ca="1" si="6"/>
        <v>0</v>
      </c>
      <c r="BC38" s="93" t="s">
        <v>1083</v>
      </c>
    </row>
    <row r="39" spans="1:55" ht="11.25" customHeight="1" x14ac:dyDescent="0.25">
      <c r="A39" s="137"/>
      <c r="B39" s="137"/>
      <c r="C39" s="137"/>
      <c r="D39" s="137"/>
      <c r="E39" s="137"/>
      <c r="F39" s="137"/>
      <c r="G39" s="41" t="s">
        <v>83</v>
      </c>
      <c r="H39" s="41" t="s">
        <v>70</v>
      </c>
      <c r="I39" s="41">
        <f>'MERCADO TUSD'!$U$36</f>
        <v>0</v>
      </c>
      <c r="J39" s="15"/>
      <c r="L39" s="31">
        <f>'TUSD BE'!$L$39*'TUSD BE'!$L$58</f>
        <v>4.96139567348787E-2</v>
      </c>
      <c r="M39" s="31">
        <f>'TUSD BE'!$M$39*'TUSD BE'!$M$58</f>
        <v>-1.67938644926648E-2</v>
      </c>
      <c r="N39" s="31">
        <f ca="1">'TUSD BE'!$N$39*'TUSD BE'!$N$58</f>
        <v>8.9106970400618814E-7</v>
      </c>
      <c r="O39" s="31">
        <f>'TUSD BE'!$O$39*'TUSD BE'!$O$58</f>
        <v>0</v>
      </c>
      <c r="P39" s="31">
        <f>'TUSD BE'!$P$39*'TUSD BE'!$P$58</f>
        <v>0</v>
      </c>
      <c r="Q39" s="31">
        <f>'TUSD BE'!$Q$39*'TUSD BE'!$Q$58</f>
        <v>1.4018738549269818</v>
      </c>
      <c r="R39" s="31">
        <f>'TUSD BE'!$R$39*'TUSD BE'!$R$58</f>
        <v>0.26830949317951003</v>
      </c>
      <c r="S39" s="31">
        <f>'TUSD BE'!$R$39*'TUSD BE'!$S$58</f>
        <v>0</v>
      </c>
      <c r="T39" s="31">
        <f ca="1">SUM($L$39:$S$39)</f>
        <v>1.7030043314184098</v>
      </c>
      <c r="U39" s="31">
        <f>'TUSD BE'!$U$39*'TUSD BE'!$U$58</f>
        <v>0</v>
      </c>
      <c r="V39" s="31">
        <f>'TUSD BE'!$V$39*'TUSD BE'!$V$58</f>
        <v>0</v>
      </c>
      <c r="W39" s="31">
        <f>'TUSD BE'!$W$39*'TUSD BE'!$W$58</f>
        <v>0</v>
      </c>
      <c r="X39" s="31">
        <f>'TUSD BE'!$X$39*'TUSD BE'!$X$58</f>
        <v>0</v>
      </c>
      <c r="Y39" s="31">
        <f>'TUSD BE'!$Y$39*'TUSD BE'!$Y$58</f>
        <v>8.7244631547631002</v>
      </c>
      <c r="Z39" s="31">
        <f>'TUSD BE'!$Z$39*'TUSD BE'!$Z$58</f>
        <v>0</v>
      </c>
      <c r="AA39" s="31">
        <f>'TUSD BE'!$AA$39*'TUSD BE'!$AA$58</f>
        <v>0</v>
      </c>
      <c r="AB39" s="31">
        <f>SUM($U$39:$AA$39)</f>
        <v>8.7244631547631002</v>
      </c>
      <c r="AC39" s="31">
        <f>'TUSD BE'!$AC$39*'TUSD BE'!$AC$58</f>
        <v>-3.60973535605486</v>
      </c>
      <c r="AD39" s="31">
        <f>SUM($AC$39:$AC$39)</f>
        <v>-3.60973535605486</v>
      </c>
      <c r="AE39" s="31">
        <f ca="1">$AO$39*$AO$55</f>
        <v>-57.776609817595819</v>
      </c>
      <c r="AF39" s="31">
        <f ca="1">$AP$39*$AP$55</f>
        <v>0</v>
      </c>
      <c r="AG39" s="31">
        <f ca="1">SUM($AE$39:$AF$39)</f>
        <v>-57.776609817595819</v>
      </c>
      <c r="AH39" s="31">
        <f>'TUSD BE'!$AH$39*'TUSD BE'!$AH$58</f>
        <v>-1.1186428756246387</v>
      </c>
      <c r="AI39" s="31">
        <f>'TUSD BE'!$AI$39*'TUSD BE'!$AI$58</f>
        <v>-3.5974039122080477E-2</v>
      </c>
      <c r="AJ39" s="31">
        <f ca="1">'TUSD BE'!$AJ$39*'TUSD BE'!$AJ$58</f>
        <v>-0.11825381198647125</v>
      </c>
      <c r="AK39" s="31">
        <f ca="1">'TUSD BE'!$AK$39*'TUSD BE'!$AK$58</f>
        <v>4.181590643671651E-2</v>
      </c>
      <c r="AL39" s="31">
        <f ca="1">SUM($AH$39:$AK$39)</f>
        <v>-1.231054820296474</v>
      </c>
      <c r="AM39" s="31">
        <f ca="1">SUMIF($L$4:$AL$4,"SUBTOTAL",$L$39:$AL$39)+AZ39</f>
        <v>-52.18993250776564</v>
      </c>
      <c r="AO39" s="44">
        <f ca="1">+'TUSD BE'!$T$39+'TUSD BE'!$AB$39+'TUSD BE'!$AD$39+'TUSD BE'!$AL$39</f>
        <v>547.64234358157103</v>
      </c>
      <c r="AP39" s="44">
        <f ca="1">+'TUSD BE'!$T$39+'TUSD BE'!$AB$39+'TUSD BE'!$AD$39+'TUSD BE'!$AL$39</f>
        <v>547.64234358157103</v>
      </c>
      <c r="AQ39" s="9" t="str">
        <f t="shared" si="0"/>
        <v>B2</v>
      </c>
      <c r="AR39" s="9" t="str">
        <f t="shared" si="1"/>
        <v>Branca</v>
      </c>
      <c r="AS39" s="9" t="str">
        <f t="shared" si="2"/>
        <v>Rural</v>
      </c>
      <c r="AT39" s="9" t="str">
        <f t="shared" si="3"/>
        <v>Serviço público de irrigação rural</v>
      </c>
      <c r="AU39" s="9" t="str">
        <f t="shared" si="4"/>
        <v>Não se aplica</v>
      </c>
      <c r="AV39" s="9">
        <f t="shared" si="5"/>
        <v>1</v>
      </c>
      <c r="AW39" s="9">
        <f ca="1">TarifaMedia!$G$20</f>
        <v>0</v>
      </c>
      <c r="AX39" s="15">
        <f ca="1">'TUSD BE'!$AM39+'TUSD BF'!$AM39+'TUSD CVA'!$AM39</f>
        <v>515.62222553994934</v>
      </c>
      <c r="AY39" s="9">
        <f>ROUND(563.42/(1-CUSTOS!$M$38),2)</f>
        <v>599.38</v>
      </c>
      <c r="AZ39" s="9">
        <f t="shared" ca="1" si="6"/>
        <v>0</v>
      </c>
      <c r="BC39" s="93" t="s">
        <v>1084</v>
      </c>
    </row>
    <row r="40" spans="1:55" ht="11.25" customHeight="1" x14ac:dyDescent="0.25">
      <c r="A40" s="137"/>
      <c r="B40" s="137"/>
      <c r="C40" s="137"/>
      <c r="D40" s="137"/>
      <c r="E40" s="137"/>
      <c r="F40" s="137"/>
      <c r="G40" s="41" t="s">
        <v>72</v>
      </c>
      <c r="H40" s="41" t="s">
        <v>70</v>
      </c>
      <c r="I40" s="41">
        <f>'MERCADO TUSD'!$U$37</f>
        <v>0</v>
      </c>
      <c r="J40" s="15"/>
      <c r="L40" s="31">
        <f>'TUSD BE'!$L$40*'TUSD BE'!$L$58</f>
        <v>4.96139567348787E-2</v>
      </c>
      <c r="M40" s="31">
        <f>'TUSD BE'!$M$40*'TUSD BE'!$M$58</f>
        <v>-1.67938644926648E-2</v>
      </c>
      <c r="N40" s="31">
        <f ca="1">'TUSD BE'!$N$40*'TUSD BE'!$N$58</f>
        <v>3.5538731586923507E-7</v>
      </c>
      <c r="O40" s="31">
        <f>'TUSD BE'!$O$40*'TUSD BE'!$O$58</f>
        <v>0</v>
      </c>
      <c r="P40" s="31">
        <f>'TUSD BE'!$P$40*'TUSD BE'!$P$58</f>
        <v>0</v>
      </c>
      <c r="Q40" s="31">
        <f>'TUSD BE'!$Q$40*'TUSD BE'!$Q$58</f>
        <v>1.4018738549269818</v>
      </c>
      <c r="R40" s="31">
        <f>'TUSD BE'!$R$40*'TUSD BE'!$R$58</f>
        <v>0.26830949317951003</v>
      </c>
      <c r="S40" s="31">
        <f>'TUSD BE'!$R$40*'TUSD BE'!$S$58</f>
        <v>0</v>
      </c>
      <c r="T40" s="31">
        <f ca="1">SUM($L$40:$S$40)</f>
        <v>1.7030037957360216</v>
      </c>
      <c r="U40" s="31">
        <f>'TUSD BE'!$U$40*'TUSD BE'!$U$58</f>
        <v>0</v>
      </c>
      <c r="V40" s="31">
        <f>'TUSD BE'!$V$40*'TUSD BE'!$V$58</f>
        <v>0</v>
      </c>
      <c r="W40" s="31">
        <f>'TUSD BE'!$W$40*'TUSD BE'!$W$58</f>
        <v>0</v>
      </c>
      <c r="X40" s="31">
        <f>'TUSD BE'!$X$40*'TUSD BE'!$X$58</f>
        <v>0</v>
      </c>
      <c r="Y40" s="31">
        <f>'TUSD BE'!$Y$40*'TUSD BE'!$Y$58</f>
        <v>2.9081526555299719</v>
      </c>
      <c r="Z40" s="31">
        <f>'TUSD BE'!$Z$40*'TUSD BE'!$Z$58</f>
        <v>0</v>
      </c>
      <c r="AA40" s="31">
        <f>'TUSD BE'!$AA$40*'TUSD BE'!$AA$58</f>
        <v>0</v>
      </c>
      <c r="AB40" s="31">
        <f>SUM($U$40:$AA$40)</f>
        <v>2.9081526555299719</v>
      </c>
      <c r="AC40" s="31">
        <f>'TUSD BE'!$AC$40*'TUSD BE'!$AC$58</f>
        <v>-1.2032456872720343</v>
      </c>
      <c r="AD40" s="31">
        <f>SUM($AC$40:$AC$40)</f>
        <v>-1.2032456872720343</v>
      </c>
      <c r="AE40" s="31">
        <f ca="1">$AO$40*$AO$55</f>
        <v>-28.621254495290632</v>
      </c>
      <c r="AF40" s="31">
        <f ca="1">$AP$40*$AP$55</f>
        <v>0</v>
      </c>
      <c r="AG40" s="31">
        <f ca="1">SUM($AE$40:$AF$40)</f>
        <v>-28.621254495290632</v>
      </c>
      <c r="AH40" s="31">
        <f>'TUSD BE'!$AH$40*'TUSD BE'!$AH$58</f>
        <v>-1.1186428756246387</v>
      </c>
      <c r="AI40" s="31">
        <f>'TUSD BE'!$AI$40*'TUSD BE'!$AI$58</f>
        <v>-3.5974039122080477E-2</v>
      </c>
      <c r="AJ40" s="31">
        <f ca="1">'TUSD BE'!$AJ$40*'TUSD BE'!$AJ$58</f>
        <v>-0.11825381198647125</v>
      </c>
      <c r="AK40" s="31">
        <f ca="1">'TUSD BE'!$AK$40*'TUSD BE'!$AK$58</f>
        <v>4.181590643671651E-2</v>
      </c>
      <c r="AL40" s="31">
        <f ca="1">SUM($AH$40:$AK$40)</f>
        <v>-1.231054820296474</v>
      </c>
      <c r="AM40" s="31">
        <f ca="1">SUMIF($L$4:$AL$4,"SUBTOTAL",$L$40:$AL$40)+AZ40</f>
        <v>-26.444398551593146</v>
      </c>
      <c r="AO40" s="44">
        <f ca="1">+'TUSD BE'!$T$40+'TUSD BE'!$AB$40+'TUSD BE'!$AD$40+'TUSD BE'!$AL$40</f>
        <v>271.28990325894767</v>
      </c>
      <c r="AP40" s="44">
        <f ca="1">+'TUSD BE'!$T$40+'TUSD BE'!$AB$40+'TUSD BE'!$AD$40+'TUSD BE'!$AL$40</f>
        <v>271.28990325894767</v>
      </c>
      <c r="AQ40" s="9" t="str">
        <f t="shared" si="0"/>
        <v>B2</v>
      </c>
      <c r="AR40" s="9" t="str">
        <f t="shared" si="1"/>
        <v>Branca</v>
      </c>
      <c r="AS40" s="9" t="str">
        <f t="shared" si="2"/>
        <v>Rural</v>
      </c>
      <c r="AT40" s="9" t="str">
        <f t="shared" si="3"/>
        <v>Serviço público de irrigação rural</v>
      </c>
      <c r="AU40" s="9" t="str">
        <f t="shared" si="4"/>
        <v>Não se aplica</v>
      </c>
      <c r="AV40" s="9">
        <f t="shared" si="5"/>
        <v>1</v>
      </c>
      <c r="AW40" s="9">
        <f ca="1">TarifaMedia!$G$20</f>
        <v>0</v>
      </c>
      <c r="AX40" s="15">
        <f ca="1">'TUSD BE'!$AM40+'TUSD BF'!$AM40+'TUSD CVA'!$AM40</f>
        <v>265.01531917349854</v>
      </c>
      <c r="AY40" s="9">
        <f>ROUND(280.89/(1-CUSTOS!$M$38),2)</f>
        <v>298.82</v>
      </c>
      <c r="AZ40" s="9">
        <f t="shared" ca="1" si="6"/>
        <v>0</v>
      </c>
      <c r="BC40" s="93" t="s">
        <v>1085</v>
      </c>
    </row>
    <row r="41" spans="1:55" ht="11.25" customHeight="1" x14ac:dyDescent="0.25">
      <c r="A41" s="137"/>
      <c r="B41" s="42" t="s">
        <v>23</v>
      </c>
      <c r="C41" s="42" t="s">
        <v>40</v>
      </c>
      <c r="D41" s="42" t="s">
        <v>87</v>
      </c>
      <c r="E41" s="42" t="s">
        <v>25</v>
      </c>
      <c r="F41" s="42" t="s">
        <v>25</v>
      </c>
      <c r="G41" s="41" t="s">
        <v>74</v>
      </c>
      <c r="H41" s="41" t="s">
        <v>70</v>
      </c>
      <c r="I41" s="41">
        <f>'MERCADO TUSD'!$U$38</f>
        <v>0</v>
      </c>
      <c r="J41" s="15"/>
      <c r="L41" s="31">
        <f>'TUSD BE'!$L$41*'TUSD BE'!$L$58</f>
        <v>4.96139567348787E-2</v>
      </c>
      <c r="M41" s="31">
        <f>'TUSD BE'!$M$41*'TUSD BE'!$M$58</f>
        <v>-1.67938644926648E-2</v>
      </c>
      <c r="N41" s="31">
        <f ca="1">'TUSD BE'!$N$41*'TUSD BE'!$N$58</f>
        <v>5.9290676153437237E-7</v>
      </c>
      <c r="O41" s="31">
        <f>'TUSD BE'!$O$41*'TUSD BE'!$O$58</f>
        <v>0</v>
      </c>
      <c r="P41" s="31">
        <f>'TUSD BE'!$P$41*'TUSD BE'!$P$58</f>
        <v>0</v>
      </c>
      <c r="Q41" s="31">
        <f>'TUSD BE'!$Q$41*'TUSD BE'!$Q$58</f>
        <v>1.4018738549269818</v>
      </c>
      <c r="R41" s="31">
        <f>'TUSD BE'!$R$41*'TUSD BE'!$R$58</f>
        <v>0.26830949317951003</v>
      </c>
      <c r="S41" s="31">
        <f>'TUSD BE'!$R$41*'TUSD BE'!$S$58</f>
        <v>0</v>
      </c>
      <c r="T41" s="31">
        <f ca="1">SUM($L$41:$S$41)</f>
        <v>1.7030040332554672</v>
      </c>
      <c r="U41" s="31">
        <f>'TUSD BE'!$U$41*'TUSD BE'!$U$58</f>
        <v>0</v>
      </c>
      <c r="V41" s="31">
        <f>'TUSD BE'!$V$41*'TUSD BE'!$V$58</f>
        <v>0</v>
      </c>
      <c r="W41" s="31">
        <f>'TUSD BE'!$W$41*'TUSD BE'!$W$58</f>
        <v>0</v>
      </c>
      <c r="X41" s="31">
        <f>'TUSD BE'!$X$41*'TUSD BE'!$X$58</f>
        <v>0</v>
      </c>
      <c r="Y41" s="31">
        <f>'TUSD BE'!$Y$41*'TUSD BE'!$Y$58</f>
        <v>5.4870845935145454</v>
      </c>
      <c r="Z41" s="31">
        <f>'TUSD BE'!$Z$41*'TUSD BE'!$Z$58</f>
        <v>0</v>
      </c>
      <c r="AA41" s="31">
        <f>'TUSD BE'!$AA$41*'TUSD BE'!$AA$58</f>
        <v>0</v>
      </c>
      <c r="AB41" s="31">
        <f>SUM($U$41:$AA$41)</f>
        <v>5.4870845935145454</v>
      </c>
      <c r="AC41" s="31">
        <f>'TUSD BE'!$AC$41*'TUSD BE'!$AC$58</f>
        <v>-2.2702726931214881</v>
      </c>
      <c r="AD41" s="31">
        <f>SUM($AC$41:$AC$41)</f>
        <v>-2.2702726931214881</v>
      </c>
      <c r="AE41" s="31">
        <f ca="1">$AO$41*$AO$55</f>
        <v>-41.54862394577416</v>
      </c>
      <c r="AF41" s="31">
        <f ca="1">$AP$41*$AP$55</f>
        <v>0</v>
      </c>
      <c r="AG41" s="31">
        <f ca="1">SUM($AE$41:$AF$41)</f>
        <v>-41.54862394577416</v>
      </c>
      <c r="AH41" s="31">
        <f>'TUSD BE'!$AH$41*'TUSD BE'!$AH$58</f>
        <v>-1.1186428756246387</v>
      </c>
      <c r="AI41" s="31">
        <f>'TUSD BE'!$AI$41*'TUSD BE'!$AI$58</f>
        <v>-3.5974039122080477E-2</v>
      </c>
      <c r="AJ41" s="31">
        <f ca="1">'TUSD BE'!$AJ$41*'TUSD BE'!$AJ$58</f>
        <v>-0.11825381198647125</v>
      </c>
      <c r="AK41" s="31">
        <f ca="1">'TUSD BE'!$AK$41*'TUSD BE'!$AK$58</f>
        <v>4.181590643671651E-2</v>
      </c>
      <c r="AL41" s="31">
        <f ca="1">SUM($AH$41:$AK$41)</f>
        <v>-1.231054820296474</v>
      </c>
      <c r="AM41" s="31">
        <f ca="1">SUMIF($L$4:$AL$4,"SUBTOTAL",$L$41:$AL$41)+AZ41</f>
        <v>-37.859862832422102</v>
      </c>
      <c r="AO41" s="44">
        <f ca="1">+'TUSD BE'!$T$41+'TUSD BE'!$AB$41+'TUSD BE'!$AD$41+'TUSD BE'!$AL$41</f>
        <v>393.82348431464209</v>
      </c>
      <c r="AP41" s="44">
        <f ca="1">+'TUSD BE'!$T$41+'TUSD BE'!$AB$41+'TUSD BE'!$AD$41+'TUSD BE'!$AL$41</f>
        <v>393.82348431464209</v>
      </c>
      <c r="AQ41" s="9" t="str">
        <f t="shared" si="0"/>
        <v>B2</v>
      </c>
      <c r="AR41" s="9" t="str">
        <f t="shared" si="1"/>
        <v>Convencional</v>
      </c>
      <c r="AS41" s="9" t="str">
        <f t="shared" si="2"/>
        <v>Rural</v>
      </c>
      <c r="AT41" s="9" t="str">
        <f t="shared" si="3"/>
        <v>Serviço público de irrigação rural</v>
      </c>
      <c r="AU41" s="9" t="str">
        <f t="shared" si="4"/>
        <v>Não se aplica</v>
      </c>
      <c r="AV41" s="9">
        <f t="shared" si="5"/>
        <v>1</v>
      </c>
      <c r="AW41" s="9">
        <f ca="1">TarifaMedia!$G$20</f>
        <v>0</v>
      </c>
      <c r="AX41" s="15">
        <f ca="1">'TUSD BE'!$AM41+'TUSD BF'!$AM41+'TUSD CVA'!$AM41</f>
        <v>376.13343594836397</v>
      </c>
      <c r="AY41" s="9">
        <v>437.54</v>
      </c>
      <c r="AZ41" s="9">
        <f t="shared" ca="1" si="6"/>
        <v>0</v>
      </c>
      <c r="BC41" s="93" t="s">
        <v>1079</v>
      </c>
    </row>
    <row r="42" spans="1:55" ht="11.25" customHeight="1" x14ac:dyDescent="0.25">
      <c r="A42" s="137"/>
      <c r="B42" s="137" t="s">
        <v>85</v>
      </c>
      <c r="C42" s="137" t="s">
        <v>40</v>
      </c>
      <c r="D42" s="42" t="s">
        <v>25</v>
      </c>
      <c r="E42" s="42" t="s">
        <v>25</v>
      </c>
      <c r="F42" s="42" t="s">
        <v>25</v>
      </c>
      <c r="G42" s="41" t="s">
        <v>74</v>
      </c>
      <c r="H42" s="41" t="s">
        <v>70</v>
      </c>
      <c r="I42" s="41">
        <f>'MERCADO TUSD'!$U$39</f>
        <v>0</v>
      </c>
      <c r="J42" s="15"/>
      <c r="L42" s="31">
        <f>'TUSD BE'!$L$42*'TUSD BE'!$L$58</f>
        <v>4.96139567348787E-2</v>
      </c>
      <c r="M42" s="31">
        <f>'TUSD BE'!$M$42*'TUSD BE'!$M$58</f>
        <v>-1.67938644926648E-2</v>
      </c>
      <c r="N42" s="31">
        <f ca="1">'TUSD BE'!$N$42*'TUSD BE'!$N$58</f>
        <v>5.9290676153437237E-7</v>
      </c>
      <c r="O42" s="31">
        <f>'TUSD BE'!$O$42*'TUSD BE'!$O$58</f>
        <v>0</v>
      </c>
      <c r="P42" s="31">
        <f>'TUSD BE'!$P$42*'TUSD BE'!$P$58</f>
        <v>0</v>
      </c>
      <c r="Q42" s="31">
        <f>'TUSD BE'!$Q$42*'TUSD BE'!$Q$58</f>
        <v>1.4018738549269818</v>
      </c>
      <c r="R42" s="31">
        <f>'TUSD BE'!$R$42*'TUSD BE'!$R$58</f>
        <v>0.26830949317951003</v>
      </c>
      <c r="S42" s="31">
        <f>'TUSD BE'!$R$42*'TUSD BE'!$S$58</f>
        <v>0</v>
      </c>
      <c r="T42" s="31">
        <f ca="1">SUM($L$42:$S$42)</f>
        <v>1.7030040332554672</v>
      </c>
      <c r="U42" s="31">
        <f>'TUSD BE'!$U$42*'TUSD BE'!$U$58</f>
        <v>0</v>
      </c>
      <c r="V42" s="31">
        <f>'TUSD BE'!$V$42*'TUSD BE'!$V$58</f>
        <v>0</v>
      </c>
      <c r="W42" s="31">
        <f>'TUSD BE'!$W$42*'TUSD BE'!$W$58</f>
        <v>0</v>
      </c>
      <c r="X42" s="31">
        <f>'TUSD BE'!$X$42*'TUSD BE'!$X$58</f>
        <v>0</v>
      </c>
      <c r="Y42" s="31">
        <f>'TUSD BE'!$Y$42*'TUSD BE'!$Y$58</f>
        <v>5.4870845935145454</v>
      </c>
      <c r="Z42" s="31">
        <f>'TUSD BE'!$Z$42*'TUSD BE'!$Z$58</f>
        <v>0</v>
      </c>
      <c r="AA42" s="31">
        <f>'TUSD BE'!$AA$42*'TUSD BE'!$AA$58</f>
        <v>0</v>
      </c>
      <c r="AB42" s="31">
        <f>SUM($U$42:$AA$42)</f>
        <v>5.4870845935145454</v>
      </c>
      <c r="AC42" s="31">
        <f>'TUSD BE'!$AC$42*'TUSD BE'!$AC$58</f>
        <v>-2.2702726931214881</v>
      </c>
      <c r="AD42" s="31">
        <f>SUM($AC$42:$AC$42)</f>
        <v>-2.2702726931214881</v>
      </c>
      <c r="AE42" s="31">
        <f ca="1">$AO$42*$AO$55</f>
        <v>-41.54862394577416</v>
      </c>
      <c r="AF42" s="31">
        <f ca="1">$AP$42*$AP$55</f>
        <v>0</v>
      </c>
      <c r="AG42" s="31">
        <f ca="1">SUM($AE$42:$AF$42)</f>
        <v>-41.54862394577416</v>
      </c>
      <c r="AH42" s="31">
        <f>'TUSD BE'!$AH$42*'TUSD BE'!$AH$58</f>
        <v>-1.1186428756246387</v>
      </c>
      <c r="AI42" s="31">
        <f>'TUSD BE'!$AI$42*'TUSD BE'!$AI$58</f>
        <v>-3.5974039122080477E-2</v>
      </c>
      <c r="AJ42" s="31">
        <f ca="1">'TUSD BE'!$AJ$42*'TUSD BE'!$AJ$58</f>
        <v>-0.11825381198647125</v>
      </c>
      <c r="AK42" s="31">
        <f ca="1">'TUSD BE'!$AK$42*'TUSD BE'!$AK$58</f>
        <v>4.181590643671651E-2</v>
      </c>
      <c r="AL42" s="31">
        <f ca="1">SUM($AH$42:$AK$42)</f>
        <v>-1.231054820296474</v>
      </c>
      <c r="AM42" s="31">
        <f ca="1">SUMIF($L$4:$AL$4,"SUBTOTAL",$L$42:$AL$42)+AZ42</f>
        <v>-37.859862832422102</v>
      </c>
      <c r="AO42" s="44">
        <f ca="1">+'TUSD BE'!$T$42+'TUSD BE'!$AB$42+'TUSD BE'!$AD$42+'TUSD BE'!$AL$42</f>
        <v>393.82348431464209</v>
      </c>
      <c r="AP42" s="44">
        <f ca="1">+'TUSD BE'!$T$42+'TUSD BE'!$AB$42+'TUSD BE'!$AD$42+'TUSD BE'!$AL$42</f>
        <v>393.82348431464209</v>
      </c>
      <c r="AQ42" s="9" t="str">
        <f t="shared" si="0"/>
        <v>B2</v>
      </c>
      <c r="AR42" s="9" t="str">
        <f t="shared" si="1"/>
        <v>Convencional pré-pagamento</v>
      </c>
      <c r="AS42" s="9" t="str">
        <f t="shared" si="2"/>
        <v>Rural</v>
      </c>
      <c r="AT42" s="9" t="str">
        <f t="shared" si="3"/>
        <v>Não se aplica</v>
      </c>
      <c r="AU42" s="9" t="str">
        <f t="shared" si="4"/>
        <v>Não se aplica</v>
      </c>
      <c r="AV42" s="9">
        <f t="shared" si="5"/>
        <v>1</v>
      </c>
      <c r="AW42" s="9">
        <f ca="1">TarifaMedia!$G$20</f>
        <v>0</v>
      </c>
      <c r="AX42" s="15">
        <f ca="1">'TUSD BE'!$AM42+'TUSD BF'!$AM42+'TUSD CVA'!$AM42</f>
        <v>376.13343594836397</v>
      </c>
      <c r="AY42" s="9">
        <v>437.54</v>
      </c>
      <c r="AZ42" s="9">
        <f t="shared" ca="1" si="6"/>
        <v>0</v>
      </c>
      <c r="BC42" s="93" t="s">
        <v>1079</v>
      </c>
    </row>
    <row r="43" spans="1:55" ht="11.25" customHeight="1" x14ac:dyDescent="0.25">
      <c r="A43" s="137"/>
      <c r="B43" s="137"/>
      <c r="C43" s="137"/>
      <c r="D43" s="42" t="s">
        <v>86</v>
      </c>
      <c r="E43" s="42" t="s">
        <v>25</v>
      </c>
      <c r="F43" s="42" t="s">
        <v>25</v>
      </c>
      <c r="G43" s="41" t="s">
        <v>74</v>
      </c>
      <c r="H43" s="41" t="s">
        <v>70</v>
      </c>
      <c r="I43" s="41">
        <f>'MERCADO TUSD'!$U$40</f>
        <v>0</v>
      </c>
      <c r="J43" s="15"/>
      <c r="L43" s="31">
        <f>'TUSD BE'!$L$43*'TUSD BE'!$L$58</f>
        <v>4.96139567348787E-2</v>
      </c>
      <c r="M43" s="31">
        <f>'TUSD BE'!$M$43*'TUSD BE'!$M$58</f>
        <v>-1.67938644926648E-2</v>
      </c>
      <c r="N43" s="31">
        <f ca="1">'TUSD BE'!$N$43*'TUSD BE'!$N$58</f>
        <v>5.9290676153437237E-7</v>
      </c>
      <c r="O43" s="31">
        <f>'TUSD BE'!$O$43*'TUSD BE'!$O$58</f>
        <v>0</v>
      </c>
      <c r="P43" s="31">
        <f>'TUSD BE'!$P$43*'TUSD BE'!$P$58</f>
        <v>0</v>
      </c>
      <c r="Q43" s="31">
        <f>'TUSD BE'!$Q$43*'TUSD BE'!$Q$58</f>
        <v>1.4018738549269818</v>
      </c>
      <c r="R43" s="31">
        <f>'TUSD BE'!$R$43*'TUSD BE'!$R$58</f>
        <v>0.26830949317951003</v>
      </c>
      <c r="S43" s="31">
        <f>'TUSD BE'!$R$43*'TUSD BE'!$S$58</f>
        <v>0</v>
      </c>
      <c r="T43" s="31">
        <f ca="1">SUM($L$43:$S$43)</f>
        <v>1.7030040332554672</v>
      </c>
      <c r="U43" s="31">
        <f>'TUSD BE'!$U$43*'TUSD BE'!$U$58</f>
        <v>0</v>
      </c>
      <c r="V43" s="31">
        <f>'TUSD BE'!$V$43*'TUSD BE'!$V$58</f>
        <v>0</v>
      </c>
      <c r="W43" s="31">
        <f>'TUSD BE'!$W$43*'TUSD BE'!$W$58</f>
        <v>0</v>
      </c>
      <c r="X43" s="31">
        <f>'TUSD BE'!$X$43*'TUSD BE'!$X$58</f>
        <v>0</v>
      </c>
      <c r="Y43" s="31">
        <f>'TUSD BE'!$Y$43*'TUSD BE'!$Y$58</f>
        <v>5.4870845935145454</v>
      </c>
      <c r="Z43" s="31">
        <f>'TUSD BE'!$Z$43*'TUSD BE'!$Z$58</f>
        <v>0</v>
      </c>
      <c r="AA43" s="31">
        <f>'TUSD BE'!$AA$43*'TUSD BE'!$AA$58</f>
        <v>0</v>
      </c>
      <c r="AB43" s="31">
        <f>SUM($U$43:$AA$43)</f>
        <v>5.4870845935145454</v>
      </c>
      <c r="AC43" s="31">
        <f>'TUSD BE'!$AC$43*'TUSD BE'!$AC$58</f>
        <v>-2.2702726931214881</v>
      </c>
      <c r="AD43" s="31">
        <f>SUM($AC$43:$AC$43)</f>
        <v>-2.2702726931214881</v>
      </c>
      <c r="AE43" s="31">
        <f ca="1">$AO$43*$AO$55</f>
        <v>-41.54862394577416</v>
      </c>
      <c r="AF43" s="31">
        <f ca="1">$AP$43*$AP$55</f>
        <v>0</v>
      </c>
      <c r="AG43" s="31">
        <f ca="1">SUM($AE$43:$AF$43)</f>
        <v>-41.54862394577416</v>
      </c>
      <c r="AH43" s="31">
        <f>'TUSD BE'!$AH$43*'TUSD BE'!$AH$58</f>
        <v>-1.1186428756246387</v>
      </c>
      <c r="AI43" s="31">
        <f>'TUSD BE'!$AI$43*'TUSD BE'!$AI$58</f>
        <v>-3.5974039122080477E-2</v>
      </c>
      <c r="AJ43" s="31">
        <f ca="1">'TUSD BE'!$AJ$43*'TUSD BE'!$AJ$58</f>
        <v>-0.11825381198647125</v>
      </c>
      <c r="AK43" s="31">
        <f ca="1">'TUSD BE'!$AK$43*'TUSD BE'!$AK$58</f>
        <v>4.181590643671651E-2</v>
      </c>
      <c r="AL43" s="31">
        <f ca="1">SUM($AH$43:$AK$43)</f>
        <v>-1.231054820296474</v>
      </c>
      <c r="AM43" s="31">
        <f ca="1">SUMIF($L$4:$AL$4,"SUBTOTAL",$L$43:$AL$43)+AZ43</f>
        <v>-37.859862832422102</v>
      </c>
      <c r="AO43" s="44">
        <f ca="1">+'TUSD BE'!$T$43+'TUSD BE'!$AB$43+'TUSD BE'!$AD$43+'TUSD BE'!$AL$43</f>
        <v>393.82348431464209</v>
      </c>
      <c r="AP43" s="44">
        <f ca="1">+'TUSD BE'!$T$43+'TUSD BE'!$AB$43+'TUSD BE'!$AD$43+'TUSD BE'!$AL$43</f>
        <v>393.82348431464209</v>
      </c>
      <c r="AQ43" s="9" t="str">
        <f t="shared" si="0"/>
        <v>B2</v>
      </c>
      <c r="AR43" s="9" t="str">
        <f t="shared" si="1"/>
        <v>Convencional pré-pagamento</v>
      </c>
      <c r="AS43" s="9" t="str">
        <f t="shared" si="2"/>
        <v>Rural</v>
      </c>
      <c r="AT43" s="9" t="str">
        <f t="shared" si="3"/>
        <v>Cooperativa de eletrificação rural</v>
      </c>
      <c r="AU43" s="9" t="str">
        <f t="shared" si="4"/>
        <v>Não se aplica</v>
      </c>
      <c r="AV43" s="9">
        <f t="shared" si="5"/>
        <v>1</v>
      </c>
      <c r="AW43" s="9">
        <f ca="1">TarifaMedia!$G$20</f>
        <v>0</v>
      </c>
      <c r="AX43" s="15">
        <f ca="1">'TUSD BE'!$AM43+'TUSD BF'!$AM43+'TUSD CVA'!$AM43</f>
        <v>376.13343594836397</v>
      </c>
      <c r="AY43" s="9">
        <v>437.54</v>
      </c>
      <c r="AZ43" s="9">
        <f t="shared" ca="1" si="6"/>
        <v>0</v>
      </c>
      <c r="BC43" s="93" t="s">
        <v>1079</v>
      </c>
    </row>
    <row r="44" spans="1:55" ht="11.25" customHeight="1" x14ac:dyDescent="0.25">
      <c r="A44" s="137"/>
      <c r="B44" s="137"/>
      <c r="C44" s="137"/>
      <c r="D44" s="42" t="s">
        <v>87</v>
      </c>
      <c r="E44" s="42" t="s">
        <v>25</v>
      </c>
      <c r="F44" s="42" t="s">
        <v>25</v>
      </c>
      <c r="G44" s="41" t="s">
        <v>74</v>
      </c>
      <c r="H44" s="41" t="s">
        <v>70</v>
      </c>
      <c r="I44" s="41">
        <f>'MERCADO TUSD'!$U$41</f>
        <v>0</v>
      </c>
      <c r="J44" s="15"/>
      <c r="L44" s="31">
        <f>'TUSD BE'!$L$44*'TUSD BE'!$L$58</f>
        <v>4.96139567348787E-2</v>
      </c>
      <c r="M44" s="31">
        <f>'TUSD BE'!$M$44*'TUSD BE'!$M$58</f>
        <v>-1.67938644926648E-2</v>
      </c>
      <c r="N44" s="31">
        <f ca="1">'TUSD BE'!$N$44*'TUSD BE'!$N$58</f>
        <v>5.9290676153437237E-7</v>
      </c>
      <c r="O44" s="31">
        <f>'TUSD BE'!$O$44*'TUSD BE'!$O$58</f>
        <v>0</v>
      </c>
      <c r="P44" s="31">
        <f>'TUSD BE'!$P$44*'TUSD BE'!$P$58</f>
        <v>0</v>
      </c>
      <c r="Q44" s="31">
        <f>'TUSD BE'!$Q$44*'TUSD BE'!$Q$58</f>
        <v>1.4018738549269818</v>
      </c>
      <c r="R44" s="31">
        <f>'TUSD BE'!$R$44*'TUSD BE'!$R$58</f>
        <v>0.26830949317951003</v>
      </c>
      <c r="S44" s="31">
        <f>'TUSD BE'!$R$44*'TUSD BE'!$S$58</f>
        <v>0</v>
      </c>
      <c r="T44" s="31">
        <f ca="1">SUM($L$44:$S$44)</f>
        <v>1.7030040332554672</v>
      </c>
      <c r="U44" s="31">
        <f>'TUSD BE'!$U$44*'TUSD BE'!$U$58</f>
        <v>0</v>
      </c>
      <c r="V44" s="31">
        <f>'TUSD BE'!$V$44*'TUSD BE'!$V$58</f>
        <v>0</v>
      </c>
      <c r="W44" s="31">
        <f>'TUSD BE'!$W$44*'TUSD BE'!$W$58</f>
        <v>0</v>
      </c>
      <c r="X44" s="31">
        <f>'TUSD BE'!$X$44*'TUSD BE'!$X$58</f>
        <v>0</v>
      </c>
      <c r="Y44" s="31">
        <f>'TUSD BE'!$Y$44*'TUSD BE'!$Y$58</f>
        <v>5.4870845935145454</v>
      </c>
      <c r="Z44" s="31">
        <f>'TUSD BE'!$Z$44*'TUSD BE'!$Z$58</f>
        <v>0</v>
      </c>
      <c r="AA44" s="31">
        <f>'TUSD BE'!$AA$44*'TUSD BE'!$AA$58</f>
        <v>0</v>
      </c>
      <c r="AB44" s="31">
        <f>SUM($U$44:$AA$44)</f>
        <v>5.4870845935145454</v>
      </c>
      <c r="AC44" s="31">
        <f>'TUSD BE'!$AC$44*'TUSD BE'!$AC$58</f>
        <v>-2.2702726931214881</v>
      </c>
      <c r="AD44" s="31">
        <f>SUM($AC$44:$AC$44)</f>
        <v>-2.2702726931214881</v>
      </c>
      <c r="AE44" s="31">
        <f ca="1">$AO$44*$AO$55</f>
        <v>-41.54862394577416</v>
      </c>
      <c r="AF44" s="31">
        <f ca="1">$AP$44*$AP$55</f>
        <v>0</v>
      </c>
      <c r="AG44" s="31">
        <f ca="1">SUM($AE$44:$AF$44)</f>
        <v>-41.54862394577416</v>
      </c>
      <c r="AH44" s="31">
        <f>'TUSD BE'!$AH$44*'TUSD BE'!$AH$58</f>
        <v>-1.1186428756246387</v>
      </c>
      <c r="AI44" s="31">
        <f>'TUSD BE'!$AI$44*'TUSD BE'!$AI$58</f>
        <v>-3.5974039122080477E-2</v>
      </c>
      <c r="AJ44" s="31">
        <f ca="1">'TUSD BE'!$AJ$44*'TUSD BE'!$AJ$58</f>
        <v>-0.11825381198647125</v>
      </c>
      <c r="AK44" s="31">
        <f ca="1">'TUSD BE'!$AK$44*'TUSD BE'!$AK$58</f>
        <v>4.181590643671651E-2</v>
      </c>
      <c r="AL44" s="31">
        <f ca="1">SUM($AH$44:$AK$44)</f>
        <v>-1.231054820296474</v>
      </c>
      <c r="AM44" s="31">
        <f ca="1">SUMIF($L$4:$AL$4,"SUBTOTAL",$L$44:$AL$44)+AZ44</f>
        <v>-37.859862832422102</v>
      </c>
      <c r="AO44" s="44">
        <f ca="1">+'TUSD BE'!$T$44+'TUSD BE'!$AB$44+'TUSD BE'!$AD$44+'TUSD BE'!$AL$44</f>
        <v>393.82348431464209</v>
      </c>
      <c r="AP44" s="44">
        <f ca="1">+'TUSD BE'!$T$44+'TUSD BE'!$AB$44+'TUSD BE'!$AD$44+'TUSD BE'!$AL$44</f>
        <v>393.82348431464209</v>
      </c>
      <c r="AQ44" s="9" t="str">
        <f t="shared" si="0"/>
        <v>B2</v>
      </c>
      <c r="AR44" s="9" t="str">
        <f t="shared" si="1"/>
        <v>Convencional pré-pagamento</v>
      </c>
      <c r="AS44" s="9" t="str">
        <f t="shared" si="2"/>
        <v>Rural</v>
      </c>
      <c r="AT44" s="9" t="str">
        <f t="shared" si="3"/>
        <v>Serviço público de irrigação rural</v>
      </c>
      <c r="AU44" s="9" t="str">
        <f t="shared" si="4"/>
        <v>Não se aplica</v>
      </c>
      <c r="AV44" s="9">
        <f t="shared" si="5"/>
        <v>1</v>
      </c>
      <c r="AW44" s="9">
        <f ca="1">TarifaMedia!$G$20</f>
        <v>0</v>
      </c>
      <c r="AX44" s="15">
        <f ca="1">'TUSD BE'!$AM44+'TUSD BF'!$AM44+'TUSD CVA'!$AM44</f>
        <v>376.13343594836397</v>
      </c>
      <c r="AY44" s="9">
        <v>437.54</v>
      </c>
      <c r="AZ44" s="9">
        <f t="shared" ca="1" si="6"/>
        <v>0</v>
      </c>
      <c r="BC44" s="93" t="s">
        <v>1079</v>
      </c>
    </row>
    <row r="45" spans="1:55" ht="11.25" customHeight="1" x14ac:dyDescent="0.25">
      <c r="A45" s="137" t="s">
        <v>32</v>
      </c>
      <c r="B45" s="137" t="s">
        <v>49</v>
      </c>
      <c r="C45" s="137" t="s">
        <v>25</v>
      </c>
      <c r="D45" s="137" t="s">
        <v>25</v>
      </c>
      <c r="E45" s="137" t="s">
        <v>25</v>
      </c>
      <c r="F45" s="137" t="s">
        <v>25</v>
      </c>
      <c r="G45" s="41" t="s">
        <v>71</v>
      </c>
      <c r="H45" s="41" t="s">
        <v>70</v>
      </c>
      <c r="I45" s="41">
        <f>'MERCADO TUSD'!$U$42</f>
        <v>0.216</v>
      </c>
      <c r="J45" s="15"/>
      <c r="L45" s="31">
        <f>'TUSD BE'!$L$45*'TUSD BE'!$L$58</f>
        <v>4.96139567348787E-2</v>
      </c>
      <c r="M45" s="31">
        <f>'TUSD BE'!$M$45*'TUSD BE'!$M$58</f>
        <v>-1.67938644926648E-2</v>
      </c>
      <c r="N45" s="31">
        <f ca="1">'TUSD BE'!$N$45*'TUSD BE'!$N$58</f>
        <v>2.4324194647756536E-6</v>
      </c>
      <c r="O45" s="31">
        <f>'TUSD BE'!$O$45*'TUSD BE'!$O$58</f>
        <v>0</v>
      </c>
      <c r="P45" s="31">
        <f>'TUSD BE'!$P$45*'TUSD BE'!$P$58</f>
        <v>0</v>
      </c>
      <c r="Q45" s="31">
        <f>'TUSD BE'!$Q$45*'TUSD BE'!$Q$58</f>
        <v>1.4018738549269818</v>
      </c>
      <c r="R45" s="31">
        <f>'TUSD BE'!$R$45*'TUSD BE'!$R$58</f>
        <v>0.26830949317951003</v>
      </c>
      <c r="S45" s="31">
        <f>'TUSD BE'!$R$45*'TUSD BE'!$S$58</f>
        <v>0</v>
      </c>
      <c r="T45" s="31">
        <f ca="1">SUM($L$45:$S$45)</f>
        <v>1.7030058727681705</v>
      </c>
      <c r="U45" s="31">
        <f>'TUSD BE'!$U$45*'TUSD BE'!$U$58</f>
        <v>0</v>
      </c>
      <c r="V45" s="31">
        <f>'TUSD BE'!$V$45*'TUSD BE'!$V$58</f>
        <v>0</v>
      </c>
      <c r="W45" s="31">
        <f>'TUSD BE'!$W$45*'TUSD BE'!$W$58</f>
        <v>0</v>
      </c>
      <c r="X45" s="31">
        <f>'TUSD BE'!$X$45*'TUSD BE'!$X$58</f>
        <v>0</v>
      </c>
      <c r="Y45" s="31">
        <f>'TUSD BE'!$Y$45*'TUSD BE'!$Y$58</f>
        <v>25.460062345088055</v>
      </c>
      <c r="Z45" s="31">
        <f>'TUSD BE'!$Z$45*'TUSD BE'!$Z$58</f>
        <v>0</v>
      </c>
      <c r="AA45" s="31">
        <f>'TUSD BE'!$AA$45*'TUSD BE'!$AA$58</f>
        <v>0</v>
      </c>
      <c r="AB45" s="31">
        <f>SUM($U$45:$AA$45)</f>
        <v>25.460062345088055</v>
      </c>
      <c r="AC45" s="31">
        <f>'TUSD BE'!$AC$45*'TUSD BE'!$AC$58</f>
        <v>-10.534068434684393</v>
      </c>
      <c r="AD45" s="31">
        <f>SUM($AC$45:$AC$45)</f>
        <v>-10.534068434684393</v>
      </c>
      <c r="AE45" s="31">
        <f ca="1">$AO$45*$AO$55</f>
        <v>-141.66699030010204</v>
      </c>
      <c r="AF45" s="31">
        <f ca="1">$AP$45*$AP$55</f>
        <v>0</v>
      </c>
      <c r="AG45" s="31">
        <f ca="1">SUM($AE$45:$AF$45)</f>
        <v>-141.66699030010204</v>
      </c>
      <c r="AH45" s="31">
        <f>'TUSD BE'!$AH$45*'TUSD BE'!$AH$58</f>
        <v>-1.1186428756246387</v>
      </c>
      <c r="AI45" s="31">
        <f>'TUSD BE'!$AI$45*'TUSD BE'!$AI$58</f>
        <v>-3.5974039122080477E-2</v>
      </c>
      <c r="AJ45" s="31">
        <f ca="1">'TUSD BE'!$AJ$45*'TUSD BE'!$AJ$58</f>
        <v>-0.11825381198647125</v>
      </c>
      <c r="AK45" s="31">
        <f ca="1">'TUSD BE'!$AK$45*'TUSD BE'!$AK$58</f>
        <v>4.181590643671651E-2</v>
      </c>
      <c r="AL45" s="31">
        <f ca="1">SUM($AH$45:$AK$45)</f>
        <v>-1.231054820296474</v>
      </c>
      <c r="AM45" s="31">
        <f ca="1">SUMIF($L$4:$AL$4,"SUBTOTAL",$L$45:$AL$45)+AZ45</f>
        <v>-126.26904533722669</v>
      </c>
      <c r="AO45" s="44">
        <f ca="1">+'TUSD BE'!$T$45+'TUSD BE'!$AB$45+'TUSD BE'!$AD$45+'TUSD BE'!$AL$45</f>
        <v>1342.8071121000212</v>
      </c>
      <c r="AP45" s="44">
        <f ca="1">+'TUSD BE'!$T$45+'TUSD BE'!$AB$45+'TUSD BE'!$AD$45+'TUSD BE'!$AL$45</f>
        <v>1342.8071121000212</v>
      </c>
      <c r="AQ45" s="9" t="str">
        <f t="shared" si="0"/>
        <v>B3</v>
      </c>
      <c r="AR45" s="9" t="str">
        <f t="shared" si="1"/>
        <v>Branca</v>
      </c>
      <c r="AS45" s="9" t="str">
        <f t="shared" si="2"/>
        <v>Não se aplica</v>
      </c>
      <c r="AT45" s="9" t="str">
        <f t="shared" si="3"/>
        <v>Não se aplica</v>
      </c>
      <c r="AU45" s="9" t="str">
        <f t="shared" si="4"/>
        <v>Não se aplica</v>
      </c>
      <c r="AV45" s="9">
        <f t="shared" si="5"/>
        <v>1</v>
      </c>
      <c r="AW45" s="9">
        <f ca="1">TarifaMedia!$G$20</f>
        <v>0</v>
      </c>
      <c r="AX45" s="15">
        <f ca="1">'TUSD BE'!$AM45+'TUSD BF'!$AM45+'TUSD CVA'!$AM45</f>
        <v>1236.7078812289385</v>
      </c>
      <c r="AY45" s="9">
        <v>1015.56</v>
      </c>
      <c r="AZ45" s="9">
        <f t="shared" ca="1" si="6"/>
        <v>0</v>
      </c>
      <c r="BC45" s="93" t="s">
        <v>1086</v>
      </c>
    </row>
    <row r="46" spans="1:55" ht="11.25" customHeight="1" x14ac:dyDescent="0.25">
      <c r="A46" s="137"/>
      <c r="B46" s="137"/>
      <c r="C46" s="137"/>
      <c r="D46" s="137"/>
      <c r="E46" s="137"/>
      <c r="F46" s="137"/>
      <c r="G46" s="41" t="s">
        <v>83</v>
      </c>
      <c r="H46" s="41" t="s">
        <v>70</v>
      </c>
      <c r="I46" s="41">
        <f>'MERCADO TUSD'!$U$43</f>
        <v>0.24</v>
      </c>
      <c r="J46" s="15"/>
      <c r="L46" s="31">
        <f>'TUSD BE'!$L$46*'TUSD BE'!$L$58</f>
        <v>4.96139567348787E-2</v>
      </c>
      <c r="M46" s="31">
        <f>'TUSD BE'!$M$46*'TUSD BE'!$M$58</f>
        <v>-1.67938644926648E-2</v>
      </c>
      <c r="N46" s="31">
        <f ca="1">'TUSD BE'!$N$46*'TUSD BE'!$N$58</f>
        <v>9.6687365186329644E-7</v>
      </c>
      <c r="O46" s="31">
        <f>'TUSD BE'!$O$46*'TUSD BE'!$O$58</f>
        <v>0</v>
      </c>
      <c r="P46" s="31">
        <f>'TUSD BE'!$P$46*'TUSD BE'!$P$58</f>
        <v>0</v>
      </c>
      <c r="Q46" s="31">
        <f>'TUSD BE'!$Q$46*'TUSD BE'!$Q$58</f>
        <v>1.4018738549269818</v>
      </c>
      <c r="R46" s="31">
        <f>'TUSD BE'!$R$46*'TUSD BE'!$R$58</f>
        <v>0.26830949317951003</v>
      </c>
      <c r="S46" s="31">
        <f>'TUSD BE'!$R$46*'TUSD BE'!$S$58</f>
        <v>0</v>
      </c>
      <c r="T46" s="31">
        <f ca="1">SUM($L$46:$S$46)</f>
        <v>1.7030044072223576</v>
      </c>
      <c r="U46" s="31">
        <f>'TUSD BE'!$U$46*'TUSD BE'!$U$58</f>
        <v>0</v>
      </c>
      <c r="V46" s="31">
        <f>'TUSD BE'!$V$46*'TUSD BE'!$V$58</f>
        <v>0</v>
      </c>
      <c r="W46" s="31">
        <f>'TUSD BE'!$W$46*'TUSD BE'!$W$58</f>
        <v>0</v>
      </c>
      <c r="X46" s="31">
        <f>'TUSD BE'!$X$46*'TUSD BE'!$X$58</f>
        <v>0</v>
      </c>
      <c r="Y46" s="31">
        <f>'TUSD BE'!$Y$46*'TUSD BE'!$Y$58</f>
        <v>9.5475253249729626</v>
      </c>
      <c r="Z46" s="31">
        <f>'TUSD BE'!$Z$46*'TUSD BE'!$Z$58</f>
        <v>0</v>
      </c>
      <c r="AA46" s="31">
        <f>'TUSD BE'!$AA$46*'TUSD BE'!$AA$58</f>
        <v>0</v>
      </c>
      <c r="AB46" s="31">
        <f>SUM($U$46:$AA$46)</f>
        <v>9.5475253249729626</v>
      </c>
      <c r="AC46" s="31">
        <f>'TUSD BE'!$AC$46*'TUSD BE'!$AC$58</f>
        <v>-3.9502752365663363</v>
      </c>
      <c r="AD46" s="31">
        <f>SUM($AC$46:$AC$46)</f>
        <v>-3.9502752365663363</v>
      </c>
      <c r="AE46" s="31">
        <f ca="1">$AO$46*$AO$55</f>
        <v>-61.902358959399308</v>
      </c>
      <c r="AF46" s="31">
        <f ca="1">$AP$46*$AP$55</f>
        <v>0</v>
      </c>
      <c r="AG46" s="31">
        <f ca="1">SUM($AE$46:$AF$46)</f>
        <v>-61.902358959399308</v>
      </c>
      <c r="AH46" s="31">
        <f>'TUSD BE'!$AH$46*'TUSD BE'!$AH$58</f>
        <v>-1.1186428756246387</v>
      </c>
      <c r="AI46" s="31">
        <f>'TUSD BE'!$AI$46*'TUSD BE'!$AI$58</f>
        <v>-3.5974039122080477E-2</v>
      </c>
      <c r="AJ46" s="31">
        <f ca="1">'TUSD BE'!$AJ$46*'TUSD BE'!$AJ$58</f>
        <v>-0.11825381198647125</v>
      </c>
      <c r="AK46" s="31">
        <f ca="1">'TUSD BE'!$AK$46*'TUSD BE'!$AK$58</f>
        <v>4.181590643671651E-2</v>
      </c>
      <c r="AL46" s="31">
        <f ca="1">SUM($AH$46:$AK$46)</f>
        <v>-1.231054820296474</v>
      </c>
      <c r="AM46" s="31">
        <f ca="1">SUMIF($L$4:$AL$4,"SUBTOTAL",$L$46:$AL$46)+AZ46</f>
        <v>-55.833159284066795</v>
      </c>
      <c r="AO46" s="44">
        <f ca="1">+'TUSD BE'!$T$46+'TUSD BE'!$AB$46+'TUSD BE'!$AD$46+'TUSD BE'!$AL$46</f>
        <v>586.74873864663437</v>
      </c>
      <c r="AP46" s="44">
        <f ca="1">+'TUSD BE'!$T$46+'TUSD BE'!$AB$46+'TUSD BE'!$AD$46+'TUSD BE'!$AL$46</f>
        <v>586.74873864663437</v>
      </c>
      <c r="AQ46" s="9" t="str">
        <f t="shared" si="0"/>
        <v>B3</v>
      </c>
      <c r="AR46" s="9" t="str">
        <f t="shared" si="1"/>
        <v>Branca</v>
      </c>
      <c r="AS46" s="9" t="str">
        <f t="shared" si="2"/>
        <v>Não se aplica</v>
      </c>
      <c r="AT46" s="9" t="str">
        <f t="shared" si="3"/>
        <v>Não se aplica</v>
      </c>
      <c r="AU46" s="9" t="str">
        <f t="shared" si="4"/>
        <v>Não se aplica</v>
      </c>
      <c r="AV46" s="9">
        <f t="shared" si="5"/>
        <v>1</v>
      </c>
      <c r="AW46" s="9">
        <f ca="1">TarifaMedia!$G$20</f>
        <v>0</v>
      </c>
      <c r="AX46" s="15">
        <f ca="1">'TUSD BE'!$AM46+'TUSD BF'!$AM46+'TUSD CVA'!$AM46</f>
        <v>551.08539382871152</v>
      </c>
      <c r="AY46" s="9">
        <v>668.75</v>
      </c>
      <c r="AZ46" s="9">
        <f t="shared" ca="1" si="6"/>
        <v>0</v>
      </c>
      <c r="BC46" s="93" t="s">
        <v>1087</v>
      </c>
    </row>
    <row r="47" spans="1:55" ht="11.25" customHeight="1" x14ac:dyDescent="0.25">
      <c r="A47" s="137"/>
      <c r="B47" s="137"/>
      <c r="C47" s="137"/>
      <c r="D47" s="137"/>
      <c r="E47" s="137"/>
      <c r="F47" s="137"/>
      <c r="G47" s="41" t="s">
        <v>72</v>
      </c>
      <c r="H47" s="41" t="s">
        <v>70</v>
      </c>
      <c r="I47" s="41">
        <f>'MERCADO TUSD'!$U$44</f>
        <v>3.742</v>
      </c>
      <c r="J47" s="15"/>
      <c r="L47" s="31">
        <f>'TUSD BE'!$L$47*'TUSD BE'!$L$58</f>
        <v>4.96139567348787E-2</v>
      </c>
      <c r="M47" s="31">
        <f>'TUSD BE'!$M$47*'TUSD BE'!$M$58</f>
        <v>-1.67938644926648E-2</v>
      </c>
      <c r="N47" s="31">
        <f ca="1">'TUSD BE'!$N$47*'TUSD BE'!$N$58</f>
        <v>3.8065536901347778E-7</v>
      </c>
      <c r="O47" s="31">
        <f>'TUSD BE'!$O$47*'TUSD BE'!$O$58</f>
        <v>0</v>
      </c>
      <c r="P47" s="31">
        <f>'TUSD BE'!$P$47*'TUSD BE'!$P$58</f>
        <v>0</v>
      </c>
      <c r="Q47" s="31">
        <f>'TUSD BE'!$Q$47*'TUSD BE'!$Q$58</f>
        <v>1.4018738549269818</v>
      </c>
      <c r="R47" s="31">
        <f>'TUSD BE'!$R$47*'TUSD BE'!$R$58</f>
        <v>0.26830949317951003</v>
      </c>
      <c r="S47" s="31">
        <f>'TUSD BE'!$R$47*'TUSD BE'!$S$58</f>
        <v>0</v>
      </c>
      <c r="T47" s="31">
        <f ca="1">SUM($L$47:$S$47)</f>
        <v>1.7030038210040748</v>
      </c>
      <c r="U47" s="31">
        <f>'TUSD BE'!$U$47*'TUSD BE'!$U$58</f>
        <v>0</v>
      </c>
      <c r="V47" s="31">
        <f>'TUSD BE'!$V$47*'TUSD BE'!$V$58</f>
        <v>0</v>
      </c>
      <c r="W47" s="31">
        <f>'TUSD BE'!$W$47*'TUSD BE'!$W$58</f>
        <v>0</v>
      </c>
      <c r="X47" s="31">
        <f>'TUSD BE'!$X$47*'TUSD BE'!$X$58</f>
        <v>0</v>
      </c>
      <c r="Y47" s="31">
        <f>'TUSD BE'!$Y$47*'TUSD BE'!$Y$58</f>
        <v>3.1825084416576543</v>
      </c>
      <c r="Z47" s="31">
        <f>'TUSD BE'!$Z$47*'TUSD BE'!$Z$58</f>
        <v>0</v>
      </c>
      <c r="AA47" s="31">
        <f>'TUSD BE'!$AA$47*'TUSD BE'!$AA$58</f>
        <v>0</v>
      </c>
      <c r="AB47" s="31">
        <f>SUM($U$47:$AA$47)</f>
        <v>3.1825084416576543</v>
      </c>
      <c r="AC47" s="31">
        <f>'TUSD BE'!$AC$47*'TUSD BE'!$AC$58</f>
        <v>-1.3167589807758602</v>
      </c>
      <c r="AD47" s="31">
        <f>SUM($AC$47:$AC$47)</f>
        <v>-1.3167589807758602</v>
      </c>
      <c r="AE47" s="31">
        <f ca="1">$AO$47*$AO$55</f>
        <v>-29.996508234571408</v>
      </c>
      <c r="AF47" s="31">
        <f ca="1">$AP$47*$AP$55</f>
        <v>0</v>
      </c>
      <c r="AG47" s="31">
        <f ca="1">SUM($AE$47:$AF$47)</f>
        <v>-29.996508234571408</v>
      </c>
      <c r="AH47" s="31">
        <f>'TUSD BE'!$AH$47*'TUSD BE'!$AH$58</f>
        <v>-1.1186428756246387</v>
      </c>
      <c r="AI47" s="31">
        <f>'TUSD BE'!$AI$47*'TUSD BE'!$AI$58</f>
        <v>-3.5974039122080477E-2</v>
      </c>
      <c r="AJ47" s="31">
        <f ca="1">'TUSD BE'!$AJ$47*'TUSD BE'!$AJ$58</f>
        <v>-0.11825381198647125</v>
      </c>
      <c r="AK47" s="31">
        <f ca="1">'TUSD BE'!$AK$47*'TUSD BE'!$AK$58</f>
        <v>4.181590643671651E-2</v>
      </c>
      <c r="AL47" s="31">
        <f ca="1">SUM($AH$47:$AK$47)</f>
        <v>-1.231054820296474</v>
      </c>
      <c r="AM47" s="31">
        <f ca="1">SUMIF($L$4:$AL$4,"SUBTOTAL",$L$47:$AL$47)+AZ47</f>
        <v>-27.658809772982014</v>
      </c>
      <c r="AO47" s="44">
        <f ca="1">+'TUSD BE'!$T$47+'TUSD BE'!$AB$47+'TUSD BE'!$AD$47+'TUSD BE'!$AL$47</f>
        <v>284.32540643535026</v>
      </c>
      <c r="AP47" s="44">
        <f ca="1">+'TUSD BE'!$T$47+'TUSD BE'!$AB$47+'TUSD BE'!$AD$47+'TUSD BE'!$AL$47</f>
        <v>284.32540643535026</v>
      </c>
      <c r="AQ47" s="9" t="str">
        <f t="shared" si="0"/>
        <v>B3</v>
      </c>
      <c r="AR47" s="9" t="str">
        <f t="shared" si="1"/>
        <v>Branca</v>
      </c>
      <c r="AS47" s="9" t="str">
        <f t="shared" si="2"/>
        <v>Não se aplica</v>
      </c>
      <c r="AT47" s="9" t="str">
        <f t="shared" si="3"/>
        <v>Não se aplica</v>
      </c>
      <c r="AU47" s="9" t="str">
        <f t="shared" si="4"/>
        <v>Não se aplica</v>
      </c>
      <c r="AV47" s="9">
        <f t="shared" si="5"/>
        <v>1</v>
      </c>
      <c r="AW47" s="9">
        <f ca="1">TarifaMedia!$G$20</f>
        <v>0</v>
      </c>
      <c r="AX47" s="15">
        <f ca="1">'TUSD BE'!$AM47+'TUSD BF'!$AM47+'TUSD CVA'!$AM47</f>
        <v>276.83641112851222</v>
      </c>
      <c r="AY47" s="9">
        <v>321.94</v>
      </c>
      <c r="AZ47" s="9">
        <f t="shared" ca="1" si="6"/>
        <v>0</v>
      </c>
      <c r="BC47" s="93" t="s">
        <v>1088</v>
      </c>
    </row>
    <row r="48" spans="1:55" ht="11.25" customHeight="1" x14ac:dyDescent="0.25">
      <c r="A48" s="137"/>
      <c r="B48" s="42" t="s">
        <v>23</v>
      </c>
      <c r="C48" s="42" t="s">
        <v>25</v>
      </c>
      <c r="D48" s="42" t="s">
        <v>25</v>
      </c>
      <c r="E48" s="42" t="s">
        <v>25</v>
      </c>
      <c r="F48" s="42" t="s">
        <v>25</v>
      </c>
      <c r="G48" s="41" t="s">
        <v>74</v>
      </c>
      <c r="H48" s="41" t="s">
        <v>70</v>
      </c>
      <c r="I48" s="41">
        <f>'MERCADO TUSD'!$U$45</f>
        <v>12398.925999999999</v>
      </c>
      <c r="J48" s="15"/>
      <c r="L48" s="31">
        <f>'TUSD BE'!$L$48*'TUSD BE'!$L$58</f>
        <v>4.96139567348787E-2</v>
      </c>
      <c r="M48" s="31">
        <f>'TUSD BE'!$M$48*'TUSD BE'!$M$58</f>
        <v>-1.67938644926648E-2</v>
      </c>
      <c r="N48" s="31">
        <f ca="1">'TUSD BE'!$N$48*'TUSD BE'!$N$58</f>
        <v>5.9290676153437237E-7</v>
      </c>
      <c r="O48" s="31">
        <f>'TUSD BE'!$O$48*'TUSD BE'!$O$58</f>
        <v>0</v>
      </c>
      <c r="P48" s="31">
        <f>'TUSD BE'!$P$48*'TUSD BE'!$P$58</f>
        <v>0</v>
      </c>
      <c r="Q48" s="31">
        <f>'TUSD BE'!$Q$48*'TUSD BE'!$Q$58</f>
        <v>1.4018738549269818</v>
      </c>
      <c r="R48" s="31">
        <f>'TUSD BE'!$R$48*'TUSD BE'!$R$58</f>
        <v>0.26830949317951003</v>
      </c>
      <c r="S48" s="31">
        <f>'TUSD BE'!$R$48*'TUSD BE'!$S$58</f>
        <v>0</v>
      </c>
      <c r="T48" s="31">
        <f ca="1">SUM($L$48:$S$48)</f>
        <v>1.7030040332554672</v>
      </c>
      <c r="U48" s="31">
        <f>'TUSD BE'!$U$48*'TUSD BE'!$U$58</f>
        <v>0</v>
      </c>
      <c r="V48" s="31">
        <f>'TUSD BE'!$V$48*'TUSD BE'!$V$58</f>
        <v>0</v>
      </c>
      <c r="W48" s="31">
        <f>'TUSD BE'!$W$48*'TUSD BE'!$W$58</f>
        <v>0</v>
      </c>
      <c r="X48" s="31">
        <f>'TUSD BE'!$X$48*'TUSD BE'!$X$58</f>
        <v>0</v>
      </c>
      <c r="Y48" s="31">
        <f>'TUSD BE'!$Y$48*'TUSD BE'!$Y$58</f>
        <v>5.4870845935145454</v>
      </c>
      <c r="Z48" s="31">
        <f>'TUSD BE'!$Z$48*'TUSD BE'!$Z$58</f>
        <v>0</v>
      </c>
      <c r="AA48" s="31">
        <f>'TUSD BE'!$AA$48*'TUSD BE'!$AA$58</f>
        <v>0</v>
      </c>
      <c r="AB48" s="31">
        <f>SUM($U$48:$AA$48)</f>
        <v>5.4870845935145454</v>
      </c>
      <c r="AC48" s="31">
        <f>'TUSD BE'!$AC$48*'TUSD BE'!$AC$58</f>
        <v>-2.2702726931214881</v>
      </c>
      <c r="AD48" s="31">
        <f>SUM($AC$48:$AC$48)</f>
        <v>-2.2702726931214881</v>
      </c>
      <c r="AE48" s="31">
        <f ca="1">$AO$48*$AO$55</f>
        <v>-41.54862394577416</v>
      </c>
      <c r="AF48" s="31">
        <f ca="1">$AP$48*$AP$55</f>
        <v>0</v>
      </c>
      <c r="AG48" s="31">
        <f ca="1">SUM($AE$48:$AF$48)</f>
        <v>-41.54862394577416</v>
      </c>
      <c r="AH48" s="31">
        <f>'TUSD BE'!$AH$48*'TUSD BE'!$AH$58</f>
        <v>-1.1186428756246387</v>
      </c>
      <c r="AI48" s="31">
        <f>'TUSD BE'!$AI$48*'TUSD BE'!$AI$58</f>
        <v>-3.5974039122080477E-2</v>
      </c>
      <c r="AJ48" s="31">
        <f ca="1">'TUSD BE'!$AJ$48*'TUSD BE'!$AJ$58</f>
        <v>-0.11825381198647125</v>
      </c>
      <c r="AK48" s="31">
        <f ca="1">'TUSD BE'!$AK$48*'TUSD BE'!$AK$58</f>
        <v>4.181590643671651E-2</v>
      </c>
      <c r="AL48" s="31">
        <f ca="1">SUM($AH$48:$AK$48)</f>
        <v>-1.231054820296474</v>
      </c>
      <c r="AM48" s="31">
        <f ca="1">SUMIF($L$4:$AL$4,"SUBTOTAL",$L$48:$AL$48)+AZ48</f>
        <v>-37.859862832422102</v>
      </c>
      <c r="AO48" s="44">
        <f ca="1">+'TUSD BE'!$T$48+'TUSD BE'!$AB$48+'TUSD BE'!$AD$48+'TUSD BE'!$AL$48</f>
        <v>393.82348431464209</v>
      </c>
      <c r="AP48" s="44">
        <f ca="1">+'TUSD BE'!$T$48+'TUSD BE'!$AB$48+'TUSD BE'!$AD$48+'TUSD BE'!$AL$48</f>
        <v>393.82348431464209</v>
      </c>
      <c r="AQ48" s="9" t="str">
        <f t="shared" si="0"/>
        <v>B3</v>
      </c>
      <c r="AR48" s="9" t="str">
        <f t="shared" si="1"/>
        <v>Convencional</v>
      </c>
      <c r="AS48" s="9" t="str">
        <f t="shared" si="2"/>
        <v>Não se aplica</v>
      </c>
      <c r="AT48" s="9" t="str">
        <f t="shared" si="3"/>
        <v>Não se aplica</v>
      </c>
      <c r="AU48" s="9" t="str">
        <f t="shared" si="4"/>
        <v>Não se aplica</v>
      </c>
      <c r="AV48" s="9">
        <f t="shared" si="5"/>
        <v>1</v>
      </c>
      <c r="AW48" s="9">
        <f ca="1">TarifaMedia!$G$20</f>
        <v>0</v>
      </c>
      <c r="AX48" s="15">
        <f ca="1">'TUSD BE'!$AM48+'TUSD BF'!$AM48+'TUSD CVA'!$AM48</f>
        <v>376.13343594836397</v>
      </c>
      <c r="AY48" s="9">
        <v>437.54</v>
      </c>
      <c r="AZ48" s="9">
        <f t="shared" ca="1" si="6"/>
        <v>0</v>
      </c>
      <c r="BC48" s="93" t="s">
        <v>1089</v>
      </c>
    </row>
    <row r="49" spans="1:55" ht="11.25" customHeight="1" x14ac:dyDescent="0.25">
      <c r="A49" s="137"/>
      <c r="B49" s="42" t="s">
        <v>85</v>
      </c>
      <c r="C49" s="42" t="s">
        <v>25</v>
      </c>
      <c r="D49" s="42" t="s">
        <v>25</v>
      </c>
      <c r="E49" s="42" t="s">
        <v>25</v>
      </c>
      <c r="F49" s="42" t="s">
        <v>25</v>
      </c>
      <c r="G49" s="41" t="s">
        <v>74</v>
      </c>
      <c r="H49" s="41" t="s">
        <v>70</v>
      </c>
      <c r="I49" s="41">
        <f>'MERCADO TUSD'!$U$46</f>
        <v>0</v>
      </c>
      <c r="J49" s="15"/>
      <c r="L49" s="31">
        <f>'TUSD BE'!$L$49*'TUSD BE'!$L$58</f>
        <v>4.96139567348787E-2</v>
      </c>
      <c r="M49" s="31">
        <f>'TUSD BE'!$M$49*'TUSD BE'!$M$58</f>
        <v>-1.67938644926648E-2</v>
      </c>
      <c r="N49" s="31">
        <f ca="1">'TUSD BE'!$N$49*'TUSD BE'!$N$58</f>
        <v>5.9290676153437237E-7</v>
      </c>
      <c r="O49" s="31">
        <f>'TUSD BE'!$O$49*'TUSD BE'!$O$58</f>
        <v>0</v>
      </c>
      <c r="P49" s="31">
        <f>'TUSD BE'!$P$49*'TUSD BE'!$P$58</f>
        <v>0</v>
      </c>
      <c r="Q49" s="31">
        <f>'TUSD BE'!$Q$49*'TUSD BE'!$Q$58</f>
        <v>1.4018738549269818</v>
      </c>
      <c r="R49" s="31">
        <f>'TUSD BE'!$R$49*'TUSD BE'!$R$58</f>
        <v>0.26830949317951003</v>
      </c>
      <c r="S49" s="31">
        <f>'TUSD BE'!$R$49*'TUSD BE'!$S$58</f>
        <v>0</v>
      </c>
      <c r="T49" s="31">
        <f ca="1">SUM($L$49:$S$49)</f>
        <v>1.7030040332554672</v>
      </c>
      <c r="U49" s="31">
        <f>'TUSD BE'!$U$49*'TUSD BE'!$U$58</f>
        <v>0</v>
      </c>
      <c r="V49" s="31">
        <f>'TUSD BE'!$V$49*'TUSD BE'!$V$58</f>
        <v>0</v>
      </c>
      <c r="W49" s="31">
        <f>'TUSD BE'!$W$49*'TUSD BE'!$W$58</f>
        <v>0</v>
      </c>
      <c r="X49" s="31">
        <f>'TUSD BE'!$X$49*'TUSD BE'!$X$58</f>
        <v>0</v>
      </c>
      <c r="Y49" s="31">
        <f>'TUSD BE'!$Y$49*'TUSD BE'!$Y$58</f>
        <v>5.4870845935145454</v>
      </c>
      <c r="Z49" s="31">
        <f>'TUSD BE'!$Z$49*'TUSD BE'!$Z$58</f>
        <v>0</v>
      </c>
      <c r="AA49" s="31">
        <f>'TUSD BE'!$AA$49*'TUSD BE'!$AA$58</f>
        <v>0</v>
      </c>
      <c r="AB49" s="31">
        <f>SUM($U$49:$AA$49)</f>
        <v>5.4870845935145454</v>
      </c>
      <c r="AC49" s="31">
        <f>'TUSD BE'!$AC$49*'TUSD BE'!$AC$58</f>
        <v>-2.2702726931214881</v>
      </c>
      <c r="AD49" s="31">
        <f>SUM($AC$49:$AC$49)</f>
        <v>-2.2702726931214881</v>
      </c>
      <c r="AE49" s="31">
        <f ca="1">$AO$49*$AO$55</f>
        <v>-41.54862394577416</v>
      </c>
      <c r="AF49" s="31">
        <f ca="1">$AP$49*$AP$55</f>
        <v>0</v>
      </c>
      <c r="AG49" s="31">
        <f ca="1">SUM($AE$49:$AF$49)</f>
        <v>-41.54862394577416</v>
      </c>
      <c r="AH49" s="31">
        <f>'TUSD BE'!$AH$49*'TUSD BE'!$AH$58</f>
        <v>-1.1186428756246387</v>
      </c>
      <c r="AI49" s="31">
        <f>'TUSD BE'!$AI$49*'TUSD BE'!$AI$58</f>
        <v>-3.5974039122080477E-2</v>
      </c>
      <c r="AJ49" s="31">
        <f ca="1">'TUSD BE'!$AJ$49*'TUSD BE'!$AJ$58</f>
        <v>-0.11825381198647125</v>
      </c>
      <c r="AK49" s="31">
        <f ca="1">'TUSD BE'!$AK$49*'TUSD BE'!$AK$58</f>
        <v>4.181590643671651E-2</v>
      </c>
      <c r="AL49" s="31">
        <f ca="1">SUM($AH$49:$AK$49)</f>
        <v>-1.231054820296474</v>
      </c>
      <c r="AM49" s="31">
        <f ca="1">SUMIF($L$4:$AL$4,"SUBTOTAL",$L$49:$AL$49)+AZ49</f>
        <v>-37.859862832422102</v>
      </c>
      <c r="AO49" s="44">
        <f ca="1">+'TUSD BE'!$T$49+'TUSD BE'!$AB$49+'TUSD BE'!$AD$49+'TUSD BE'!$AL$49</f>
        <v>393.82348431464209</v>
      </c>
      <c r="AP49" s="44">
        <f ca="1">+'TUSD BE'!$T$49+'TUSD BE'!$AB$49+'TUSD BE'!$AD$49+'TUSD BE'!$AL$49</f>
        <v>393.82348431464209</v>
      </c>
      <c r="AQ49" s="9" t="str">
        <f t="shared" si="0"/>
        <v>B3</v>
      </c>
      <c r="AR49" s="9" t="str">
        <f t="shared" si="1"/>
        <v>Convencional pré-pagamento</v>
      </c>
      <c r="AS49" s="9" t="str">
        <f t="shared" si="2"/>
        <v>Não se aplica</v>
      </c>
      <c r="AT49" s="9" t="str">
        <f t="shared" si="3"/>
        <v>Não se aplica</v>
      </c>
      <c r="AU49" s="9" t="str">
        <f t="shared" si="4"/>
        <v>Não se aplica</v>
      </c>
      <c r="AV49" s="9">
        <f t="shared" si="5"/>
        <v>1</v>
      </c>
      <c r="AW49" s="9">
        <f ca="1">TarifaMedia!$G$20</f>
        <v>0</v>
      </c>
      <c r="AX49" s="15">
        <f ca="1">'TUSD BE'!$AM49+'TUSD BF'!$AM49+'TUSD CVA'!$AM49</f>
        <v>376.13343594836397</v>
      </c>
      <c r="AY49" s="9">
        <v>437.54</v>
      </c>
      <c r="AZ49" s="9">
        <f t="shared" ca="1" si="6"/>
        <v>0</v>
      </c>
      <c r="BC49" s="93" t="s">
        <v>1090</v>
      </c>
    </row>
    <row r="50" spans="1:55" ht="11.25" customHeight="1" x14ac:dyDescent="0.25">
      <c r="A50" s="137" t="s">
        <v>42</v>
      </c>
      <c r="B50" s="137" t="s">
        <v>23</v>
      </c>
      <c r="C50" s="137" t="s">
        <v>43</v>
      </c>
      <c r="D50" s="42" t="s">
        <v>44</v>
      </c>
      <c r="E50" s="42" t="s">
        <v>25</v>
      </c>
      <c r="F50" s="42" t="s">
        <v>25</v>
      </c>
      <c r="G50" s="41" t="s">
        <v>74</v>
      </c>
      <c r="H50" s="41" t="s">
        <v>70</v>
      </c>
      <c r="I50" s="41">
        <f>'MERCADO TUSD'!$U$47</f>
        <v>3575.7699999999995</v>
      </c>
      <c r="J50" s="15"/>
      <c r="L50" s="31">
        <f>'TUSD BE'!$L$50*'TUSD BE'!$L$58</f>
        <v>2.7287676204183285E-2</v>
      </c>
      <c r="M50" s="31">
        <f>'TUSD BE'!$M$50*'TUSD BE'!$M$58</f>
        <v>-9.2366254709656433E-3</v>
      </c>
      <c r="N50" s="31">
        <f ca="1">'TUSD BE'!$N$50*'TUSD BE'!$N$58</f>
        <v>3.2609871884390485E-7</v>
      </c>
      <c r="O50" s="31">
        <f>'TUSD BE'!$O$50*'TUSD BE'!$O$58</f>
        <v>0</v>
      </c>
      <c r="P50" s="31">
        <f>'TUSD BE'!$P$50*'TUSD BE'!$P$58</f>
        <v>0</v>
      </c>
      <c r="Q50" s="31">
        <f>'TUSD BE'!$Q$50*'TUSD BE'!$Q$58</f>
        <v>0.77103062020984003</v>
      </c>
      <c r="R50" s="31">
        <f>'TUSD BE'!$R$50*'TUSD BE'!$R$58</f>
        <v>0.14757022124873054</v>
      </c>
      <c r="S50" s="31">
        <f>'TUSD BE'!$R$50*'TUSD BE'!$S$58</f>
        <v>0</v>
      </c>
      <c r="T50" s="31">
        <f ca="1">SUM($L$50:$S$50)</f>
        <v>0.93665221829050704</v>
      </c>
      <c r="U50" s="31">
        <f>'TUSD BE'!$U$50*'TUSD BE'!$U$58</f>
        <v>0</v>
      </c>
      <c r="V50" s="31">
        <f>'TUSD BE'!$V$50*'TUSD BE'!$V$58</f>
        <v>0</v>
      </c>
      <c r="W50" s="31">
        <f>'TUSD BE'!$W$50*'TUSD BE'!$W$58</f>
        <v>0</v>
      </c>
      <c r="X50" s="31">
        <f>'TUSD BE'!$X$50*'TUSD BE'!$X$58</f>
        <v>0</v>
      </c>
      <c r="Y50" s="31">
        <f>'TUSD BE'!$Y$50*'TUSD BE'!$Y$58</f>
        <v>3.0178965264330007</v>
      </c>
      <c r="Z50" s="31">
        <f>'TUSD BE'!$Z$50*'TUSD BE'!$Z$58</f>
        <v>0</v>
      </c>
      <c r="AA50" s="31">
        <f>'TUSD BE'!$AA$50*'TUSD BE'!$AA$58</f>
        <v>0</v>
      </c>
      <c r="AB50" s="31">
        <f>SUM($U$50:$AA$50)</f>
        <v>3.0178965264330007</v>
      </c>
      <c r="AC50" s="31">
        <f>'TUSD BE'!$AC$50*'TUSD BE'!$AC$58</f>
        <v>-1.2486499812168186</v>
      </c>
      <c r="AD50" s="31">
        <f>SUM($AC$50:$AC$50)</f>
        <v>-1.2486499812168186</v>
      </c>
      <c r="AE50" s="31">
        <f ca="1">$AO$50*$AO$55</f>
        <v>-22.851743170175794</v>
      </c>
      <c r="AF50" s="31">
        <f ca="1">$AP$50*$AP$55</f>
        <v>0</v>
      </c>
      <c r="AG50" s="31">
        <f ca="1">SUM($AE$50:$AF$50)</f>
        <v>-22.851743170175794</v>
      </c>
      <c r="AH50" s="31">
        <f>'TUSD BE'!$AH$50*'TUSD BE'!$AH$58</f>
        <v>-0.61525358159355148</v>
      </c>
      <c r="AI50" s="31">
        <f>'TUSD BE'!$AI$50*'TUSD BE'!$AI$58</f>
        <v>-1.9785721517144268E-2</v>
      </c>
      <c r="AJ50" s="31">
        <f ca="1">'TUSD BE'!$AJ$50*'TUSD BE'!$AJ$58</f>
        <v>-6.5039596592559187E-2</v>
      </c>
      <c r="AK50" s="31">
        <f ca="1">'TUSD BE'!$AK$50*'TUSD BE'!$AK$58</f>
        <v>2.2998748540194083E-2</v>
      </c>
      <c r="AL50" s="31">
        <f ca="1">SUM($AH$50:$AK$50)</f>
        <v>-0.67708015116306086</v>
      </c>
      <c r="AM50" s="31">
        <f ca="1">SUMIF($L$4:$AL$4,"SUBTOTAL",$L$50:$AL$50)+AZ50</f>
        <v>-20.822924557832167</v>
      </c>
      <c r="AO50" s="44">
        <f ca="1">+'TUSD BE'!$T$50+'TUSD BE'!$AB$50+'TUSD BE'!$AD$50+'TUSD BE'!$AL$50</f>
        <v>216.6029163730532</v>
      </c>
      <c r="AP50" s="44">
        <f ca="1">+'TUSD BE'!$T$50+'TUSD BE'!$AB$50+'TUSD BE'!$AD$50+'TUSD BE'!$AL$50</f>
        <v>216.6029163730532</v>
      </c>
      <c r="AQ50" s="9" t="str">
        <f t="shared" si="0"/>
        <v>B4</v>
      </c>
      <c r="AR50" s="9" t="str">
        <f t="shared" si="1"/>
        <v>Convencional</v>
      </c>
      <c r="AS50" s="9" t="str">
        <f t="shared" si="2"/>
        <v>Iluminação pública</v>
      </c>
      <c r="AT50" s="9" t="str">
        <f t="shared" si="3"/>
        <v>Iluminação pública – B4a</v>
      </c>
      <c r="AU50" s="9" t="str">
        <f t="shared" si="4"/>
        <v>Não se aplica</v>
      </c>
      <c r="AV50" s="9">
        <f t="shared" si="5"/>
        <v>1</v>
      </c>
      <c r="AW50" s="9">
        <f ca="1">TarifaMedia!$G$20</f>
        <v>0</v>
      </c>
      <c r="AX50" s="15">
        <f ca="1">'TUSD BE'!$AM50+'TUSD BF'!$AM50+'TUSD CVA'!$AM50</f>
        <v>206.87338977160022</v>
      </c>
      <c r="AY50" s="9">
        <v>240.65</v>
      </c>
      <c r="AZ50" s="9">
        <f t="shared" ca="1" si="6"/>
        <v>0</v>
      </c>
      <c r="BC50" s="93" t="s">
        <v>1091</v>
      </c>
    </row>
    <row r="51" spans="1:55" ht="11.25" customHeight="1" x14ac:dyDescent="0.25">
      <c r="A51" s="137"/>
      <c r="B51" s="137"/>
      <c r="C51" s="137"/>
      <c r="D51" s="41" t="s">
        <v>88</v>
      </c>
      <c r="E51" s="41" t="s">
        <v>25</v>
      </c>
      <c r="F51" s="41" t="s">
        <v>25</v>
      </c>
      <c r="G51" s="41" t="s">
        <v>74</v>
      </c>
      <c r="H51" s="41" t="s">
        <v>70</v>
      </c>
      <c r="I51" s="41">
        <f>'MERCADO TUSD'!$U$48</f>
        <v>0</v>
      </c>
      <c r="J51" s="15"/>
      <c r="L51" s="31">
        <f>'TUSD BE'!$L$51*'TUSD BE'!$L$58</f>
        <v>2.9768374040927217E-2</v>
      </c>
      <c r="M51" s="31">
        <f>'TUSD BE'!$M$51*'TUSD BE'!$M$58</f>
        <v>-1.0076318695598881E-2</v>
      </c>
      <c r="N51" s="31">
        <f ca="1">'TUSD BE'!$N$51*'TUSD BE'!$N$58</f>
        <v>3.5574405692062341E-7</v>
      </c>
      <c r="O51" s="31">
        <f>'TUSD BE'!$O$51*'TUSD BE'!$O$58</f>
        <v>0</v>
      </c>
      <c r="P51" s="31">
        <f>'TUSD BE'!$P$51*'TUSD BE'!$P$58</f>
        <v>0</v>
      </c>
      <c r="Q51" s="31">
        <f>'TUSD BE'!$Q$51*'TUSD BE'!$Q$58</f>
        <v>0.84112431295618906</v>
      </c>
      <c r="R51" s="31">
        <f>'TUSD BE'!$R$51*'TUSD BE'!$R$58</f>
        <v>0.16098569590770603</v>
      </c>
      <c r="S51" s="31">
        <f>'TUSD BE'!$R$51*'TUSD BE'!$S$58</f>
        <v>0</v>
      </c>
      <c r="T51" s="31">
        <f ca="1">SUM($L$51:$S$51)</f>
        <v>1.0218024199532802</v>
      </c>
      <c r="U51" s="31">
        <f>'TUSD BE'!$U$51*'TUSD BE'!$U$58</f>
        <v>0</v>
      </c>
      <c r="V51" s="31">
        <f>'TUSD BE'!$V$51*'TUSD BE'!$V$58</f>
        <v>0</v>
      </c>
      <c r="W51" s="31">
        <f>'TUSD BE'!$W$51*'TUSD BE'!$W$58</f>
        <v>0</v>
      </c>
      <c r="X51" s="31">
        <f>'TUSD BE'!$X$51*'TUSD BE'!$X$58</f>
        <v>0</v>
      </c>
      <c r="Y51" s="31">
        <f>'TUSD BE'!$Y$51*'TUSD BE'!$Y$58</f>
        <v>3.2922507561087273</v>
      </c>
      <c r="Z51" s="31">
        <f>'TUSD BE'!$Z$51*'TUSD BE'!$Z$58</f>
        <v>0</v>
      </c>
      <c r="AA51" s="31">
        <f>'TUSD BE'!$AA$51*'TUSD BE'!$AA$58</f>
        <v>0</v>
      </c>
      <c r="AB51" s="31">
        <f>SUM($U$51:$AA$51)</f>
        <v>3.2922507561087273</v>
      </c>
      <c r="AC51" s="31">
        <f>'TUSD BE'!$AC$51*'TUSD BE'!$AC$58</f>
        <v>-1.3621636158728927</v>
      </c>
      <c r="AD51" s="31">
        <f>SUM($AC$51:$AC$51)</f>
        <v>-1.3621636158728927</v>
      </c>
      <c r="AE51" s="31">
        <f ca="1">$AO$51*$AO$55</f>
        <v>-24.929174367464498</v>
      </c>
      <c r="AF51" s="31">
        <f ca="1">$AP$51*$AP$55</f>
        <v>0</v>
      </c>
      <c r="AG51" s="31">
        <f ca="1">SUM($AE$51:$AF$51)</f>
        <v>-24.929174367464498</v>
      </c>
      <c r="AH51" s="31">
        <f>'TUSD BE'!$AH$51*'TUSD BE'!$AH$58</f>
        <v>-0.67118572537478338</v>
      </c>
      <c r="AI51" s="31">
        <f>'TUSD BE'!$AI$51*'TUSD BE'!$AI$58</f>
        <v>-2.1584423473248286E-2</v>
      </c>
      <c r="AJ51" s="31">
        <f ca="1">'TUSD BE'!$AJ$51*'TUSD BE'!$AJ$58</f>
        <v>-7.0952287191882749E-2</v>
      </c>
      <c r="AK51" s="31">
        <f ca="1">'TUSD BE'!$AK$51*'TUSD BE'!$AK$58</f>
        <v>2.5089543862029908E-2</v>
      </c>
      <c r="AL51" s="31">
        <f ca="1">SUM($AH$51:$AK$51)</f>
        <v>-0.73863289217788453</v>
      </c>
      <c r="AM51" s="31">
        <f ca="1">SUMIF($L$4:$AL$4,"SUBTOTAL",$L$51:$AL$51)+AZ51</f>
        <v>-22.715917699453268</v>
      </c>
      <c r="AO51" s="44">
        <f ca="1">+'TUSD BE'!$T$51+'TUSD BE'!$AB$51+'TUSD BE'!$AD$51+'TUSD BE'!$AL$51</f>
        <v>236.29409058878525</v>
      </c>
      <c r="AP51" s="44">
        <f ca="1">+'TUSD BE'!$T$51+'TUSD BE'!$AB$51+'TUSD BE'!$AD$51+'TUSD BE'!$AL$51</f>
        <v>236.29409058878525</v>
      </c>
      <c r="AQ51" s="9" t="str">
        <f t="shared" si="0"/>
        <v>B4</v>
      </c>
      <c r="AR51" s="9" t="str">
        <f t="shared" si="1"/>
        <v>Convencional</v>
      </c>
      <c r="AS51" s="9" t="str">
        <f t="shared" si="2"/>
        <v>Iluminação pública</v>
      </c>
      <c r="AT51" s="9" t="str">
        <f t="shared" si="3"/>
        <v>Iluminação pública – B4b</v>
      </c>
      <c r="AU51" s="9" t="str">
        <f t="shared" si="4"/>
        <v>Não se aplica</v>
      </c>
      <c r="AV51" s="9">
        <f t="shared" si="5"/>
        <v>1</v>
      </c>
      <c r="AW51" s="9">
        <f ca="1">TarifaMedia!$G$20</f>
        <v>0</v>
      </c>
      <c r="AX51" s="15">
        <f ca="1">'TUSD BE'!$AM51+'TUSD BF'!$AM51+'TUSD CVA'!$AM51</f>
        <v>225.68006156901839</v>
      </c>
      <c r="AY51" s="9">
        <v>262.52</v>
      </c>
      <c r="AZ51" s="9">
        <f t="shared" ca="1" si="6"/>
        <v>0</v>
      </c>
      <c r="BC51" s="93" t="s">
        <v>1092</v>
      </c>
    </row>
    <row r="53" spans="1:55" ht="11.25" customHeight="1" x14ac:dyDescent="0.25">
      <c r="K53" s="35" t="s">
        <v>518</v>
      </c>
      <c r="L53" s="31">
        <f>SUMPRODUCT($I$5:$I51,$L$5:$L51)</f>
        <v>3301.4954897160933</v>
      </c>
      <c r="M53" s="31">
        <f>SUMPRODUCT($I$5:$I51,$M$5:$M51)</f>
        <v>-709.4579393557384</v>
      </c>
      <c r="N53" s="31">
        <f ca="1">SUMPRODUCT($I$5:$I51,$N$5:$N51)</f>
        <v>2.7684535812032014E-2</v>
      </c>
      <c r="O53" s="31">
        <f>SUMPRODUCT($I$5:$I51,$O$5:$O51)</f>
        <v>0</v>
      </c>
      <c r="P53" s="31">
        <f>SUMPRODUCT($I$5:$I51,$P$5:$P51)</f>
        <v>0</v>
      </c>
      <c r="Q53" s="31">
        <f>SUMPRODUCT($I$5:$I51,$Q$5:$Q51)</f>
        <v>93285.851679284722</v>
      </c>
      <c r="R53" s="31">
        <f>SUMPRODUCT($I$5:$I51,$R$5:$R51)</f>
        <v>19469.144143643065</v>
      </c>
      <c r="S53" s="31">
        <f>SUMPRODUCT($I$5:$I51,$S$5:$S51)</f>
        <v>0</v>
      </c>
      <c r="T53" s="31">
        <f ca="1">SUMPRODUCT($I$5:$I51,$T$5:$T51)</f>
        <v>115347.06105782391</v>
      </c>
      <c r="U53" s="31">
        <f>SUMPRODUCT($I$5:$I51,$U$5:$U51)</f>
        <v>0</v>
      </c>
      <c r="V53" s="31">
        <f>SUMPRODUCT($I$5:$I51,$V$5:$V51)</f>
        <v>0</v>
      </c>
      <c r="W53" s="31">
        <f>SUMPRODUCT($I$5:$I51,$W$5:$W51)</f>
        <v>0</v>
      </c>
      <c r="X53" s="31">
        <f>SUMPRODUCT($I$5:$I51,$X$5:$X51)</f>
        <v>0</v>
      </c>
      <c r="Y53" s="31">
        <f>SUMPRODUCT($I$5:$I51,$Y$5:$Y51)</f>
        <v>400916.46700567618</v>
      </c>
      <c r="Z53" s="31">
        <f>SUMPRODUCT($I$5:$I51,$Z$5:$Z51)</f>
        <v>0</v>
      </c>
      <c r="AA53" s="31">
        <f>SUMPRODUCT($I$5:$I51,$AA$5:$AA51)</f>
        <v>0</v>
      </c>
      <c r="AB53" s="31">
        <f>SUMPRODUCT($I$5:$I51,$AB$5:$AB51)</f>
        <v>400916.46700567618</v>
      </c>
      <c r="AC53" s="31">
        <f>SUMPRODUCT($I$5:$I51,$AC$5:$AC51)</f>
        <v>-95906.21051729146</v>
      </c>
      <c r="AD53" s="31">
        <f>SUMPRODUCT($I$5:$I51,$AD$5:$AD51)</f>
        <v>-95906.21051729146</v>
      </c>
      <c r="AE53" s="31">
        <f ca="1">SUMPRODUCT($I$5:$I51,$AE$5:$AE51)</f>
        <v>-2474985.4297311143</v>
      </c>
      <c r="AF53" s="31">
        <f ca="1">SUMPRODUCT($I$5:$I51,$AF$5:$AF51)</f>
        <v>0</v>
      </c>
      <c r="AG53" s="31">
        <f ca="1">SUMPRODUCT($I$5:$I51,$AG$5:$AG51)</f>
        <v>-2474985.4297311143</v>
      </c>
      <c r="AH53" s="31">
        <f>SUMPRODUCT($I$5:$I51,$AH$5:$AH51)</f>
        <v>-64378.818270429314</v>
      </c>
      <c r="AI53" s="31">
        <f>SUMPRODUCT($I$5:$I51,$AI$5:$AI51)</f>
        <v>-2070.3355624559995</v>
      </c>
      <c r="AJ53" s="31">
        <f ca="1">SUMPRODUCT($I$5:$I51,$AJ$5:$AJ51)</f>
        <v>-7225.1805132531117</v>
      </c>
      <c r="AK53" s="31">
        <f ca="1">SUMPRODUCT($I$5:$I51,$AK$5:$AK51)</f>
        <v>2554.9068334908661</v>
      </c>
      <c r="AL53" s="31">
        <f ca="1">SUMPRODUCT($I$5:$I51,$AL$5:$AL51)</f>
        <v>-71119.427512647555</v>
      </c>
      <c r="AM53" s="31">
        <f ca="1">SUMPRODUCT($I$5:$I51,$AM$5:$AM51)</f>
        <v>-2125747.5396975526</v>
      </c>
      <c r="AO53" s="41">
        <f ca="1">SUMPRODUCT($I$5:$I51,$AO$5:$AO51)</f>
        <v>23459438.436199155</v>
      </c>
      <c r="AP53" s="41">
        <f ca="1">SUMPRODUCT($I$5:$I51,$AP$5:$AP51)</f>
        <v>23459438.436199155</v>
      </c>
    </row>
    <row r="54" spans="1:55" ht="11.25" customHeight="1" x14ac:dyDescent="0.25">
      <c r="K54" s="35" t="s">
        <v>450</v>
      </c>
      <c r="L54" s="31">
        <f>'TR TUSD'!$L$56</f>
        <v>170367.27770803907</v>
      </c>
      <c r="M54" s="31">
        <f>'TR TUSD'!$M$56</f>
        <v>32115.181223352905</v>
      </c>
      <c r="N54" s="31">
        <f>'TR TUSD'!$N$56</f>
        <v>147303.02270457585</v>
      </c>
      <c r="O54" s="31">
        <f>'TR TUSD'!$O$56</f>
        <v>0</v>
      </c>
      <c r="P54" s="31">
        <f>'TR TUSD'!$P$56</f>
        <v>0</v>
      </c>
      <c r="Q54" s="31">
        <f>'TR TUSD'!$Q$56</f>
        <v>6229100.7423415985</v>
      </c>
      <c r="R54" s="31">
        <f>'TR TUSD'!$R$56</f>
        <v>1076201.0144336333</v>
      </c>
      <c r="S54" s="31">
        <f>'TR TUSD'!$S$56</f>
        <v>0</v>
      </c>
      <c r="T54" s="31">
        <f>'TR TUSD'!$T$56</f>
        <v>7655087.2384112002</v>
      </c>
      <c r="U54" s="31">
        <f>'TR TUSD'!$U$56</f>
        <v>0</v>
      </c>
      <c r="V54" s="31">
        <f>'TR TUSD'!$V$56</f>
        <v>0</v>
      </c>
      <c r="W54" s="31">
        <f>'TR TUSD'!$W$56</f>
        <v>0</v>
      </c>
      <c r="X54" s="31">
        <f>'TR TUSD'!$X$56</f>
        <v>0</v>
      </c>
      <c r="Y54" s="31">
        <f>'TR TUSD'!$Y$56</f>
        <v>8758233.2120063994</v>
      </c>
      <c r="Z54" s="31">
        <f>'TR TUSD'!$Z$56</f>
        <v>0</v>
      </c>
      <c r="AA54" s="31">
        <f>'TR TUSD'!$AA$56</f>
        <v>0</v>
      </c>
      <c r="AB54" s="31">
        <f>'TR TUSD'!$AB$56</f>
        <v>8758233.2120063994</v>
      </c>
      <c r="AC54" s="31">
        <f>'TR TUSD'!$AC$56</f>
        <v>5836168.2498144377</v>
      </c>
      <c r="AD54" s="31">
        <f>'TR TUSD'!$AD$56</f>
        <v>5836168.2498144377</v>
      </c>
      <c r="AE54" s="31">
        <f>'TR TUSD'!$AE$56</f>
        <v>0</v>
      </c>
      <c r="AF54" s="31">
        <f>'TR TUSD'!$AF$56</f>
        <v>0</v>
      </c>
      <c r="AG54" s="31">
        <f>'TR TUSD'!$AG$56</f>
        <v>0</v>
      </c>
      <c r="AH54" s="31">
        <f>'TR TUSD'!$AH$56</f>
        <v>1040518.760215919</v>
      </c>
      <c r="AI54" s="31">
        <f>'TR TUSD'!$AI$56</f>
        <v>33461.673428496732</v>
      </c>
      <c r="AJ54" s="31">
        <f>'TR TUSD'!$AJ$56</f>
        <v>116776.54346506554</v>
      </c>
      <c r="AK54" s="31">
        <f>'TR TUSD'!$AK$56</f>
        <v>19192.758857639066</v>
      </c>
      <c r="AL54" s="31">
        <f>'TR TUSD'!$AL$56</f>
        <v>1209949.7359671204</v>
      </c>
      <c r="AM54" s="31">
        <f>'TUSD BE'!$AM$54</f>
        <v>23459438.436199158</v>
      </c>
      <c r="AO54" s="41">
        <f>$AE$55</f>
        <v>-2474985.4297311138</v>
      </c>
      <c r="AP54" s="41">
        <f>$AF$55</f>
        <v>0</v>
      </c>
    </row>
    <row r="55" spans="1:55" ht="11.25" customHeight="1" x14ac:dyDescent="0.25">
      <c r="K55" s="35" t="s">
        <v>451</v>
      </c>
      <c r="L55" s="31">
        <f>CUSTOS!$E$2</f>
        <v>3301.4954897160933</v>
      </c>
      <c r="M55" s="31">
        <f>CUSTOS!$E$3</f>
        <v>-709.4579393557384</v>
      </c>
      <c r="N55" s="31">
        <f>CUSTOS!$E$4</f>
        <v>2.7684535812032011E-2</v>
      </c>
      <c r="O55" s="31">
        <f>CUSTOS!$E$5</f>
        <v>0</v>
      </c>
      <c r="P55" s="31">
        <f>CUSTOS!$E$6</f>
        <v>0</v>
      </c>
      <c r="Q55" s="31">
        <f>CUSTOS!$E$7</f>
        <v>93285.851679284708</v>
      </c>
      <c r="R55" s="31">
        <f>CUSTOS!$E$8</f>
        <v>19469.144143643061</v>
      </c>
      <c r="S55" s="31">
        <f>CUSTOS!$E$9</f>
        <v>0</v>
      </c>
      <c r="T55" s="31">
        <f>CUSTOS!$E$10</f>
        <v>115347.06105782394</v>
      </c>
      <c r="U55" s="31">
        <f>CUSTOS!$E$11</f>
        <v>0</v>
      </c>
      <c r="V55" s="31">
        <f>CUSTOS!$E$12</f>
        <v>0</v>
      </c>
      <c r="W55" s="31">
        <f>CUSTOS!$E$13</f>
        <v>0</v>
      </c>
      <c r="X55" s="31">
        <f>CUSTOS!$E$14</f>
        <v>0</v>
      </c>
      <c r="Y55" s="31">
        <f>CUSTOS!$E$15</f>
        <v>400916.46700567618</v>
      </c>
      <c r="Z55" s="31">
        <f>CUSTOS!$E$16</f>
        <v>0</v>
      </c>
      <c r="AA55" s="31">
        <f>CUSTOS!$E$17</f>
        <v>0</v>
      </c>
      <c r="AB55" s="31">
        <f>CUSTOS!$E$18</f>
        <v>400916.46700567618</v>
      </c>
      <c r="AC55" s="31">
        <f>CUSTOS!$E$19</f>
        <v>-95906.210517291445</v>
      </c>
      <c r="AD55" s="31">
        <f>CUSTOS!$E$20</f>
        <v>-95906.210517291445</v>
      </c>
      <c r="AE55" s="31">
        <f>CUSTOS!$E$21</f>
        <v>-2474985.4297311138</v>
      </c>
      <c r="AF55" s="31">
        <f>CUSTOS!$E$22</f>
        <v>0</v>
      </c>
      <c r="AG55" s="31">
        <f>CUSTOS!$E$23</f>
        <v>-2474985.4297311138</v>
      </c>
      <c r="AH55" s="31">
        <f>CUSTOS!$E$24</f>
        <v>-64378.818270429307</v>
      </c>
      <c r="AI55" s="31">
        <f>CUSTOS!$E$25</f>
        <v>-2070.3355624559999</v>
      </c>
      <c r="AJ55" s="31">
        <f>CUSTOS!$E$26</f>
        <v>-7225.1805132531108</v>
      </c>
      <c r="AK55" s="31">
        <f>CUSTOS!$E$27</f>
        <v>2554.9068334908661</v>
      </c>
      <c r="AL55" s="31">
        <f>CUSTOS!$E$28</f>
        <v>-71119.427512647555</v>
      </c>
      <c r="AM55" s="31">
        <f>CUSTOS!$E$29</f>
        <v>-2125747.5396975526</v>
      </c>
      <c r="AO55" s="41">
        <f ca="1">IF(AO53&lt;&gt;0,AO54/AO53,0)</f>
        <v>-0.10550062553552349</v>
      </c>
      <c r="AP55" s="41">
        <f ca="1">IF(AP53&lt;&gt;0,AP54/AP53,0)</f>
        <v>0</v>
      </c>
    </row>
    <row r="56" spans="1:55" ht="11.25" customHeight="1" x14ac:dyDescent="0.25">
      <c r="K56" s="35" t="s">
        <v>452</v>
      </c>
      <c r="L56" s="31">
        <f>CUSTOS!$F$2</f>
        <v>11176.038919799439</v>
      </c>
      <c r="M56" s="31">
        <f>CUSTOS!$F$3</f>
        <v>0</v>
      </c>
      <c r="N56" s="31">
        <f>CUSTOS!$F$4</f>
        <v>0</v>
      </c>
      <c r="O56" s="31">
        <f>CUSTOS!$F$5</f>
        <v>0</v>
      </c>
      <c r="P56" s="31">
        <f>CUSTOS!$F$6</f>
        <v>0</v>
      </c>
      <c r="Q56" s="31">
        <f>CUSTOS!$F$7</f>
        <v>969884.26800000004</v>
      </c>
      <c r="R56" s="31">
        <f>CUSTOS!$F$8</f>
        <v>232624.6783</v>
      </c>
      <c r="S56" s="31">
        <f>CUSTOS!$F$9</f>
        <v>0</v>
      </c>
      <c r="T56" s="31">
        <f>CUSTOS!$F$10</f>
        <v>1213684.9852197994</v>
      </c>
      <c r="U56" s="31">
        <f>CUSTOS!$F$11</f>
        <v>0</v>
      </c>
      <c r="V56" s="31">
        <f>CUSTOS!$F$12</f>
        <v>0</v>
      </c>
      <c r="W56" s="31">
        <f>CUSTOS!$F$13</f>
        <v>0</v>
      </c>
      <c r="X56" s="31">
        <f>CUSTOS!$F$14</f>
        <v>0</v>
      </c>
      <c r="Y56" s="31">
        <f>CUSTOS!$F$15</f>
        <v>0</v>
      </c>
      <c r="Z56" s="31">
        <f>CUSTOS!$F$16</f>
        <v>0</v>
      </c>
      <c r="AA56" s="31">
        <f>CUSTOS!$F$17</f>
        <v>0</v>
      </c>
      <c r="AB56" s="31">
        <f>CUSTOS!$F$18</f>
        <v>0</v>
      </c>
      <c r="AC56" s="31">
        <f>CUSTOS!$F$19</f>
        <v>0</v>
      </c>
      <c r="AD56" s="31">
        <f>CUSTOS!$F$20</f>
        <v>0</v>
      </c>
      <c r="AE56" s="31">
        <f>CUSTOS!$F$21</f>
        <v>0</v>
      </c>
      <c r="AF56" s="31">
        <f>CUSTOS!$F$22</f>
        <v>0</v>
      </c>
      <c r="AG56" s="31">
        <f>CUSTOS!$F$23</f>
        <v>0</v>
      </c>
      <c r="AH56" s="31">
        <f>CUSTOS!$F$24</f>
        <v>112325.37685601893</v>
      </c>
      <c r="AI56" s="31">
        <f>CUSTOS!$F$25</f>
        <v>3612.2319191140596</v>
      </c>
      <c r="AJ56" s="31">
        <f>CUSTOS!$F$26</f>
        <v>12606.18237189193</v>
      </c>
      <c r="AK56" s="31">
        <f>CUSTOS!$F$27</f>
        <v>0</v>
      </c>
      <c r="AL56" s="31">
        <f>CUSTOS!$F$28</f>
        <v>128543.79114702492</v>
      </c>
      <c r="AM56" s="31">
        <f>CUSTOS!$F$29</f>
        <v>1342228.7763668243</v>
      </c>
    </row>
    <row r="57" spans="1:55" ht="11.25" customHeight="1" x14ac:dyDescent="0.25">
      <c r="K57" s="35" t="s">
        <v>515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f>SUM($L$57:$S$57)</f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f>SUM($U$57:$AA$57)</f>
        <v>0</v>
      </c>
      <c r="AC57" s="31">
        <v>0</v>
      </c>
      <c r="AD57" s="31">
        <f>SUM($AC$57:$AC$57)</f>
        <v>0</v>
      </c>
      <c r="AE57" s="31">
        <v>0</v>
      </c>
      <c r="AF57" s="31">
        <v>0</v>
      </c>
      <c r="AG57" s="31">
        <f>SUM($AE$57:$AF$57)</f>
        <v>0</v>
      </c>
      <c r="AH57" s="31">
        <v>0</v>
      </c>
      <c r="AI57" s="31">
        <v>0</v>
      </c>
      <c r="AJ57" s="31">
        <v>0</v>
      </c>
      <c r="AK57" s="31">
        <v>0</v>
      </c>
      <c r="AL57" s="31">
        <f>SUM($AH$57:$AK$57)</f>
        <v>0</v>
      </c>
      <c r="AM57" s="31"/>
    </row>
    <row r="58" spans="1:55" ht="11.25" customHeight="1" x14ac:dyDescent="0.25">
      <c r="K58" s="35" t="s">
        <v>521</v>
      </c>
      <c r="L58" s="31">
        <f t="shared" ref="L58:R58" si="7">IF((L54-(0))&lt;&gt;0,(L56)/(L54-(0)),0)</f>
        <v>6.559968011552067E-2</v>
      </c>
      <c r="M58" s="31">
        <f t="shared" si="7"/>
        <v>0</v>
      </c>
      <c r="N58" s="31">
        <f t="shared" si="7"/>
        <v>0</v>
      </c>
      <c r="O58" s="31">
        <f t="shared" si="7"/>
        <v>0</v>
      </c>
      <c r="P58" s="31">
        <f t="shared" si="7"/>
        <v>0</v>
      </c>
      <c r="Q58" s="31">
        <f t="shared" si="7"/>
        <v>0.15570213231700089</v>
      </c>
      <c r="R58" s="31">
        <f t="shared" si="7"/>
        <v>0.21615355791354851</v>
      </c>
      <c r="S58" s="31">
        <f>IF((R53-(0)&lt;&gt;0),(S55)/(R53-(0)),0)</f>
        <v>0</v>
      </c>
      <c r="T58" s="31"/>
      <c r="U58" s="31">
        <f t="shared" ref="U58:AA58" si="8">IF((U54-(0))&lt;&gt;0,(U56)/(U54-(0)),0)</f>
        <v>0</v>
      </c>
      <c r="V58" s="31">
        <f t="shared" si="8"/>
        <v>0</v>
      </c>
      <c r="W58" s="31">
        <f t="shared" si="8"/>
        <v>0</v>
      </c>
      <c r="X58" s="31">
        <f t="shared" si="8"/>
        <v>0</v>
      </c>
      <c r="Y58" s="31">
        <f t="shared" si="8"/>
        <v>0</v>
      </c>
      <c r="Z58" s="31">
        <f t="shared" si="8"/>
        <v>0</v>
      </c>
      <c r="AA58" s="31">
        <f t="shared" si="8"/>
        <v>0</v>
      </c>
      <c r="AB58" s="31"/>
      <c r="AC58" s="31">
        <f>IF((AC54-(0))&lt;&gt;0,(AC56)/(AC54-(0)),0)</f>
        <v>0</v>
      </c>
      <c r="AD58" s="31"/>
      <c r="AE58" s="31">
        <f ca="1">IF(($AM53-(0))&lt;&gt;0,(AE55)/($AM53-(0)),0)</f>
        <v>1.1642894480702304</v>
      </c>
      <c r="AF58" s="31">
        <f ca="1">IF(($AM53-(0))&lt;&gt;0,(AF55)/($AM53-(0)),0)</f>
        <v>0</v>
      </c>
      <c r="AG58" s="31"/>
      <c r="AH58" s="31">
        <f>IF((AH54-(0))&lt;&gt;0,(AH56)/(AH54-(0)),0)</f>
        <v>0.10795132308110446</v>
      </c>
      <c r="AI58" s="31">
        <f>IF((AI54-(0))&lt;&gt;0,(AI56)/(AI54-(0)),0)</f>
        <v>0.10795132308110447</v>
      </c>
      <c r="AJ58" s="31">
        <f>IF((AJ54-(0))&lt;&gt;0,(AJ56)/(AJ54-(0)),0)</f>
        <v>0.10795132308110447</v>
      </c>
      <c r="AK58" s="31">
        <f>IF((AK54-(0))&lt;&gt;0,(AK56)/(AK54-(0)),0)</f>
        <v>0</v>
      </c>
      <c r="AL58" s="31"/>
      <c r="AM58" s="31"/>
    </row>
  </sheetData>
  <mergeCells count="84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0:D32"/>
    <mergeCell ref="E30:E32"/>
    <mergeCell ref="F30:F32"/>
    <mergeCell ref="B34:B36"/>
    <mergeCell ref="C34:C36"/>
    <mergeCell ref="D34:D36"/>
    <mergeCell ref="E34:E36"/>
    <mergeCell ref="AQ1:AQ4"/>
    <mergeCell ref="B42:B44"/>
    <mergeCell ref="C42:C44"/>
    <mergeCell ref="A45:A49"/>
    <mergeCell ref="B45:B47"/>
    <mergeCell ref="C45:C47"/>
    <mergeCell ref="D45:D47"/>
    <mergeCell ref="F34:F36"/>
    <mergeCell ref="B38:B40"/>
    <mergeCell ref="C38:C40"/>
    <mergeCell ref="D38:D40"/>
    <mergeCell ref="E38:E40"/>
    <mergeCell ref="F38:F40"/>
    <mergeCell ref="A30:A44"/>
    <mergeCell ref="B30:B32"/>
    <mergeCell ref="C30:C32"/>
    <mergeCell ref="E45:E47"/>
    <mergeCell ref="F45:F47"/>
    <mergeCell ref="A50:A51"/>
    <mergeCell ref="B50:B51"/>
    <mergeCell ref="C50:C51"/>
    <mergeCell ref="AX1:AX4"/>
    <mergeCell ref="AY1:AY4"/>
    <mergeCell ref="AZ1:AZ4"/>
    <mergeCell ref="BC1:BC4"/>
    <mergeCell ref="AR1:AR4"/>
    <mergeCell ref="AS1:AS4"/>
    <mergeCell ref="AT1:AT4"/>
    <mergeCell ref="AU1:AU4"/>
    <mergeCell ref="AV1:AV4"/>
    <mergeCell ref="AW1:AW4"/>
  </mergeCells>
  <conditionalFormatting sqref="L53">
    <cfRule type="cellIs" dxfId="268" priority="55" operator="notEqual">
      <formula>$L$55</formula>
    </cfRule>
    <cfRule type="cellIs" dxfId="267" priority="56" operator="equal">
      <formula>$L$55</formula>
    </cfRule>
  </conditionalFormatting>
  <conditionalFormatting sqref="M53">
    <cfRule type="cellIs" dxfId="266" priority="53" operator="notEqual">
      <formula>$M$55</formula>
    </cfRule>
    <cfRule type="cellIs" dxfId="265" priority="54" operator="equal">
      <formula>$M$55</formula>
    </cfRule>
  </conditionalFormatting>
  <conditionalFormatting sqref="N53">
    <cfRule type="cellIs" dxfId="264" priority="51" operator="notEqual">
      <formula>$N$55</formula>
    </cfRule>
    <cfRule type="cellIs" dxfId="263" priority="52" operator="equal">
      <formula>$N$55</formula>
    </cfRule>
  </conditionalFormatting>
  <conditionalFormatting sqref="O53">
    <cfRule type="cellIs" dxfId="262" priority="49" operator="notEqual">
      <formula>$O$55</formula>
    </cfRule>
    <cfRule type="cellIs" dxfId="261" priority="50" operator="equal">
      <formula>$O$55</formula>
    </cfRule>
  </conditionalFormatting>
  <conditionalFormatting sqref="P53">
    <cfRule type="cellIs" dxfId="260" priority="47" operator="notEqual">
      <formula>$P$55</formula>
    </cfRule>
    <cfRule type="cellIs" dxfId="259" priority="48" operator="equal">
      <formula>$P$55</formula>
    </cfRule>
  </conditionalFormatting>
  <conditionalFormatting sqref="Q53">
    <cfRule type="cellIs" dxfId="258" priority="45" operator="notEqual">
      <formula>$Q$55</formula>
    </cfRule>
    <cfRule type="cellIs" dxfId="257" priority="46" operator="equal">
      <formula>$Q$55</formula>
    </cfRule>
  </conditionalFormatting>
  <conditionalFormatting sqref="R53">
    <cfRule type="cellIs" dxfId="256" priority="43" operator="notEqual">
      <formula>$R$55</formula>
    </cfRule>
    <cfRule type="cellIs" dxfId="255" priority="44" operator="equal">
      <formula>$R$55</formula>
    </cfRule>
  </conditionalFormatting>
  <conditionalFormatting sqref="S53">
    <cfRule type="cellIs" dxfId="254" priority="41" operator="notEqual">
      <formula>$S$55</formula>
    </cfRule>
    <cfRule type="cellIs" dxfId="253" priority="42" operator="equal">
      <formula>$S$55</formula>
    </cfRule>
  </conditionalFormatting>
  <conditionalFormatting sqref="T53">
    <cfRule type="cellIs" dxfId="252" priority="39" operator="notEqual">
      <formula>$T$55</formula>
    </cfRule>
    <cfRule type="cellIs" dxfId="251" priority="40" operator="equal">
      <formula>$T$55</formula>
    </cfRule>
  </conditionalFormatting>
  <conditionalFormatting sqref="U53">
    <cfRule type="cellIs" dxfId="250" priority="37" operator="notEqual">
      <formula>$U$55</formula>
    </cfRule>
    <cfRule type="cellIs" dxfId="249" priority="38" operator="equal">
      <formula>$U$55</formula>
    </cfRule>
  </conditionalFormatting>
  <conditionalFormatting sqref="V53">
    <cfRule type="cellIs" dxfId="248" priority="35" operator="notEqual">
      <formula>$V$55</formula>
    </cfRule>
    <cfRule type="cellIs" dxfId="247" priority="36" operator="equal">
      <formula>$V$55</formula>
    </cfRule>
  </conditionalFormatting>
  <conditionalFormatting sqref="W53">
    <cfRule type="cellIs" dxfId="246" priority="33" operator="notEqual">
      <formula>$W$55</formula>
    </cfRule>
    <cfRule type="cellIs" dxfId="245" priority="34" operator="equal">
      <formula>$W$55</formula>
    </cfRule>
  </conditionalFormatting>
  <conditionalFormatting sqref="X53">
    <cfRule type="cellIs" dxfId="244" priority="31" operator="notEqual">
      <formula>$X$55</formula>
    </cfRule>
    <cfRule type="cellIs" dxfId="243" priority="32" operator="equal">
      <formula>$X$55</formula>
    </cfRule>
  </conditionalFormatting>
  <conditionalFormatting sqref="Y53">
    <cfRule type="cellIs" dxfId="242" priority="29" operator="notEqual">
      <formula>$Y$55</formula>
    </cfRule>
    <cfRule type="cellIs" dxfId="241" priority="30" operator="equal">
      <formula>$Y$55</formula>
    </cfRule>
  </conditionalFormatting>
  <conditionalFormatting sqref="Z53">
    <cfRule type="cellIs" dxfId="240" priority="27" operator="notEqual">
      <formula>$Z$55</formula>
    </cfRule>
    <cfRule type="cellIs" dxfId="239" priority="28" operator="equal">
      <formula>$Z$55</formula>
    </cfRule>
  </conditionalFormatting>
  <conditionalFormatting sqref="AA53">
    <cfRule type="cellIs" dxfId="238" priority="25" operator="notEqual">
      <formula>$AA$55</formula>
    </cfRule>
    <cfRule type="cellIs" dxfId="237" priority="26" operator="equal">
      <formula>$AA$55</formula>
    </cfRule>
  </conditionalFormatting>
  <conditionalFormatting sqref="AB53">
    <cfRule type="cellIs" dxfId="236" priority="23" operator="notEqual">
      <formula>$AB$55</formula>
    </cfRule>
    <cfRule type="cellIs" dxfId="235" priority="24" operator="equal">
      <formula>$AB$55</formula>
    </cfRule>
  </conditionalFormatting>
  <conditionalFormatting sqref="AC53">
    <cfRule type="cellIs" dxfId="234" priority="21" operator="notEqual">
      <formula>$AC$55</formula>
    </cfRule>
    <cfRule type="cellIs" dxfId="233" priority="22" operator="equal">
      <formula>$AC$55</formula>
    </cfRule>
  </conditionalFormatting>
  <conditionalFormatting sqref="AD53">
    <cfRule type="cellIs" dxfId="232" priority="19" operator="notEqual">
      <formula>$AD$55</formula>
    </cfRule>
    <cfRule type="cellIs" dxfId="231" priority="20" operator="equal">
      <formula>$AD$55</formula>
    </cfRule>
  </conditionalFormatting>
  <conditionalFormatting sqref="AE53">
    <cfRule type="cellIs" dxfId="230" priority="17" operator="notEqual">
      <formula>$AE$55</formula>
    </cfRule>
    <cfRule type="cellIs" dxfId="229" priority="18" operator="equal">
      <formula>$AE$55</formula>
    </cfRule>
  </conditionalFormatting>
  <conditionalFormatting sqref="AF53">
    <cfRule type="cellIs" dxfId="228" priority="16" operator="equal">
      <formula>$AF$55</formula>
    </cfRule>
  </conditionalFormatting>
  <conditionalFormatting sqref="AF53">
    <cfRule type="cellIs" dxfId="227" priority="15" operator="notEqual">
      <formula>$AF$55</formula>
    </cfRule>
  </conditionalFormatting>
  <conditionalFormatting sqref="AG53">
    <cfRule type="cellIs" dxfId="226" priority="14" operator="equal">
      <formula>$AG$55</formula>
    </cfRule>
  </conditionalFormatting>
  <conditionalFormatting sqref="AG53">
    <cfRule type="cellIs" dxfId="225" priority="13" operator="notEqual">
      <formula>$AG$55</formula>
    </cfRule>
  </conditionalFormatting>
  <conditionalFormatting sqref="AH53">
    <cfRule type="cellIs" dxfId="224" priority="12" operator="equal">
      <formula>$AH$55</formula>
    </cfRule>
  </conditionalFormatting>
  <conditionalFormatting sqref="AH53">
    <cfRule type="cellIs" dxfId="223" priority="11" operator="notEqual">
      <formula>$AH$55</formula>
    </cfRule>
  </conditionalFormatting>
  <conditionalFormatting sqref="AI53">
    <cfRule type="cellIs" dxfId="222" priority="10" operator="equal">
      <formula>$AI$55</formula>
    </cfRule>
  </conditionalFormatting>
  <conditionalFormatting sqref="AI53">
    <cfRule type="cellIs" dxfId="221" priority="9" operator="notEqual">
      <formula>$AI$55</formula>
    </cfRule>
  </conditionalFormatting>
  <conditionalFormatting sqref="AJ53">
    <cfRule type="cellIs" dxfId="220" priority="8" operator="equal">
      <formula>$AJ$55</formula>
    </cfRule>
  </conditionalFormatting>
  <conditionalFormatting sqref="AJ53">
    <cfRule type="cellIs" dxfId="219" priority="7" operator="notEqual">
      <formula>$AJ$55</formula>
    </cfRule>
  </conditionalFormatting>
  <conditionalFormatting sqref="AK53">
    <cfRule type="cellIs" dxfId="218" priority="6" operator="equal">
      <formula>$AK$55</formula>
    </cfRule>
  </conditionalFormatting>
  <conditionalFormatting sqref="AK53">
    <cfRule type="cellIs" dxfId="217" priority="5" operator="notEqual">
      <formula>$AK$55</formula>
    </cfRule>
  </conditionalFormatting>
  <conditionalFormatting sqref="AL53">
    <cfRule type="cellIs" dxfId="216" priority="4" operator="equal">
      <formula>$AL$55</formula>
    </cfRule>
  </conditionalFormatting>
  <conditionalFormatting sqref="AL53">
    <cfRule type="cellIs" dxfId="215" priority="3" operator="notEqual">
      <formula>$AL$55</formula>
    </cfRule>
  </conditionalFormatting>
  <conditionalFormatting sqref="AM53">
    <cfRule type="cellIs" dxfId="214" priority="2" operator="equal">
      <formula>$AM$55</formula>
    </cfRule>
  </conditionalFormatting>
  <conditionalFormatting sqref="AM53">
    <cfRule type="cellIs" dxfId="213" priority="1" operator="notEqual">
      <formula>$AM$55</formula>
    </cfRule>
  </conditionalFormatting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E788A-89C9-4F40-B0A1-117617B1923C}">
  <sheetPr>
    <tabColor indexed="12" tint="-0.249977111117893"/>
  </sheetPr>
  <dimension ref="A1:AO50"/>
  <sheetViews>
    <sheetView showGridLines="0" topLeftCell="X1" workbookViewId="0">
      <selection activeCell="AH5" sqref="AH5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" style="9" bestFit="1" customWidth="1"/>
    <col min="14" max="14" width="7.85546875" style="9" bestFit="1" customWidth="1"/>
    <col min="15" max="15" width="11.140625" style="9" bestFit="1" customWidth="1"/>
    <col min="16" max="17" width="9.28515625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7.85546875" style="9" bestFit="1" customWidth="1"/>
    <col min="23" max="23" width="9.28515625" style="9" bestFit="1" customWidth="1"/>
    <col min="24" max="25" width="10.57031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41" ht="11.25" customHeight="1" x14ac:dyDescent="0.25">
      <c r="A1" s="142" t="s">
        <v>60</v>
      </c>
      <c r="B1" s="142" t="s">
        <v>61</v>
      </c>
      <c r="C1" s="142" t="s">
        <v>62</v>
      </c>
      <c r="D1" s="142" t="s">
        <v>63</v>
      </c>
      <c r="E1" s="142" t="s">
        <v>64</v>
      </c>
      <c r="F1" s="142" t="s">
        <v>15</v>
      </c>
      <c r="G1" s="142" t="s">
        <v>66</v>
      </c>
      <c r="H1" s="142" t="s">
        <v>67</v>
      </c>
      <c r="I1" s="142" t="s">
        <v>509</v>
      </c>
      <c r="J1" s="129"/>
      <c r="L1" s="143" t="s">
        <v>530</v>
      </c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  <c r="AC1" s="154" t="s">
        <v>1</v>
      </c>
      <c r="AD1" s="152" t="s">
        <v>2</v>
      </c>
      <c r="AE1" s="152" t="s">
        <v>3</v>
      </c>
      <c r="AF1" s="152" t="s">
        <v>4</v>
      </c>
      <c r="AG1" s="152" t="s">
        <v>5</v>
      </c>
      <c r="AH1" s="152" t="s">
        <v>1058</v>
      </c>
      <c r="AI1" s="152" t="s">
        <v>1093</v>
      </c>
      <c r="AJ1" s="152" t="s">
        <v>1060</v>
      </c>
      <c r="AK1" s="152" t="s">
        <v>1061</v>
      </c>
      <c r="AL1" s="152" t="s">
        <v>1062</v>
      </c>
      <c r="AO1" s="152" t="s">
        <v>1063</v>
      </c>
    </row>
    <row r="2" spans="1:41" ht="11.25" customHeight="1" x14ac:dyDescent="0.25">
      <c r="A2" s="142"/>
      <c r="B2" s="142"/>
      <c r="C2" s="142"/>
      <c r="D2" s="142"/>
      <c r="E2" s="142"/>
      <c r="F2" s="142"/>
      <c r="G2" s="142"/>
      <c r="H2" s="142"/>
      <c r="I2" s="142"/>
      <c r="J2" s="129"/>
      <c r="L2" s="143" t="s">
        <v>436</v>
      </c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  <c r="AA2" s="143"/>
      <c r="AB2" s="143"/>
      <c r="AC2" s="155"/>
      <c r="AD2" s="153"/>
      <c r="AE2" s="153"/>
      <c r="AF2" s="153"/>
      <c r="AG2" s="153"/>
      <c r="AH2" s="153"/>
      <c r="AI2" s="153"/>
      <c r="AJ2" s="153"/>
      <c r="AK2" s="153"/>
      <c r="AL2" s="153"/>
      <c r="AO2" s="153"/>
    </row>
    <row r="3" spans="1:41" ht="11.25" customHeight="1" x14ac:dyDescent="0.25">
      <c r="A3" s="142"/>
      <c r="B3" s="142"/>
      <c r="C3" s="142"/>
      <c r="D3" s="142"/>
      <c r="E3" s="142"/>
      <c r="F3" s="142"/>
      <c r="G3" s="142"/>
      <c r="H3" s="142"/>
      <c r="I3" s="142"/>
      <c r="J3" s="129"/>
      <c r="L3" s="143" t="s">
        <v>409</v>
      </c>
      <c r="M3" s="143"/>
      <c r="N3" s="143"/>
      <c r="O3" s="143"/>
      <c r="P3" s="143"/>
      <c r="Q3" s="143"/>
      <c r="R3" s="143" t="s">
        <v>440</v>
      </c>
      <c r="S3" s="143"/>
      <c r="T3" s="143" t="s">
        <v>418</v>
      </c>
      <c r="U3" s="143"/>
      <c r="V3" s="143"/>
      <c r="W3" s="143"/>
      <c r="X3" s="143" t="s">
        <v>428</v>
      </c>
      <c r="Y3" s="143"/>
      <c r="Z3" s="143" t="s">
        <v>431</v>
      </c>
      <c r="AA3" s="143"/>
      <c r="AB3" s="143" t="s">
        <v>417</v>
      </c>
      <c r="AC3" s="155"/>
      <c r="AD3" s="153"/>
      <c r="AE3" s="153"/>
      <c r="AF3" s="153"/>
      <c r="AG3" s="153"/>
      <c r="AH3" s="153"/>
      <c r="AI3" s="153"/>
      <c r="AJ3" s="153"/>
      <c r="AK3" s="153"/>
      <c r="AL3" s="153"/>
      <c r="AO3" s="153"/>
    </row>
    <row r="4" spans="1:41" ht="11.25" customHeight="1" x14ac:dyDescent="0.25">
      <c r="A4" s="142"/>
      <c r="B4" s="142"/>
      <c r="C4" s="142"/>
      <c r="D4" s="142"/>
      <c r="E4" s="142"/>
      <c r="F4" s="142"/>
      <c r="G4" s="142"/>
      <c r="H4" s="142"/>
      <c r="I4" s="142"/>
      <c r="J4" s="129"/>
      <c r="L4" s="48" t="s">
        <v>411</v>
      </c>
      <c r="M4" s="48" t="s">
        <v>437</v>
      </c>
      <c r="N4" s="48" t="s">
        <v>438</v>
      </c>
      <c r="O4" s="48" t="s">
        <v>497</v>
      </c>
      <c r="P4" s="48" t="s">
        <v>439</v>
      </c>
      <c r="Q4" s="48" t="s">
        <v>417</v>
      </c>
      <c r="R4" s="48" t="s">
        <v>441</v>
      </c>
      <c r="S4" s="48" t="s">
        <v>417</v>
      </c>
      <c r="T4" s="48" t="s">
        <v>442</v>
      </c>
      <c r="U4" s="48" t="s">
        <v>443</v>
      </c>
      <c r="V4" s="48" t="s">
        <v>444</v>
      </c>
      <c r="W4" s="48" t="s">
        <v>417</v>
      </c>
      <c r="X4" s="48" t="s">
        <v>429</v>
      </c>
      <c r="Y4" s="48" t="s">
        <v>417</v>
      </c>
      <c r="Z4" s="48" t="s">
        <v>445</v>
      </c>
      <c r="AA4" s="48" t="s">
        <v>417</v>
      </c>
      <c r="AB4" s="144"/>
      <c r="AC4" s="155"/>
      <c r="AD4" s="153"/>
      <c r="AE4" s="153"/>
      <c r="AF4" s="153"/>
      <c r="AG4" s="153"/>
      <c r="AH4" s="153"/>
      <c r="AI4" s="153"/>
      <c r="AJ4" s="153"/>
      <c r="AK4" s="153"/>
      <c r="AL4" s="153"/>
      <c r="AO4" s="153"/>
    </row>
    <row r="5" spans="1:41" ht="11.25" customHeight="1" x14ac:dyDescent="0.25">
      <c r="A5" s="141" t="s">
        <v>34</v>
      </c>
      <c r="B5" s="141" t="s">
        <v>69</v>
      </c>
      <c r="C5" s="141" t="s">
        <v>25</v>
      </c>
      <c r="D5" s="141" t="s">
        <v>25</v>
      </c>
      <c r="E5" s="141" t="s">
        <v>25</v>
      </c>
      <c r="F5" s="141" t="s">
        <v>25</v>
      </c>
      <c r="G5" s="46" t="s">
        <v>71</v>
      </c>
      <c r="H5" s="46" t="s">
        <v>70</v>
      </c>
      <c r="I5" s="46">
        <f>'MERCADO TE'!$U$2</f>
        <v>2156.2699999999995</v>
      </c>
      <c r="J5" s="15"/>
      <c r="L5" s="44">
        <f>'TE BE'!$L$5*'TE BE'!$L$49</f>
        <v>4.5881186970682265E-7</v>
      </c>
      <c r="M5" s="44">
        <f>'TE BE'!$M$5*'TE BE'!$M$49</f>
        <v>-4.9716485011730516</v>
      </c>
      <c r="N5" s="44">
        <f>'TE BE'!$N$5*'TE BE'!$N$49</f>
        <v>0</v>
      </c>
      <c r="O5" s="44">
        <f>'TE BE'!$O$5*'TE BE'!$O$49</f>
        <v>-3.3838339792789322E-2</v>
      </c>
      <c r="P5" s="44">
        <f>'TE BE'!$P$5*'TE BE'!$P$49</f>
        <v>0</v>
      </c>
      <c r="Q5" s="44">
        <f>SUM($L$5:$P$5)</f>
        <v>-5.0054863821539719</v>
      </c>
      <c r="R5" s="44">
        <f>'TE BE'!$R$5*'TE BE'!$R$49</f>
        <v>-20.646430425190644</v>
      </c>
      <c r="S5" s="44">
        <f>SUM($R$5:$R$5)</f>
        <v>-20.646430425190644</v>
      </c>
      <c r="T5" s="44">
        <f>'TE BE'!$T$5*'TE BE'!$T$49</f>
        <v>0.19552861581043851</v>
      </c>
      <c r="U5" s="44">
        <f>'TE BE'!$U$5*'TE BE'!$U$49</f>
        <v>3.0098034642732759E-2</v>
      </c>
      <c r="V5" s="44">
        <f>'TE BE'!$V$5*'TE BE'!$V$49</f>
        <v>0</v>
      </c>
      <c r="W5" s="44">
        <f>SUM($T$5:$V$5)</f>
        <v>0.22562665045317126</v>
      </c>
      <c r="X5" s="44">
        <f>'TE BE'!$AB$5*'TE BE'!$X$49</f>
        <v>-38.007996573099831</v>
      </c>
      <c r="Y5" s="44">
        <f>SUM($X$5:$X$5)</f>
        <v>-38.007996573099831</v>
      </c>
      <c r="Z5" s="44">
        <f>'TE BE'!$Z$5*'TE BE'!$Z$49</f>
        <v>-0.36801891718108032</v>
      </c>
      <c r="AA5" s="44">
        <f>SUM($Z$5:$Z$5)</f>
        <v>-0.36801891718108032</v>
      </c>
      <c r="AB5" s="44">
        <f ca="1">SUMIF($L$4:$AA$4,"SUBTOTAL",$L$5:$AA$5)+AL5</f>
        <v>-63.802305647172354</v>
      </c>
      <c r="AC5" s="9" t="str">
        <f t="shared" ref="AC5:AC42" si="0">IF($A5="",AC4,$A5)</f>
        <v>A4</v>
      </c>
      <c r="AD5" s="9" t="str">
        <f t="shared" ref="AD5:AD42" si="1">IF($B5="",AD4,$B5)</f>
        <v>Energia horária</v>
      </c>
      <c r="AE5" s="9" t="str">
        <f t="shared" ref="AE5:AE42" si="2">IF($C5="",AE4,$C5)</f>
        <v>Não se aplica</v>
      </c>
      <c r="AF5" s="9" t="str">
        <f t="shared" ref="AF5:AF42" si="3">IF($D5="",AF4,$D5)</f>
        <v>Não se aplica</v>
      </c>
      <c r="AG5" s="9" t="str">
        <f t="shared" ref="AG5:AG42" si="4">IF($E5="",AG4,$E5)</f>
        <v>Não se aplica</v>
      </c>
      <c r="AH5" s="9">
        <v>1</v>
      </c>
      <c r="AI5" s="9">
        <f ca="1">IFERROR(VLOOKUP(AC5,TarifaMedia!$C$18:$G$18,5,0),0)</f>
        <v>0</v>
      </c>
      <c r="AJ5" s="15">
        <f>'TE BE'!$AB5+'TE BF'!$AB5+'TE CVA'!$AB5</f>
        <v>347.98834052804079</v>
      </c>
      <c r="AK5" s="9">
        <v>393.63</v>
      </c>
      <c r="AL5" s="9">
        <f t="shared" ref="AL5:AL42" ca="1" si="5">(AK5-AJ5)*AI5*AH5</f>
        <v>0</v>
      </c>
      <c r="AO5" s="93" t="s">
        <v>1094</v>
      </c>
    </row>
    <row r="6" spans="1:41" ht="11.25" customHeight="1" x14ac:dyDescent="0.25">
      <c r="A6" s="141"/>
      <c r="B6" s="141"/>
      <c r="C6" s="141"/>
      <c r="D6" s="141"/>
      <c r="E6" s="141"/>
      <c r="F6" s="141"/>
      <c r="G6" s="46" t="s">
        <v>72</v>
      </c>
      <c r="H6" s="46" t="s">
        <v>70</v>
      </c>
      <c r="I6" s="46">
        <f>'MERCADO TE'!$U$3</f>
        <v>23356.773000000001</v>
      </c>
      <c r="J6" s="15"/>
      <c r="L6" s="44">
        <f>'TE BE'!$L$6*'TE BE'!$L$49</f>
        <v>4.5881186970682265E-7</v>
      </c>
      <c r="M6" s="44">
        <f>'TE BE'!$M$6*'TE BE'!$M$49</f>
        <v>-4.9716485011730516</v>
      </c>
      <c r="N6" s="44">
        <f>'TE BE'!$N$6*'TE BE'!$N$49</f>
        <v>0</v>
      </c>
      <c r="O6" s="44">
        <f>'TE BE'!$O$6*'TE BE'!$O$49</f>
        <v>-3.3838339792789322E-2</v>
      </c>
      <c r="P6" s="44">
        <f>'TE BE'!$P$6*'TE BE'!$P$49</f>
        <v>0</v>
      </c>
      <c r="Q6" s="44">
        <f>SUM($L$6:$P$6)</f>
        <v>-5.0054863821539719</v>
      </c>
      <c r="R6" s="44">
        <f>'TE BE'!$R$6*'TE BE'!$R$49</f>
        <v>-12.003738619296888</v>
      </c>
      <c r="S6" s="44">
        <f>SUM($R$6:$R$6)</f>
        <v>-12.003738619296888</v>
      </c>
      <c r="T6" s="44">
        <f>'TE BE'!$T$6*'TE BE'!$T$49</f>
        <v>0.19552861581043851</v>
      </c>
      <c r="U6" s="44">
        <f>'TE BE'!$U$6*'TE BE'!$U$49</f>
        <v>3.0098034642732759E-2</v>
      </c>
      <c r="V6" s="44">
        <f>'TE BE'!$V$6*'TE BE'!$V$49</f>
        <v>0</v>
      </c>
      <c r="W6" s="44">
        <f>SUM($T$6:$V$6)</f>
        <v>0.22562665045317126</v>
      </c>
      <c r="X6" s="44">
        <f>'TE BE'!$AB$6*'TE BE'!$X$49</f>
        <v>-23.270932373544532</v>
      </c>
      <c r="Y6" s="44">
        <f>SUM($X$6:$X$6)</f>
        <v>-23.270932373544532</v>
      </c>
      <c r="Z6" s="44">
        <f>'TE BE'!$Z$6*'TE BE'!$Z$49</f>
        <v>-0.36801891718108032</v>
      </c>
      <c r="AA6" s="44">
        <f>SUM($Z$6:$Z$6)</f>
        <v>-0.36801891718108032</v>
      </c>
      <c r="AB6" s="44">
        <f ca="1">SUMIF($L$4:$AA$4,"SUBTOTAL",$L$6:$AA$6)+AL6</f>
        <v>-40.4225496417233</v>
      </c>
      <c r="AC6" s="9" t="str">
        <f t="shared" si="0"/>
        <v>A4</v>
      </c>
      <c r="AD6" s="9" t="str">
        <f t="shared" si="1"/>
        <v>Energia horária</v>
      </c>
      <c r="AE6" s="9" t="str">
        <f t="shared" si="2"/>
        <v>Não se aplica</v>
      </c>
      <c r="AF6" s="9" t="str">
        <f t="shared" si="3"/>
        <v>Não se aplica</v>
      </c>
      <c r="AG6" s="9" t="str">
        <f t="shared" si="4"/>
        <v>Não se aplica</v>
      </c>
      <c r="AH6" s="9">
        <v>1</v>
      </c>
      <c r="AI6" s="9">
        <f ca="1">IFERROR(VLOOKUP(AC6,TarifaMedia!$C$18:$G$18,5,0),0)</f>
        <v>0</v>
      </c>
      <c r="AJ6" s="15">
        <f>'TE BE'!$AB6+'TE BF'!$AB6+'TE CVA'!$AB6</f>
        <v>216.60171770542672</v>
      </c>
      <c r="AK6" s="9">
        <v>249.61</v>
      </c>
      <c r="AL6" s="9">
        <f t="shared" ca="1" si="5"/>
        <v>0</v>
      </c>
      <c r="AO6" s="93" t="s">
        <v>1095</v>
      </c>
    </row>
    <row r="7" spans="1:41" ht="11.25" customHeight="1" x14ac:dyDescent="0.25">
      <c r="A7" s="141"/>
      <c r="B7" s="47" t="s">
        <v>73</v>
      </c>
      <c r="C7" s="47" t="s">
        <v>25</v>
      </c>
      <c r="D7" s="47" t="s">
        <v>25</v>
      </c>
      <c r="E7" s="47" t="s">
        <v>25</v>
      </c>
      <c r="F7" s="47" t="s">
        <v>25</v>
      </c>
      <c r="G7" s="46" t="s">
        <v>74</v>
      </c>
      <c r="H7" s="46" t="s">
        <v>70</v>
      </c>
      <c r="I7" s="46">
        <f>'MERCADO TE'!$U$4</f>
        <v>0</v>
      </c>
      <c r="J7" s="15"/>
      <c r="L7" s="44">
        <f>'TE BE'!$L$7*'TE BE'!$L$49</f>
        <v>4.5881186970682265E-7</v>
      </c>
      <c r="M7" s="44">
        <f>'TE BE'!$M$7*'TE BE'!$M$49</f>
        <v>-4.9716485011730516</v>
      </c>
      <c r="N7" s="44">
        <f>'TE BE'!$N$7*'TE BE'!$N$49</f>
        <v>0</v>
      </c>
      <c r="O7" s="44">
        <f>'TE BE'!$O$7*'TE BE'!$O$49</f>
        <v>-3.3838339792789322E-2</v>
      </c>
      <c r="P7" s="44">
        <f>'TE BE'!$P$7*'TE BE'!$P$49</f>
        <v>0</v>
      </c>
      <c r="Q7" s="44">
        <f>SUM($L$7:$P$7)</f>
        <v>-5.0054863821539719</v>
      </c>
      <c r="R7" s="44">
        <f>'TE BE'!$R$7*'TE BE'!$R$49</f>
        <v>-12.723962936454701</v>
      </c>
      <c r="S7" s="44">
        <f>SUM($R$7:$R$7)</f>
        <v>-12.723962936454701</v>
      </c>
      <c r="T7" s="44">
        <f>'TE BE'!$T$7*'TE BE'!$T$49</f>
        <v>0.19552861581043851</v>
      </c>
      <c r="U7" s="44">
        <f>'TE BE'!$U$7*'TE BE'!$U$49</f>
        <v>3.0098034642732759E-2</v>
      </c>
      <c r="V7" s="44">
        <f>'TE BE'!$V$7*'TE BE'!$V$49</f>
        <v>0</v>
      </c>
      <c r="W7" s="44">
        <f>SUM($T$7:$V$7)</f>
        <v>0.22562665045317126</v>
      </c>
      <c r="X7" s="44">
        <f>'TE BE'!$AB$7*'TE BE'!$X$49</f>
        <v>-24.499021056840807</v>
      </c>
      <c r="Y7" s="44">
        <f>SUM($X$7:$X$7)</f>
        <v>-24.499021056840807</v>
      </c>
      <c r="Z7" s="44">
        <f>'TE BE'!$Z$7*'TE BE'!$Z$49</f>
        <v>-0.36801891718108032</v>
      </c>
      <c r="AA7" s="44">
        <f>SUM($Z$7:$Z$7)</f>
        <v>-0.36801891718108032</v>
      </c>
      <c r="AB7" s="44">
        <f ca="1">SUMIF($L$4:$AA$4,"SUBTOTAL",$L$7:$AA$7)+AL7</f>
        <v>-42.370862642177393</v>
      </c>
      <c r="AC7" s="9" t="str">
        <f t="shared" si="0"/>
        <v>A4</v>
      </c>
      <c r="AD7" s="9" t="str">
        <f t="shared" si="1"/>
        <v>Energia convencional</v>
      </c>
      <c r="AE7" s="9" t="str">
        <f t="shared" si="2"/>
        <v>Não se aplica</v>
      </c>
      <c r="AF7" s="9" t="str">
        <f t="shared" si="3"/>
        <v>Não se aplica</v>
      </c>
      <c r="AG7" s="9" t="str">
        <f t="shared" si="4"/>
        <v>Não se aplica</v>
      </c>
      <c r="AH7" s="9">
        <v>1</v>
      </c>
      <c r="AI7" s="9">
        <f ca="1">IFERROR(VLOOKUP(AC7,TarifaMedia!$C$18:$G$18,5,0),0)</f>
        <v>0</v>
      </c>
      <c r="AJ7" s="15">
        <f>'TE BE'!$AB7+'TE BF'!$AB7+'TE CVA'!$AB7</f>
        <v>227.55060294064452</v>
      </c>
      <c r="AK7" s="9">
        <v>0</v>
      </c>
      <c r="AL7" s="9">
        <f t="shared" ca="1" si="5"/>
        <v>0</v>
      </c>
      <c r="AO7" s="93" t="s">
        <v>1096</v>
      </c>
    </row>
    <row r="8" spans="1:41" ht="11.25" customHeight="1" x14ac:dyDescent="0.25">
      <c r="A8" s="141" t="s">
        <v>22</v>
      </c>
      <c r="B8" s="141" t="s">
        <v>69</v>
      </c>
      <c r="C8" s="141" t="s">
        <v>24</v>
      </c>
      <c r="D8" s="141" t="s">
        <v>24</v>
      </c>
      <c r="E8" s="141" t="s">
        <v>25</v>
      </c>
      <c r="F8" s="141" t="s">
        <v>25</v>
      </c>
      <c r="G8" s="46" t="s">
        <v>71</v>
      </c>
      <c r="H8" s="46" t="s">
        <v>70</v>
      </c>
      <c r="I8" s="46">
        <f>'MERCADO TE'!$U$5</f>
        <v>0</v>
      </c>
      <c r="J8" s="15"/>
      <c r="L8" s="44">
        <f>'TE BE'!$L$8*'TE BE'!$L$49</f>
        <v>4.5881186970682265E-7</v>
      </c>
      <c r="M8" s="44">
        <f>'TE BE'!$M$8*'TE BE'!$M$49</f>
        <v>-4.9716485011730516</v>
      </c>
      <c r="N8" s="44">
        <f>'TE BE'!$N$8*'TE BE'!$N$49</f>
        <v>0</v>
      </c>
      <c r="O8" s="44">
        <f>'TE BE'!$O$8*'TE BE'!$O$49</f>
        <v>-3.3838339792789322E-2</v>
      </c>
      <c r="P8" s="44">
        <f>'TE BE'!$P$8*'TE BE'!$P$49</f>
        <v>0</v>
      </c>
      <c r="Q8" s="44">
        <f>SUM($L$8:$P$8)</f>
        <v>-5.0054863821539719</v>
      </c>
      <c r="R8" s="44">
        <f>'TE BE'!$R$8*'TE BE'!$R$49</f>
        <v>-20.646430425190644</v>
      </c>
      <c r="S8" s="44">
        <f>SUM($R$8:$R$8)</f>
        <v>-20.646430425190644</v>
      </c>
      <c r="T8" s="44">
        <f>'TE BE'!$T$8*'TE BE'!$T$49</f>
        <v>0.19552861581043851</v>
      </c>
      <c r="U8" s="44">
        <f>'TE BE'!$U$8*'TE BE'!$U$49</f>
        <v>3.0098034642732759E-2</v>
      </c>
      <c r="V8" s="44">
        <f>'TE BE'!$V$8*'TE BE'!$V$49</f>
        <v>0</v>
      </c>
      <c r="W8" s="44">
        <f>SUM($T$8:$V$8)</f>
        <v>0.22562665045317126</v>
      </c>
      <c r="X8" s="44">
        <f>'TE BE'!$AB$8*'TE BE'!$X$49</f>
        <v>-38.007996573099831</v>
      </c>
      <c r="Y8" s="44">
        <f>SUM($X$8:$X$8)</f>
        <v>-38.007996573099831</v>
      </c>
      <c r="Z8" s="44">
        <f>'TE BE'!$Z$8*'TE BE'!$Z$49</f>
        <v>-0.36801891718108032</v>
      </c>
      <c r="AA8" s="44">
        <f>SUM($Z$8:$Z$8)</f>
        <v>-0.36801891718108032</v>
      </c>
      <c r="AB8" s="44">
        <f ca="1">SUMIF($L$4:$AA$4,"SUBTOTAL",$L$8:$AA$8)+AL8</f>
        <v>-63.802305647172354</v>
      </c>
      <c r="AC8" s="9" t="str">
        <f t="shared" si="0"/>
        <v>B1</v>
      </c>
      <c r="AD8" s="9" t="str">
        <f t="shared" si="1"/>
        <v>Energia horária</v>
      </c>
      <c r="AE8" s="9" t="str">
        <f t="shared" si="2"/>
        <v>Residencial</v>
      </c>
      <c r="AF8" s="9" t="str">
        <f t="shared" si="3"/>
        <v>Residencial</v>
      </c>
      <c r="AG8" s="9" t="str">
        <f t="shared" si="4"/>
        <v>Não se aplica</v>
      </c>
      <c r="AH8" s="9">
        <v>1</v>
      </c>
      <c r="AI8" s="9">
        <f ca="1">TarifaMedia!$G$20</f>
        <v>0</v>
      </c>
      <c r="AJ8" s="15">
        <f>'TE BE'!$AB8+'TE BF'!$AB8+'TE CVA'!$AB8</f>
        <v>347.98834052804079</v>
      </c>
      <c r="AK8" s="9">
        <v>393.63</v>
      </c>
      <c r="AL8" s="9">
        <f t="shared" ca="1" si="5"/>
        <v>0</v>
      </c>
      <c r="AO8" s="93" t="s">
        <v>1097</v>
      </c>
    </row>
    <row r="9" spans="1:41" ht="11.25" customHeight="1" x14ac:dyDescent="0.25">
      <c r="A9" s="141"/>
      <c r="B9" s="141"/>
      <c r="C9" s="141"/>
      <c r="D9" s="141"/>
      <c r="E9" s="141"/>
      <c r="F9" s="141"/>
      <c r="G9" s="46" t="s">
        <v>83</v>
      </c>
      <c r="H9" s="46" t="s">
        <v>70</v>
      </c>
      <c r="I9" s="46">
        <f>'MERCADO TE'!$U$6</f>
        <v>0</v>
      </c>
      <c r="J9" s="15"/>
      <c r="L9" s="44">
        <f>'TE BE'!$L$9*'TE BE'!$L$49</f>
        <v>4.5881186970682265E-7</v>
      </c>
      <c r="M9" s="44">
        <f>'TE BE'!$M$9*'TE BE'!$M$49</f>
        <v>-4.9716485011730516</v>
      </c>
      <c r="N9" s="44">
        <f>'TE BE'!$N$9*'TE BE'!$N$49</f>
        <v>0</v>
      </c>
      <c r="O9" s="44">
        <f>'TE BE'!$O$9*'TE BE'!$O$49</f>
        <v>-3.3838339792789322E-2</v>
      </c>
      <c r="P9" s="44">
        <f>'TE BE'!$P$9*'TE BE'!$P$49</f>
        <v>0</v>
      </c>
      <c r="Q9" s="44">
        <f>SUM($L$9:$P$9)</f>
        <v>-5.0054863821539719</v>
      </c>
      <c r="R9" s="44">
        <f>'TE BE'!$R$9*'TE BE'!$R$49</f>
        <v>-12.003738619296888</v>
      </c>
      <c r="S9" s="44">
        <f>SUM($R$9:$R$9)</f>
        <v>-12.003738619296888</v>
      </c>
      <c r="T9" s="44">
        <f>'TE BE'!$T$9*'TE BE'!$T$49</f>
        <v>0.19552861581043851</v>
      </c>
      <c r="U9" s="44">
        <f>'TE BE'!$U$9*'TE BE'!$U$49</f>
        <v>3.0098034642732759E-2</v>
      </c>
      <c r="V9" s="44">
        <f>'TE BE'!$V$9*'TE BE'!$V$49</f>
        <v>0</v>
      </c>
      <c r="W9" s="44">
        <f>SUM($T$9:$V$9)</f>
        <v>0.22562665045317126</v>
      </c>
      <c r="X9" s="44">
        <f>'TE BE'!$AB$9*'TE BE'!$X$49</f>
        <v>-23.270932373544532</v>
      </c>
      <c r="Y9" s="44">
        <f>SUM($X$9:$X$9)</f>
        <v>-23.270932373544532</v>
      </c>
      <c r="Z9" s="44">
        <f>'TE BE'!$Z$9*'TE BE'!$Z$49</f>
        <v>-0.36801891718108032</v>
      </c>
      <c r="AA9" s="44">
        <f>SUM($Z$9:$Z$9)</f>
        <v>-0.36801891718108032</v>
      </c>
      <c r="AB9" s="44">
        <f ca="1">SUMIF($L$4:$AA$4,"SUBTOTAL",$L$9:$AA$9)+AL9</f>
        <v>-40.4225496417233</v>
      </c>
      <c r="AC9" s="9" t="str">
        <f t="shared" si="0"/>
        <v>B1</v>
      </c>
      <c r="AD9" s="9" t="str">
        <f t="shared" si="1"/>
        <v>Energia horária</v>
      </c>
      <c r="AE9" s="9" t="str">
        <f t="shared" si="2"/>
        <v>Residencial</v>
      </c>
      <c r="AF9" s="9" t="str">
        <f t="shared" si="3"/>
        <v>Residencial</v>
      </c>
      <c r="AG9" s="9" t="str">
        <f t="shared" si="4"/>
        <v>Não se aplica</v>
      </c>
      <c r="AH9" s="9">
        <v>1</v>
      </c>
      <c r="AI9" s="9">
        <f ca="1">TarifaMedia!$G$20</f>
        <v>0</v>
      </c>
      <c r="AJ9" s="15">
        <f>'TE BE'!$AB9+'TE BF'!$AB9+'TE CVA'!$AB9</f>
        <v>216.60171770542672</v>
      </c>
      <c r="AK9" s="9">
        <v>249.61</v>
      </c>
      <c r="AL9" s="9">
        <f t="shared" ca="1" si="5"/>
        <v>0</v>
      </c>
      <c r="AO9" s="93" t="s">
        <v>1098</v>
      </c>
    </row>
    <row r="10" spans="1:41" ht="11.25" customHeight="1" x14ac:dyDescent="0.25">
      <c r="A10" s="141"/>
      <c r="B10" s="141"/>
      <c r="C10" s="141"/>
      <c r="D10" s="141"/>
      <c r="E10" s="141"/>
      <c r="F10" s="141"/>
      <c r="G10" s="46" t="s">
        <v>72</v>
      </c>
      <c r="H10" s="46" t="s">
        <v>70</v>
      </c>
      <c r="I10" s="46">
        <f>'MERCADO TE'!$U$7</f>
        <v>0</v>
      </c>
      <c r="J10" s="15"/>
      <c r="L10" s="44">
        <f>'TE BE'!$L$10*'TE BE'!$L$49</f>
        <v>4.5881186970682265E-7</v>
      </c>
      <c r="M10" s="44">
        <f>'TE BE'!$M$10*'TE BE'!$M$49</f>
        <v>-4.9716485011730516</v>
      </c>
      <c r="N10" s="44">
        <f>'TE BE'!$N$10*'TE BE'!$N$49</f>
        <v>0</v>
      </c>
      <c r="O10" s="44">
        <f>'TE BE'!$O$10*'TE BE'!$O$49</f>
        <v>-3.3838339792789322E-2</v>
      </c>
      <c r="P10" s="44">
        <f>'TE BE'!$P$10*'TE BE'!$P$49</f>
        <v>0</v>
      </c>
      <c r="Q10" s="44">
        <f>SUM($L$10:$P$10)</f>
        <v>-5.0054863821539719</v>
      </c>
      <c r="R10" s="44">
        <f>'TE BE'!$R$10*'TE BE'!$R$49</f>
        <v>-12.003738619296888</v>
      </c>
      <c r="S10" s="44">
        <f>SUM($R$10:$R$10)</f>
        <v>-12.003738619296888</v>
      </c>
      <c r="T10" s="44">
        <f>'TE BE'!$T$10*'TE BE'!$T$49</f>
        <v>0.19552861581043851</v>
      </c>
      <c r="U10" s="44">
        <f>'TE BE'!$U$10*'TE BE'!$U$49</f>
        <v>3.0098034642732759E-2</v>
      </c>
      <c r="V10" s="44">
        <f>'TE BE'!$V$10*'TE BE'!$V$49</f>
        <v>0</v>
      </c>
      <c r="W10" s="44">
        <f>SUM($T$10:$V$10)</f>
        <v>0.22562665045317126</v>
      </c>
      <c r="X10" s="44">
        <f>'TE BE'!$AB$10*'TE BE'!$X$49</f>
        <v>-23.270932373544532</v>
      </c>
      <c r="Y10" s="44">
        <f>SUM($X$10:$X$10)</f>
        <v>-23.270932373544532</v>
      </c>
      <c r="Z10" s="44">
        <f>'TE BE'!$Z$10*'TE BE'!$Z$49</f>
        <v>-0.36801891718108032</v>
      </c>
      <c r="AA10" s="44">
        <f>SUM($Z$10:$Z$10)</f>
        <v>-0.36801891718108032</v>
      </c>
      <c r="AB10" s="44">
        <f ca="1">SUMIF($L$4:$AA$4,"SUBTOTAL",$L$10:$AA$10)+AL10</f>
        <v>-40.4225496417233</v>
      </c>
      <c r="AC10" s="9" t="str">
        <f t="shared" si="0"/>
        <v>B1</v>
      </c>
      <c r="AD10" s="9" t="str">
        <f t="shared" si="1"/>
        <v>Energia horária</v>
      </c>
      <c r="AE10" s="9" t="str">
        <f t="shared" si="2"/>
        <v>Residencial</v>
      </c>
      <c r="AF10" s="9" t="str">
        <f t="shared" si="3"/>
        <v>Residencial</v>
      </c>
      <c r="AG10" s="9" t="str">
        <f t="shared" si="4"/>
        <v>Não se aplica</v>
      </c>
      <c r="AH10" s="9">
        <v>1</v>
      </c>
      <c r="AI10" s="9">
        <f ca="1">TarifaMedia!$G$20</f>
        <v>0</v>
      </c>
      <c r="AJ10" s="15">
        <f>'TE BE'!$AB10+'TE BF'!$AB10+'TE CVA'!$AB10</f>
        <v>216.60171770542672</v>
      </c>
      <c r="AK10" s="9">
        <v>249.61</v>
      </c>
      <c r="AL10" s="9">
        <f t="shared" ca="1" si="5"/>
        <v>0</v>
      </c>
      <c r="AO10" s="93" t="s">
        <v>1099</v>
      </c>
    </row>
    <row r="11" spans="1:41" ht="11.25" customHeight="1" x14ac:dyDescent="0.25">
      <c r="A11" s="141"/>
      <c r="B11" s="141" t="s">
        <v>73</v>
      </c>
      <c r="C11" s="141" t="s">
        <v>24</v>
      </c>
      <c r="D11" s="47" t="s">
        <v>24</v>
      </c>
      <c r="E11" s="47" t="s">
        <v>25</v>
      </c>
      <c r="F11" s="47" t="s">
        <v>25</v>
      </c>
      <c r="G11" s="46" t="s">
        <v>74</v>
      </c>
      <c r="H11" s="46" t="s">
        <v>70</v>
      </c>
      <c r="I11" s="46">
        <f>'MERCADO TE'!$U$8</f>
        <v>20530.876000000004</v>
      </c>
      <c r="J11" s="15"/>
      <c r="L11" s="44">
        <f>'TE BE'!$L$11*'TE BE'!$L$49</f>
        <v>4.5881186970682265E-7</v>
      </c>
      <c r="M11" s="44">
        <f>'TE BE'!$M$11*'TE BE'!$M$49</f>
        <v>-4.9716485011730516</v>
      </c>
      <c r="N11" s="44">
        <f>'TE BE'!$N$11*'TE BE'!$N$49</f>
        <v>0</v>
      </c>
      <c r="O11" s="44">
        <f>'TE BE'!$O$11*'TE BE'!$O$49</f>
        <v>-3.3838339792789322E-2</v>
      </c>
      <c r="P11" s="44">
        <f>'TE BE'!$P$11*'TE BE'!$P$49</f>
        <v>0</v>
      </c>
      <c r="Q11" s="44">
        <f>SUM($L$11:$P$11)</f>
        <v>-5.0054863821539719</v>
      </c>
      <c r="R11" s="44">
        <f>'TE BE'!$R$11*'TE BE'!$R$49</f>
        <v>-12.723962936454701</v>
      </c>
      <c r="S11" s="44">
        <f>SUM($R$11:$R$11)</f>
        <v>-12.723962936454701</v>
      </c>
      <c r="T11" s="44">
        <f>'TE BE'!$T$11*'TE BE'!$T$49</f>
        <v>0.19552861581043851</v>
      </c>
      <c r="U11" s="44">
        <f>'TE BE'!$U$11*'TE BE'!$U$49</f>
        <v>3.0098034642732759E-2</v>
      </c>
      <c r="V11" s="44">
        <f>'TE BE'!$V$11*'TE BE'!$V$49</f>
        <v>0</v>
      </c>
      <c r="W11" s="44">
        <f>SUM($T$11:$V$11)</f>
        <v>0.22562665045317126</v>
      </c>
      <c r="X11" s="44">
        <f>'TE BE'!$AB$11*'TE BE'!$X$49</f>
        <v>-24.499021056840807</v>
      </c>
      <c r="Y11" s="44">
        <f>SUM($X$11:$X$11)</f>
        <v>-24.499021056840807</v>
      </c>
      <c r="Z11" s="44">
        <f>'TE BE'!$Z$11*'TE BE'!$Z$49</f>
        <v>-0.36801891718108032</v>
      </c>
      <c r="AA11" s="44">
        <f>SUM($Z$11:$Z$11)</f>
        <v>-0.36801891718108032</v>
      </c>
      <c r="AB11" s="44">
        <f ca="1">SUMIF($L$4:$AA$4,"SUBTOTAL",$L$11:$AA$11)+AL11</f>
        <v>-42.370862642177393</v>
      </c>
      <c r="AC11" s="9" t="str">
        <f t="shared" si="0"/>
        <v>B1</v>
      </c>
      <c r="AD11" s="9" t="str">
        <f t="shared" si="1"/>
        <v>Energia convencional</v>
      </c>
      <c r="AE11" s="9" t="str">
        <f t="shared" si="2"/>
        <v>Residencial</v>
      </c>
      <c r="AF11" s="9" t="str">
        <f t="shared" si="3"/>
        <v>Residencial</v>
      </c>
      <c r="AG11" s="9" t="str">
        <f t="shared" si="4"/>
        <v>Não se aplica</v>
      </c>
      <c r="AH11" s="9">
        <v>1</v>
      </c>
      <c r="AI11" s="9">
        <f ca="1">TarifaMedia!$G$20</f>
        <v>0</v>
      </c>
      <c r="AJ11" s="15">
        <f>'TE BE'!$AB11+'TE BF'!$AB11+'TE CVA'!$AB11</f>
        <v>227.55060294064452</v>
      </c>
      <c r="AK11" s="9">
        <v>261.62</v>
      </c>
      <c r="AL11" s="9">
        <f t="shared" ca="1" si="5"/>
        <v>0</v>
      </c>
      <c r="AO11" s="93" t="s">
        <v>1100</v>
      </c>
    </row>
    <row r="12" spans="1:41" ht="11.25" customHeight="1" x14ac:dyDescent="0.25">
      <c r="A12" s="141"/>
      <c r="B12" s="141"/>
      <c r="C12" s="141"/>
      <c r="D12" s="47" t="s">
        <v>28</v>
      </c>
      <c r="E12" s="47" t="s">
        <v>25</v>
      </c>
      <c r="F12" s="47" t="s">
        <v>25</v>
      </c>
      <c r="G12" s="46" t="s">
        <v>74</v>
      </c>
      <c r="H12" s="46" t="s">
        <v>70</v>
      </c>
      <c r="I12" s="46">
        <f>'MERCADO TE'!$U$9</f>
        <v>165.006</v>
      </c>
      <c r="J12" s="15"/>
      <c r="L12" s="44">
        <f>'TE BE'!$L$12*'TE BE'!$L$49</f>
        <v>4.5881186970682265E-7</v>
      </c>
      <c r="M12" s="44">
        <f>'TE BE'!$M$12*'TE BE'!$M$49</f>
        <v>-4.9716485011730516</v>
      </c>
      <c r="N12" s="44">
        <f>'TE BE'!$N$12*'TE BE'!$N$49</f>
        <v>0</v>
      </c>
      <c r="O12" s="44">
        <f>'TE BE'!$O$12*'TE BE'!$O$49</f>
        <v>-3.3838339792789322E-2</v>
      </c>
      <c r="P12" s="44">
        <f>'TE BE'!$P$12*'TE BE'!$P$49</f>
        <v>0</v>
      </c>
      <c r="Q12" s="44">
        <f>SUM($L$12:$P$12)</f>
        <v>-5.0054863821539719</v>
      </c>
      <c r="R12" s="44">
        <f>'TE BE'!$R$12*'TE BE'!$R$49</f>
        <v>-12.723962936454701</v>
      </c>
      <c r="S12" s="44">
        <f>SUM($R$12:$R$12)</f>
        <v>-12.723962936454701</v>
      </c>
      <c r="T12" s="44">
        <f>'TE BE'!$T$12*'TE BE'!$T$49</f>
        <v>0.19552861581043851</v>
      </c>
      <c r="U12" s="44">
        <f>'TE BE'!$U$12*'TE BE'!$U$49</f>
        <v>3.0098034642732759E-2</v>
      </c>
      <c r="V12" s="44">
        <f>'TE BE'!$V$12*'TE BE'!$V$49</f>
        <v>0</v>
      </c>
      <c r="W12" s="44">
        <f>SUM($T$12:$V$12)</f>
        <v>0.22562665045317126</v>
      </c>
      <c r="X12" s="44">
        <f>'TE BE'!$AB$12*'TE BE'!$X$49</f>
        <v>-24.499021056840807</v>
      </c>
      <c r="Y12" s="44">
        <f>SUM($X$12:$X$12)</f>
        <v>-24.499021056840807</v>
      </c>
      <c r="Z12" s="44">
        <f>'TE BE'!$Z$12*'TE BE'!$Z$49</f>
        <v>-0.36801891718108032</v>
      </c>
      <c r="AA12" s="44">
        <f>SUM($Z$12:$Z$12)</f>
        <v>-0.36801891718108032</v>
      </c>
      <c r="AB12" s="44">
        <f ca="1">SUMIF($L$4:$AA$4,"SUBTOTAL",$L$12:$AA$12)+AL12</f>
        <v>-42.370862642177393</v>
      </c>
      <c r="AC12" s="9" t="str">
        <f t="shared" si="0"/>
        <v>B1</v>
      </c>
      <c r="AD12" s="9" t="str">
        <f t="shared" si="1"/>
        <v>Energia convencional</v>
      </c>
      <c r="AE12" s="9" t="str">
        <f t="shared" si="2"/>
        <v>Residencial</v>
      </c>
      <c r="AF12" s="9" t="str">
        <f t="shared" si="3"/>
        <v>Residencial baixa renda – faixa 01</v>
      </c>
      <c r="AG12" s="9" t="str">
        <f t="shared" si="4"/>
        <v>Não se aplica</v>
      </c>
      <c r="AH12" s="9">
        <v>1</v>
      </c>
      <c r="AI12" s="9">
        <f ca="1">TarifaMedia!$G$20</f>
        <v>0</v>
      </c>
      <c r="AJ12" s="15">
        <f>'TE BE'!$AB12+'TE BF'!$AB12+'TE CVA'!$AB12</f>
        <v>227.55060294064452</v>
      </c>
      <c r="AK12" s="9">
        <v>261.62</v>
      </c>
      <c r="AL12" s="9">
        <f t="shared" ca="1" si="5"/>
        <v>0</v>
      </c>
      <c r="AO12" s="93" t="s">
        <v>1101</v>
      </c>
    </row>
    <row r="13" spans="1:41" ht="11.25" customHeight="1" x14ac:dyDescent="0.25">
      <c r="A13" s="141"/>
      <c r="B13" s="141"/>
      <c r="C13" s="141"/>
      <c r="D13" s="47" t="s">
        <v>29</v>
      </c>
      <c r="E13" s="47" t="s">
        <v>25</v>
      </c>
      <c r="F13" s="47" t="s">
        <v>25</v>
      </c>
      <c r="G13" s="46" t="s">
        <v>74</v>
      </c>
      <c r="H13" s="46" t="s">
        <v>70</v>
      </c>
      <c r="I13" s="46">
        <f>'MERCADO TE'!$U$10</f>
        <v>350.56600000000003</v>
      </c>
      <c r="J13" s="15"/>
      <c r="L13" s="44">
        <f>'TE BE'!$L$13*'TE BE'!$L$49</f>
        <v>4.5881186970682265E-7</v>
      </c>
      <c r="M13" s="44">
        <f>'TE BE'!$M$13*'TE BE'!$M$49</f>
        <v>-4.9716485011730516</v>
      </c>
      <c r="N13" s="44">
        <f>'TE BE'!$N$13*'TE BE'!$N$49</f>
        <v>0</v>
      </c>
      <c r="O13" s="44">
        <f>'TE BE'!$O$13*'TE BE'!$O$49</f>
        <v>-3.3838339792789322E-2</v>
      </c>
      <c r="P13" s="44">
        <f>'TE BE'!$P$13*'TE BE'!$P$49</f>
        <v>0</v>
      </c>
      <c r="Q13" s="44">
        <f>SUM($L$13:$P$13)</f>
        <v>-5.0054863821539719</v>
      </c>
      <c r="R13" s="44">
        <f>'TE BE'!$R$13*'TE BE'!$R$49</f>
        <v>-12.723962936454701</v>
      </c>
      <c r="S13" s="44">
        <f>SUM($R$13:$R$13)</f>
        <v>-12.723962936454701</v>
      </c>
      <c r="T13" s="44">
        <f>'TE BE'!$T$13*'TE BE'!$T$49</f>
        <v>0.19552861581043851</v>
      </c>
      <c r="U13" s="44">
        <f>'TE BE'!$U$13*'TE BE'!$U$49</f>
        <v>3.0098034642732759E-2</v>
      </c>
      <c r="V13" s="44">
        <f>'TE BE'!$V$13*'TE BE'!$V$49</f>
        <v>0</v>
      </c>
      <c r="W13" s="44">
        <f>SUM($T$13:$V$13)</f>
        <v>0.22562665045317126</v>
      </c>
      <c r="X13" s="44">
        <f>'TE BE'!$AB$13*'TE BE'!$X$49</f>
        <v>-24.499021056840807</v>
      </c>
      <c r="Y13" s="44">
        <f>SUM($X$13:$X$13)</f>
        <v>-24.499021056840807</v>
      </c>
      <c r="Z13" s="44">
        <f>'TE BE'!$Z$13*'TE BE'!$Z$49</f>
        <v>-0.36801891718108032</v>
      </c>
      <c r="AA13" s="44">
        <f>SUM($Z$13:$Z$13)</f>
        <v>-0.36801891718108032</v>
      </c>
      <c r="AB13" s="44">
        <f ca="1">SUMIF($L$4:$AA$4,"SUBTOTAL",$L$13:$AA$13)+AL13</f>
        <v>-42.370862642177393</v>
      </c>
      <c r="AC13" s="9" t="str">
        <f t="shared" si="0"/>
        <v>B1</v>
      </c>
      <c r="AD13" s="9" t="str">
        <f t="shared" si="1"/>
        <v>Energia convencional</v>
      </c>
      <c r="AE13" s="9" t="str">
        <f t="shared" si="2"/>
        <v>Residencial</v>
      </c>
      <c r="AF13" s="9" t="str">
        <f t="shared" si="3"/>
        <v>Residencial baixa renda – faixa 02</v>
      </c>
      <c r="AG13" s="9" t="str">
        <f t="shared" si="4"/>
        <v>Não se aplica</v>
      </c>
      <c r="AH13" s="9">
        <v>1</v>
      </c>
      <c r="AI13" s="9">
        <f ca="1">TarifaMedia!$G$20</f>
        <v>0</v>
      </c>
      <c r="AJ13" s="15">
        <f>'TE BE'!$AB13+'TE BF'!$AB13+'TE CVA'!$AB13</f>
        <v>227.55060294064452</v>
      </c>
      <c r="AK13" s="9">
        <v>261.62</v>
      </c>
      <c r="AL13" s="9">
        <f t="shared" ca="1" si="5"/>
        <v>0</v>
      </c>
      <c r="AO13" s="93" t="s">
        <v>1101</v>
      </c>
    </row>
    <row r="14" spans="1:41" ht="11.25" customHeight="1" x14ac:dyDescent="0.25">
      <c r="A14" s="141"/>
      <c r="B14" s="141"/>
      <c r="C14" s="141"/>
      <c r="D14" s="47" t="s">
        <v>30</v>
      </c>
      <c r="E14" s="47" t="s">
        <v>25</v>
      </c>
      <c r="F14" s="47" t="s">
        <v>25</v>
      </c>
      <c r="G14" s="46" t="s">
        <v>74</v>
      </c>
      <c r="H14" s="46" t="s">
        <v>70</v>
      </c>
      <c r="I14" s="46">
        <f>'MERCADO TE'!$U$11</f>
        <v>338.63600000000002</v>
      </c>
      <c r="J14" s="15"/>
      <c r="L14" s="44">
        <f>'TE BE'!$L$14*'TE BE'!$L$49</f>
        <v>4.5881186970682265E-7</v>
      </c>
      <c r="M14" s="44">
        <f>'TE BE'!$M$14*'TE BE'!$M$49</f>
        <v>-4.9716485011730516</v>
      </c>
      <c r="N14" s="44">
        <f>'TE BE'!$N$14*'TE BE'!$N$49</f>
        <v>0</v>
      </c>
      <c r="O14" s="44">
        <f>'TE BE'!$O$14*'TE BE'!$O$49</f>
        <v>-3.3838339792789322E-2</v>
      </c>
      <c r="P14" s="44">
        <f>'TE BE'!$P$14*'TE BE'!$P$49</f>
        <v>0</v>
      </c>
      <c r="Q14" s="44">
        <f>SUM($L$14:$P$14)</f>
        <v>-5.0054863821539719</v>
      </c>
      <c r="R14" s="44">
        <f>'TE BE'!$R$14*'TE BE'!$R$49</f>
        <v>-12.723962936454701</v>
      </c>
      <c r="S14" s="44">
        <f>SUM($R$14:$R$14)</f>
        <v>-12.723962936454701</v>
      </c>
      <c r="T14" s="44">
        <f>'TE BE'!$T$14*'TE BE'!$T$49</f>
        <v>0.19552861581043851</v>
      </c>
      <c r="U14" s="44">
        <f>'TE BE'!$U$14*'TE BE'!$U$49</f>
        <v>3.0098034642732759E-2</v>
      </c>
      <c r="V14" s="44">
        <f>'TE BE'!$V$14*'TE BE'!$V$49</f>
        <v>0</v>
      </c>
      <c r="W14" s="44">
        <f>SUM($T$14:$V$14)</f>
        <v>0.22562665045317126</v>
      </c>
      <c r="X14" s="44">
        <f>'TE BE'!$AB$14*'TE BE'!$X$49</f>
        <v>-24.499021056840807</v>
      </c>
      <c r="Y14" s="44">
        <f>SUM($X$14:$X$14)</f>
        <v>-24.499021056840807</v>
      </c>
      <c r="Z14" s="44">
        <f>'TE BE'!$Z$14*'TE BE'!$Z$49</f>
        <v>-0.36801891718108032</v>
      </c>
      <c r="AA14" s="44">
        <f>SUM($Z$14:$Z$14)</f>
        <v>-0.36801891718108032</v>
      </c>
      <c r="AB14" s="44">
        <f ca="1">SUMIF($L$4:$AA$4,"SUBTOTAL",$L$14:$AA$14)+AL14</f>
        <v>-42.370862642177393</v>
      </c>
      <c r="AC14" s="9" t="str">
        <f t="shared" si="0"/>
        <v>B1</v>
      </c>
      <c r="AD14" s="9" t="str">
        <f t="shared" si="1"/>
        <v>Energia convencional</v>
      </c>
      <c r="AE14" s="9" t="str">
        <f t="shared" si="2"/>
        <v>Residencial</v>
      </c>
      <c r="AF14" s="9" t="str">
        <f t="shared" si="3"/>
        <v>Residencial baixa renda – faixa 03</v>
      </c>
      <c r="AG14" s="9" t="str">
        <f t="shared" si="4"/>
        <v>Não se aplica</v>
      </c>
      <c r="AH14" s="9">
        <v>1</v>
      </c>
      <c r="AI14" s="9">
        <f ca="1">TarifaMedia!$G$20</f>
        <v>0</v>
      </c>
      <c r="AJ14" s="15">
        <f>'TE BE'!$AB14+'TE BF'!$AB14+'TE CVA'!$AB14</f>
        <v>227.55060294064452</v>
      </c>
      <c r="AK14" s="9">
        <v>261.62</v>
      </c>
      <c r="AL14" s="9">
        <f t="shared" ca="1" si="5"/>
        <v>0</v>
      </c>
      <c r="AO14" s="93" t="s">
        <v>1101</v>
      </c>
    </row>
    <row r="15" spans="1:41" ht="11.25" customHeight="1" x14ac:dyDescent="0.25">
      <c r="A15" s="141"/>
      <c r="B15" s="141"/>
      <c r="C15" s="141"/>
      <c r="D15" s="47" t="s">
        <v>31</v>
      </c>
      <c r="E15" s="47" t="s">
        <v>25</v>
      </c>
      <c r="F15" s="47" t="s">
        <v>25</v>
      </c>
      <c r="G15" s="46" t="s">
        <v>74</v>
      </c>
      <c r="H15" s="46" t="s">
        <v>70</v>
      </c>
      <c r="I15" s="46">
        <f>'MERCADO TE'!$U$12</f>
        <v>113.66699999999999</v>
      </c>
      <c r="J15" s="15"/>
      <c r="L15" s="44">
        <f>'TE BE'!$L$15*'TE BE'!$L$49</f>
        <v>4.5881186970682265E-7</v>
      </c>
      <c r="M15" s="44">
        <f>'TE BE'!$M$15*'TE BE'!$M$49</f>
        <v>-4.9716485011730516</v>
      </c>
      <c r="N15" s="44">
        <f>'TE BE'!$N$15*'TE BE'!$N$49</f>
        <v>0</v>
      </c>
      <c r="O15" s="44">
        <f>'TE BE'!$O$15*'TE BE'!$O$49</f>
        <v>-3.3838339792789322E-2</v>
      </c>
      <c r="P15" s="44">
        <f>'TE BE'!$P$15*'TE BE'!$P$49</f>
        <v>0</v>
      </c>
      <c r="Q15" s="44">
        <f>SUM($L$15:$P$15)</f>
        <v>-5.0054863821539719</v>
      </c>
      <c r="R15" s="44">
        <f>'TE BE'!$R$15*'TE BE'!$R$49</f>
        <v>-12.723962936454701</v>
      </c>
      <c r="S15" s="44">
        <f>SUM($R$15:$R$15)</f>
        <v>-12.723962936454701</v>
      </c>
      <c r="T15" s="44">
        <f>'TE BE'!$T$15*'TE BE'!$T$49</f>
        <v>0.19552861581043851</v>
      </c>
      <c r="U15" s="44">
        <f>'TE BE'!$U$15*'TE BE'!$U$49</f>
        <v>3.0098034642732759E-2</v>
      </c>
      <c r="V15" s="44">
        <f>'TE BE'!$V$15*'TE BE'!$V$49</f>
        <v>0</v>
      </c>
      <c r="W15" s="44">
        <f>SUM($T$15:$V$15)</f>
        <v>0.22562665045317126</v>
      </c>
      <c r="X15" s="44">
        <f>'TE BE'!$AB$15*'TE BE'!$X$49</f>
        <v>-24.499021056840807</v>
      </c>
      <c r="Y15" s="44">
        <f>SUM($X$15:$X$15)</f>
        <v>-24.499021056840807</v>
      </c>
      <c r="Z15" s="44">
        <f>'TE BE'!$Z$15*'TE BE'!$Z$49</f>
        <v>-0.36801891718108032</v>
      </c>
      <c r="AA15" s="44">
        <f>SUM($Z$15:$Z$15)</f>
        <v>-0.36801891718108032</v>
      </c>
      <c r="AB15" s="44">
        <f ca="1">SUMIF($L$4:$AA$4,"SUBTOTAL",$L$15:$AA$15)+AL15</f>
        <v>-42.370862642177393</v>
      </c>
      <c r="AC15" s="9" t="str">
        <f t="shared" si="0"/>
        <v>B1</v>
      </c>
      <c r="AD15" s="9" t="str">
        <f t="shared" si="1"/>
        <v>Energia convencional</v>
      </c>
      <c r="AE15" s="9" t="str">
        <f t="shared" si="2"/>
        <v>Residencial</v>
      </c>
      <c r="AF15" s="9" t="str">
        <f t="shared" si="3"/>
        <v>Residencial baixa renda – faixa 04</v>
      </c>
      <c r="AG15" s="9" t="str">
        <f t="shared" si="4"/>
        <v>Não se aplica</v>
      </c>
      <c r="AH15" s="9">
        <v>1</v>
      </c>
      <c r="AI15" s="9">
        <f ca="1">TarifaMedia!$G$20</f>
        <v>0</v>
      </c>
      <c r="AJ15" s="15">
        <f>'TE BE'!$AB15+'TE BF'!$AB15+'TE CVA'!$AB15</f>
        <v>227.55060294064452</v>
      </c>
      <c r="AK15" s="9">
        <v>261.62</v>
      </c>
      <c r="AL15" s="9">
        <f t="shared" ca="1" si="5"/>
        <v>0</v>
      </c>
      <c r="AO15" s="93" t="s">
        <v>1101</v>
      </c>
    </row>
    <row r="16" spans="1:41" ht="11.25" customHeight="1" x14ac:dyDescent="0.25">
      <c r="A16" s="141"/>
      <c r="B16" s="141" t="s">
        <v>84</v>
      </c>
      <c r="C16" s="141" t="s">
        <v>24</v>
      </c>
      <c r="D16" s="47" t="s">
        <v>24</v>
      </c>
      <c r="E16" s="47" t="s">
        <v>25</v>
      </c>
      <c r="F16" s="47" t="s">
        <v>25</v>
      </c>
      <c r="G16" s="46" t="s">
        <v>74</v>
      </c>
      <c r="H16" s="46" t="s">
        <v>70</v>
      </c>
      <c r="I16" s="46">
        <f>'MERCADO TE'!$U$13</f>
        <v>0</v>
      </c>
      <c r="J16" s="15"/>
      <c r="L16" s="44">
        <f>'TE BE'!$L$16*'TE BE'!$L$49</f>
        <v>4.5881186970682265E-7</v>
      </c>
      <c r="M16" s="44">
        <f>'TE BE'!$M$16*'TE BE'!$M$49</f>
        <v>-4.9716485011730516</v>
      </c>
      <c r="N16" s="44">
        <f>'TE BE'!$N$16*'TE BE'!$N$49</f>
        <v>0</v>
      </c>
      <c r="O16" s="44">
        <f>'TE BE'!$O$16*'TE BE'!$O$49</f>
        <v>-3.3838339792789322E-2</v>
      </c>
      <c r="P16" s="44">
        <f>'TE BE'!$P$16*'TE BE'!$P$49</f>
        <v>0</v>
      </c>
      <c r="Q16" s="44">
        <f>SUM($L$16:$P$16)</f>
        <v>-5.0054863821539719</v>
      </c>
      <c r="R16" s="44">
        <f>'TE BE'!$R$16*'TE BE'!$R$49</f>
        <v>-12.723962936454701</v>
      </c>
      <c r="S16" s="44">
        <f>SUM($R$16:$R$16)</f>
        <v>-12.723962936454701</v>
      </c>
      <c r="T16" s="44">
        <f>'TE BE'!$T$16*'TE BE'!$T$49</f>
        <v>0.19552861581043851</v>
      </c>
      <c r="U16" s="44">
        <f>'TE BE'!$U$16*'TE BE'!$U$49</f>
        <v>3.0098034642732759E-2</v>
      </c>
      <c r="V16" s="44">
        <f>'TE BE'!$V$16*'TE BE'!$V$49</f>
        <v>0</v>
      </c>
      <c r="W16" s="44">
        <f>SUM($T$16:$V$16)</f>
        <v>0.22562665045317126</v>
      </c>
      <c r="X16" s="44">
        <f>'TE BE'!$AB$16*'TE BE'!$X$49</f>
        <v>-24.499021056840807</v>
      </c>
      <c r="Y16" s="44">
        <f>SUM($X$16:$X$16)</f>
        <v>-24.499021056840807</v>
      </c>
      <c r="Z16" s="44">
        <f>'TE BE'!$Z$16*'TE BE'!$Z$49</f>
        <v>-0.36801891718108032</v>
      </c>
      <c r="AA16" s="44">
        <f>SUM($Z$16:$Z$16)</f>
        <v>-0.36801891718108032</v>
      </c>
      <c r="AB16" s="44">
        <f ca="1">SUMIF($L$4:$AA$4,"SUBTOTAL",$L$16:$AA$16)+AL16</f>
        <v>-42.370862642177393</v>
      </c>
      <c r="AC16" s="9" t="str">
        <f t="shared" si="0"/>
        <v>B1</v>
      </c>
      <c r="AD16" s="9" t="str">
        <f t="shared" si="1"/>
        <v>Energia convencional pré-pagamento</v>
      </c>
      <c r="AE16" s="9" t="str">
        <f t="shared" si="2"/>
        <v>Residencial</v>
      </c>
      <c r="AF16" s="9" t="str">
        <f t="shared" si="3"/>
        <v>Residencial</v>
      </c>
      <c r="AG16" s="9" t="str">
        <f t="shared" si="4"/>
        <v>Não se aplica</v>
      </c>
      <c r="AH16" s="9">
        <v>1</v>
      </c>
      <c r="AI16" s="9">
        <f ca="1">TarifaMedia!$G$20</f>
        <v>0</v>
      </c>
      <c r="AJ16" s="15">
        <f>'TE BE'!$AB16+'TE BF'!$AB16+'TE CVA'!$AB16</f>
        <v>227.55060294064452</v>
      </c>
      <c r="AK16" s="9">
        <v>261.62</v>
      </c>
      <c r="AL16" s="9">
        <f t="shared" ca="1" si="5"/>
        <v>0</v>
      </c>
      <c r="AO16" s="93" t="s">
        <v>1102</v>
      </c>
    </row>
    <row r="17" spans="1:41" ht="11.25" customHeight="1" x14ac:dyDescent="0.25">
      <c r="A17" s="141"/>
      <c r="B17" s="141"/>
      <c r="C17" s="141"/>
      <c r="D17" s="47" t="s">
        <v>28</v>
      </c>
      <c r="E17" s="47" t="s">
        <v>25</v>
      </c>
      <c r="F17" s="47" t="s">
        <v>25</v>
      </c>
      <c r="G17" s="46" t="s">
        <v>74</v>
      </c>
      <c r="H17" s="46" t="s">
        <v>70</v>
      </c>
      <c r="I17" s="46">
        <f>'MERCADO TE'!$U$14</f>
        <v>0</v>
      </c>
      <c r="J17" s="15"/>
      <c r="L17" s="44">
        <f>'TE BE'!$L$17*'TE BE'!$L$49</f>
        <v>4.5881186970682265E-7</v>
      </c>
      <c r="M17" s="44">
        <f>'TE BE'!$M$17*'TE BE'!$M$49</f>
        <v>-4.9716485011730516</v>
      </c>
      <c r="N17" s="44">
        <f>'TE BE'!$N$17*'TE BE'!$N$49</f>
        <v>0</v>
      </c>
      <c r="O17" s="44">
        <f>'TE BE'!$O$17*'TE BE'!$O$49</f>
        <v>-3.3838339792789322E-2</v>
      </c>
      <c r="P17" s="44">
        <f>'TE BE'!$P$17*'TE BE'!$P$49</f>
        <v>0</v>
      </c>
      <c r="Q17" s="44">
        <f>SUM($L$17:$P$17)</f>
        <v>-5.0054863821539719</v>
      </c>
      <c r="R17" s="44">
        <f>'TE BE'!$R$17*'TE BE'!$R$49</f>
        <v>-12.723962936454701</v>
      </c>
      <c r="S17" s="44">
        <f>SUM($R$17:$R$17)</f>
        <v>-12.723962936454701</v>
      </c>
      <c r="T17" s="44">
        <f>'TE BE'!$T$17*'TE BE'!$T$49</f>
        <v>0.19552861581043851</v>
      </c>
      <c r="U17" s="44">
        <f>'TE BE'!$U$17*'TE BE'!$U$49</f>
        <v>3.0098034642732759E-2</v>
      </c>
      <c r="V17" s="44">
        <f>'TE BE'!$V$17*'TE BE'!$V$49</f>
        <v>0</v>
      </c>
      <c r="W17" s="44">
        <f>SUM($T$17:$V$17)</f>
        <v>0.22562665045317126</v>
      </c>
      <c r="X17" s="44">
        <f>'TE BE'!$AB$17*'TE BE'!$X$49</f>
        <v>-24.499021056840807</v>
      </c>
      <c r="Y17" s="44">
        <f>SUM($X$17:$X$17)</f>
        <v>-24.499021056840807</v>
      </c>
      <c r="Z17" s="44">
        <f>'TE BE'!$Z$17*'TE BE'!$Z$49</f>
        <v>-0.36801891718108032</v>
      </c>
      <c r="AA17" s="44">
        <f>SUM($Z$17:$Z$17)</f>
        <v>-0.36801891718108032</v>
      </c>
      <c r="AB17" s="44">
        <f ca="1">SUMIF($L$4:$AA$4,"SUBTOTAL",$L$17:$AA$17)+AL17</f>
        <v>-42.370862642177393</v>
      </c>
      <c r="AC17" s="9" t="str">
        <f t="shared" si="0"/>
        <v>B1</v>
      </c>
      <c r="AD17" s="9" t="str">
        <f t="shared" si="1"/>
        <v>Energia convencional pré-pagamento</v>
      </c>
      <c r="AE17" s="9" t="str">
        <f t="shared" si="2"/>
        <v>Residencial</v>
      </c>
      <c r="AF17" s="9" t="str">
        <f t="shared" si="3"/>
        <v>Residencial baixa renda – faixa 01</v>
      </c>
      <c r="AG17" s="9" t="str">
        <f t="shared" si="4"/>
        <v>Não se aplica</v>
      </c>
      <c r="AH17" s="9">
        <v>1</v>
      </c>
      <c r="AI17" s="9">
        <f ca="1">TarifaMedia!$G$20</f>
        <v>0</v>
      </c>
      <c r="AJ17" s="15">
        <f>'TE BE'!$AB17+'TE BF'!$AB17+'TE CVA'!$AB17</f>
        <v>227.55060294064452</v>
      </c>
      <c r="AK17" s="9">
        <v>261.62</v>
      </c>
      <c r="AL17" s="9">
        <f t="shared" ca="1" si="5"/>
        <v>0</v>
      </c>
      <c r="AO17" s="93" t="s">
        <v>1103</v>
      </c>
    </row>
    <row r="18" spans="1:41" ht="11.25" customHeight="1" x14ac:dyDescent="0.25">
      <c r="A18" s="141"/>
      <c r="B18" s="141"/>
      <c r="C18" s="141"/>
      <c r="D18" s="47" t="s">
        <v>29</v>
      </c>
      <c r="E18" s="47" t="s">
        <v>25</v>
      </c>
      <c r="F18" s="47" t="s">
        <v>25</v>
      </c>
      <c r="G18" s="46" t="s">
        <v>74</v>
      </c>
      <c r="H18" s="46" t="s">
        <v>70</v>
      </c>
      <c r="I18" s="46">
        <f>'MERCADO TE'!$U$15</f>
        <v>0</v>
      </c>
      <c r="J18" s="15"/>
      <c r="L18" s="44">
        <f>'TE BE'!$L$18*'TE BE'!$L$49</f>
        <v>4.5881186970682265E-7</v>
      </c>
      <c r="M18" s="44">
        <f>'TE BE'!$M$18*'TE BE'!$M$49</f>
        <v>-4.9716485011730516</v>
      </c>
      <c r="N18" s="44">
        <f>'TE BE'!$N$18*'TE BE'!$N$49</f>
        <v>0</v>
      </c>
      <c r="O18" s="44">
        <f>'TE BE'!$O$18*'TE BE'!$O$49</f>
        <v>-3.3838339792789322E-2</v>
      </c>
      <c r="P18" s="44">
        <f>'TE BE'!$P$18*'TE BE'!$P$49</f>
        <v>0</v>
      </c>
      <c r="Q18" s="44">
        <f>SUM($L$18:$P$18)</f>
        <v>-5.0054863821539719</v>
      </c>
      <c r="R18" s="44">
        <f>'TE BE'!$R$18*'TE BE'!$R$49</f>
        <v>-12.723962936454701</v>
      </c>
      <c r="S18" s="44">
        <f>SUM($R$18:$R$18)</f>
        <v>-12.723962936454701</v>
      </c>
      <c r="T18" s="44">
        <f>'TE BE'!$T$18*'TE BE'!$T$49</f>
        <v>0.19552861581043851</v>
      </c>
      <c r="U18" s="44">
        <f>'TE BE'!$U$18*'TE BE'!$U$49</f>
        <v>3.0098034642732759E-2</v>
      </c>
      <c r="V18" s="44">
        <f>'TE BE'!$V$18*'TE BE'!$V$49</f>
        <v>0</v>
      </c>
      <c r="W18" s="44">
        <f>SUM($T$18:$V$18)</f>
        <v>0.22562665045317126</v>
      </c>
      <c r="X18" s="44">
        <f>'TE BE'!$AB$18*'TE BE'!$X$49</f>
        <v>-24.499021056840807</v>
      </c>
      <c r="Y18" s="44">
        <f>SUM($X$18:$X$18)</f>
        <v>-24.499021056840807</v>
      </c>
      <c r="Z18" s="44">
        <f>'TE BE'!$Z$18*'TE BE'!$Z$49</f>
        <v>-0.36801891718108032</v>
      </c>
      <c r="AA18" s="44">
        <f>SUM($Z$18:$Z$18)</f>
        <v>-0.36801891718108032</v>
      </c>
      <c r="AB18" s="44">
        <f ca="1">SUMIF($L$4:$AA$4,"SUBTOTAL",$L$18:$AA$18)+AL18</f>
        <v>-42.370862642177393</v>
      </c>
      <c r="AC18" s="9" t="str">
        <f t="shared" si="0"/>
        <v>B1</v>
      </c>
      <c r="AD18" s="9" t="str">
        <f t="shared" si="1"/>
        <v>Energia convencional pré-pagamento</v>
      </c>
      <c r="AE18" s="9" t="str">
        <f t="shared" si="2"/>
        <v>Residencial</v>
      </c>
      <c r="AF18" s="9" t="str">
        <f t="shared" si="3"/>
        <v>Residencial baixa renda – faixa 02</v>
      </c>
      <c r="AG18" s="9" t="str">
        <f t="shared" si="4"/>
        <v>Não se aplica</v>
      </c>
      <c r="AH18" s="9">
        <v>1</v>
      </c>
      <c r="AI18" s="9">
        <f ca="1">TarifaMedia!$G$20</f>
        <v>0</v>
      </c>
      <c r="AJ18" s="15">
        <f>'TE BE'!$AB18+'TE BF'!$AB18+'TE CVA'!$AB18</f>
        <v>227.55060294064452</v>
      </c>
      <c r="AK18" s="9">
        <v>261.62</v>
      </c>
      <c r="AL18" s="9">
        <f t="shared" ca="1" si="5"/>
        <v>0</v>
      </c>
      <c r="AO18" s="93" t="s">
        <v>1103</v>
      </c>
    </row>
    <row r="19" spans="1:41" ht="11.25" customHeight="1" x14ac:dyDescent="0.25">
      <c r="A19" s="141"/>
      <c r="B19" s="141"/>
      <c r="C19" s="141"/>
      <c r="D19" s="47" t="s">
        <v>30</v>
      </c>
      <c r="E19" s="47" t="s">
        <v>25</v>
      </c>
      <c r="F19" s="47" t="s">
        <v>25</v>
      </c>
      <c r="G19" s="46" t="s">
        <v>74</v>
      </c>
      <c r="H19" s="46" t="s">
        <v>70</v>
      </c>
      <c r="I19" s="46">
        <f>'MERCADO TE'!$U$16</f>
        <v>0</v>
      </c>
      <c r="J19" s="15"/>
      <c r="L19" s="44">
        <f>'TE BE'!$L$19*'TE BE'!$L$49</f>
        <v>4.5881186970682265E-7</v>
      </c>
      <c r="M19" s="44">
        <f>'TE BE'!$M$19*'TE BE'!$M$49</f>
        <v>-4.9716485011730516</v>
      </c>
      <c r="N19" s="44">
        <f>'TE BE'!$N$19*'TE BE'!$N$49</f>
        <v>0</v>
      </c>
      <c r="O19" s="44">
        <f>'TE BE'!$O$19*'TE BE'!$O$49</f>
        <v>-3.3838339792789322E-2</v>
      </c>
      <c r="P19" s="44">
        <f>'TE BE'!$P$19*'TE BE'!$P$49</f>
        <v>0</v>
      </c>
      <c r="Q19" s="44">
        <f>SUM($L$19:$P$19)</f>
        <v>-5.0054863821539719</v>
      </c>
      <c r="R19" s="44">
        <f>'TE BE'!$R$19*'TE BE'!$R$49</f>
        <v>-12.723962936454701</v>
      </c>
      <c r="S19" s="44">
        <f>SUM($R$19:$R$19)</f>
        <v>-12.723962936454701</v>
      </c>
      <c r="T19" s="44">
        <f>'TE BE'!$T$19*'TE BE'!$T$49</f>
        <v>0.19552861581043851</v>
      </c>
      <c r="U19" s="44">
        <f>'TE BE'!$U$19*'TE BE'!$U$49</f>
        <v>3.0098034642732759E-2</v>
      </c>
      <c r="V19" s="44">
        <f>'TE BE'!$V$19*'TE BE'!$V$49</f>
        <v>0</v>
      </c>
      <c r="W19" s="44">
        <f>SUM($T$19:$V$19)</f>
        <v>0.22562665045317126</v>
      </c>
      <c r="X19" s="44">
        <f>'TE BE'!$AB$19*'TE BE'!$X$49</f>
        <v>-24.499021056840807</v>
      </c>
      <c r="Y19" s="44">
        <f>SUM($X$19:$X$19)</f>
        <v>-24.499021056840807</v>
      </c>
      <c r="Z19" s="44">
        <f>'TE BE'!$Z$19*'TE BE'!$Z$49</f>
        <v>-0.36801891718108032</v>
      </c>
      <c r="AA19" s="44">
        <f>SUM($Z$19:$Z$19)</f>
        <v>-0.36801891718108032</v>
      </c>
      <c r="AB19" s="44">
        <f ca="1">SUMIF($L$4:$AA$4,"SUBTOTAL",$L$19:$AA$19)+AL19</f>
        <v>-42.370862642177393</v>
      </c>
      <c r="AC19" s="9" t="str">
        <f t="shared" si="0"/>
        <v>B1</v>
      </c>
      <c r="AD19" s="9" t="str">
        <f t="shared" si="1"/>
        <v>Energia convencional pré-pagamento</v>
      </c>
      <c r="AE19" s="9" t="str">
        <f t="shared" si="2"/>
        <v>Residencial</v>
      </c>
      <c r="AF19" s="9" t="str">
        <f t="shared" si="3"/>
        <v>Residencial baixa renda – faixa 03</v>
      </c>
      <c r="AG19" s="9" t="str">
        <f t="shared" si="4"/>
        <v>Não se aplica</v>
      </c>
      <c r="AH19" s="9">
        <v>1</v>
      </c>
      <c r="AI19" s="9">
        <f ca="1">TarifaMedia!$G$20</f>
        <v>0</v>
      </c>
      <c r="AJ19" s="15">
        <f>'TE BE'!$AB19+'TE BF'!$AB19+'TE CVA'!$AB19</f>
        <v>227.55060294064452</v>
      </c>
      <c r="AK19" s="9">
        <v>261.62</v>
      </c>
      <c r="AL19" s="9">
        <f t="shared" ca="1" si="5"/>
        <v>0</v>
      </c>
      <c r="AO19" s="93" t="s">
        <v>1103</v>
      </c>
    </row>
    <row r="20" spans="1:41" ht="11.25" customHeight="1" x14ac:dyDescent="0.25">
      <c r="A20" s="141"/>
      <c r="B20" s="141"/>
      <c r="C20" s="141"/>
      <c r="D20" s="47" t="s">
        <v>31</v>
      </c>
      <c r="E20" s="47" t="s">
        <v>25</v>
      </c>
      <c r="F20" s="47" t="s">
        <v>25</v>
      </c>
      <c r="G20" s="46" t="s">
        <v>74</v>
      </c>
      <c r="H20" s="46" t="s">
        <v>70</v>
      </c>
      <c r="I20" s="46">
        <f>'MERCADO TE'!$U$17</f>
        <v>0</v>
      </c>
      <c r="J20" s="15"/>
      <c r="L20" s="44">
        <f>'TE BE'!$L$20*'TE BE'!$L$49</f>
        <v>4.5881186970682265E-7</v>
      </c>
      <c r="M20" s="44">
        <f>'TE BE'!$M$20*'TE BE'!$M$49</f>
        <v>-4.9716485011730516</v>
      </c>
      <c r="N20" s="44">
        <f>'TE BE'!$N$20*'TE BE'!$N$49</f>
        <v>0</v>
      </c>
      <c r="O20" s="44">
        <f>'TE BE'!$O$20*'TE BE'!$O$49</f>
        <v>-3.3838339792789322E-2</v>
      </c>
      <c r="P20" s="44">
        <f>'TE BE'!$P$20*'TE BE'!$P$49</f>
        <v>0</v>
      </c>
      <c r="Q20" s="44">
        <f>SUM($L$20:$P$20)</f>
        <v>-5.0054863821539719</v>
      </c>
      <c r="R20" s="44">
        <f>'TE BE'!$R$20*'TE BE'!$R$49</f>
        <v>-12.723962936454701</v>
      </c>
      <c r="S20" s="44">
        <f>SUM($R$20:$R$20)</f>
        <v>-12.723962936454701</v>
      </c>
      <c r="T20" s="44">
        <f>'TE BE'!$T$20*'TE BE'!$T$49</f>
        <v>0.19552861581043851</v>
      </c>
      <c r="U20" s="44">
        <f>'TE BE'!$U$20*'TE BE'!$U$49</f>
        <v>3.0098034642732759E-2</v>
      </c>
      <c r="V20" s="44">
        <f>'TE BE'!$V$20*'TE BE'!$V$49</f>
        <v>0</v>
      </c>
      <c r="W20" s="44">
        <f>SUM($T$20:$V$20)</f>
        <v>0.22562665045317126</v>
      </c>
      <c r="X20" s="44">
        <f>'TE BE'!$AB$20*'TE BE'!$X$49</f>
        <v>-24.499021056840807</v>
      </c>
      <c r="Y20" s="44">
        <f>SUM($X$20:$X$20)</f>
        <v>-24.499021056840807</v>
      </c>
      <c r="Z20" s="44">
        <f>'TE BE'!$Z$20*'TE BE'!$Z$49</f>
        <v>-0.36801891718108032</v>
      </c>
      <c r="AA20" s="44">
        <f>SUM($Z$20:$Z$20)</f>
        <v>-0.36801891718108032</v>
      </c>
      <c r="AB20" s="44">
        <f ca="1">SUMIF($L$4:$AA$4,"SUBTOTAL",$L$20:$AA$20)+AL20</f>
        <v>-42.370862642177393</v>
      </c>
      <c r="AC20" s="9" t="str">
        <f t="shared" si="0"/>
        <v>B1</v>
      </c>
      <c r="AD20" s="9" t="str">
        <f t="shared" si="1"/>
        <v>Energia convencional pré-pagamento</v>
      </c>
      <c r="AE20" s="9" t="str">
        <f t="shared" si="2"/>
        <v>Residencial</v>
      </c>
      <c r="AF20" s="9" t="str">
        <f t="shared" si="3"/>
        <v>Residencial baixa renda – faixa 04</v>
      </c>
      <c r="AG20" s="9" t="str">
        <f t="shared" si="4"/>
        <v>Não se aplica</v>
      </c>
      <c r="AH20" s="9">
        <v>1</v>
      </c>
      <c r="AI20" s="9">
        <f ca="1">TarifaMedia!$G$20</f>
        <v>0</v>
      </c>
      <c r="AJ20" s="15">
        <f>'TE BE'!$AB20+'TE BF'!$AB20+'TE CVA'!$AB20</f>
        <v>227.55060294064452</v>
      </c>
      <c r="AK20" s="9">
        <v>261.62</v>
      </c>
      <c r="AL20" s="9">
        <f t="shared" ca="1" si="5"/>
        <v>0</v>
      </c>
      <c r="AO20" s="93" t="s">
        <v>1103</v>
      </c>
    </row>
    <row r="21" spans="1:41" ht="11.25" customHeight="1" x14ac:dyDescent="0.25">
      <c r="A21" s="141" t="s">
        <v>39</v>
      </c>
      <c r="B21" s="141" t="s">
        <v>69</v>
      </c>
      <c r="C21" s="141" t="s">
        <v>40</v>
      </c>
      <c r="D21" s="141" t="s">
        <v>25</v>
      </c>
      <c r="E21" s="141" t="s">
        <v>25</v>
      </c>
      <c r="F21" s="141" t="s">
        <v>25</v>
      </c>
      <c r="G21" s="46" t="s">
        <v>71</v>
      </c>
      <c r="H21" s="46" t="s">
        <v>70</v>
      </c>
      <c r="I21" s="46">
        <f>'MERCADO TE'!$U$18</f>
        <v>0</v>
      </c>
      <c r="J21" s="15"/>
      <c r="L21" s="44">
        <f>'TE BE'!$L$21*'TE BE'!$L$49</f>
        <v>4.5881186970682265E-7</v>
      </c>
      <c r="M21" s="44">
        <f>'TE BE'!$M$21*'TE BE'!$M$49</f>
        <v>-4.9716485011730516</v>
      </c>
      <c r="N21" s="44">
        <f>'TE BE'!$N$21*'TE BE'!$N$49</f>
        <v>0</v>
      </c>
      <c r="O21" s="44">
        <f>'TE BE'!$O$21*'TE BE'!$O$49</f>
        <v>-3.3838339792789322E-2</v>
      </c>
      <c r="P21" s="44">
        <f>'TE BE'!$P$21*'TE BE'!$P$49</f>
        <v>0</v>
      </c>
      <c r="Q21" s="44">
        <f>SUM($L$21:$P$21)</f>
        <v>-5.0054863821539719</v>
      </c>
      <c r="R21" s="44">
        <f>'TE BE'!$R$21*'TE BE'!$R$49</f>
        <v>-20.646430425190644</v>
      </c>
      <c r="S21" s="44">
        <f>SUM($R$21:$R$21)</f>
        <v>-20.646430425190644</v>
      </c>
      <c r="T21" s="44">
        <f>'TE BE'!$T$21*'TE BE'!$T$49</f>
        <v>0.19552861581043851</v>
      </c>
      <c r="U21" s="44">
        <f>'TE BE'!$U$21*'TE BE'!$U$49</f>
        <v>3.0098034642732759E-2</v>
      </c>
      <c r="V21" s="44">
        <f>'TE BE'!$V$21*'TE BE'!$V$49</f>
        <v>0</v>
      </c>
      <c r="W21" s="44">
        <f>SUM($T$21:$V$21)</f>
        <v>0.22562665045317126</v>
      </c>
      <c r="X21" s="44">
        <f>'TE BE'!$AB$21*'TE BE'!$X$49</f>
        <v>-38.007996573099831</v>
      </c>
      <c r="Y21" s="44">
        <f>SUM($X$21:$X$21)</f>
        <v>-38.007996573099831</v>
      </c>
      <c r="Z21" s="44">
        <f>'TE BE'!$Z$21*'TE BE'!$Z$49</f>
        <v>-0.36801891718108032</v>
      </c>
      <c r="AA21" s="44">
        <f>SUM($Z$21:$Z$21)</f>
        <v>-0.36801891718108032</v>
      </c>
      <c r="AB21" s="44">
        <f ca="1">SUMIF($L$4:$AA$4,"SUBTOTAL",$L$21:$AA$21)+AL21</f>
        <v>-63.802305647172354</v>
      </c>
      <c r="AC21" s="9" t="str">
        <f t="shared" si="0"/>
        <v>B2</v>
      </c>
      <c r="AD21" s="9" t="str">
        <f t="shared" si="1"/>
        <v>Energia horária</v>
      </c>
      <c r="AE21" s="9" t="str">
        <f t="shared" si="2"/>
        <v>Rural</v>
      </c>
      <c r="AF21" s="9" t="str">
        <f t="shared" si="3"/>
        <v>Não se aplica</v>
      </c>
      <c r="AG21" s="9" t="str">
        <f t="shared" si="4"/>
        <v>Não se aplica</v>
      </c>
      <c r="AH21" s="9">
        <v>1</v>
      </c>
      <c r="AI21" s="9">
        <f ca="1">TarifaMedia!$G$20</f>
        <v>0</v>
      </c>
      <c r="AJ21" s="15">
        <f>'TE BE'!$AB21+'TE BF'!$AB21+'TE CVA'!$AB21</f>
        <v>347.98834052804079</v>
      </c>
      <c r="AK21" s="9">
        <f>ROUND(370.01/(1-CUSTOS!$M$38),2)</f>
        <v>393.63</v>
      </c>
      <c r="AL21" s="9">
        <f t="shared" ca="1" si="5"/>
        <v>0</v>
      </c>
      <c r="AO21" s="93" t="s">
        <v>1104</v>
      </c>
    </row>
    <row r="22" spans="1:41" ht="11.25" customHeight="1" x14ac:dyDescent="0.25">
      <c r="A22" s="141"/>
      <c r="B22" s="141"/>
      <c r="C22" s="141"/>
      <c r="D22" s="141"/>
      <c r="E22" s="141"/>
      <c r="F22" s="141"/>
      <c r="G22" s="46" t="s">
        <v>83</v>
      </c>
      <c r="H22" s="46" t="s">
        <v>70</v>
      </c>
      <c r="I22" s="46">
        <f>'MERCADO TE'!$U$19</f>
        <v>0</v>
      </c>
      <c r="J22" s="15"/>
      <c r="L22" s="44">
        <f>'TE BE'!$L$22*'TE BE'!$L$49</f>
        <v>4.5881186970682265E-7</v>
      </c>
      <c r="M22" s="44">
        <f>'TE BE'!$M$22*'TE BE'!$M$49</f>
        <v>-4.9716485011730516</v>
      </c>
      <c r="N22" s="44">
        <f>'TE BE'!$N$22*'TE BE'!$N$49</f>
        <v>0</v>
      </c>
      <c r="O22" s="44">
        <f>'TE BE'!$O$22*'TE BE'!$O$49</f>
        <v>-3.3838339792789322E-2</v>
      </c>
      <c r="P22" s="44">
        <f>'TE BE'!$P$22*'TE BE'!$P$49</f>
        <v>0</v>
      </c>
      <c r="Q22" s="44">
        <f>SUM($L$22:$P$22)</f>
        <v>-5.0054863821539719</v>
      </c>
      <c r="R22" s="44">
        <f>'TE BE'!$R$22*'TE BE'!$R$49</f>
        <v>-12.003738619296888</v>
      </c>
      <c r="S22" s="44">
        <f>SUM($R$22:$R$22)</f>
        <v>-12.003738619296888</v>
      </c>
      <c r="T22" s="44">
        <f>'TE BE'!$T$22*'TE BE'!$T$49</f>
        <v>0.19552861581043851</v>
      </c>
      <c r="U22" s="44">
        <f>'TE BE'!$U$22*'TE BE'!$U$49</f>
        <v>3.0098034642732759E-2</v>
      </c>
      <c r="V22" s="44">
        <f>'TE BE'!$V$22*'TE BE'!$V$49</f>
        <v>0</v>
      </c>
      <c r="W22" s="44">
        <f>SUM($T$22:$V$22)</f>
        <v>0.22562665045317126</v>
      </c>
      <c r="X22" s="44">
        <f>'TE BE'!$AB$22*'TE BE'!$X$49</f>
        <v>-23.270932373544532</v>
      </c>
      <c r="Y22" s="44">
        <f>SUM($X$22:$X$22)</f>
        <v>-23.270932373544532</v>
      </c>
      <c r="Z22" s="44">
        <f>'TE BE'!$Z$22*'TE BE'!$Z$49</f>
        <v>-0.36801891718108032</v>
      </c>
      <c r="AA22" s="44">
        <f>SUM($Z$22:$Z$22)</f>
        <v>-0.36801891718108032</v>
      </c>
      <c r="AB22" s="44">
        <f ca="1">SUMIF($L$4:$AA$4,"SUBTOTAL",$L$22:$AA$22)+AL22</f>
        <v>-40.4225496417233</v>
      </c>
      <c r="AC22" s="9" t="str">
        <f t="shared" si="0"/>
        <v>B2</v>
      </c>
      <c r="AD22" s="9" t="str">
        <f t="shared" si="1"/>
        <v>Energia horária</v>
      </c>
      <c r="AE22" s="9" t="str">
        <f t="shared" si="2"/>
        <v>Rural</v>
      </c>
      <c r="AF22" s="9" t="str">
        <f t="shared" si="3"/>
        <v>Não se aplica</v>
      </c>
      <c r="AG22" s="9" t="str">
        <f t="shared" si="4"/>
        <v>Não se aplica</v>
      </c>
      <c r="AH22" s="9">
        <v>1</v>
      </c>
      <c r="AI22" s="9">
        <f ca="1">TarifaMedia!$G$20</f>
        <v>0</v>
      </c>
      <c r="AJ22" s="15">
        <f>'TE BE'!$AB22+'TE BF'!$AB22+'TE CVA'!$AB22</f>
        <v>216.60171770542672</v>
      </c>
      <c r="AK22" s="9">
        <f>ROUND(234.64/(1-CUSTOS!$M$38),2)</f>
        <v>249.62</v>
      </c>
      <c r="AL22" s="9">
        <f t="shared" ca="1" si="5"/>
        <v>0</v>
      </c>
      <c r="AO22" s="93" t="s">
        <v>1105</v>
      </c>
    </row>
    <row r="23" spans="1:41" ht="11.25" customHeight="1" x14ac:dyDescent="0.25">
      <c r="A23" s="141"/>
      <c r="B23" s="141"/>
      <c r="C23" s="141"/>
      <c r="D23" s="141"/>
      <c r="E23" s="141"/>
      <c r="F23" s="141"/>
      <c r="G23" s="46" t="s">
        <v>72</v>
      </c>
      <c r="H23" s="46" t="s">
        <v>70</v>
      </c>
      <c r="I23" s="46">
        <f>'MERCADO TE'!$U$20</f>
        <v>0</v>
      </c>
      <c r="J23" s="15"/>
      <c r="L23" s="44">
        <f>'TE BE'!$L$23*'TE BE'!$L$49</f>
        <v>4.5881186970682265E-7</v>
      </c>
      <c r="M23" s="44">
        <f>'TE BE'!$M$23*'TE BE'!$M$49</f>
        <v>-4.9716485011730516</v>
      </c>
      <c r="N23" s="44">
        <f>'TE BE'!$N$23*'TE BE'!$N$49</f>
        <v>0</v>
      </c>
      <c r="O23" s="44">
        <f>'TE BE'!$O$23*'TE BE'!$O$49</f>
        <v>-3.3838339792789322E-2</v>
      </c>
      <c r="P23" s="44">
        <f>'TE BE'!$P$23*'TE BE'!$P$49</f>
        <v>0</v>
      </c>
      <c r="Q23" s="44">
        <f>SUM($L$23:$P$23)</f>
        <v>-5.0054863821539719</v>
      </c>
      <c r="R23" s="44">
        <f>'TE BE'!$R$23*'TE BE'!$R$49</f>
        <v>-12.003738619296888</v>
      </c>
      <c r="S23" s="44">
        <f>SUM($R$23:$R$23)</f>
        <v>-12.003738619296888</v>
      </c>
      <c r="T23" s="44">
        <f>'TE BE'!$T$23*'TE BE'!$T$49</f>
        <v>0.19552861581043851</v>
      </c>
      <c r="U23" s="44">
        <f>'TE BE'!$U$23*'TE BE'!$U$49</f>
        <v>3.0098034642732759E-2</v>
      </c>
      <c r="V23" s="44">
        <f>'TE BE'!$V$23*'TE BE'!$V$49</f>
        <v>0</v>
      </c>
      <c r="W23" s="44">
        <f>SUM($T$23:$V$23)</f>
        <v>0.22562665045317126</v>
      </c>
      <c r="X23" s="44">
        <f>'TE BE'!$AB$23*'TE BE'!$X$49</f>
        <v>-23.270932373544532</v>
      </c>
      <c r="Y23" s="44">
        <f>SUM($X$23:$X$23)</f>
        <v>-23.270932373544532</v>
      </c>
      <c r="Z23" s="44">
        <f>'TE BE'!$Z$23*'TE BE'!$Z$49</f>
        <v>-0.36801891718108032</v>
      </c>
      <c r="AA23" s="44">
        <f>SUM($Z$23:$Z$23)</f>
        <v>-0.36801891718108032</v>
      </c>
      <c r="AB23" s="44">
        <f ca="1">SUMIF($L$4:$AA$4,"SUBTOTAL",$L$23:$AA$23)+AL23</f>
        <v>-40.4225496417233</v>
      </c>
      <c r="AC23" s="9" t="str">
        <f t="shared" si="0"/>
        <v>B2</v>
      </c>
      <c r="AD23" s="9" t="str">
        <f t="shared" si="1"/>
        <v>Energia horária</v>
      </c>
      <c r="AE23" s="9" t="str">
        <f t="shared" si="2"/>
        <v>Rural</v>
      </c>
      <c r="AF23" s="9" t="str">
        <f t="shared" si="3"/>
        <v>Não se aplica</v>
      </c>
      <c r="AG23" s="9" t="str">
        <f t="shared" si="4"/>
        <v>Não se aplica</v>
      </c>
      <c r="AH23" s="9">
        <v>1</v>
      </c>
      <c r="AI23" s="9">
        <f ca="1">TarifaMedia!$G$20</f>
        <v>0</v>
      </c>
      <c r="AJ23" s="15">
        <f>'TE BE'!$AB23+'TE BF'!$AB23+'TE CVA'!$AB23</f>
        <v>216.60171770542672</v>
      </c>
      <c r="AK23" s="9">
        <f>ROUND(234.64/(1-CUSTOS!$M$38),2)</f>
        <v>249.62</v>
      </c>
      <c r="AL23" s="9">
        <f t="shared" ca="1" si="5"/>
        <v>0</v>
      </c>
      <c r="AO23" s="93" t="s">
        <v>1106</v>
      </c>
    </row>
    <row r="24" spans="1:41" ht="11.25" customHeight="1" x14ac:dyDescent="0.25">
      <c r="A24" s="141"/>
      <c r="B24" s="47" t="s">
        <v>73</v>
      </c>
      <c r="C24" s="47" t="s">
        <v>40</v>
      </c>
      <c r="D24" s="47" t="s">
        <v>25</v>
      </c>
      <c r="E24" s="47" t="s">
        <v>25</v>
      </c>
      <c r="F24" s="47" t="s">
        <v>25</v>
      </c>
      <c r="G24" s="46" t="s">
        <v>74</v>
      </c>
      <c r="H24" s="46" t="s">
        <v>70</v>
      </c>
      <c r="I24" s="46">
        <f>'MERCADO TE'!$U$21</f>
        <v>45.472000000000001</v>
      </c>
      <c r="J24" s="15"/>
      <c r="L24" s="44">
        <f>'TE BE'!$L$24*'TE BE'!$L$49</f>
        <v>4.5881186970682265E-7</v>
      </c>
      <c r="M24" s="44">
        <f>'TE BE'!$M$24*'TE BE'!$M$49</f>
        <v>-4.9716485011730516</v>
      </c>
      <c r="N24" s="44">
        <f>'TE BE'!$N$24*'TE BE'!$N$49</f>
        <v>0</v>
      </c>
      <c r="O24" s="44">
        <f>'TE BE'!$O$24*'TE BE'!$O$49</f>
        <v>-3.3838339792789322E-2</v>
      </c>
      <c r="P24" s="44">
        <f>'TE BE'!$P$24*'TE BE'!$P$49</f>
        <v>0</v>
      </c>
      <c r="Q24" s="44">
        <f>SUM($L$24:$P$24)</f>
        <v>-5.0054863821539719</v>
      </c>
      <c r="R24" s="44">
        <f>'TE BE'!$R$24*'TE BE'!$R$49</f>
        <v>-12.723962936454701</v>
      </c>
      <c r="S24" s="44">
        <f>SUM($R$24:$R$24)</f>
        <v>-12.723962936454701</v>
      </c>
      <c r="T24" s="44">
        <f>'TE BE'!$T$24*'TE BE'!$T$49</f>
        <v>0.19552861581043851</v>
      </c>
      <c r="U24" s="44">
        <f>'TE BE'!$U$24*'TE BE'!$U$49</f>
        <v>3.0098034642732759E-2</v>
      </c>
      <c r="V24" s="44">
        <f>'TE BE'!$V$24*'TE BE'!$V$49</f>
        <v>0</v>
      </c>
      <c r="W24" s="44">
        <f>SUM($T$24:$V$24)</f>
        <v>0.22562665045317126</v>
      </c>
      <c r="X24" s="44">
        <f>'TE BE'!$AB$24*'TE BE'!$X$49</f>
        <v>-24.499021056840807</v>
      </c>
      <c r="Y24" s="44">
        <f>SUM($X$24:$X$24)</f>
        <v>-24.499021056840807</v>
      </c>
      <c r="Z24" s="44">
        <f>'TE BE'!$Z$24*'TE BE'!$Z$49</f>
        <v>-0.36801891718108032</v>
      </c>
      <c r="AA24" s="44">
        <f>SUM($Z$24:$Z$24)</f>
        <v>-0.36801891718108032</v>
      </c>
      <c r="AB24" s="44">
        <f ca="1">SUMIF($L$4:$AA$4,"SUBTOTAL",$L$24:$AA$24)+AL24</f>
        <v>-42.370862642177393</v>
      </c>
      <c r="AC24" s="9" t="str">
        <f t="shared" si="0"/>
        <v>B2</v>
      </c>
      <c r="AD24" s="9" t="str">
        <f t="shared" si="1"/>
        <v>Energia convencional</v>
      </c>
      <c r="AE24" s="9" t="str">
        <f t="shared" si="2"/>
        <v>Rural</v>
      </c>
      <c r="AF24" s="9" t="str">
        <f t="shared" si="3"/>
        <v>Não se aplica</v>
      </c>
      <c r="AG24" s="9" t="str">
        <f t="shared" si="4"/>
        <v>Não se aplica</v>
      </c>
      <c r="AH24" s="9">
        <v>1</v>
      </c>
      <c r="AI24" s="9">
        <f ca="1">TarifaMedia!$G$20</f>
        <v>0</v>
      </c>
      <c r="AJ24" s="15">
        <f>'TE BE'!$AB24+'TE BF'!$AB24+'TE CVA'!$AB24</f>
        <v>227.55060294064452</v>
      </c>
      <c r="AK24" s="9">
        <v>261.62</v>
      </c>
      <c r="AL24" s="9">
        <f t="shared" ca="1" si="5"/>
        <v>0</v>
      </c>
      <c r="AO24" s="93" t="s">
        <v>1100</v>
      </c>
    </row>
    <row r="25" spans="1:41" ht="11.25" customHeight="1" x14ac:dyDescent="0.25">
      <c r="A25" s="141"/>
      <c r="B25" s="141" t="s">
        <v>69</v>
      </c>
      <c r="C25" s="141" t="s">
        <v>40</v>
      </c>
      <c r="D25" s="141" t="s">
        <v>86</v>
      </c>
      <c r="E25" s="141" t="s">
        <v>25</v>
      </c>
      <c r="F25" s="141" t="s">
        <v>25</v>
      </c>
      <c r="G25" s="46" t="s">
        <v>71</v>
      </c>
      <c r="H25" s="46" t="s">
        <v>70</v>
      </c>
      <c r="I25" s="46">
        <f>'MERCADO TE'!$U$22</f>
        <v>0</v>
      </c>
      <c r="J25" s="15"/>
      <c r="L25" s="44">
        <f>'TE BE'!$L$25*'TE BE'!$L$49</f>
        <v>4.5881186970682265E-7</v>
      </c>
      <c r="M25" s="44">
        <f>'TE BE'!$M$25*'TE BE'!$M$49</f>
        <v>-4.9716485011730516</v>
      </c>
      <c r="N25" s="44">
        <f>'TE BE'!$N$25*'TE BE'!$N$49</f>
        <v>0</v>
      </c>
      <c r="O25" s="44">
        <f>'TE BE'!$O$25*'TE BE'!$O$49</f>
        <v>-3.3838339792789322E-2</v>
      </c>
      <c r="P25" s="44">
        <f>'TE BE'!$P$25*'TE BE'!$P$49</f>
        <v>0</v>
      </c>
      <c r="Q25" s="44">
        <f>SUM($L$25:$P$25)</f>
        <v>-5.0054863821539719</v>
      </c>
      <c r="R25" s="44">
        <f>'TE BE'!$R$25*'TE BE'!$R$49</f>
        <v>-20.646430425190644</v>
      </c>
      <c r="S25" s="44">
        <f>SUM($R$25:$R$25)</f>
        <v>-20.646430425190644</v>
      </c>
      <c r="T25" s="44">
        <f>'TE BE'!$T$25*'TE BE'!$T$49</f>
        <v>0.19552861581043851</v>
      </c>
      <c r="U25" s="44">
        <f>'TE BE'!$U$25*'TE BE'!$U$49</f>
        <v>3.0098034642732759E-2</v>
      </c>
      <c r="V25" s="44">
        <f>'TE BE'!$V$25*'TE BE'!$V$49</f>
        <v>0</v>
      </c>
      <c r="W25" s="44">
        <f>SUM($T$25:$V$25)</f>
        <v>0.22562665045317126</v>
      </c>
      <c r="X25" s="44">
        <f>'TE BE'!$AB$25*'TE BE'!$X$49</f>
        <v>-38.007996573099831</v>
      </c>
      <c r="Y25" s="44">
        <f>SUM($X$25:$X$25)</f>
        <v>-38.007996573099831</v>
      </c>
      <c r="Z25" s="44">
        <f>'TE BE'!$Z$25*'TE BE'!$Z$49</f>
        <v>-0.36801891718108032</v>
      </c>
      <c r="AA25" s="44">
        <f>SUM($Z$25:$Z$25)</f>
        <v>-0.36801891718108032</v>
      </c>
      <c r="AB25" s="44">
        <f ca="1">SUMIF($L$4:$AA$4,"SUBTOTAL",$L$25:$AA$25)+AL25</f>
        <v>-63.802305647172354</v>
      </c>
      <c r="AC25" s="9" t="str">
        <f t="shared" si="0"/>
        <v>B2</v>
      </c>
      <c r="AD25" s="9" t="str">
        <f t="shared" si="1"/>
        <v>Energia horária</v>
      </c>
      <c r="AE25" s="9" t="str">
        <f t="shared" si="2"/>
        <v>Rural</v>
      </c>
      <c r="AF25" s="9" t="str">
        <f t="shared" si="3"/>
        <v>Cooperativa de eletrificação rural</v>
      </c>
      <c r="AG25" s="9" t="str">
        <f t="shared" si="4"/>
        <v>Não se aplica</v>
      </c>
      <c r="AH25" s="9">
        <v>1</v>
      </c>
      <c r="AI25" s="9">
        <f ca="1">TarifaMedia!$G$20</f>
        <v>0</v>
      </c>
      <c r="AJ25" s="15">
        <f>'TE BE'!$AB25+'TE BF'!$AB25+'TE CVA'!$AB25</f>
        <v>347.98834052804079</v>
      </c>
      <c r="AK25" s="9">
        <f>ROUND(370.01/(1-CUSTOS!$M$38),2)</f>
        <v>393.63</v>
      </c>
      <c r="AL25" s="9">
        <f t="shared" ca="1" si="5"/>
        <v>0</v>
      </c>
      <c r="AO25" s="93" t="s">
        <v>1104</v>
      </c>
    </row>
    <row r="26" spans="1:41" ht="11.25" customHeight="1" x14ac:dyDescent="0.25">
      <c r="A26" s="141"/>
      <c r="B26" s="141"/>
      <c r="C26" s="141"/>
      <c r="D26" s="141"/>
      <c r="E26" s="141"/>
      <c r="F26" s="141"/>
      <c r="G26" s="46" t="s">
        <v>83</v>
      </c>
      <c r="H26" s="46" t="s">
        <v>70</v>
      </c>
      <c r="I26" s="46">
        <f>'MERCADO TE'!$U$23</f>
        <v>0</v>
      </c>
      <c r="J26" s="15"/>
      <c r="L26" s="44">
        <f>'TE BE'!$L$26*'TE BE'!$L$49</f>
        <v>4.5881186970682265E-7</v>
      </c>
      <c r="M26" s="44">
        <f>'TE BE'!$M$26*'TE BE'!$M$49</f>
        <v>-4.9716485011730516</v>
      </c>
      <c r="N26" s="44">
        <f>'TE BE'!$N$26*'TE BE'!$N$49</f>
        <v>0</v>
      </c>
      <c r="O26" s="44">
        <f>'TE BE'!$O$26*'TE BE'!$O$49</f>
        <v>-3.3838339792789322E-2</v>
      </c>
      <c r="P26" s="44">
        <f>'TE BE'!$P$26*'TE BE'!$P$49</f>
        <v>0</v>
      </c>
      <c r="Q26" s="44">
        <f>SUM($L$26:$P$26)</f>
        <v>-5.0054863821539719</v>
      </c>
      <c r="R26" s="44">
        <f>'TE BE'!$R$26*'TE BE'!$R$49</f>
        <v>-12.003738619296888</v>
      </c>
      <c r="S26" s="44">
        <f>SUM($R$26:$R$26)</f>
        <v>-12.003738619296888</v>
      </c>
      <c r="T26" s="44">
        <f>'TE BE'!$T$26*'TE BE'!$T$49</f>
        <v>0.19552861581043851</v>
      </c>
      <c r="U26" s="44">
        <f>'TE BE'!$U$26*'TE BE'!$U$49</f>
        <v>3.0098034642732759E-2</v>
      </c>
      <c r="V26" s="44">
        <f>'TE BE'!$V$26*'TE BE'!$V$49</f>
        <v>0</v>
      </c>
      <c r="W26" s="44">
        <f>SUM($T$26:$V$26)</f>
        <v>0.22562665045317126</v>
      </c>
      <c r="X26" s="44">
        <f>'TE BE'!$AB$26*'TE BE'!$X$49</f>
        <v>-23.270932373544532</v>
      </c>
      <c r="Y26" s="44">
        <f>SUM($X$26:$X$26)</f>
        <v>-23.270932373544532</v>
      </c>
      <c r="Z26" s="44">
        <f>'TE BE'!$Z$26*'TE BE'!$Z$49</f>
        <v>-0.36801891718108032</v>
      </c>
      <c r="AA26" s="44">
        <f>SUM($Z$26:$Z$26)</f>
        <v>-0.36801891718108032</v>
      </c>
      <c r="AB26" s="44">
        <f ca="1">SUMIF($L$4:$AA$4,"SUBTOTAL",$L$26:$AA$26)+AL26</f>
        <v>-40.4225496417233</v>
      </c>
      <c r="AC26" s="9" t="str">
        <f t="shared" si="0"/>
        <v>B2</v>
      </c>
      <c r="AD26" s="9" t="str">
        <f t="shared" si="1"/>
        <v>Energia horária</v>
      </c>
      <c r="AE26" s="9" t="str">
        <f t="shared" si="2"/>
        <v>Rural</v>
      </c>
      <c r="AF26" s="9" t="str">
        <f t="shared" si="3"/>
        <v>Cooperativa de eletrificação rural</v>
      </c>
      <c r="AG26" s="9" t="str">
        <f t="shared" si="4"/>
        <v>Não se aplica</v>
      </c>
      <c r="AH26" s="9">
        <v>1</v>
      </c>
      <c r="AI26" s="9">
        <f ca="1">TarifaMedia!$G$20</f>
        <v>0</v>
      </c>
      <c r="AJ26" s="15">
        <f>'TE BE'!$AB26+'TE BF'!$AB26+'TE CVA'!$AB26</f>
        <v>216.60171770542672</v>
      </c>
      <c r="AK26" s="9">
        <f>ROUND(234.64/(1-CUSTOS!$M$38),2)</f>
        <v>249.62</v>
      </c>
      <c r="AL26" s="9">
        <f t="shared" ca="1" si="5"/>
        <v>0</v>
      </c>
      <c r="AO26" s="93" t="s">
        <v>1105</v>
      </c>
    </row>
    <row r="27" spans="1:41" ht="11.25" customHeight="1" x14ac:dyDescent="0.25">
      <c r="A27" s="141"/>
      <c r="B27" s="141"/>
      <c r="C27" s="141"/>
      <c r="D27" s="141"/>
      <c r="E27" s="141"/>
      <c r="F27" s="141"/>
      <c r="G27" s="46" t="s">
        <v>72</v>
      </c>
      <c r="H27" s="46" t="s">
        <v>70</v>
      </c>
      <c r="I27" s="46">
        <f>'MERCADO TE'!$U$24</f>
        <v>0</v>
      </c>
      <c r="J27" s="15"/>
      <c r="L27" s="44">
        <f>'TE BE'!$L$27*'TE BE'!$L$49</f>
        <v>4.5881186970682265E-7</v>
      </c>
      <c r="M27" s="44">
        <f>'TE BE'!$M$27*'TE BE'!$M$49</f>
        <v>-4.9716485011730516</v>
      </c>
      <c r="N27" s="44">
        <f>'TE BE'!$N$27*'TE BE'!$N$49</f>
        <v>0</v>
      </c>
      <c r="O27" s="44">
        <f>'TE BE'!$O$27*'TE BE'!$O$49</f>
        <v>-3.3838339792789322E-2</v>
      </c>
      <c r="P27" s="44">
        <f>'TE BE'!$P$27*'TE BE'!$P$49</f>
        <v>0</v>
      </c>
      <c r="Q27" s="44">
        <f>SUM($L$27:$P$27)</f>
        <v>-5.0054863821539719</v>
      </c>
      <c r="R27" s="44">
        <f>'TE BE'!$R$27*'TE BE'!$R$49</f>
        <v>-12.003738619296888</v>
      </c>
      <c r="S27" s="44">
        <f>SUM($R$27:$R$27)</f>
        <v>-12.003738619296888</v>
      </c>
      <c r="T27" s="44">
        <f>'TE BE'!$T$27*'TE BE'!$T$49</f>
        <v>0.19552861581043851</v>
      </c>
      <c r="U27" s="44">
        <f>'TE BE'!$U$27*'TE BE'!$U$49</f>
        <v>3.0098034642732759E-2</v>
      </c>
      <c r="V27" s="44">
        <f>'TE BE'!$V$27*'TE BE'!$V$49</f>
        <v>0</v>
      </c>
      <c r="W27" s="44">
        <f>SUM($T$27:$V$27)</f>
        <v>0.22562665045317126</v>
      </c>
      <c r="X27" s="44">
        <f>'TE BE'!$AB$27*'TE BE'!$X$49</f>
        <v>-23.270932373544532</v>
      </c>
      <c r="Y27" s="44">
        <f>SUM($X$27:$X$27)</f>
        <v>-23.270932373544532</v>
      </c>
      <c r="Z27" s="44">
        <f>'TE BE'!$Z$27*'TE BE'!$Z$49</f>
        <v>-0.36801891718108032</v>
      </c>
      <c r="AA27" s="44">
        <f>SUM($Z$27:$Z$27)</f>
        <v>-0.36801891718108032</v>
      </c>
      <c r="AB27" s="44">
        <f ca="1">SUMIF($L$4:$AA$4,"SUBTOTAL",$L$27:$AA$27)+AL27</f>
        <v>-40.4225496417233</v>
      </c>
      <c r="AC27" s="9" t="str">
        <f t="shared" si="0"/>
        <v>B2</v>
      </c>
      <c r="AD27" s="9" t="str">
        <f t="shared" si="1"/>
        <v>Energia horária</v>
      </c>
      <c r="AE27" s="9" t="str">
        <f t="shared" si="2"/>
        <v>Rural</v>
      </c>
      <c r="AF27" s="9" t="str">
        <f t="shared" si="3"/>
        <v>Cooperativa de eletrificação rural</v>
      </c>
      <c r="AG27" s="9" t="str">
        <f t="shared" si="4"/>
        <v>Não se aplica</v>
      </c>
      <c r="AH27" s="9">
        <v>1</v>
      </c>
      <c r="AI27" s="9">
        <f ca="1">TarifaMedia!$G$20</f>
        <v>0</v>
      </c>
      <c r="AJ27" s="15">
        <f>'TE BE'!$AB27+'TE BF'!$AB27+'TE CVA'!$AB27</f>
        <v>216.60171770542672</v>
      </c>
      <c r="AK27" s="9">
        <f>ROUND(234.64/(1-CUSTOS!$M$38),2)</f>
        <v>249.62</v>
      </c>
      <c r="AL27" s="9">
        <f t="shared" ca="1" si="5"/>
        <v>0</v>
      </c>
      <c r="AO27" s="93" t="s">
        <v>1106</v>
      </c>
    </row>
    <row r="28" spans="1:41" ht="11.25" customHeight="1" x14ac:dyDescent="0.25">
      <c r="A28" s="141"/>
      <c r="B28" s="47" t="s">
        <v>73</v>
      </c>
      <c r="C28" s="47" t="s">
        <v>40</v>
      </c>
      <c r="D28" s="47" t="s">
        <v>86</v>
      </c>
      <c r="E28" s="47" t="s">
        <v>25</v>
      </c>
      <c r="F28" s="47" t="s">
        <v>25</v>
      </c>
      <c r="G28" s="46" t="s">
        <v>74</v>
      </c>
      <c r="H28" s="46" t="s">
        <v>70</v>
      </c>
      <c r="I28" s="46">
        <f>'MERCADO TE'!$U$25</f>
        <v>0</v>
      </c>
      <c r="J28" s="15"/>
      <c r="L28" s="44">
        <f>'TE BE'!$L$28*'TE BE'!$L$49</f>
        <v>4.5881186970682265E-7</v>
      </c>
      <c r="M28" s="44">
        <f>'TE BE'!$M$28*'TE BE'!$M$49</f>
        <v>-4.9716485011730516</v>
      </c>
      <c r="N28" s="44">
        <f>'TE BE'!$N$28*'TE BE'!$N$49</f>
        <v>0</v>
      </c>
      <c r="O28" s="44">
        <f>'TE BE'!$O$28*'TE BE'!$O$49</f>
        <v>-3.3838339792789322E-2</v>
      </c>
      <c r="P28" s="44">
        <f>'TE BE'!$P$28*'TE BE'!$P$49</f>
        <v>0</v>
      </c>
      <c r="Q28" s="44">
        <f>SUM($L$28:$P$28)</f>
        <v>-5.0054863821539719</v>
      </c>
      <c r="R28" s="44">
        <f>'TE BE'!$R$28*'TE BE'!$R$49</f>
        <v>-12.723962936454701</v>
      </c>
      <c r="S28" s="44">
        <f>SUM($R$28:$R$28)</f>
        <v>-12.723962936454701</v>
      </c>
      <c r="T28" s="44">
        <f>'TE BE'!$T$28*'TE BE'!$T$49</f>
        <v>0.19552861581043851</v>
      </c>
      <c r="U28" s="44">
        <f>'TE BE'!$U$28*'TE BE'!$U$49</f>
        <v>3.0098034642732759E-2</v>
      </c>
      <c r="V28" s="44">
        <f>'TE BE'!$V$28*'TE BE'!$V$49</f>
        <v>0</v>
      </c>
      <c r="W28" s="44">
        <f>SUM($T$28:$V$28)</f>
        <v>0.22562665045317126</v>
      </c>
      <c r="X28" s="44">
        <f>'TE BE'!$AB$28*'TE BE'!$X$49</f>
        <v>-24.499021056840807</v>
      </c>
      <c r="Y28" s="44">
        <f>SUM($X$28:$X$28)</f>
        <v>-24.499021056840807</v>
      </c>
      <c r="Z28" s="44">
        <f>'TE BE'!$Z$28*'TE BE'!$Z$49</f>
        <v>-0.36801891718108032</v>
      </c>
      <c r="AA28" s="44">
        <f>SUM($Z$28:$Z$28)</f>
        <v>-0.36801891718108032</v>
      </c>
      <c r="AB28" s="44">
        <f ca="1">SUMIF($L$4:$AA$4,"SUBTOTAL",$L$28:$AA$28)+AL28</f>
        <v>-42.370862642177393</v>
      </c>
      <c r="AC28" s="9" t="str">
        <f t="shared" si="0"/>
        <v>B2</v>
      </c>
      <c r="AD28" s="9" t="str">
        <f t="shared" si="1"/>
        <v>Energia convencional</v>
      </c>
      <c r="AE28" s="9" t="str">
        <f t="shared" si="2"/>
        <v>Rural</v>
      </c>
      <c r="AF28" s="9" t="str">
        <f t="shared" si="3"/>
        <v>Cooperativa de eletrificação rural</v>
      </c>
      <c r="AG28" s="9" t="str">
        <f t="shared" si="4"/>
        <v>Não se aplica</v>
      </c>
      <c r="AH28" s="9">
        <v>1</v>
      </c>
      <c r="AI28" s="9">
        <f ca="1">TarifaMedia!$G$20</f>
        <v>0</v>
      </c>
      <c r="AJ28" s="15">
        <f>'TE BE'!$AB28+'TE BF'!$AB28+'TE CVA'!$AB28</f>
        <v>227.55060294064452</v>
      </c>
      <c r="AK28" s="9">
        <v>261.62</v>
      </c>
      <c r="AL28" s="9">
        <f t="shared" ca="1" si="5"/>
        <v>0</v>
      </c>
      <c r="AO28" s="93" t="s">
        <v>1100</v>
      </c>
    </row>
    <row r="29" spans="1:41" ht="11.25" customHeight="1" x14ac:dyDescent="0.25">
      <c r="A29" s="141"/>
      <c r="B29" s="141" t="s">
        <v>69</v>
      </c>
      <c r="C29" s="141" t="s">
        <v>40</v>
      </c>
      <c r="D29" s="141" t="s">
        <v>87</v>
      </c>
      <c r="E29" s="141" t="s">
        <v>25</v>
      </c>
      <c r="F29" s="141" t="s">
        <v>25</v>
      </c>
      <c r="G29" s="46" t="s">
        <v>71</v>
      </c>
      <c r="H29" s="46" t="s">
        <v>70</v>
      </c>
      <c r="I29" s="46">
        <f>'MERCADO TE'!$U$26</f>
        <v>0</v>
      </c>
      <c r="J29" s="15"/>
      <c r="L29" s="44">
        <f>'TE BE'!$L$29*'TE BE'!$L$49</f>
        <v>4.5881186970682265E-7</v>
      </c>
      <c r="M29" s="44">
        <f>'TE BE'!$M$29*'TE BE'!$M$49</f>
        <v>-4.9716485011730516</v>
      </c>
      <c r="N29" s="44">
        <f>'TE BE'!$N$29*'TE BE'!$N$49</f>
        <v>0</v>
      </c>
      <c r="O29" s="44">
        <f>'TE BE'!$O$29*'TE BE'!$O$49</f>
        <v>-3.3838339792789322E-2</v>
      </c>
      <c r="P29" s="44">
        <f>'TE BE'!$P$29*'TE BE'!$P$49</f>
        <v>0</v>
      </c>
      <c r="Q29" s="44">
        <f>SUM($L$29:$P$29)</f>
        <v>-5.0054863821539719</v>
      </c>
      <c r="R29" s="44">
        <f>'TE BE'!$R$29*'TE BE'!$R$49</f>
        <v>-20.646430425190644</v>
      </c>
      <c r="S29" s="44">
        <f>SUM($R$29:$R$29)</f>
        <v>-20.646430425190644</v>
      </c>
      <c r="T29" s="44">
        <f>'TE BE'!$T$29*'TE BE'!$T$49</f>
        <v>0.19552861581043851</v>
      </c>
      <c r="U29" s="44">
        <f>'TE BE'!$U$29*'TE BE'!$U$49</f>
        <v>3.0098034642732759E-2</v>
      </c>
      <c r="V29" s="44">
        <f>'TE BE'!$V$29*'TE BE'!$V$49</f>
        <v>0</v>
      </c>
      <c r="W29" s="44">
        <f>SUM($T$29:$V$29)</f>
        <v>0.22562665045317126</v>
      </c>
      <c r="X29" s="44">
        <f>'TE BE'!$AB$29*'TE BE'!$X$49</f>
        <v>-38.007996573099831</v>
      </c>
      <c r="Y29" s="44">
        <f>SUM($X$29:$X$29)</f>
        <v>-38.007996573099831</v>
      </c>
      <c r="Z29" s="44">
        <f>'TE BE'!$Z$29*'TE BE'!$Z$49</f>
        <v>-0.36801891718108032</v>
      </c>
      <c r="AA29" s="44">
        <f>SUM($Z$29:$Z$29)</f>
        <v>-0.36801891718108032</v>
      </c>
      <c r="AB29" s="44">
        <f ca="1">SUMIF($L$4:$AA$4,"SUBTOTAL",$L$29:$AA$29)+AL29</f>
        <v>-63.802305647172354</v>
      </c>
      <c r="AC29" s="9" t="str">
        <f t="shared" si="0"/>
        <v>B2</v>
      </c>
      <c r="AD29" s="9" t="str">
        <f t="shared" si="1"/>
        <v>Energia horária</v>
      </c>
      <c r="AE29" s="9" t="str">
        <f t="shared" si="2"/>
        <v>Rural</v>
      </c>
      <c r="AF29" s="9" t="str">
        <f t="shared" si="3"/>
        <v>Serviço público de irrigação rural</v>
      </c>
      <c r="AG29" s="9" t="str">
        <f t="shared" si="4"/>
        <v>Não se aplica</v>
      </c>
      <c r="AH29" s="9">
        <v>1</v>
      </c>
      <c r="AI29" s="9">
        <f ca="1">TarifaMedia!$G$20</f>
        <v>0</v>
      </c>
      <c r="AJ29" s="15">
        <f>'TE BE'!$AB29+'TE BF'!$AB29+'TE CVA'!$AB29</f>
        <v>347.98834052804079</v>
      </c>
      <c r="AK29" s="9">
        <f>ROUND(370.01/(1-CUSTOS!$M$38),2)</f>
        <v>393.63</v>
      </c>
      <c r="AL29" s="9">
        <f t="shared" ca="1" si="5"/>
        <v>0</v>
      </c>
      <c r="AO29" s="93" t="s">
        <v>1104</v>
      </c>
    </row>
    <row r="30" spans="1:41" ht="11.25" customHeight="1" x14ac:dyDescent="0.25">
      <c r="A30" s="141"/>
      <c r="B30" s="141"/>
      <c r="C30" s="141"/>
      <c r="D30" s="141"/>
      <c r="E30" s="141"/>
      <c r="F30" s="141"/>
      <c r="G30" s="46" t="s">
        <v>83</v>
      </c>
      <c r="H30" s="46" t="s">
        <v>70</v>
      </c>
      <c r="I30" s="46">
        <f>'MERCADO TE'!$U$27</f>
        <v>0</v>
      </c>
      <c r="J30" s="15"/>
      <c r="L30" s="44">
        <f>'TE BE'!$L$30*'TE BE'!$L$49</f>
        <v>4.5881186970682265E-7</v>
      </c>
      <c r="M30" s="44">
        <f>'TE BE'!$M$30*'TE BE'!$M$49</f>
        <v>-4.9716485011730516</v>
      </c>
      <c r="N30" s="44">
        <f>'TE BE'!$N$30*'TE BE'!$N$49</f>
        <v>0</v>
      </c>
      <c r="O30" s="44">
        <f>'TE BE'!$O$30*'TE BE'!$O$49</f>
        <v>-3.3838339792789322E-2</v>
      </c>
      <c r="P30" s="44">
        <f>'TE BE'!$P$30*'TE BE'!$P$49</f>
        <v>0</v>
      </c>
      <c r="Q30" s="44">
        <f>SUM($L$30:$P$30)</f>
        <v>-5.0054863821539719</v>
      </c>
      <c r="R30" s="44">
        <f>'TE BE'!$R$30*'TE BE'!$R$49</f>
        <v>-12.003738619296888</v>
      </c>
      <c r="S30" s="44">
        <f>SUM($R$30:$R$30)</f>
        <v>-12.003738619296888</v>
      </c>
      <c r="T30" s="44">
        <f>'TE BE'!$T$30*'TE BE'!$T$49</f>
        <v>0.19552861581043851</v>
      </c>
      <c r="U30" s="44">
        <f>'TE BE'!$U$30*'TE BE'!$U$49</f>
        <v>3.0098034642732759E-2</v>
      </c>
      <c r="V30" s="44">
        <f>'TE BE'!$V$30*'TE BE'!$V$49</f>
        <v>0</v>
      </c>
      <c r="W30" s="44">
        <f>SUM($T$30:$V$30)</f>
        <v>0.22562665045317126</v>
      </c>
      <c r="X30" s="44">
        <f>'TE BE'!$AB$30*'TE BE'!$X$49</f>
        <v>-23.270932373544532</v>
      </c>
      <c r="Y30" s="44">
        <f>SUM($X$30:$X$30)</f>
        <v>-23.270932373544532</v>
      </c>
      <c r="Z30" s="44">
        <f>'TE BE'!$Z$30*'TE BE'!$Z$49</f>
        <v>-0.36801891718108032</v>
      </c>
      <c r="AA30" s="44">
        <f>SUM($Z$30:$Z$30)</f>
        <v>-0.36801891718108032</v>
      </c>
      <c r="AB30" s="44">
        <f ca="1">SUMIF($L$4:$AA$4,"SUBTOTAL",$L$30:$AA$30)+AL30</f>
        <v>-40.4225496417233</v>
      </c>
      <c r="AC30" s="9" t="str">
        <f t="shared" si="0"/>
        <v>B2</v>
      </c>
      <c r="AD30" s="9" t="str">
        <f t="shared" si="1"/>
        <v>Energia horária</v>
      </c>
      <c r="AE30" s="9" t="str">
        <f t="shared" si="2"/>
        <v>Rural</v>
      </c>
      <c r="AF30" s="9" t="str">
        <f t="shared" si="3"/>
        <v>Serviço público de irrigação rural</v>
      </c>
      <c r="AG30" s="9" t="str">
        <f t="shared" si="4"/>
        <v>Não se aplica</v>
      </c>
      <c r="AH30" s="9">
        <v>1</v>
      </c>
      <c r="AI30" s="9">
        <f ca="1">TarifaMedia!$G$20</f>
        <v>0</v>
      </c>
      <c r="AJ30" s="15">
        <f>'TE BE'!$AB30+'TE BF'!$AB30+'TE CVA'!$AB30</f>
        <v>216.60171770542672</v>
      </c>
      <c r="AK30" s="9">
        <f>ROUND(234.64/(1-CUSTOS!$M$38),2)</f>
        <v>249.62</v>
      </c>
      <c r="AL30" s="9">
        <f t="shared" ca="1" si="5"/>
        <v>0</v>
      </c>
      <c r="AO30" s="93" t="s">
        <v>1105</v>
      </c>
    </row>
    <row r="31" spans="1:41" ht="11.25" customHeight="1" x14ac:dyDescent="0.25">
      <c r="A31" s="141"/>
      <c r="B31" s="141"/>
      <c r="C31" s="141"/>
      <c r="D31" s="141"/>
      <c r="E31" s="141"/>
      <c r="F31" s="141"/>
      <c r="G31" s="46" t="s">
        <v>72</v>
      </c>
      <c r="H31" s="46" t="s">
        <v>70</v>
      </c>
      <c r="I31" s="46">
        <f>'MERCADO TE'!$U$28</f>
        <v>0</v>
      </c>
      <c r="J31" s="15"/>
      <c r="L31" s="44">
        <f>'TE BE'!$L$31*'TE BE'!$L$49</f>
        <v>4.5881186970682265E-7</v>
      </c>
      <c r="M31" s="44">
        <f>'TE BE'!$M$31*'TE BE'!$M$49</f>
        <v>-4.9716485011730516</v>
      </c>
      <c r="N31" s="44">
        <f>'TE BE'!$N$31*'TE BE'!$N$49</f>
        <v>0</v>
      </c>
      <c r="O31" s="44">
        <f>'TE BE'!$O$31*'TE BE'!$O$49</f>
        <v>-3.3838339792789322E-2</v>
      </c>
      <c r="P31" s="44">
        <f>'TE BE'!$P$31*'TE BE'!$P$49</f>
        <v>0</v>
      </c>
      <c r="Q31" s="44">
        <f>SUM($L$31:$P$31)</f>
        <v>-5.0054863821539719</v>
      </c>
      <c r="R31" s="44">
        <f>'TE BE'!$R$31*'TE BE'!$R$49</f>
        <v>-12.003738619296888</v>
      </c>
      <c r="S31" s="44">
        <f>SUM($R$31:$R$31)</f>
        <v>-12.003738619296888</v>
      </c>
      <c r="T31" s="44">
        <f>'TE BE'!$T$31*'TE BE'!$T$49</f>
        <v>0.19552861581043851</v>
      </c>
      <c r="U31" s="44">
        <f>'TE BE'!$U$31*'TE BE'!$U$49</f>
        <v>3.0098034642732759E-2</v>
      </c>
      <c r="V31" s="44">
        <f>'TE BE'!$V$31*'TE BE'!$V$49</f>
        <v>0</v>
      </c>
      <c r="W31" s="44">
        <f>SUM($T$31:$V$31)</f>
        <v>0.22562665045317126</v>
      </c>
      <c r="X31" s="44">
        <f>'TE BE'!$AB$31*'TE BE'!$X$49</f>
        <v>-23.270932373544532</v>
      </c>
      <c r="Y31" s="44">
        <f>SUM($X$31:$X$31)</f>
        <v>-23.270932373544532</v>
      </c>
      <c r="Z31" s="44">
        <f>'TE BE'!$Z$31*'TE BE'!$Z$49</f>
        <v>-0.36801891718108032</v>
      </c>
      <c r="AA31" s="44">
        <f>SUM($Z$31:$Z$31)</f>
        <v>-0.36801891718108032</v>
      </c>
      <c r="AB31" s="44">
        <f ca="1">SUMIF($L$4:$AA$4,"SUBTOTAL",$L$31:$AA$31)+AL31</f>
        <v>-40.4225496417233</v>
      </c>
      <c r="AC31" s="9" t="str">
        <f t="shared" si="0"/>
        <v>B2</v>
      </c>
      <c r="AD31" s="9" t="str">
        <f t="shared" si="1"/>
        <v>Energia horária</v>
      </c>
      <c r="AE31" s="9" t="str">
        <f t="shared" si="2"/>
        <v>Rural</v>
      </c>
      <c r="AF31" s="9" t="str">
        <f t="shared" si="3"/>
        <v>Serviço público de irrigação rural</v>
      </c>
      <c r="AG31" s="9" t="str">
        <f t="shared" si="4"/>
        <v>Não se aplica</v>
      </c>
      <c r="AH31" s="9">
        <v>1</v>
      </c>
      <c r="AI31" s="9">
        <f ca="1">TarifaMedia!$G$20</f>
        <v>0</v>
      </c>
      <c r="AJ31" s="15">
        <f>'TE BE'!$AB31+'TE BF'!$AB31+'TE CVA'!$AB31</f>
        <v>216.60171770542672</v>
      </c>
      <c r="AK31" s="9">
        <f>ROUND(234.64/(1-CUSTOS!$M$38),2)</f>
        <v>249.62</v>
      </c>
      <c r="AL31" s="9">
        <f t="shared" ca="1" si="5"/>
        <v>0</v>
      </c>
      <c r="AO31" s="93" t="s">
        <v>1106</v>
      </c>
    </row>
    <row r="32" spans="1:41" ht="11.25" customHeight="1" x14ac:dyDescent="0.25">
      <c r="A32" s="141"/>
      <c r="B32" s="47" t="s">
        <v>73</v>
      </c>
      <c r="C32" s="47" t="s">
        <v>40</v>
      </c>
      <c r="D32" s="47" t="s">
        <v>87</v>
      </c>
      <c r="E32" s="47" t="s">
        <v>25</v>
      </c>
      <c r="F32" s="47" t="s">
        <v>25</v>
      </c>
      <c r="G32" s="46" t="s">
        <v>74</v>
      </c>
      <c r="H32" s="46" t="s">
        <v>70</v>
      </c>
      <c r="I32" s="46">
        <f>'MERCADO TE'!$U$29</f>
        <v>0</v>
      </c>
      <c r="J32" s="15"/>
      <c r="L32" s="44">
        <f>'TE BE'!$L$32*'TE BE'!$L$49</f>
        <v>4.5881186970682265E-7</v>
      </c>
      <c r="M32" s="44">
        <f>'TE BE'!$M$32*'TE BE'!$M$49</f>
        <v>-4.9716485011730516</v>
      </c>
      <c r="N32" s="44">
        <f>'TE BE'!$N$32*'TE BE'!$N$49</f>
        <v>0</v>
      </c>
      <c r="O32" s="44">
        <f>'TE BE'!$O$32*'TE BE'!$O$49</f>
        <v>-3.3838339792789322E-2</v>
      </c>
      <c r="P32" s="44">
        <f>'TE BE'!$P$32*'TE BE'!$P$49</f>
        <v>0</v>
      </c>
      <c r="Q32" s="44">
        <f>SUM($L$32:$P$32)</f>
        <v>-5.0054863821539719</v>
      </c>
      <c r="R32" s="44">
        <f>'TE BE'!$R$32*'TE BE'!$R$49</f>
        <v>-12.723962936454701</v>
      </c>
      <c r="S32" s="44">
        <f>SUM($R$32:$R$32)</f>
        <v>-12.723962936454701</v>
      </c>
      <c r="T32" s="44">
        <f>'TE BE'!$T$32*'TE BE'!$T$49</f>
        <v>0.19552861581043851</v>
      </c>
      <c r="U32" s="44">
        <f>'TE BE'!$U$32*'TE BE'!$U$49</f>
        <v>3.0098034642732759E-2</v>
      </c>
      <c r="V32" s="44">
        <f>'TE BE'!$V$32*'TE BE'!$V$49</f>
        <v>0</v>
      </c>
      <c r="W32" s="44">
        <f>SUM($T$32:$V$32)</f>
        <v>0.22562665045317126</v>
      </c>
      <c r="X32" s="44">
        <f>'TE BE'!$AB$32*'TE BE'!$X$49</f>
        <v>-24.499021056840807</v>
      </c>
      <c r="Y32" s="44">
        <f>SUM($X$32:$X$32)</f>
        <v>-24.499021056840807</v>
      </c>
      <c r="Z32" s="44">
        <f>'TE BE'!$Z$32*'TE BE'!$Z$49</f>
        <v>-0.36801891718108032</v>
      </c>
      <c r="AA32" s="44">
        <f>SUM($Z$32:$Z$32)</f>
        <v>-0.36801891718108032</v>
      </c>
      <c r="AB32" s="44">
        <f ca="1">SUMIF($L$4:$AA$4,"SUBTOTAL",$L$32:$AA$32)+AL32</f>
        <v>-42.370862642177393</v>
      </c>
      <c r="AC32" s="9" t="str">
        <f t="shared" si="0"/>
        <v>B2</v>
      </c>
      <c r="AD32" s="9" t="str">
        <f t="shared" si="1"/>
        <v>Energia convencional</v>
      </c>
      <c r="AE32" s="9" t="str">
        <f t="shared" si="2"/>
        <v>Rural</v>
      </c>
      <c r="AF32" s="9" t="str">
        <f t="shared" si="3"/>
        <v>Serviço público de irrigação rural</v>
      </c>
      <c r="AG32" s="9" t="str">
        <f t="shared" si="4"/>
        <v>Não se aplica</v>
      </c>
      <c r="AH32" s="9">
        <v>1</v>
      </c>
      <c r="AI32" s="9">
        <f ca="1">TarifaMedia!$G$20</f>
        <v>0</v>
      </c>
      <c r="AJ32" s="15">
        <f>'TE BE'!$AB32+'TE BF'!$AB32+'TE CVA'!$AB32</f>
        <v>227.55060294064452</v>
      </c>
      <c r="AK32" s="9">
        <v>261.62</v>
      </c>
      <c r="AL32" s="9">
        <f t="shared" ca="1" si="5"/>
        <v>0</v>
      </c>
      <c r="AO32" s="93" t="s">
        <v>1100</v>
      </c>
    </row>
    <row r="33" spans="1:41" ht="11.25" customHeight="1" x14ac:dyDescent="0.25">
      <c r="A33" s="141"/>
      <c r="B33" s="141" t="s">
        <v>84</v>
      </c>
      <c r="C33" s="141" t="s">
        <v>40</v>
      </c>
      <c r="D33" s="47" t="s">
        <v>25</v>
      </c>
      <c r="E33" s="47" t="s">
        <v>25</v>
      </c>
      <c r="F33" s="47" t="s">
        <v>25</v>
      </c>
      <c r="G33" s="46" t="s">
        <v>74</v>
      </c>
      <c r="H33" s="46" t="s">
        <v>70</v>
      </c>
      <c r="I33" s="46">
        <f>'MERCADO TE'!$U$30</f>
        <v>0</v>
      </c>
      <c r="J33" s="15"/>
      <c r="L33" s="44">
        <f>'TE BE'!$L$33*'TE BE'!$L$49</f>
        <v>4.5881186970682265E-7</v>
      </c>
      <c r="M33" s="44">
        <f>'TE BE'!$M$33*'TE BE'!$M$49</f>
        <v>-4.9716485011730516</v>
      </c>
      <c r="N33" s="44">
        <f>'TE BE'!$N$33*'TE BE'!$N$49</f>
        <v>0</v>
      </c>
      <c r="O33" s="44">
        <f>'TE BE'!$O$33*'TE BE'!$O$49</f>
        <v>-3.3838339792789322E-2</v>
      </c>
      <c r="P33" s="44">
        <f>'TE BE'!$P$33*'TE BE'!$P$49</f>
        <v>0</v>
      </c>
      <c r="Q33" s="44">
        <f>SUM($L$33:$P$33)</f>
        <v>-5.0054863821539719</v>
      </c>
      <c r="R33" s="44">
        <f>'TE BE'!$R$33*'TE BE'!$R$49</f>
        <v>-12.723962936454701</v>
      </c>
      <c r="S33" s="44">
        <f>SUM($R$33:$R$33)</f>
        <v>-12.723962936454701</v>
      </c>
      <c r="T33" s="44">
        <f>'TE BE'!$T$33*'TE BE'!$T$49</f>
        <v>0.19552861581043851</v>
      </c>
      <c r="U33" s="44">
        <f>'TE BE'!$U$33*'TE BE'!$U$49</f>
        <v>3.0098034642732759E-2</v>
      </c>
      <c r="V33" s="44">
        <f>'TE BE'!$V$33*'TE BE'!$V$49</f>
        <v>0</v>
      </c>
      <c r="W33" s="44">
        <f>SUM($T$33:$V$33)</f>
        <v>0.22562665045317126</v>
      </c>
      <c r="X33" s="44">
        <f>'TE BE'!$AB$33*'TE BE'!$X$49</f>
        <v>-24.499021056840807</v>
      </c>
      <c r="Y33" s="44">
        <f>SUM($X$33:$X$33)</f>
        <v>-24.499021056840807</v>
      </c>
      <c r="Z33" s="44">
        <f>'TE BE'!$Z$33*'TE BE'!$Z$49</f>
        <v>-0.36801891718108032</v>
      </c>
      <c r="AA33" s="44">
        <f>SUM($Z$33:$Z$33)</f>
        <v>-0.36801891718108032</v>
      </c>
      <c r="AB33" s="44">
        <f ca="1">SUMIF($L$4:$AA$4,"SUBTOTAL",$L$33:$AA$33)+AL33</f>
        <v>-42.370862642177393</v>
      </c>
      <c r="AC33" s="9" t="str">
        <f t="shared" si="0"/>
        <v>B2</v>
      </c>
      <c r="AD33" s="9" t="str">
        <f t="shared" si="1"/>
        <v>Energia convencional pré-pagamento</v>
      </c>
      <c r="AE33" s="9" t="str">
        <f t="shared" si="2"/>
        <v>Rural</v>
      </c>
      <c r="AF33" s="9" t="str">
        <f t="shared" si="3"/>
        <v>Não se aplica</v>
      </c>
      <c r="AG33" s="9" t="str">
        <f t="shared" si="4"/>
        <v>Não se aplica</v>
      </c>
      <c r="AH33" s="9">
        <v>1</v>
      </c>
      <c r="AI33" s="9">
        <f ca="1">TarifaMedia!$G$20</f>
        <v>0</v>
      </c>
      <c r="AJ33" s="15">
        <f>'TE BE'!$AB33+'TE BF'!$AB33+'TE CVA'!$AB33</f>
        <v>227.55060294064452</v>
      </c>
      <c r="AK33" s="9">
        <v>261.62</v>
      </c>
      <c r="AL33" s="9">
        <f t="shared" ca="1" si="5"/>
        <v>0</v>
      </c>
      <c r="AO33" s="93" t="s">
        <v>1100</v>
      </c>
    </row>
    <row r="34" spans="1:41" ht="11.25" customHeight="1" x14ac:dyDescent="0.25">
      <c r="A34" s="141"/>
      <c r="B34" s="141"/>
      <c r="C34" s="141"/>
      <c r="D34" s="47" t="s">
        <v>86</v>
      </c>
      <c r="E34" s="47" t="s">
        <v>25</v>
      </c>
      <c r="F34" s="47" t="s">
        <v>25</v>
      </c>
      <c r="G34" s="46" t="s">
        <v>74</v>
      </c>
      <c r="H34" s="46" t="s">
        <v>70</v>
      </c>
      <c r="I34" s="46">
        <f>'MERCADO TE'!$U$31</f>
        <v>0</v>
      </c>
      <c r="J34" s="15"/>
      <c r="L34" s="44">
        <f>'TE BE'!$L$34*'TE BE'!$L$49</f>
        <v>4.5881186970682265E-7</v>
      </c>
      <c r="M34" s="44">
        <f>'TE BE'!$M$34*'TE BE'!$M$49</f>
        <v>-4.9716485011730516</v>
      </c>
      <c r="N34" s="44">
        <f>'TE BE'!$N$34*'TE BE'!$N$49</f>
        <v>0</v>
      </c>
      <c r="O34" s="44">
        <f>'TE BE'!$O$34*'TE BE'!$O$49</f>
        <v>-3.3838339792789322E-2</v>
      </c>
      <c r="P34" s="44">
        <f>'TE BE'!$P$34*'TE BE'!$P$49</f>
        <v>0</v>
      </c>
      <c r="Q34" s="44">
        <f>SUM($L$34:$P$34)</f>
        <v>-5.0054863821539719</v>
      </c>
      <c r="R34" s="44">
        <f>'TE BE'!$R$34*'TE BE'!$R$49</f>
        <v>-12.723962936454701</v>
      </c>
      <c r="S34" s="44">
        <f>SUM($R$34:$R$34)</f>
        <v>-12.723962936454701</v>
      </c>
      <c r="T34" s="44">
        <f>'TE BE'!$T$34*'TE BE'!$T$49</f>
        <v>0.19552861581043851</v>
      </c>
      <c r="U34" s="44">
        <f>'TE BE'!$U$34*'TE BE'!$U$49</f>
        <v>3.0098034642732759E-2</v>
      </c>
      <c r="V34" s="44">
        <f>'TE BE'!$V$34*'TE BE'!$V$49</f>
        <v>0</v>
      </c>
      <c r="W34" s="44">
        <f>SUM($T$34:$V$34)</f>
        <v>0.22562665045317126</v>
      </c>
      <c r="X34" s="44">
        <f>'TE BE'!$AB$34*'TE BE'!$X$49</f>
        <v>-24.499021056840807</v>
      </c>
      <c r="Y34" s="44">
        <f>SUM($X$34:$X$34)</f>
        <v>-24.499021056840807</v>
      </c>
      <c r="Z34" s="44">
        <f>'TE BE'!$Z$34*'TE BE'!$Z$49</f>
        <v>-0.36801891718108032</v>
      </c>
      <c r="AA34" s="44">
        <f>SUM($Z$34:$Z$34)</f>
        <v>-0.36801891718108032</v>
      </c>
      <c r="AB34" s="44">
        <f ca="1">SUMIF($L$4:$AA$4,"SUBTOTAL",$L$34:$AA$34)+AL34</f>
        <v>-42.370862642177393</v>
      </c>
      <c r="AC34" s="9" t="str">
        <f t="shared" si="0"/>
        <v>B2</v>
      </c>
      <c r="AD34" s="9" t="str">
        <f t="shared" si="1"/>
        <v>Energia convencional pré-pagamento</v>
      </c>
      <c r="AE34" s="9" t="str">
        <f t="shared" si="2"/>
        <v>Rural</v>
      </c>
      <c r="AF34" s="9" t="str">
        <f t="shared" si="3"/>
        <v>Cooperativa de eletrificação rural</v>
      </c>
      <c r="AG34" s="9" t="str">
        <f t="shared" si="4"/>
        <v>Não se aplica</v>
      </c>
      <c r="AH34" s="9">
        <v>1</v>
      </c>
      <c r="AI34" s="9">
        <f ca="1">TarifaMedia!$G$20</f>
        <v>0</v>
      </c>
      <c r="AJ34" s="15">
        <f>'TE BE'!$AB34+'TE BF'!$AB34+'TE CVA'!$AB34</f>
        <v>227.55060294064452</v>
      </c>
      <c r="AK34" s="9">
        <v>261.62</v>
      </c>
      <c r="AL34" s="9">
        <f t="shared" ca="1" si="5"/>
        <v>0</v>
      </c>
      <c r="AO34" s="93" t="s">
        <v>1100</v>
      </c>
    </row>
    <row r="35" spans="1:41" ht="11.25" customHeight="1" x14ac:dyDescent="0.25">
      <c r="A35" s="141"/>
      <c r="B35" s="141"/>
      <c r="C35" s="141"/>
      <c r="D35" s="47" t="s">
        <v>87</v>
      </c>
      <c r="E35" s="47" t="s">
        <v>25</v>
      </c>
      <c r="F35" s="47" t="s">
        <v>25</v>
      </c>
      <c r="G35" s="46" t="s">
        <v>74</v>
      </c>
      <c r="H35" s="46" t="s">
        <v>70</v>
      </c>
      <c r="I35" s="46">
        <f>'MERCADO TE'!$U$32</f>
        <v>0</v>
      </c>
      <c r="J35" s="15"/>
      <c r="L35" s="44">
        <f>'TE BE'!$L$35*'TE BE'!$L$49</f>
        <v>4.5881186970682265E-7</v>
      </c>
      <c r="M35" s="44">
        <f>'TE BE'!$M$35*'TE BE'!$M$49</f>
        <v>-4.9716485011730516</v>
      </c>
      <c r="N35" s="44">
        <f>'TE BE'!$N$35*'TE BE'!$N$49</f>
        <v>0</v>
      </c>
      <c r="O35" s="44">
        <f>'TE BE'!$O$35*'TE BE'!$O$49</f>
        <v>-3.3838339792789322E-2</v>
      </c>
      <c r="P35" s="44">
        <f>'TE BE'!$P$35*'TE BE'!$P$49</f>
        <v>0</v>
      </c>
      <c r="Q35" s="44">
        <f>SUM($L$35:$P$35)</f>
        <v>-5.0054863821539719</v>
      </c>
      <c r="R35" s="44">
        <f>'TE BE'!$R$35*'TE BE'!$R$49</f>
        <v>-12.723962936454701</v>
      </c>
      <c r="S35" s="44">
        <f>SUM($R$35:$R$35)</f>
        <v>-12.723962936454701</v>
      </c>
      <c r="T35" s="44">
        <f>'TE BE'!$T$35*'TE BE'!$T$49</f>
        <v>0.19552861581043851</v>
      </c>
      <c r="U35" s="44">
        <f>'TE BE'!$U$35*'TE BE'!$U$49</f>
        <v>3.0098034642732759E-2</v>
      </c>
      <c r="V35" s="44">
        <f>'TE BE'!$V$35*'TE BE'!$V$49</f>
        <v>0</v>
      </c>
      <c r="W35" s="44">
        <f>SUM($T$35:$V$35)</f>
        <v>0.22562665045317126</v>
      </c>
      <c r="X35" s="44">
        <f>'TE BE'!$AB$35*'TE BE'!$X$49</f>
        <v>-24.499021056840807</v>
      </c>
      <c r="Y35" s="44">
        <f>SUM($X$35:$X$35)</f>
        <v>-24.499021056840807</v>
      </c>
      <c r="Z35" s="44">
        <f>'TE BE'!$Z$35*'TE BE'!$Z$49</f>
        <v>-0.36801891718108032</v>
      </c>
      <c r="AA35" s="44">
        <f>SUM($Z$35:$Z$35)</f>
        <v>-0.36801891718108032</v>
      </c>
      <c r="AB35" s="44">
        <f ca="1">SUMIF($L$4:$AA$4,"SUBTOTAL",$L$35:$AA$35)+AL35</f>
        <v>-42.370862642177393</v>
      </c>
      <c r="AC35" s="9" t="str">
        <f t="shared" si="0"/>
        <v>B2</v>
      </c>
      <c r="AD35" s="9" t="str">
        <f t="shared" si="1"/>
        <v>Energia convencional pré-pagamento</v>
      </c>
      <c r="AE35" s="9" t="str">
        <f t="shared" si="2"/>
        <v>Rural</v>
      </c>
      <c r="AF35" s="9" t="str">
        <f t="shared" si="3"/>
        <v>Serviço público de irrigação rural</v>
      </c>
      <c r="AG35" s="9" t="str">
        <f t="shared" si="4"/>
        <v>Não se aplica</v>
      </c>
      <c r="AH35" s="9">
        <v>1</v>
      </c>
      <c r="AI35" s="9">
        <f ca="1">TarifaMedia!$G$20</f>
        <v>0</v>
      </c>
      <c r="AJ35" s="15">
        <f>'TE BE'!$AB35+'TE BF'!$AB35+'TE CVA'!$AB35</f>
        <v>227.55060294064452</v>
      </c>
      <c r="AK35" s="9">
        <v>261.62</v>
      </c>
      <c r="AL35" s="9">
        <f t="shared" ca="1" si="5"/>
        <v>0</v>
      </c>
      <c r="AO35" s="93" t="s">
        <v>1100</v>
      </c>
    </row>
    <row r="36" spans="1:41" ht="11.25" customHeight="1" x14ac:dyDescent="0.25">
      <c r="A36" s="141" t="s">
        <v>32</v>
      </c>
      <c r="B36" s="141" t="s">
        <v>69</v>
      </c>
      <c r="C36" s="141" t="s">
        <v>25</v>
      </c>
      <c r="D36" s="141" t="s">
        <v>25</v>
      </c>
      <c r="E36" s="141" t="s">
        <v>25</v>
      </c>
      <c r="F36" s="141" t="s">
        <v>25</v>
      </c>
      <c r="G36" s="46" t="s">
        <v>71</v>
      </c>
      <c r="H36" s="46" t="s">
        <v>70</v>
      </c>
      <c r="I36" s="46">
        <f>'MERCADO TE'!$U$33</f>
        <v>0.216</v>
      </c>
      <c r="J36" s="15"/>
      <c r="L36" s="44">
        <f>'TE BE'!$L$36*'TE BE'!$L$49</f>
        <v>4.5881186970682265E-7</v>
      </c>
      <c r="M36" s="44">
        <f>'TE BE'!$M$36*'TE BE'!$M$49</f>
        <v>-4.9716485011730516</v>
      </c>
      <c r="N36" s="44">
        <f>'TE BE'!$N$36*'TE BE'!$N$49</f>
        <v>0</v>
      </c>
      <c r="O36" s="44">
        <f>'TE BE'!$O$36*'TE BE'!$O$49</f>
        <v>-3.3838339792789322E-2</v>
      </c>
      <c r="P36" s="44">
        <f>'TE BE'!$P$36*'TE BE'!$P$49</f>
        <v>0</v>
      </c>
      <c r="Q36" s="44">
        <f>SUM($L$36:$P$36)</f>
        <v>-5.0054863821539719</v>
      </c>
      <c r="R36" s="44">
        <f>'TE BE'!$R$36*'TE BE'!$R$49</f>
        <v>-20.646430425190644</v>
      </c>
      <c r="S36" s="44">
        <f>SUM($R$36:$R$36)</f>
        <v>-20.646430425190644</v>
      </c>
      <c r="T36" s="44">
        <f>'TE BE'!$T$36*'TE BE'!$T$49</f>
        <v>0.19552861581043851</v>
      </c>
      <c r="U36" s="44">
        <f>'TE BE'!$U$36*'TE BE'!$U$49</f>
        <v>3.0098034642732759E-2</v>
      </c>
      <c r="V36" s="44">
        <f>'TE BE'!$V$36*'TE BE'!$V$49</f>
        <v>0</v>
      </c>
      <c r="W36" s="44">
        <f>SUM($T$36:$V$36)</f>
        <v>0.22562665045317126</v>
      </c>
      <c r="X36" s="44">
        <f>'TE BE'!$AB$36*'TE BE'!$X$49</f>
        <v>-38.007996573099831</v>
      </c>
      <c r="Y36" s="44">
        <f>SUM($X$36:$X$36)</f>
        <v>-38.007996573099831</v>
      </c>
      <c r="Z36" s="44">
        <f>'TE BE'!$Z$36*'TE BE'!$Z$49</f>
        <v>-0.36801891718108032</v>
      </c>
      <c r="AA36" s="44">
        <f>SUM($Z$36:$Z$36)</f>
        <v>-0.36801891718108032</v>
      </c>
      <c r="AB36" s="44">
        <f ca="1">SUMIF($L$4:$AA$4,"SUBTOTAL",$L$36:$AA$36)+AL36</f>
        <v>-63.802305647172354</v>
      </c>
      <c r="AC36" s="9" t="str">
        <f t="shared" si="0"/>
        <v>B3</v>
      </c>
      <c r="AD36" s="9" t="str">
        <f t="shared" si="1"/>
        <v>Energia horária</v>
      </c>
      <c r="AE36" s="9" t="str">
        <f t="shared" si="2"/>
        <v>Não se aplica</v>
      </c>
      <c r="AF36" s="9" t="str">
        <f t="shared" si="3"/>
        <v>Não se aplica</v>
      </c>
      <c r="AG36" s="9" t="str">
        <f t="shared" si="4"/>
        <v>Não se aplica</v>
      </c>
      <c r="AH36" s="9">
        <v>1</v>
      </c>
      <c r="AI36" s="9">
        <f ca="1">TarifaMedia!$G$20</f>
        <v>0</v>
      </c>
      <c r="AJ36" s="15">
        <f>'TE BE'!$AB36+'TE BF'!$AB36+'TE CVA'!$AB36</f>
        <v>347.98834052804079</v>
      </c>
      <c r="AK36" s="9">
        <v>393.63</v>
      </c>
      <c r="AL36" s="9">
        <f t="shared" ca="1" si="5"/>
        <v>0</v>
      </c>
      <c r="AO36" s="93" t="s">
        <v>1107</v>
      </c>
    </row>
    <row r="37" spans="1:41" ht="11.25" customHeight="1" x14ac:dyDescent="0.25">
      <c r="A37" s="141"/>
      <c r="B37" s="141"/>
      <c r="C37" s="141"/>
      <c r="D37" s="141"/>
      <c r="E37" s="141"/>
      <c r="F37" s="141"/>
      <c r="G37" s="46" t="s">
        <v>83</v>
      </c>
      <c r="H37" s="46" t="s">
        <v>70</v>
      </c>
      <c r="I37" s="46">
        <f>'MERCADO TE'!$U$34</f>
        <v>0.24</v>
      </c>
      <c r="J37" s="15"/>
      <c r="L37" s="44">
        <f>'TE BE'!$L$37*'TE BE'!$L$49</f>
        <v>4.5881186970682265E-7</v>
      </c>
      <c r="M37" s="44">
        <f>'TE BE'!$M$37*'TE BE'!$M$49</f>
        <v>-4.9716485011730516</v>
      </c>
      <c r="N37" s="44">
        <f>'TE BE'!$N$37*'TE BE'!$N$49</f>
        <v>0</v>
      </c>
      <c r="O37" s="44">
        <f>'TE BE'!$O$37*'TE BE'!$O$49</f>
        <v>-3.3838339792789322E-2</v>
      </c>
      <c r="P37" s="44">
        <f>'TE BE'!$P$37*'TE BE'!$P$49</f>
        <v>0</v>
      </c>
      <c r="Q37" s="44">
        <f>SUM($L$37:$P$37)</f>
        <v>-5.0054863821539719</v>
      </c>
      <c r="R37" s="44">
        <f>'TE BE'!$R$37*'TE BE'!$R$49</f>
        <v>-12.003738619296888</v>
      </c>
      <c r="S37" s="44">
        <f>SUM($R$37:$R$37)</f>
        <v>-12.003738619296888</v>
      </c>
      <c r="T37" s="44">
        <f>'TE BE'!$T$37*'TE BE'!$T$49</f>
        <v>0.19552861581043851</v>
      </c>
      <c r="U37" s="44">
        <f>'TE BE'!$U$37*'TE BE'!$U$49</f>
        <v>3.0098034642732759E-2</v>
      </c>
      <c r="V37" s="44">
        <f>'TE BE'!$V$37*'TE BE'!$V$49</f>
        <v>0</v>
      </c>
      <c r="W37" s="44">
        <f>SUM($T$37:$V$37)</f>
        <v>0.22562665045317126</v>
      </c>
      <c r="X37" s="44">
        <f>'TE BE'!$AB$37*'TE BE'!$X$49</f>
        <v>-23.270932373544532</v>
      </c>
      <c r="Y37" s="44">
        <f>SUM($X$37:$X$37)</f>
        <v>-23.270932373544532</v>
      </c>
      <c r="Z37" s="44">
        <f>'TE BE'!$Z$37*'TE BE'!$Z$49</f>
        <v>-0.36801891718108032</v>
      </c>
      <c r="AA37" s="44">
        <f>SUM($Z$37:$Z$37)</f>
        <v>-0.36801891718108032</v>
      </c>
      <c r="AB37" s="44">
        <f ca="1">SUMIF($L$4:$AA$4,"SUBTOTAL",$L$37:$AA$37)+AL37</f>
        <v>-40.4225496417233</v>
      </c>
      <c r="AC37" s="9" t="str">
        <f t="shared" si="0"/>
        <v>B3</v>
      </c>
      <c r="AD37" s="9" t="str">
        <f t="shared" si="1"/>
        <v>Energia horária</v>
      </c>
      <c r="AE37" s="9" t="str">
        <f t="shared" si="2"/>
        <v>Não se aplica</v>
      </c>
      <c r="AF37" s="9" t="str">
        <f t="shared" si="3"/>
        <v>Não se aplica</v>
      </c>
      <c r="AG37" s="9" t="str">
        <f t="shared" si="4"/>
        <v>Não se aplica</v>
      </c>
      <c r="AH37" s="9">
        <v>1</v>
      </c>
      <c r="AI37" s="9">
        <f ca="1">TarifaMedia!$G$20</f>
        <v>0</v>
      </c>
      <c r="AJ37" s="15">
        <f>'TE BE'!$AB37+'TE BF'!$AB37+'TE CVA'!$AB37</f>
        <v>216.60171770542672</v>
      </c>
      <c r="AK37" s="9">
        <v>249.61</v>
      </c>
      <c r="AL37" s="9">
        <f t="shared" ca="1" si="5"/>
        <v>0</v>
      </c>
      <c r="AO37" s="93" t="s">
        <v>1108</v>
      </c>
    </row>
    <row r="38" spans="1:41" ht="11.25" customHeight="1" x14ac:dyDescent="0.25">
      <c r="A38" s="141"/>
      <c r="B38" s="141"/>
      <c r="C38" s="141"/>
      <c r="D38" s="141"/>
      <c r="E38" s="141"/>
      <c r="F38" s="141"/>
      <c r="G38" s="46" t="s">
        <v>72</v>
      </c>
      <c r="H38" s="46" t="s">
        <v>70</v>
      </c>
      <c r="I38" s="46">
        <f>'MERCADO TE'!$U$35</f>
        <v>3.742</v>
      </c>
      <c r="J38" s="15"/>
      <c r="L38" s="44">
        <f>'TE BE'!$L$38*'TE BE'!$L$49</f>
        <v>4.5881186970682265E-7</v>
      </c>
      <c r="M38" s="44">
        <f>'TE BE'!$M$38*'TE BE'!$M$49</f>
        <v>-4.9716485011730516</v>
      </c>
      <c r="N38" s="44">
        <f>'TE BE'!$N$38*'TE BE'!$N$49</f>
        <v>0</v>
      </c>
      <c r="O38" s="44">
        <f>'TE BE'!$O$38*'TE BE'!$O$49</f>
        <v>-3.3838339792789322E-2</v>
      </c>
      <c r="P38" s="44">
        <f>'TE BE'!$P$38*'TE BE'!$P$49</f>
        <v>0</v>
      </c>
      <c r="Q38" s="44">
        <f>SUM($L$38:$P$38)</f>
        <v>-5.0054863821539719</v>
      </c>
      <c r="R38" s="44">
        <f>'TE BE'!$R$38*'TE BE'!$R$49</f>
        <v>-12.003738619296888</v>
      </c>
      <c r="S38" s="44">
        <f>SUM($R$38:$R$38)</f>
        <v>-12.003738619296888</v>
      </c>
      <c r="T38" s="44">
        <f>'TE BE'!$T$38*'TE BE'!$T$49</f>
        <v>0.19552861581043851</v>
      </c>
      <c r="U38" s="44">
        <f>'TE BE'!$U$38*'TE BE'!$U$49</f>
        <v>3.0098034642732759E-2</v>
      </c>
      <c r="V38" s="44">
        <f>'TE BE'!$V$38*'TE BE'!$V$49</f>
        <v>0</v>
      </c>
      <c r="W38" s="44">
        <f>SUM($T$38:$V$38)</f>
        <v>0.22562665045317126</v>
      </c>
      <c r="X38" s="44">
        <f>'TE BE'!$AB$38*'TE BE'!$X$49</f>
        <v>-23.270932373544532</v>
      </c>
      <c r="Y38" s="44">
        <f>SUM($X$38:$X$38)</f>
        <v>-23.270932373544532</v>
      </c>
      <c r="Z38" s="44">
        <f>'TE BE'!$Z$38*'TE BE'!$Z$49</f>
        <v>-0.36801891718108032</v>
      </c>
      <c r="AA38" s="44">
        <f>SUM($Z$38:$Z$38)</f>
        <v>-0.36801891718108032</v>
      </c>
      <c r="AB38" s="44">
        <f ca="1">SUMIF($L$4:$AA$4,"SUBTOTAL",$L$38:$AA$38)+AL38</f>
        <v>-40.4225496417233</v>
      </c>
      <c r="AC38" s="9" t="str">
        <f t="shared" si="0"/>
        <v>B3</v>
      </c>
      <c r="AD38" s="9" t="str">
        <f t="shared" si="1"/>
        <v>Energia horária</v>
      </c>
      <c r="AE38" s="9" t="str">
        <f t="shared" si="2"/>
        <v>Não se aplica</v>
      </c>
      <c r="AF38" s="9" t="str">
        <f t="shared" si="3"/>
        <v>Não se aplica</v>
      </c>
      <c r="AG38" s="9" t="str">
        <f t="shared" si="4"/>
        <v>Não se aplica</v>
      </c>
      <c r="AH38" s="9">
        <v>1</v>
      </c>
      <c r="AI38" s="9">
        <f ca="1">TarifaMedia!$G$20</f>
        <v>0</v>
      </c>
      <c r="AJ38" s="15">
        <f>'TE BE'!$AB38+'TE BF'!$AB38+'TE CVA'!$AB38</f>
        <v>216.60171770542672</v>
      </c>
      <c r="AK38" s="9">
        <v>249.61</v>
      </c>
      <c r="AL38" s="9">
        <f t="shared" ca="1" si="5"/>
        <v>0</v>
      </c>
      <c r="AO38" s="93" t="s">
        <v>1109</v>
      </c>
    </row>
    <row r="39" spans="1:41" ht="11.25" customHeight="1" x14ac:dyDescent="0.25">
      <c r="A39" s="141"/>
      <c r="B39" s="47" t="s">
        <v>73</v>
      </c>
      <c r="C39" s="47" t="s">
        <v>25</v>
      </c>
      <c r="D39" s="47" t="s">
        <v>25</v>
      </c>
      <c r="E39" s="47" t="s">
        <v>25</v>
      </c>
      <c r="F39" s="47" t="s">
        <v>25</v>
      </c>
      <c r="G39" s="46" t="s">
        <v>74</v>
      </c>
      <c r="H39" s="46" t="s">
        <v>70</v>
      </c>
      <c r="I39" s="46">
        <f>'MERCADO TE'!$U$36</f>
        <v>12398.925999999999</v>
      </c>
      <c r="J39" s="15"/>
      <c r="L39" s="44">
        <f>'TE BE'!$L$39*'TE BE'!$L$49</f>
        <v>4.5881186970682265E-7</v>
      </c>
      <c r="M39" s="44">
        <f>'TE BE'!$M$39*'TE BE'!$M$49</f>
        <v>-4.9716485011730516</v>
      </c>
      <c r="N39" s="44">
        <f>'TE BE'!$N$39*'TE BE'!$N$49</f>
        <v>0</v>
      </c>
      <c r="O39" s="44">
        <f>'TE BE'!$O$39*'TE BE'!$O$49</f>
        <v>-3.3838339792789322E-2</v>
      </c>
      <c r="P39" s="44">
        <f>'TE BE'!$P$39*'TE BE'!$P$49</f>
        <v>0</v>
      </c>
      <c r="Q39" s="44">
        <f>SUM($L$39:$P$39)</f>
        <v>-5.0054863821539719</v>
      </c>
      <c r="R39" s="44">
        <f>'TE BE'!$R$39*'TE BE'!$R$49</f>
        <v>-12.723962936454701</v>
      </c>
      <c r="S39" s="44">
        <f>SUM($R$39:$R$39)</f>
        <v>-12.723962936454701</v>
      </c>
      <c r="T39" s="44">
        <f>'TE BE'!$T$39*'TE BE'!$T$49</f>
        <v>0.19552861581043851</v>
      </c>
      <c r="U39" s="44">
        <f>'TE BE'!$U$39*'TE BE'!$U$49</f>
        <v>3.0098034642732759E-2</v>
      </c>
      <c r="V39" s="44">
        <f>'TE BE'!$V$39*'TE BE'!$V$49</f>
        <v>0</v>
      </c>
      <c r="W39" s="44">
        <f>SUM($T$39:$V$39)</f>
        <v>0.22562665045317126</v>
      </c>
      <c r="X39" s="44">
        <f>'TE BE'!$AB$39*'TE BE'!$X$49</f>
        <v>-24.499021056840807</v>
      </c>
      <c r="Y39" s="44">
        <f>SUM($X$39:$X$39)</f>
        <v>-24.499021056840807</v>
      </c>
      <c r="Z39" s="44">
        <f>'TE BE'!$Z$39*'TE BE'!$Z$49</f>
        <v>-0.36801891718108032</v>
      </c>
      <c r="AA39" s="44">
        <f>SUM($Z$39:$Z$39)</f>
        <v>-0.36801891718108032</v>
      </c>
      <c r="AB39" s="44">
        <f ca="1">SUMIF($L$4:$AA$4,"SUBTOTAL",$L$39:$AA$39)+AL39</f>
        <v>-42.370862642177393</v>
      </c>
      <c r="AC39" s="9" t="str">
        <f t="shared" si="0"/>
        <v>B3</v>
      </c>
      <c r="AD39" s="9" t="str">
        <f t="shared" si="1"/>
        <v>Energia convencional</v>
      </c>
      <c r="AE39" s="9" t="str">
        <f t="shared" si="2"/>
        <v>Não se aplica</v>
      </c>
      <c r="AF39" s="9" t="str">
        <f t="shared" si="3"/>
        <v>Não se aplica</v>
      </c>
      <c r="AG39" s="9" t="str">
        <f t="shared" si="4"/>
        <v>Não se aplica</v>
      </c>
      <c r="AH39" s="9">
        <v>1</v>
      </c>
      <c r="AI39" s="9">
        <f ca="1">TarifaMedia!$G$20</f>
        <v>0</v>
      </c>
      <c r="AJ39" s="15">
        <f>'TE BE'!$AB39+'TE BF'!$AB39+'TE CVA'!$AB39</f>
        <v>227.55060294064452</v>
      </c>
      <c r="AK39" s="9">
        <v>261.62</v>
      </c>
      <c r="AL39" s="9">
        <f t="shared" ca="1" si="5"/>
        <v>0</v>
      </c>
      <c r="AO39" s="93" t="s">
        <v>1110</v>
      </c>
    </row>
    <row r="40" spans="1:41" ht="11.25" customHeight="1" x14ac:dyDescent="0.25">
      <c r="A40" s="141"/>
      <c r="B40" s="47" t="s">
        <v>84</v>
      </c>
      <c r="C40" s="47" t="s">
        <v>25</v>
      </c>
      <c r="D40" s="47" t="s">
        <v>25</v>
      </c>
      <c r="E40" s="47" t="s">
        <v>25</v>
      </c>
      <c r="F40" s="47" t="s">
        <v>25</v>
      </c>
      <c r="G40" s="46" t="s">
        <v>74</v>
      </c>
      <c r="H40" s="46" t="s">
        <v>70</v>
      </c>
      <c r="I40" s="46">
        <f>'MERCADO TE'!$U$37</f>
        <v>0</v>
      </c>
      <c r="J40" s="15"/>
      <c r="L40" s="44">
        <f>'TE BE'!$L$40*'TE BE'!$L$49</f>
        <v>4.5881186970682265E-7</v>
      </c>
      <c r="M40" s="44">
        <f>'TE BE'!$M$40*'TE BE'!$M$49</f>
        <v>-4.9716485011730516</v>
      </c>
      <c r="N40" s="44">
        <f>'TE BE'!$N$40*'TE BE'!$N$49</f>
        <v>0</v>
      </c>
      <c r="O40" s="44">
        <f>'TE BE'!$O$40*'TE BE'!$O$49</f>
        <v>-3.3838339792789322E-2</v>
      </c>
      <c r="P40" s="44">
        <f>'TE BE'!$P$40*'TE BE'!$P$49</f>
        <v>0</v>
      </c>
      <c r="Q40" s="44">
        <f>SUM($L$40:$P$40)</f>
        <v>-5.0054863821539719</v>
      </c>
      <c r="R40" s="44">
        <f>'TE BE'!$R$40*'TE BE'!$R$49</f>
        <v>-12.723962936454701</v>
      </c>
      <c r="S40" s="44">
        <f>SUM($R$40:$R$40)</f>
        <v>-12.723962936454701</v>
      </c>
      <c r="T40" s="44">
        <f>'TE BE'!$T$40*'TE BE'!$T$49</f>
        <v>0.19552861581043851</v>
      </c>
      <c r="U40" s="44">
        <f>'TE BE'!$U$40*'TE BE'!$U$49</f>
        <v>3.0098034642732759E-2</v>
      </c>
      <c r="V40" s="44">
        <f>'TE BE'!$V$40*'TE BE'!$V$49</f>
        <v>0</v>
      </c>
      <c r="W40" s="44">
        <f>SUM($T$40:$V$40)</f>
        <v>0.22562665045317126</v>
      </c>
      <c r="X40" s="44">
        <f>'TE BE'!$AB$40*'TE BE'!$X$49</f>
        <v>-24.499021056840807</v>
      </c>
      <c r="Y40" s="44">
        <f>SUM($X$40:$X$40)</f>
        <v>-24.499021056840807</v>
      </c>
      <c r="Z40" s="44">
        <f>'TE BE'!$Z$40*'TE BE'!$Z$49</f>
        <v>-0.36801891718108032</v>
      </c>
      <c r="AA40" s="44">
        <f>SUM($Z$40:$Z$40)</f>
        <v>-0.36801891718108032</v>
      </c>
      <c r="AB40" s="44">
        <f ca="1">SUMIF($L$4:$AA$4,"SUBTOTAL",$L$40:$AA$40)+AL40</f>
        <v>-42.370862642177393</v>
      </c>
      <c r="AC40" s="9" t="str">
        <f t="shared" si="0"/>
        <v>B3</v>
      </c>
      <c r="AD40" s="9" t="str">
        <f t="shared" si="1"/>
        <v>Energia convencional pré-pagamento</v>
      </c>
      <c r="AE40" s="9" t="str">
        <f t="shared" si="2"/>
        <v>Não se aplica</v>
      </c>
      <c r="AF40" s="9" t="str">
        <f t="shared" si="3"/>
        <v>Não se aplica</v>
      </c>
      <c r="AG40" s="9" t="str">
        <f t="shared" si="4"/>
        <v>Não se aplica</v>
      </c>
      <c r="AH40" s="9">
        <v>1</v>
      </c>
      <c r="AI40" s="9">
        <f ca="1">TarifaMedia!$G$20</f>
        <v>0</v>
      </c>
      <c r="AJ40" s="15">
        <f>'TE BE'!$AB40+'TE BF'!$AB40+'TE CVA'!$AB40</f>
        <v>227.55060294064452</v>
      </c>
      <c r="AK40" s="9">
        <v>261.62</v>
      </c>
      <c r="AL40" s="9">
        <f t="shared" ca="1" si="5"/>
        <v>0</v>
      </c>
      <c r="AO40" s="93" t="s">
        <v>1111</v>
      </c>
    </row>
    <row r="41" spans="1:41" ht="11.25" customHeight="1" x14ac:dyDescent="0.25">
      <c r="A41" s="141" t="s">
        <v>42</v>
      </c>
      <c r="B41" s="141" t="s">
        <v>73</v>
      </c>
      <c r="C41" s="141" t="s">
        <v>43</v>
      </c>
      <c r="D41" s="47" t="s">
        <v>44</v>
      </c>
      <c r="E41" s="47" t="s">
        <v>25</v>
      </c>
      <c r="F41" s="47" t="s">
        <v>25</v>
      </c>
      <c r="G41" s="46" t="s">
        <v>74</v>
      </c>
      <c r="H41" s="46" t="s">
        <v>70</v>
      </c>
      <c r="I41" s="46">
        <f>'MERCADO TE'!$U$38</f>
        <v>3575.7699999999995</v>
      </c>
      <c r="J41" s="15"/>
      <c r="L41" s="44">
        <f>'TE BE'!$L$41*'TE BE'!$L$49</f>
        <v>2.5234652833875247E-7</v>
      </c>
      <c r="M41" s="44">
        <f>'TE BE'!$M$41*'TE BE'!$M$49</f>
        <v>-2.7344066756451788</v>
      </c>
      <c r="N41" s="44">
        <f>'TE BE'!$N$41*'TE BE'!$N$49</f>
        <v>0</v>
      </c>
      <c r="O41" s="44">
        <f>'TE BE'!$O$41*'TE BE'!$O$49</f>
        <v>-1.8611086886034127E-2</v>
      </c>
      <c r="P41" s="44">
        <f>'TE BE'!$P$41*'TE BE'!$P$49</f>
        <v>0</v>
      </c>
      <c r="Q41" s="44">
        <f>SUM($L$41:$P$41)</f>
        <v>-2.753017510184685</v>
      </c>
      <c r="R41" s="44">
        <f>'TE BE'!$R$41*'TE BE'!$R$49</f>
        <v>-6.9981796150500859</v>
      </c>
      <c r="S41" s="44">
        <f>SUM($R$41:$R$41)</f>
        <v>-6.9981796150500859</v>
      </c>
      <c r="T41" s="44">
        <f>'TE BE'!$T$41*'TE BE'!$T$49</f>
        <v>0.10754073869574118</v>
      </c>
      <c r="U41" s="44">
        <f>'TE BE'!$U$41*'TE BE'!$U$49</f>
        <v>1.6553919053503018E-2</v>
      </c>
      <c r="V41" s="44">
        <f>'TE BE'!$V$41*'TE BE'!$V$49</f>
        <v>0</v>
      </c>
      <c r="W41" s="44">
        <f>SUM($T$41:$V$41)</f>
        <v>0.12409465774924421</v>
      </c>
      <c r="X41" s="44">
        <f>'TE BE'!$AB$41*'TE BE'!$X$49</f>
        <v>-13.474461581262446</v>
      </c>
      <c r="Y41" s="44">
        <f>SUM($X$41:$X$41)</f>
        <v>-13.474461581262446</v>
      </c>
      <c r="Z41" s="44">
        <f>'TE BE'!$Z$41*'TE BE'!$Z$49</f>
        <v>-0.20241040444959418</v>
      </c>
      <c r="AA41" s="44">
        <f>SUM($Z$41:$Z$41)</f>
        <v>-0.20241040444959418</v>
      </c>
      <c r="AB41" s="44">
        <f ca="1">SUMIF($L$4:$AA$4,"SUBTOTAL",$L$41:$AA$41)+AL41</f>
        <v>-23.303974453197569</v>
      </c>
      <c r="AC41" s="9" t="str">
        <f t="shared" si="0"/>
        <v>B4</v>
      </c>
      <c r="AD41" s="9" t="str">
        <f t="shared" si="1"/>
        <v>Energia convencional</v>
      </c>
      <c r="AE41" s="9" t="str">
        <f t="shared" si="2"/>
        <v>Iluminação pública</v>
      </c>
      <c r="AF41" s="9" t="str">
        <f t="shared" si="3"/>
        <v>Iluminação pública – B4a</v>
      </c>
      <c r="AG41" s="9" t="str">
        <f t="shared" si="4"/>
        <v>Não se aplica</v>
      </c>
      <c r="AH41" s="9">
        <v>1</v>
      </c>
      <c r="AI41" s="9">
        <f ca="1">TarifaMedia!$G$20</f>
        <v>0</v>
      </c>
      <c r="AJ41" s="15">
        <f>'TE BE'!$AB41+'TE BF'!$AB41+'TE CVA'!$AB41</f>
        <v>125.15283161735451</v>
      </c>
      <c r="AK41" s="9">
        <v>143.88999999999999</v>
      </c>
      <c r="AL41" s="9">
        <f t="shared" ca="1" si="5"/>
        <v>0</v>
      </c>
      <c r="AO41" s="93" t="s">
        <v>1112</v>
      </c>
    </row>
    <row r="42" spans="1:41" ht="11.25" customHeight="1" x14ac:dyDescent="0.25">
      <c r="A42" s="141"/>
      <c r="B42" s="141"/>
      <c r="C42" s="141"/>
      <c r="D42" s="46" t="s">
        <v>88</v>
      </c>
      <c r="E42" s="46" t="s">
        <v>25</v>
      </c>
      <c r="F42" s="46" t="s">
        <v>25</v>
      </c>
      <c r="G42" s="46" t="s">
        <v>74</v>
      </c>
      <c r="H42" s="46" t="s">
        <v>70</v>
      </c>
      <c r="I42" s="46">
        <f>'MERCADO TE'!$U$39</f>
        <v>0</v>
      </c>
      <c r="J42" s="15"/>
      <c r="L42" s="44">
        <f>'TE BE'!$L$42*'TE BE'!$L$49</f>
        <v>2.7528712182409361E-7</v>
      </c>
      <c r="M42" s="44">
        <f>'TE BE'!$M$42*'TE BE'!$M$49</f>
        <v>-2.9829891007038309</v>
      </c>
      <c r="N42" s="44">
        <f>'TE BE'!$N$42*'TE BE'!$N$49</f>
        <v>0</v>
      </c>
      <c r="O42" s="44">
        <f>'TE BE'!$O$42*'TE BE'!$O$49</f>
        <v>-2.0303003875673593E-2</v>
      </c>
      <c r="P42" s="44">
        <f>'TE BE'!$P$42*'TE BE'!$P$49</f>
        <v>0</v>
      </c>
      <c r="Q42" s="44">
        <f>SUM($L$42:$P$42)</f>
        <v>-3.0032918292923827</v>
      </c>
      <c r="R42" s="44">
        <f>'TE BE'!$R$42*'TE BE'!$R$49</f>
        <v>-7.6343777618728206</v>
      </c>
      <c r="S42" s="44">
        <f>SUM($R$42:$R$42)</f>
        <v>-7.6343777618728206</v>
      </c>
      <c r="T42" s="44">
        <f>'TE BE'!$T$42*'TE BE'!$T$49</f>
        <v>0.1173171694862631</v>
      </c>
      <c r="U42" s="44">
        <f>'TE BE'!$U$42*'TE BE'!$U$49</f>
        <v>1.8058820785639654E-2</v>
      </c>
      <c r="V42" s="44">
        <f>'TE BE'!$V$42*'TE BE'!$V$49</f>
        <v>0</v>
      </c>
      <c r="W42" s="44">
        <f>SUM($T$42:$V$42)</f>
        <v>0.13537599027190275</v>
      </c>
      <c r="X42" s="44">
        <f>'TE BE'!$AB$42*'TE BE'!$X$49</f>
        <v>-14.699412634104483</v>
      </c>
      <c r="Y42" s="44">
        <f>SUM($X$42:$X$42)</f>
        <v>-14.699412634104483</v>
      </c>
      <c r="Z42" s="44">
        <f>'TE BE'!$Z$42*'TE BE'!$Z$49</f>
        <v>-0.22081135030864818</v>
      </c>
      <c r="AA42" s="44">
        <f>SUM($Z$42:$Z$42)</f>
        <v>-0.22081135030864818</v>
      </c>
      <c r="AB42" s="44">
        <f ca="1">SUMIF($L$4:$AA$4,"SUBTOTAL",$L$42:$AA$42)+AL42</f>
        <v>-25.42251758530643</v>
      </c>
      <c r="AC42" s="9" t="str">
        <f t="shared" si="0"/>
        <v>B4</v>
      </c>
      <c r="AD42" s="9" t="str">
        <f t="shared" si="1"/>
        <v>Energia convencional</v>
      </c>
      <c r="AE42" s="9" t="str">
        <f t="shared" si="2"/>
        <v>Iluminação pública</v>
      </c>
      <c r="AF42" s="9" t="str">
        <f t="shared" si="3"/>
        <v>Iluminação pública – B4b</v>
      </c>
      <c r="AG42" s="9" t="str">
        <f t="shared" si="4"/>
        <v>Não se aplica</v>
      </c>
      <c r="AH42" s="9">
        <v>1</v>
      </c>
      <c r="AI42" s="9">
        <f ca="1">TarifaMedia!$G$20</f>
        <v>0</v>
      </c>
      <c r="AJ42" s="15">
        <f>'TE BE'!$AB42+'TE BF'!$AB42+'TE CVA'!$AB42</f>
        <v>136.53036176438673</v>
      </c>
      <c r="AK42" s="9">
        <v>156.97</v>
      </c>
      <c r="AL42" s="9">
        <f t="shared" ca="1" si="5"/>
        <v>0</v>
      </c>
      <c r="AO42" s="93" t="s">
        <v>1113</v>
      </c>
    </row>
    <row r="44" spans="1:41" ht="11.25" customHeight="1" x14ac:dyDescent="0.25">
      <c r="K44" s="49" t="s">
        <v>525</v>
      </c>
      <c r="L44" s="44">
        <f t="shared" ref="L44:AB44" si="6">SUMPRODUCT($I$5:$I$42,L$5:L$42)</f>
        <v>2.8183465855034721E-2</v>
      </c>
      <c r="M44" s="44">
        <f t="shared" si="6"/>
        <v>-305393.76818123687</v>
      </c>
      <c r="N44" s="44">
        <f t="shared" si="6"/>
        <v>0</v>
      </c>
      <c r="O44" s="44">
        <f t="shared" si="6"/>
        <v>-2078.5898471862461</v>
      </c>
      <c r="P44" s="44">
        <f t="shared" si="6"/>
        <v>0</v>
      </c>
      <c r="Q44" s="44">
        <f t="shared" si="6"/>
        <v>-307472.32984495733</v>
      </c>
      <c r="R44" s="44">
        <f t="shared" si="6"/>
        <v>-781855.38567599771</v>
      </c>
      <c r="S44" s="44">
        <f t="shared" si="6"/>
        <v>-781855.38567599771</v>
      </c>
      <c r="T44" s="44">
        <f t="shared" si="6"/>
        <v>12010.748699454913</v>
      </c>
      <c r="U44" s="44">
        <f t="shared" si="6"/>
        <v>1848.8338852243453</v>
      </c>
      <c r="V44" s="44">
        <f t="shared" si="6"/>
        <v>0</v>
      </c>
      <c r="W44" s="44">
        <f t="shared" si="6"/>
        <v>13859.582584679256</v>
      </c>
      <c r="X44" s="44">
        <f t="shared" si="6"/>
        <v>-1505345.759872796</v>
      </c>
      <c r="Y44" s="44">
        <f t="shared" si="6"/>
        <v>-1505345.759872796</v>
      </c>
      <c r="Z44" s="44">
        <f t="shared" si="6"/>
        <v>-22606.32139488346</v>
      </c>
      <c r="AA44" s="44">
        <f t="shared" si="6"/>
        <v>-22606.32139488346</v>
      </c>
      <c r="AB44" s="44">
        <f t="shared" ca="1" si="6"/>
        <v>-2603420.2142039551</v>
      </c>
    </row>
    <row r="45" spans="1:41" ht="11.25" customHeight="1" x14ac:dyDescent="0.25">
      <c r="K45" s="49" t="s">
        <v>450</v>
      </c>
      <c r="L45" s="44">
        <f>CUSTOS!$D$30</f>
        <v>149957.71426059183</v>
      </c>
      <c r="M45" s="44">
        <f>CUSTOS!$D$31</f>
        <v>1373181.1307278299</v>
      </c>
      <c r="N45" s="44">
        <f>CUSTOS!$D$32</f>
        <v>0</v>
      </c>
      <c r="O45" s="44">
        <f>CUSTOS!$D$33</f>
        <v>140072.77572115077</v>
      </c>
      <c r="P45" s="44">
        <f>CUSTOS!$D$34</f>
        <v>-989999.99999999988</v>
      </c>
      <c r="Q45" s="44">
        <f>CUSTOS!$D$35</f>
        <v>673211.62070957257</v>
      </c>
      <c r="R45" s="44">
        <f>CUSTOS!$D$36</f>
        <v>12636690.427500499</v>
      </c>
      <c r="S45" s="44">
        <f>CUSTOS!$D$37</f>
        <v>12636690.427500499</v>
      </c>
      <c r="T45" s="44">
        <f>CUSTOS!$D$38</f>
        <v>349006.23466233397</v>
      </c>
      <c r="U45" s="44">
        <f>CUSTOS!$D$39</f>
        <v>244313.99991106981</v>
      </c>
      <c r="V45" s="44">
        <f>CUSTOS!$D$40</f>
        <v>0</v>
      </c>
      <c r="W45" s="44">
        <f>CUSTOS!$D$41</f>
        <v>593320.23457340384</v>
      </c>
      <c r="X45" s="44">
        <f>CUSTOS!$D$42</f>
        <v>0</v>
      </c>
      <c r="Y45" s="44">
        <f>CUSTOS!$D$43</f>
        <v>0</v>
      </c>
      <c r="Z45" s="44">
        <f>CUSTOS!$D$44</f>
        <v>365373.30356141517</v>
      </c>
      <c r="AA45" s="44">
        <f>CUSTOS!$D$45</f>
        <v>365373.30356141517</v>
      </c>
      <c r="AB45" s="44">
        <f>CUSTOS!$D$46</f>
        <v>14268595.58634489</v>
      </c>
    </row>
    <row r="46" spans="1:41" ht="11.25" customHeight="1" x14ac:dyDescent="0.25">
      <c r="K46" s="49" t="s">
        <v>451</v>
      </c>
      <c r="L46" s="44">
        <f>CUSTOS!$E$30</f>
        <v>2.8183465855034721E-2</v>
      </c>
      <c r="M46" s="44">
        <f>CUSTOS!$E$31</f>
        <v>-305393.76818123687</v>
      </c>
      <c r="N46" s="44">
        <f>CUSTOS!$E$32</f>
        <v>0</v>
      </c>
      <c r="O46" s="44">
        <f>CUSTOS!$E$33</f>
        <v>-2078.5898471862465</v>
      </c>
      <c r="P46" s="44">
        <f>CUSTOS!$E$34</f>
        <v>0</v>
      </c>
      <c r="Q46" s="44">
        <f>CUSTOS!$E$35</f>
        <v>-307472.32984495722</v>
      </c>
      <c r="R46" s="44">
        <f>CUSTOS!$E$36</f>
        <v>-781855.38567599771</v>
      </c>
      <c r="S46" s="44">
        <f>CUSTOS!$E$37</f>
        <v>-781855.38567599771</v>
      </c>
      <c r="T46" s="44">
        <f>CUSTOS!$E$38</f>
        <v>12010.748699454911</v>
      </c>
      <c r="U46" s="44">
        <f>CUSTOS!$E$39</f>
        <v>1848.8338852243451</v>
      </c>
      <c r="V46" s="44">
        <f>CUSTOS!$E$40</f>
        <v>0</v>
      </c>
      <c r="W46" s="44">
        <f>CUSTOS!$E$41</f>
        <v>13859.582584679256</v>
      </c>
      <c r="X46" s="44">
        <f>CUSTOS!$E$42</f>
        <v>-1505345.7598727958</v>
      </c>
      <c r="Y46" s="44">
        <f>CUSTOS!$E$43</f>
        <v>-1505345.7598727958</v>
      </c>
      <c r="Z46" s="44">
        <f>CUSTOS!$E$44</f>
        <v>-22606.321394883464</v>
      </c>
      <c r="AA46" s="44">
        <f>CUSTOS!$E$45</f>
        <v>-22606.321394883464</v>
      </c>
      <c r="AB46" s="44">
        <f>CUSTOS!$E$46</f>
        <v>-2603420.2142039551</v>
      </c>
    </row>
    <row r="47" spans="1:41" ht="11.25" customHeight="1" x14ac:dyDescent="0.25">
      <c r="K47" s="49" t="s">
        <v>452</v>
      </c>
      <c r="L47" s="44">
        <f>CUSTOS!$F$30</f>
        <v>0</v>
      </c>
      <c r="M47" s="44">
        <f>CUSTOS!$F$31</f>
        <v>796793.7746</v>
      </c>
      <c r="N47" s="44">
        <f>CUSTOS!$F$32</f>
        <v>0</v>
      </c>
      <c r="O47" s="44">
        <f>CUSTOS!$F$33</f>
        <v>9188.7292802005632</v>
      </c>
      <c r="P47" s="44">
        <f>CUSTOS!$F$34</f>
        <v>0</v>
      </c>
      <c r="Q47" s="44">
        <f>CUSTOS!$F$35</f>
        <v>805982.50388020056</v>
      </c>
      <c r="R47" s="44">
        <f>CUSTOS!$F$36</f>
        <v>1364147.4510150065</v>
      </c>
      <c r="S47" s="44">
        <f>CUSTOS!$F$37</f>
        <v>1364147.4510150065</v>
      </c>
      <c r="T47" s="44">
        <f>CUSTOS!$F$38</f>
        <v>88608.9905</v>
      </c>
      <c r="U47" s="44">
        <f>CUSTOS!$F$39</f>
        <v>18356.556700000001</v>
      </c>
      <c r="V47" s="44">
        <f>CUSTOS!$F$40</f>
        <v>0</v>
      </c>
      <c r="W47" s="44">
        <f>CUSTOS!$F$41</f>
        <v>106965.5472</v>
      </c>
      <c r="X47" s="44">
        <f>CUSTOS!$F$42</f>
        <v>0</v>
      </c>
      <c r="Y47" s="44">
        <f>CUSTOS!$F$43</f>
        <v>0</v>
      </c>
      <c r="Z47" s="44">
        <f>CUSTOS!$F$44</f>
        <v>39442.531537968789</v>
      </c>
      <c r="AA47" s="44">
        <f>CUSTOS!$F$45</f>
        <v>39442.531537968789</v>
      </c>
      <c r="AB47" s="44">
        <f>CUSTOS!$F$46</f>
        <v>2316538.0336331758</v>
      </c>
    </row>
    <row r="48" spans="1:41" ht="11.25" customHeight="1" x14ac:dyDescent="0.25">
      <c r="K48" s="49" t="s">
        <v>526</v>
      </c>
      <c r="L48" s="44">
        <f>'TR TE'!$L$48*L49</f>
        <v>0</v>
      </c>
      <c r="M48" s="44">
        <f>'TR TE'!$M$48*M49</f>
        <v>12.971379864186412</v>
      </c>
      <c r="N48" s="44">
        <f>'TR TE'!$N$48*N49</f>
        <v>0</v>
      </c>
      <c r="O48" s="44">
        <f>'TR TE'!$O$48*O49</f>
        <v>0.14958763705513226</v>
      </c>
      <c r="P48" s="44">
        <f>'TR TE'!$P$48*P49</f>
        <v>0</v>
      </c>
      <c r="Q48" s="44"/>
      <c r="R48" s="44">
        <f>'TR TE'!$R$48*R49</f>
        <v>22.117574879033029</v>
      </c>
      <c r="S48" s="44"/>
      <c r="T48" s="44">
        <f>'TR TE'!$T$48*T49</f>
        <v>1.4425073485728321</v>
      </c>
      <c r="U48" s="44">
        <f>'TR TE'!$U$48*U49</f>
        <v>0.29883500291365872</v>
      </c>
      <c r="V48" s="44">
        <f>'TR TE'!$V$48*V49</f>
        <v>0</v>
      </c>
      <c r="W48" s="44"/>
      <c r="X48" s="44"/>
      <c r="Y48" s="44"/>
      <c r="Z48" s="44">
        <f>'TR TE'!$Z$48*Z49</f>
        <v>0.64210348485840907</v>
      </c>
      <c r="AA48" s="44"/>
      <c r="AB48" s="44"/>
    </row>
    <row r="49" spans="11:28" ht="11.25" customHeight="1" x14ac:dyDescent="0.25">
      <c r="K49" s="49" t="s">
        <v>521</v>
      </c>
      <c r="L49" s="44">
        <f>IF(L45&lt;&gt;0,L47/L45,0)</f>
        <v>0</v>
      </c>
      <c r="M49" s="44">
        <f>IF(M45&lt;&gt;0,M47/M45,0)</f>
        <v>0.58025394958469456</v>
      </c>
      <c r="N49" s="44">
        <f>IF(N45&lt;&gt;0,N47/N45,0)</f>
        <v>0</v>
      </c>
      <c r="O49" s="44">
        <f>IF(O45&lt;&gt;0,O47/O45,0)</f>
        <v>6.5599680115520684E-2</v>
      </c>
      <c r="P49" s="44">
        <f>IF(P45&lt;&gt;0,P47/P45,0)</f>
        <v>0</v>
      </c>
      <c r="Q49" s="44"/>
      <c r="R49" s="44">
        <f>IF(R45&lt;&gt;0,R47/R45,0)</f>
        <v>0.10795132308110447</v>
      </c>
      <c r="S49" s="44"/>
      <c r="T49" s="44">
        <f>IF(T45&lt;&gt;0,T47/T45,0)</f>
        <v>0.25388942001488835</v>
      </c>
      <c r="U49" s="44">
        <f>IF(U45&lt;&gt;0,U47/U45,0)</f>
        <v>7.5135099530447613E-2</v>
      </c>
      <c r="V49" s="44">
        <f>IF(V45&lt;&gt;0,V47/V45,0)</f>
        <v>0</v>
      </c>
      <c r="W49" s="44"/>
      <c r="X49" s="44">
        <f>IF($AB45&lt;&gt;0,X47/($AB45-SUM('TR TE'!$L48:'TR TE'!$AA48)*0),0)</f>
        <v>0</v>
      </c>
      <c r="Y49" s="44"/>
      <c r="Z49" s="44">
        <f>IF(Z45&lt;&gt;0,Z47/Z45,0)</f>
        <v>0.10795132308110447</v>
      </c>
      <c r="AA49" s="44"/>
      <c r="AB49" s="44"/>
    </row>
    <row r="50" spans="11:28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</sheetData>
  <mergeCells count="72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8:F10"/>
    <mergeCell ref="B11:B15"/>
    <mergeCell ref="C11:C15"/>
    <mergeCell ref="B16:B20"/>
    <mergeCell ref="C16:C20"/>
    <mergeCell ref="A8:A20"/>
    <mergeCell ref="B8:B10"/>
    <mergeCell ref="C8:C10"/>
    <mergeCell ref="D8:D10"/>
    <mergeCell ref="E8:E10"/>
    <mergeCell ref="D21:D23"/>
    <mergeCell ref="E21:E23"/>
    <mergeCell ref="F21:F23"/>
    <mergeCell ref="B25:B27"/>
    <mergeCell ref="C25:C27"/>
    <mergeCell ref="D25:D27"/>
    <mergeCell ref="E25:E27"/>
    <mergeCell ref="AC1:AC4"/>
    <mergeCell ref="B33:B35"/>
    <mergeCell ref="C33:C35"/>
    <mergeCell ref="A36:A40"/>
    <mergeCell ref="B36:B38"/>
    <mergeCell ref="C36:C38"/>
    <mergeCell ref="D36:D38"/>
    <mergeCell ref="F25:F27"/>
    <mergeCell ref="B29:B31"/>
    <mergeCell ref="C29:C31"/>
    <mergeCell ref="D29:D31"/>
    <mergeCell ref="E29:E31"/>
    <mergeCell ref="F29:F31"/>
    <mergeCell ref="A21:A35"/>
    <mergeCell ref="B21:B23"/>
    <mergeCell ref="C21:C23"/>
    <mergeCell ref="E36:E38"/>
    <mergeCell ref="F36:F38"/>
    <mergeCell ref="A41:A42"/>
    <mergeCell ref="B41:B42"/>
    <mergeCell ref="C41:C42"/>
    <mergeCell ref="AJ1:AJ4"/>
    <mergeCell ref="AK1:AK4"/>
    <mergeCell ref="AL1:AL4"/>
    <mergeCell ref="AO1:AO4"/>
    <mergeCell ref="AD1:AD4"/>
    <mergeCell ref="AE1:AE4"/>
    <mergeCell ref="AF1:AF4"/>
    <mergeCell ref="AG1:AG4"/>
    <mergeCell ref="AH1:AH4"/>
    <mergeCell ref="AI1:AI4"/>
  </mergeCells>
  <conditionalFormatting sqref="L44">
    <cfRule type="cellIs" dxfId="212" priority="33" operator="notEqual">
      <formula>$L$46</formula>
    </cfRule>
    <cfRule type="cellIs" dxfId="211" priority="34" operator="equal">
      <formula>$L$46</formula>
    </cfRule>
  </conditionalFormatting>
  <conditionalFormatting sqref="M44">
    <cfRule type="cellIs" dxfId="210" priority="31" operator="notEqual">
      <formula>$M$46</formula>
    </cfRule>
    <cfRule type="cellIs" dxfId="209" priority="32" operator="equal">
      <formula>$M$46</formula>
    </cfRule>
  </conditionalFormatting>
  <conditionalFormatting sqref="N44">
    <cfRule type="cellIs" dxfId="208" priority="29" operator="notEqual">
      <formula>$N$46</formula>
    </cfRule>
    <cfRule type="cellIs" dxfId="207" priority="30" operator="equal">
      <formula>$N$46</formula>
    </cfRule>
  </conditionalFormatting>
  <conditionalFormatting sqref="O44">
    <cfRule type="cellIs" dxfId="206" priority="27" operator="notEqual">
      <formula>$O$46</formula>
    </cfRule>
    <cfRule type="cellIs" dxfId="205" priority="28" operator="equal">
      <formula>$O$46</formula>
    </cfRule>
  </conditionalFormatting>
  <conditionalFormatting sqref="P44">
    <cfRule type="cellIs" dxfId="204" priority="25" operator="notEqual">
      <formula>$P$46</formula>
    </cfRule>
    <cfRule type="cellIs" dxfId="203" priority="26" operator="equal">
      <formula>$P$46</formula>
    </cfRule>
  </conditionalFormatting>
  <conditionalFormatting sqref="Q44">
    <cfRule type="cellIs" dxfId="202" priority="23" operator="notEqual">
      <formula>$Q$46</formula>
    </cfRule>
    <cfRule type="cellIs" dxfId="201" priority="24" operator="equal">
      <formula>$Q$46</formula>
    </cfRule>
  </conditionalFormatting>
  <conditionalFormatting sqref="R44">
    <cfRule type="cellIs" dxfId="200" priority="21" operator="notEqual">
      <formula>$R$46</formula>
    </cfRule>
    <cfRule type="cellIs" dxfId="199" priority="22" operator="equal">
      <formula>$R$46</formula>
    </cfRule>
  </conditionalFormatting>
  <conditionalFormatting sqref="S44">
    <cfRule type="cellIs" dxfId="198" priority="19" operator="notEqual">
      <formula>$S$46</formula>
    </cfRule>
    <cfRule type="cellIs" dxfId="197" priority="20" operator="equal">
      <formula>$S$46</formula>
    </cfRule>
  </conditionalFormatting>
  <conditionalFormatting sqref="T44">
    <cfRule type="cellIs" dxfId="196" priority="17" operator="notEqual">
      <formula>$T$46</formula>
    </cfRule>
    <cfRule type="cellIs" dxfId="195" priority="18" operator="equal">
      <formula>$T$46</formula>
    </cfRule>
  </conditionalFormatting>
  <conditionalFormatting sqref="U44">
    <cfRule type="cellIs" dxfId="194" priority="15" operator="notEqual">
      <formula>$U$46</formula>
    </cfRule>
    <cfRule type="cellIs" dxfId="193" priority="16" operator="equal">
      <formula>$U$46</formula>
    </cfRule>
  </conditionalFormatting>
  <conditionalFormatting sqref="V44">
    <cfRule type="cellIs" dxfId="192" priority="13" operator="notEqual">
      <formula>$V$46</formula>
    </cfRule>
    <cfRule type="cellIs" dxfId="191" priority="14" operator="equal">
      <formula>$V$46</formula>
    </cfRule>
  </conditionalFormatting>
  <conditionalFormatting sqref="W44">
    <cfRule type="cellIs" dxfId="190" priority="11" operator="notEqual">
      <formula>$W$46</formula>
    </cfRule>
    <cfRule type="cellIs" dxfId="189" priority="12" operator="equal">
      <formula>$W$46</formula>
    </cfRule>
  </conditionalFormatting>
  <conditionalFormatting sqref="X44">
    <cfRule type="cellIs" dxfId="188" priority="9" operator="notEqual">
      <formula>$X$46</formula>
    </cfRule>
    <cfRule type="cellIs" dxfId="187" priority="10" operator="equal">
      <formula>$X$46</formula>
    </cfRule>
  </conditionalFormatting>
  <conditionalFormatting sqref="Y44">
    <cfRule type="cellIs" dxfId="186" priority="7" operator="notEqual">
      <formula>$Y$46</formula>
    </cfRule>
    <cfRule type="cellIs" dxfId="185" priority="8" operator="equal">
      <formula>$Y$46</formula>
    </cfRule>
  </conditionalFormatting>
  <conditionalFormatting sqref="Z44">
    <cfRule type="cellIs" dxfId="184" priority="5" operator="notEqual">
      <formula>$Z$46</formula>
    </cfRule>
    <cfRule type="cellIs" dxfId="183" priority="6" operator="equal">
      <formula>$Z$46</formula>
    </cfRule>
  </conditionalFormatting>
  <conditionalFormatting sqref="AA44">
    <cfRule type="cellIs" dxfId="182" priority="3" operator="notEqual">
      <formula>$AA$46</formula>
    </cfRule>
    <cfRule type="cellIs" dxfId="181" priority="4" operator="equal">
      <formula>$AA$46</formula>
    </cfRule>
  </conditionalFormatting>
  <conditionalFormatting sqref="AB44">
    <cfRule type="cellIs" dxfId="180" priority="1" operator="notEqual">
      <formula>$AB$46</formula>
    </cfRule>
    <cfRule type="cellIs" dxfId="179" priority="2" operator="equal">
      <formula>$AB$46</formula>
    </cfRule>
  </conditionalFormatting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DFD0-5918-4A7D-A84D-C7BF2B947BE7}">
  <sheetPr>
    <tabColor indexed="12" tint="-0.249977111117893"/>
  </sheetPr>
  <dimension ref="A1:AV444"/>
  <sheetViews>
    <sheetView showGridLines="0" topLeftCell="AG1" workbookViewId="0">
      <selection sqref="A1:AG444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1.28515625" style="4" bestFit="1" customWidth="1"/>
    <col min="8" max="8" width="10.28515625" style="4" bestFit="1" customWidth="1"/>
    <col min="9" max="9" width="12.140625" style="5" bestFit="1" customWidth="1"/>
    <col min="10" max="10" width="7" style="6" bestFit="1" customWidth="1"/>
    <col min="11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71093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23.28515625" style="4" bestFit="1" customWidth="1"/>
    <col min="29" max="29" width="24.7109375" style="4" bestFit="1" customWidth="1"/>
    <col min="30" max="30" width="22.5703125" style="4" bestFit="1" customWidth="1"/>
    <col min="31" max="31" width="24.140625" style="4" bestFit="1" customWidth="1"/>
    <col min="32" max="32" width="25.5703125" style="4" bestFit="1" customWidth="1"/>
    <col min="33" max="33" width="23.42578125" style="4" bestFit="1" customWidth="1"/>
    <col min="34" max="34" width="9.140625" style="4"/>
    <col min="35" max="35" width="9.28515625" style="4" bestFit="1" customWidth="1"/>
    <col min="36" max="36" width="14.5703125" style="4" bestFit="1" customWidth="1"/>
    <col min="37" max="37" width="15.42578125" style="4" bestFit="1" customWidth="1"/>
    <col min="38" max="38" width="9.28515625" style="4" bestFit="1" customWidth="1"/>
    <col min="39" max="39" width="9.140625" style="4"/>
    <col min="40" max="40" width="9.28515625" style="4" bestFit="1" customWidth="1"/>
    <col min="41" max="41" width="12.28515625" style="4" bestFit="1" customWidth="1"/>
    <col min="42" max="42" width="13.28515625" style="4" bestFit="1" customWidth="1"/>
    <col min="43" max="43" width="9.28515625" style="4" bestFit="1" customWidth="1"/>
    <col min="44" max="44" width="9.140625" style="4"/>
    <col min="45" max="45" width="9.28515625" style="4" bestFit="1" customWidth="1"/>
    <col min="46" max="47" width="10.85546875" style="4" bestFit="1" customWidth="1"/>
    <col min="48" max="48" width="9.28515625" style="4" bestFit="1" customWidth="1"/>
    <col min="49" max="16384" width="9.140625" style="4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551</v>
      </c>
      <c r="W1" s="1" t="s">
        <v>552</v>
      </c>
      <c r="X1" s="1" t="s">
        <v>553</v>
      </c>
      <c r="Y1" s="1" t="s">
        <v>554</v>
      </c>
      <c r="Z1" s="1" t="s">
        <v>555</v>
      </c>
      <c r="AA1" s="1" t="s">
        <v>556</v>
      </c>
      <c r="AB1" s="1" t="s">
        <v>569</v>
      </c>
      <c r="AC1" s="1" t="s">
        <v>570</v>
      </c>
      <c r="AD1" s="1" t="s">
        <v>571</v>
      </c>
      <c r="AE1" s="1" t="s">
        <v>572</v>
      </c>
      <c r="AF1" s="1" t="s">
        <v>573</v>
      </c>
      <c r="AG1" s="1" t="s">
        <v>574</v>
      </c>
      <c r="AI1" s="59" t="s">
        <v>60</v>
      </c>
      <c r="AJ1" s="59" t="s">
        <v>575</v>
      </c>
      <c r="AK1" s="59" t="s">
        <v>576</v>
      </c>
      <c r="AL1" s="59" t="s">
        <v>577</v>
      </c>
      <c r="AN1" s="59" t="s">
        <v>60</v>
      </c>
      <c r="AO1" s="59" t="s">
        <v>578</v>
      </c>
      <c r="AP1" s="59" t="s">
        <v>579</v>
      </c>
      <c r="AQ1" s="59" t="s">
        <v>577</v>
      </c>
      <c r="AS1" s="59" t="s">
        <v>60</v>
      </c>
      <c r="AT1" s="59" t="s">
        <v>580</v>
      </c>
      <c r="AU1" s="59" t="s">
        <v>581</v>
      </c>
      <c r="AV1" s="59" t="s">
        <v>577</v>
      </c>
    </row>
    <row r="2" spans="1:48" ht="11.25" customHeight="1" x14ac:dyDescent="0.25">
      <c r="A2" s="4" t="s">
        <v>21</v>
      </c>
      <c r="B2" s="4" t="s">
        <v>34</v>
      </c>
      <c r="C2" s="4" t="s">
        <v>51</v>
      </c>
      <c r="D2" s="4" t="s">
        <v>33</v>
      </c>
      <c r="E2" s="4" t="s">
        <v>25</v>
      </c>
      <c r="F2" s="4" t="s">
        <v>52</v>
      </c>
      <c r="G2" s="4" t="s">
        <v>25</v>
      </c>
      <c r="H2" s="4" t="s">
        <v>37</v>
      </c>
      <c r="I2" s="5">
        <v>44378</v>
      </c>
      <c r="J2" s="6">
        <v>1800</v>
      </c>
      <c r="K2" s="6">
        <v>905.36929199999997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53</v>
      </c>
      <c r="R2" s="4">
        <v>0</v>
      </c>
      <c r="S2" s="6">
        <v>2</v>
      </c>
      <c r="T2" s="6">
        <v>0</v>
      </c>
      <c r="U2" s="6">
        <v>0</v>
      </c>
      <c r="V2" s="6">
        <f>IF(ISERROR(VLOOKUP($S$2,'TAR FIN'!$A$1:$O$85,15,0)),0,VLOOKUP($S$2,'TAR FIN'!$A$1:$O$85,15,0))</f>
        <v>14.94</v>
      </c>
      <c r="W2" s="6">
        <f>IF(ISERROR(VLOOKUP($T$2,'TAR FIN'!$A$1:$O$85,15,0)),0,VLOOKUP($T$2,'TAR FIN'!$A$1:$O$85,15,0))</f>
        <v>0</v>
      </c>
      <c r="X2" s="6">
        <f>IF(ISERROR(VLOOKUP($U$2,'TAR FIN'!$A$1:$O$85,15,0)),0,VLOOKUP($U$2,'TAR FIN'!$A$1:$O$85,15,0))</f>
        <v>0</v>
      </c>
      <c r="Y2" s="6">
        <f ca="1">('TUSD BE'!$AM$6+'TUSD BF_350'!$AM$6+'TUSD CVA'!$AM$6)*1</f>
        <v>19.63429077280307</v>
      </c>
      <c r="Z2" s="6">
        <f ca="1">('TUSD BE'!$AM$7+'TUSD BF_350'!$AM$7+'TUSD CVA'!$AM$7)*1</f>
        <v>114.48039155571371</v>
      </c>
      <c r="AA2" s="6"/>
      <c r="AB2" s="6">
        <f>$K$2*$V$2</f>
        <v>13526.21722248</v>
      </c>
      <c r="AC2" s="6">
        <f>$M$2*$W$2</f>
        <v>0</v>
      </c>
      <c r="AD2" s="6">
        <f>$O$2*$X$2</f>
        <v>0</v>
      </c>
      <c r="AE2" s="6">
        <f ca="1">$K$2*$Y$2</f>
        <v>17776.283935894848</v>
      </c>
      <c r="AF2" s="6">
        <f ca="1">$M$2*$Z$2</f>
        <v>0</v>
      </c>
      <c r="AG2" s="6">
        <f>$O$2*$AA$2</f>
        <v>0</v>
      </c>
      <c r="AI2" s="60" t="s">
        <v>34</v>
      </c>
      <c r="AJ2" s="61">
        <f>SUMIF($B$2:$B$444,AI2,$AB$2:$AB$444)+SUMIF($B$2:$B$444,AI2,$AC$2:$AC$444)</f>
        <v>6711859.9372552615</v>
      </c>
      <c r="AK2" s="61">
        <f ca="1">SUMIF($B$2:$B$444,AI2,$AE$2:$AE$444)+SUMIF($B$2:$B$444,AI2,$AF$2:$AF$444)</f>
        <v>8444761.2238491829</v>
      </c>
      <c r="AL2" s="62">
        <f t="shared" ref="AL2:AL9" ca="1" si="0">IF(AJ2&lt;&gt;0,AK2/AJ2-1,0)</f>
        <v>0.25818495957807075</v>
      </c>
      <c r="AN2" s="60" t="s">
        <v>34</v>
      </c>
      <c r="AO2" s="61">
        <f>SUMIF($B$2:$B$444,AN2,$AD$2:$AD$444)</f>
        <v>6174625.7329272022</v>
      </c>
      <c r="AP2" s="61">
        <f ca="1">SUMIF($B$2:$B$444,AN2,$AG$2:$AG$444)</f>
        <v>5809372.7195525654</v>
      </c>
      <c r="AQ2" s="62">
        <f t="shared" ref="AQ2:AQ9" ca="1" si="1">IF(AO2&lt;&gt;0,AP2/AO2-1,0)</f>
        <v>-5.9153870885949478E-2</v>
      </c>
      <c r="AS2" s="60" t="s">
        <v>34</v>
      </c>
      <c r="AT2" s="61">
        <f>SUMIF($B$2:$B$444,AS2,$AB$2:$AB$444)+SUMIF($B$2:$B$444,AS2,$AC$2:$AC$444)+SUMIF($B$2:$B$444,AS2,$AD$2:$AD$444)</f>
        <v>12886485.670182463</v>
      </c>
      <c r="AU2" s="61">
        <f ca="1">SUMIF($B$2:$B$444,AS2,$AE$2:$AE$444)+SUMIF($B$2:$B$444,AS2,$AF$2:$AF$444)+SUMIF($B$2:$B$444,AS2,$AG$2:$AG$444)</f>
        <v>14254133.943401748</v>
      </c>
      <c r="AV2" s="62">
        <f t="shared" ref="AV2:AV9" ca="1" si="2">IF(AT2&lt;&gt;0,AU2/AT2-1,0)</f>
        <v>0.10613043060947436</v>
      </c>
    </row>
    <row r="3" spans="1:48" ht="11.25" customHeight="1" x14ac:dyDescent="0.25">
      <c r="A3" s="4" t="s">
        <v>21</v>
      </c>
      <c r="B3" s="4" t="s">
        <v>34</v>
      </c>
      <c r="C3" s="4" t="s">
        <v>51</v>
      </c>
      <c r="D3" s="4" t="s">
        <v>33</v>
      </c>
      <c r="E3" s="4" t="s">
        <v>25</v>
      </c>
      <c r="F3" s="4" t="s">
        <v>52</v>
      </c>
      <c r="G3" s="4" t="s">
        <v>25</v>
      </c>
      <c r="H3" s="4" t="s">
        <v>37</v>
      </c>
      <c r="I3" s="5">
        <v>44409</v>
      </c>
      <c r="J3" s="6">
        <v>1802</v>
      </c>
      <c r="K3" s="6">
        <v>918.92490845999998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53</v>
      </c>
      <c r="R3" s="4">
        <v>0</v>
      </c>
      <c r="S3" s="6">
        <v>2</v>
      </c>
      <c r="T3" s="6">
        <v>0</v>
      </c>
      <c r="U3" s="6">
        <v>0</v>
      </c>
      <c r="V3" s="6">
        <f>IF(ISERROR(VLOOKUP($S$3,'TAR FIN'!$A$1:$O$85,15,0)),0,VLOOKUP($S$3,'TAR FIN'!$A$1:$O$85,15,0))</f>
        <v>14.94</v>
      </c>
      <c r="W3" s="6">
        <f>IF(ISERROR(VLOOKUP($T$3,'TAR FIN'!$A$1:$O$85,15,0)),0,VLOOKUP($T$3,'TAR FIN'!$A$1:$O$85,15,0))</f>
        <v>0</v>
      </c>
      <c r="X3" s="6">
        <f>IF(ISERROR(VLOOKUP($U$3,'TAR FIN'!$A$1:$O$85,15,0)),0,VLOOKUP($U$3,'TAR FIN'!$A$1:$O$85,15,0))</f>
        <v>0</v>
      </c>
      <c r="Y3" s="6">
        <f ca="1">('TUSD BE'!$AM$6+'TUSD BF_350'!$AM$6+'TUSD CVA'!$AM$6)*1</f>
        <v>19.63429077280307</v>
      </c>
      <c r="Z3" s="6">
        <f ca="1">('TUSD BE'!$AM$7+'TUSD BF_350'!$AM$7+'TUSD CVA'!$AM$7)*1</f>
        <v>114.48039155571371</v>
      </c>
      <c r="AA3" s="6"/>
      <c r="AB3" s="6">
        <f>$K$3*$V$3</f>
        <v>13728.7381323924</v>
      </c>
      <c r="AC3" s="6">
        <f>$M$3*$W$3</f>
        <v>0</v>
      </c>
      <c r="AD3" s="6">
        <f>$O$3*$X$3</f>
        <v>0</v>
      </c>
      <c r="AE3" s="6">
        <f ca="1">$K$3*$Y$3</f>
        <v>18042.438851075083</v>
      </c>
      <c r="AF3" s="6">
        <f ca="1">$M$3*$Z$3</f>
        <v>0</v>
      </c>
      <c r="AG3" s="6">
        <f>$O$3*$AA$3</f>
        <v>0</v>
      </c>
      <c r="AI3" s="60" t="s">
        <v>22</v>
      </c>
      <c r="AJ3" s="61">
        <f>SUMIF($B$2:$B$444,AI3,$AB$2:$AB$444)+SUMIF($B$2:$B$444,AI3,$AC$2:$AC$444)</f>
        <v>7017337.6636399962</v>
      </c>
      <c r="AK3" s="61">
        <f ca="1">SUMIF($B$2:$B$444,AI3,$AE$2:$AE$444)+SUMIF($B$2:$B$444,AI3,$AF$2:$AF$444)</f>
        <v>7898850.7757311575</v>
      </c>
      <c r="AL3" s="62">
        <f t="shared" ca="1" si="0"/>
        <v>0.12561930953653255</v>
      </c>
      <c r="AN3" s="60" t="s">
        <v>22</v>
      </c>
      <c r="AO3" s="61">
        <f>SUMIF($B$2:$B$444,AN3,$AD$2:$AD$444)</f>
        <v>5131385.4318300001</v>
      </c>
      <c r="AP3" s="61">
        <f ca="1">SUMIF($B$2:$B$444,AN3,$AG$2:$AG$444)</f>
        <v>4827989.952195988</v>
      </c>
      <c r="AQ3" s="62">
        <f t="shared" ca="1" si="1"/>
        <v>-5.912545133562741E-2</v>
      </c>
      <c r="AS3" s="60" t="s">
        <v>22</v>
      </c>
      <c r="AT3" s="61">
        <f>SUMIF($B$2:$B$444,AS3,$AB$2:$AB$444)+SUMIF($B$2:$B$444,AS3,$AC$2:$AC$444)+SUMIF($B$2:$B$444,AS3,$AD$2:$AD$444)</f>
        <v>12148723.095469996</v>
      </c>
      <c r="AU3" s="61">
        <f ca="1">SUMIF($B$2:$B$444,AS3,$AE$2:$AE$444)+SUMIF($B$2:$B$444,AS3,$AF$2:$AF$444)+SUMIF($B$2:$B$444,AS3,$AG$2:$AG$444)</f>
        <v>12726840.727927145</v>
      </c>
      <c r="AV3" s="62">
        <f t="shared" ca="1" si="2"/>
        <v>4.7586699269877686E-2</v>
      </c>
    </row>
    <row r="4" spans="1:48" ht="11.25" customHeight="1" x14ac:dyDescent="0.25">
      <c r="A4" s="4" t="s">
        <v>21</v>
      </c>
      <c r="B4" s="4" t="s">
        <v>34</v>
      </c>
      <c r="C4" s="4" t="s">
        <v>51</v>
      </c>
      <c r="D4" s="4" t="s">
        <v>33</v>
      </c>
      <c r="E4" s="4" t="s">
        <v>25</v>
      </c>
      <c r="F4" s="4" t="s">
        <v>52</v>
      </c>
      <c r="G4" s="4" t="s">
        <v>25</v>
      </c>
      <c r="H4" s="4" t="s">
        <v>37</v>
      </c>
      <c r="I4" s="5">
        <v>44440</v>
      </c>
      <c r="J4" s="6">
        <v>1800</v>
      </c>
      <c r="K4" s="6">
        <v>907.34920199999999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53</v>
      </c>
      <c r="R4" s="4">
        <v>0</v>
      </c>
      <c r="S4" s="6">
        <v>2</v>
      </c>
      <c r="T4" s="6">
        <v>0</v>
      </c>
      <c r="U4" s="6">
        <v>0</v>
      </c>
      <c r="V4" s="6">
        <f>IF(ISERROR(VLOOKUP($S$4,'TAR FIN'!$A$1:$O$85,15,0)),0,VLOOKUP($S$4,'TAR FIN'!$A$1:$O$85,15,0))</f>
        <v>14.94</v>
      </c>
      <c r="W4" s="6">
        <f>IF(ISERROR(VLOOKUP($T$4,'TAR FIN'!$A$1:$O$85,15,0)),0,VLOOKUP($T$4,'TAR FIN'!$A$1:$O$85,15,0))</f>
        <v>0</v>
      </c>
      <c r="X4" s="6">
        <f>IF(ISERROR(VLOOKUP($U$4,'TAR FIN'!$A$1:$O$85,15,0)),0,VLOOKUP($U$4,'TAR FIN'!$A$1:$O$85,15,0))</f>
        <v>0</v>
      </c>
      <c r="Y4" s="6">
        <f ca="1">('TUSD BE'!$AM$6+'TUSD BF_350'!$AM$6+'TUSD CVA'!$AM$6)*1</f>
        <v>19.63429077280307</v>
      </c>
      <c r="Z4" s="6">
        <f ca="1">('TUSD BE'!$AM$7+'TUSD BF_350'!$AM$7+'TUSD CVA'!$AM$7)*1</f>
        <v>114.48039155571371</v>
      </c>
      <c r="AA4" s="6"/>
      <c r="AB4" s="6">
        <f>$K$4*$V$4</f>
        <v>13555.797077879999</v>
      </c>
      <c r="AC4" s="6">
        <f>$M$4*$W$4</f>
        <v>0</v>
      </c>
      <c r="AD4" s="6">
        <f>$O$4*$X$4</f>
        <v>0</v>
      </c>
      <c r="AE4" s="6">
        <f ca="1">$K$4*$Y$4</f>
        <v>17815.158064538828</v>
      </c>
      <c r="AF4" s="6">
        <f ca="1">$M$4*$Z$4</f>
        <v>0</v>
      </c>
      <c r="AG4" s="6">
        <f>$O$4*$AA$4</f>
        <v>0</v>
      </c>
      <c r="AI4" s="60" t="s">
        <v>39</v>
      </c>
      <c r="AJ4" s="61">
        <f>SUMIF($B$2:$B$444,AI4,$AB$2:$AB$444)+SUMIF($B$2:$B$444,AI4,$AC$2:$AC$444)</f>
        <v>13331.026239999997</v>
      </c>
      <c r="AK4" s="61">
        <f ca="1">SUMIF($B$2:$B$444,AI4,$AE$2:$AE$444)+SUMIF($B$2:$B$444,AI4,$AF$2:$AF$444)</f>
        <v>16077.32722347737</v>
      </c>
      <c r="AL4" s="62">
        <f t="shared" ca="1" si="0"/>
        <v>0.20600821977508721</v>
      </c>
      <c r="AN4" s="60" t="s">
        <v>39</v>
      </c>
      <c r="AO4" s="61">
        <f>SUMIF($B$2:$B$444,AN4,$AD$2:$AD$444)</f>
        <v>9677.8057599999993</v>
      </c>
      <c r="AP4" s="61">
        <f ca="1">SUMIF($B$2:$B$444,AN4,$AG$2:$AG$444)</f>
        <v>9726.3501559019678</v>
      </c>
      <c r="AQ4" s="62">
        <f t="shared" ca="1" si="1"/>
        <v>5.0160539595256459E-3</v>
      </c>
      <c r="AS4" s="60" t="s">
        <v>39</v>
      </c>
      <c r="AT4" s="61">
        <f>SUMIF($B$2:$B$444,AS4,$AB$2:$AB$444)+SUMIF($B$2:$B$444,AS4,$AC$2:$AC$444)+SUMIF($B$2:$B$444,AS4,$AD$2:$AD$444)</f>
        <v>23008.831999999995</v>
      </c>
      <c r="AU4" s="61">
        <f ca="1">SUMIF($B$2:$B$444,AS4,$AE$2:$AE$444)+SUMIF($B$2:$B$444,AS4,$AF$2:$AF$444)+SUMIF($B$2:$B$444,AS4,$AG$2:$AG$444)</f>
        <v>25803.67737937934</v>
      </c>
      <c r="AV4" s="62">
        <f t="shared" ca="1" si="2"/>
        <v>0.12146837263966059</v>
      </c>
    </row>
    <row r="5" spans="1:48" ht="11.25" customHeight="1" x14ac:dyDescent="0.25">
      <c r="A5" s="4" t="s">
        <v>21</v>
      </c>
      <c r="B5" s="4" t="s">
        <v>34</v>
      </c>
      <c r="C5" s="4" t="s">
        <v>51</v>
      </c>
      <c r="D5" s="4" t="s">
        <v>33</v>
      </c>
      <c r="E5" s="4" t="s">
        <v>25</v>
      </c>
      <c r="F5" s="4" t="s">
        <v>52</v>
      </c>
      <c r="G5" s="4" t="s">
        <v>25</v>
      </c>
      <c r="H5" s="4" t="s">
        <v>37</v>
      </c>
      <c r="I5" s="5">
        <v>44470</v>
      </c>
      <c r="J5" s="6">
        <v>1813</v>
      </c>
      <c r="K5" s="6">
        <v>906.93687861000001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53</v>
      </c>
      <c r="R5" s="4">
        <v>0</v>
      </c>
      <c r="S5" s="6">
        <v>2</v>
      </c>
      <c r="T5" s="6">
        <v>0</v>
      </c>
      <c r="U5" s="6">
        <v>0</v>
      </c>
      <c r="V5" s="6">
        <f>IF(ISERROR(VLOOKUP($S$5,'TAR FIN'!$A$1:$O$85,15,0)),0,VLOOKUP($S$5,'TAR FIN'!$A$1:$O$85,15,0))</f>
        <v>14.94</v>
      </c>
      <c r="W5" s="6">
        <f>IF(ISERROR(VLOOKUP($T$5,'TAR FIN'!$A$1:$O$85,15,0)),0,VLOOKUP($T$5,'TAR FIN'!$A$1:$O$85,15,0))</f>
        <v>0</v>
      </c>
      <c r="X5" s="6">
        <f>IF(ISERROR(VLOOKUP($U$5,'TAR FIN'!$A$1:$O$85,15,0)),0,VLOOKUP($U$5,'TAR FIN'!$A$1:$O$85,15,0))</f>
        <v>0</v>
      </c>
      <c r="Y5" s="6">
        <f ca="1">('TUSD BE'!$AM$6+'TUSD BF_350'!$AM$6+'TUSD CVA'!$AM$6)*1</f>
        <v>19.63429077280307</v>
      </c>
      <c r="Z5" s="6">
        <f ca="1">('TUSD BE'!$AM$7+'TUSD BF_350'!$AM$7+'TUSD CVA'!$AM$7)*1</f>
        <v>114.48039155571371</v>
      </c>
      <c r="AA5" s="6"/>
      <c r="AB5" s="6">
        <f>$K$5*$V$5</f>
        <v>13549.6369664334</v>
      </c>
      <c r="AC5" s="6">
        <f>$M$5*$W$5</f>
        <v>0</v>
      </c>
      <c r="AD5" s="6">
        <f>$O$5*$X$5</f>
        <v>0</v>
      </c>
      <c r="AE5" s="6">
        <f ca="1">$K$5*$Y$5</f>
        <v>17807.062387207141</v>
      </c>
      <c r="AF5" s="6">
        <f ca="1">$M$5*$Z$5</f>
        <v>0</v>
      </c>
      <c r="AG5" s="6">
        <f>$O$5*$AA$5</f>
        <v>0</v>
      </c>
      <c r="AI5" s="60" t="s">
        <v>32</v>
      </c>
      <c r="AJ5" s="61">
        <f>SUMIF($B$2:$B$444,AI5,$AB$2:$AB$444)+SUMIF($B$2:$B$444,AI5,$AC$2:$AC$444)</f>
        <v>4093541.5716279992</v>
      </c>
      <c r="AK5" s="61">
        <f ca="1">SUMIF($B$2:$B$444,AI5,$AE$2:$AE$444)+SUMIF($B$2:$B$444,AI5,$AF$2:$AF$444)</f>
        <v>4643391.0094260946</v>
      </c>
      <c r="AL5" s="62">
        <f t="shared" ca="1" si="0"/>
        <v>0.13432120528811931</v>
      </c>
      <c r="AN5" s="60" t="s">
        <v>32</v>
      </c>
      <c r="AO5" s="61">
        <f>SUMIF($B$2:$B$444,AN5,$AD$2:$AD$444)</f>
        <v>2971777.061892</v>
      </c>
      <c r="AP5" s="61">
        <f ca="1">SUMIF($B$2:$B$444,AN5,$AG$2:$AG$444)</f>
        <v>2809195.9058189755</v>
      </c>
      <c r="AQ5" s="62">
        <f t="shared" ca="1" si="1"/>
        <v>-5.4708395914973562E-2</v>
      </c>
      <c r="AS5" s="60" t="s">
        <v>32</v>
      </c>
      <c r="AT5" s="61">
        <f>SUMIF($B$2:$B$444,AS5,$AB$2:$AB$444)+SUMIF($B$2:$B$444,AS5,$AC$2:$AC$444)+SUMIF($B$2:$B$444,AS5,$AD$2:$AD$444)</f>
        <v>7065318.6335199997</v>
      </c>
      <c r="AU5" s="61">
        <f ca="1">SUMIF($B$2:$B$444,AS5,$AE$2:$AE$444)+SUMIF($B$2:$B$444,AS5,$AF$2:$AF$444)+SUMIF($B$2:$B$444,AS5,$AG$2:$AG$444)</f>
        <v>7452586.9152450701</v>
      </c>
      <c r="AV5" s="62">
        <f t="shared" ca="1" si="2"/>
        <v>5.4812571352090611E-2</v>
      </c>
    </row>
    <row r="6" spans="1:48" ht="11.25" customHeight="1" x14ac:dyDescent="0.25">
      <c r="A6" s="4" t="s">
        <v>21</v>
      </c>
      <c r="B6" s="4" t="s">
        <v>34</v>
      </c>
      <c r="C6" s="4" t="s">
        <v>51</v>
      </c>
      <c r="D6" s="4" t="s">
        <v>33</v>
      </c>
      <c r="E6" s="4" t="s">
        <v>25</v>
      </c>
      <c r="F6" s="4" t="s">
        <v>52</v>
      </c>
      <c r="G6" s="4" t="s">
        <v>25</v>
      </c>
      <c r="H6" s="4" t="s">
        <v>37</v>
      </c>
      <c r="I6" s="5">
        <v>44501</v>
      </c>
      <c r="J6" s="6">
        <v>1809</v>
      </c>
      <c r="K6" s="6">
        <v>904.5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53</v>
      </c>
      <c r="R6" s="4">
        <v>0</v>
      </c>
      <c r="S6" s="6">
        <v>2</v>
      </c>
      <c r="T6" s="6">
        <v>0</v>
      </c>
      <c r="U6" s="6">
        <v>0</v>
      </c>
      <c r="V6" s="6">
        <f>IF(ISERROR(VLOOKUP($S$6,'TAR FIN'!$A$1:$O$85,15,0)),0,VLOOKUP($S$6,'TAR FIN'!$A$1:$O$85,15,0))</f>
        <v>14.94</v>
      </c>
      <c r="W6" s="6">
        <f>IF(ISERROR(VLOOKUP($T$6,'TAR FIN'!$A$1:$O$85,15,0)),0,VLOOKUP($T$6,'TAR FIN'!$A$1:$O$85,15,0))</f>
        <v>0</v>
      </c>
      <c r="X6" s="6">
        <f>IF(ISERROR(VLOOKUP($U$6,'TAR FIN'!$A$1:$O$85,15,0)),0,VLOOKUP($U$6,'TAR FIN'!$A$1:$O$85,15,0))</f>
        <v>0</v>
      </c>
      <c r="Y6" s="6">
        <f ca="1">('TUSD BE'!$AM$6+'TUSD BF_350'!$AM$6+'TUSD CVA'!$AM$6)*1</f>
        <v>19.63429077280307</v>
      </c>
      <c r="Z6" s="6">
        <f ca="1">('TUSD BE'!$AM$7+'TUSD BF_350'!$AM$7+'TUSD CVA'!$AM$7)*1</f>
        <v>114.48039155571371</v>
      </c>
      <c r="AA6" s="6"/>
      <c r="AB6" s="6">
        <f>$K$6*$V$6</f>
        <v>13513.23</v>
      </c>
      <c r="AC6" s="6">
        <f>$M$6*$W$6</f>
        <v>0</v>
      </c>
      <c r="AD6" s="6">
        <f>$O$6*$X$6</f>
        <v>0</v>
      </c>
      <c r="AE6" s="6">
        <f ca="1">$K$6*$Y$6</f>
        <v>17759.216004000376</v>
      </c>
      <c r="AF6" s="6">
        <f ca="1">$M$6*$Z$6</f>
        <v>0</v>
      </c>
      <c r="AG6" s="6">
        <f>$O$6*$AA$6</f>
        <v>0</v>
      </c>
      <c r="AI6" s="60" t="s">
        <v>42</v>
      </c>
      <c r="AJ6" s="61">
        <f>SUMIF($B$2:$B$444,AI6,$AB$2:$AB$444)+SUMIF($B$2:$B$444,AI6,$AC$2:$AC$444)</f>
        <v>655188.33709999989</v>
      </c>
      <c r="AK6" s="61">
        <f ca="1">SUMIF($B$2:$B$444,AI6,$AE$2:$AE$444)+SUMIF($B$2:$B$444,AI6,$AF$2:$AF$444)</f>
        <v>739731.66094359488</v>
      </c>
      <c r="AL6" s="62">
        <f t="shared" ca="1" si="0"/>
        <v>0.12903667397042096</v>
      </c>
      <c r="AN6" s="60" t="s">
        <v>42</v>
      </c>
      <c r="AO6" s="61">
        <f>SUMIF($B$2:$B$444,AN6,$AD$2:$AD$444)</f>
        <v>475648.92540000007</v>
      </c>
      <c r="AP6" s="61">
        <f ca="1">SUMIF($B$2:$B$444,AN6,$AG$2:$AG$444)</f>
        <v>447517.74071238772</v>
      </c>
      <c r="AQ6" s="62">
        <f t="shared" ca="1" si="1"/>
        <v>-5.9142748328413153E-2</v>
      </c>
      <c r="AS6" s="60" t="s">
        <v>42</v>
      </c>
      <c r="AT6" s="61">
        <f>SUMIF($B$2:$B$444,AS6,$AB$2:$AB$444)+SUMIF($B$2:$B$444,AS6,$AC$2:$AC$444)+SUMIF($B$2:$B$444,AS6,$AD$2:$AD$444)</f>
        <v>1130837.2625</v>
      </c>
      <c r="AU6" s="61">
        <f ca="1">SUMIF($B$2:$B$444,AS6,$AE$2:$AE$444)+SUMIF($B$2:$B$444,AS6,$AF$2:$AF$444)+SUMIF($B$2:$B$444,AS6,$AG$2:$AG$444)</f>
        <v>1187249.4016559827</v>
      </c>
      <c r="AV6" s="62">
        <f t="shared" ca="1" si="2"/>
        <v>4.9885285024362958E-2</v>
      </c>
    </row>
    <row r="7" spans="1:48" ht="11.25" customHeight="1" x14ac:dyDescent="0.25">
      <c r="A7" s="4" t="s">
        <v>21</v>
      </c>
      <c r="B7" s="4" t="s">
        <v>34</v>
      </c>
      <c r="C7" s="4" t="s">
        <v>51</v>
      </c>
      <c r="D7" s="4" t="s">
        <v>33</v>
      </c>
      <c r="E7" s="4" t="s">
        <v>25</v>
      </c>
      <c r="F7" s="4" t="s">
        <v>52</v>
      </c>
      <c r="G7" s="4" t="s">
        <v>25</v>
      </c>
      <c r="H7" s="4" t="s">
        <v>37</v>
      </c>
      <c r="I7" s="5">
        <v>44531</v>
      </c>
      <c r="J7" s="6">
        <v>1800</v>
      </c>
      <c r="K7" s="6">
        <v>932.78597400000001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53</v>
      </c>
      <c r="R7" s="4">
        <v>0</v>
      </c>
      <c r="S7" s="6">
        <v>2</v>
      </c>
      <c r="T7" s="6">
        <v>0</v>
      </c>
      <c r="U7" s="6">
        <v>0</v>
      </c>
      <c r="V7" s="6">
        <f>IF(ISERROR(VLOOKUP($S$7,'TAR FIN'!$A$1:$O$85,15,0)),0,VLOOKUP($S$7,'TAR FIN'!$A$1:$O$85,15,0))</f>
        <v>14.94</v>
      </c>
      <c r="W7" s="6">
        <f>IF(ISERROR(VLOOKUP($T$7,'TAR FIN'!$A$1:$O$85,15,0)),0,VLOOKUP($T$7,'TAR FIN'!$A$1:$O$85,15,0))</f>
        <v>0</v>
      </c>
      <c r="X7" s="6">
        <f>IF(ISERROR(VLOOKUP($U$7,'TAR FIN'!$A$1:$O$85,15,0)),0,VLOOKUP($U$7,'TAR FIN'!$A$1:$O$85,15,0))</f>
        <v>0</v>
      </c>
      <c r="Y7" s="6">
        <f ca="1">('TUSD BE'!$AM$6+'TUSD BF_350'!$AM$6+'TUSD CVA'!$AM$6)*1</f>
        <v>19.63429077280307</v>
      </c>
      <c r="Z7" s="6">
        <f ca="1">('TUSD BE'!$AM$7+'TUSD BF_350'!$AM$7+'TUSD CVA'!$AM$7)*1</f>
        <v>114.48039155571371</v>
      </c>
      <c r="AA7" s="6"/>
      <c r="AB7" s="6">
        <f>$K$7*$V$7</f>
        <v>13935.82245156</v>
      </c>
      <c r="AC7" s="6">
        <f>$M$7*$W$7</f>
        <v>0</v>
      </c>
      <c r="AD7" s="6">
        <f>$O$7*$X$7</f>
        <v>0</v>
      </c>
      <c r="AE7" s="6">
        <f ca="1">$K$7*$Y$7</f>
        <v>18314.591042308322</v>
      </c>
      <c r="AF7" s="6">
        <f ca="1">$M$7*$Z$7</f>
        <v>0</v>
      </c>
      <c r="AG7" s="6">
        <f>$O$7*$AA$7</f>
        <v>0</v>
      </c>
      <c r="AI7" s="60" t="s">
        <v>582</v>
      </c>
      <c r="AJ7" s="61">
        <f>+$AJ$2</f>
        <v>6711859.9372552615</v>
      </c>
      <c r="AK7" s="61">
        <f ca="1">+$AK$2</f>
        <v>8444761.2238491829</v>
      </c>
      <c r="AL7" s="62">
        <f t="shared" ca="1" si="0"/>
        <v>0.25818495957807075</v>
      </c>
      <c r="AN7" s="60" t="s">
        <v>582</v>
      </c>
      <c r="AO7" s="61">
        <f>+$AO$2</f>
        <v>6174625.7329272022</v>
      </c>
      <c r="AP7" s="61">
        <f ca="1">+$AP$2</f>
        <v>5809372.7195525654</v>
      </c>
      <c r="AQ7" s="62">
        <f t="shared" ca="1" si="1"/>
        <v>-5.9153870885949478E-2</v>
      </c>
      <c r="AS7" s="60" t="s">
        <v>582</v>
      </c>
      <c r="AT7" s="61">
        <f>+$AT$2</f>
        <v>12886485.670182463</v>
      </c>
      <c r="AU7" s="61">
        <f ca="1">+$AU$2</f>
        <v>14254133.943401748</v>
      </c>
      <c r="AV7" s="62">
        <f t="shared" ca="1" si="2"/>
        <v>0.10613043060947436</v>
      </c>
    </row>
    <row r="8" spans="1:48" ht="11.25" customHeight="1" x14ac:dyDescent="0.25">
      <c r="A8" s="4" t="s">
        <v>21</v>
      </c>
      <c r="B8" s="4" t="s">
        <v>34</v>
      </c>
      <c r="C8" s="4" t="s">
        <v>51</v>
      </c>
      <c r="D8" s="4" t="s">
        <v>33</v>
      </c>
      <c r="E8" s="4" t="s">
        <v>25</v>
      </c>
      <c r="F8" s="4" t="s">
        <v>52</v>
      </c>
      <c r="G8" s="4" t="s">
        <v>25</v>
      </c>
      <c r="H8" s="4" t="s">
        <v>37</v>
      </c>
      <c r="I8" s="5">
        <v>44562</v>
      </c>
      <c r="J8" s="6">
        <v>1800</v>
      </c>
      <c r="K8" s="6">
        <v>901.16834400000005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53</v>
      </c>
      <c r="R8" s="4">
        <v>0</v>
      </c>
      <c r="S8" s="6">
        <v>2</v>
      </c>
      <c r="T8" s="6">
        <v>0</v>
      </c>
      <c r="U8" s="6">
        <v>0</v>
      </c>
      <c r="V8" s="6">
        <f>IF(ISERROR(VLOOKUP($S$8,'TAR FIN'!$A$1:$O$85,15,0)),0,VLOOKUP($S$8,'TAR FIN'!$A$1:$O$85,15,0))</f>
        <v>14.94</v>
      </c>
      <c r="W8" s="6">
        <f>IF(ISERROR(VLOOKUP($T$8,'TAR FIN'!$A$1:$O$85,15,0)),0,VLOOKUP($T$8,'TAR FIN'!$A$1:$O$85,15,0))</f>
        <v>0</v>
      </c>
      <c r="X8" s="6">
        <f>IF(ISERROR(VLOOKUP($U$8,'TAR FIN'!$A$1:$O$85,15,0)),0,VLOOKUP($U$8,'TAR FIN'!$A$1:$O$85,15,0))</f>
        <v>0</v>
      </c>
      <c r="Y8" s="6">
        <f ca="1">('TUSD BE'!$AM$6+'TUSD BF_350'!$AM$6+'TUSD CVA'!$AM$6)*1</f>
        <v>19.63429077280307</v>
      </c>
      <c r="Z8" s="6">
        <f ca="1">('TUSD BE'!$AM$7+'TUSD BF_350'!$AM$7+'TUSD CVA'!$AM$7)*1</f>
        <v>114.48039155571371</v>
      </c>
      <c r="AA8" s="6"/>
      <c r="AB8" s="6">
        <f>$K$8*$V$8</f>
        <v>13463.45505936</v>
      </c>
      <c r="AC8" s="6">
        <f>$M$8*$W$8</f>
        <v>0</v>
      </c>
      <c r="AD8" s="6">
        <f>$O$8*$X$8</f>
        <v>0</v>
      </c>
      <c r="AE8" s="6">
        <f ca="1">$K$8*$Y$8</f>
        <v>17693.801301341424</v>
      </c>
      <c r="AF8" s="6">
        <f ca="1">$M$8*$Z$8</f>
        <v>0</v>
      </c>
      <c r="AG8" s="6">
        <f>$O$8*$AA$8</f>
        <v>0</v>
      </c>
      <c r="AI8" s="60" t="s">
        <v>80</v>
      </c>
      <c r="AJ8" s="61">
        <f>+$AJ$3+$AJ$4+$AJ$5+$AJ$6</f>
        <v>11779398.598607995</v>
      </c>
      <c r="AK8" s="61">
        <f ca="1">+$AK$3+$AK$4+$AK$5+$AK$6</f>
        <v>13298050.773324324</v>
      </c>
      <c r="AL8" s="62">
        <f t="shared" ca="1" si="0"/>
        <v>0.12892442360306866</v>
      </c>
      <c r="AN8" s="60" t="s">
        <v>80</v>
      </c>
      <c r="AO8" s="61">
        <f>+$AO$3+$AO$4+$AO$5+$AO$6</f>
        <v>8588489.2248819992</v>
      </c>
      <c r="AP8" s="61">
        <f ca="1">+$AP$3+$AP$4+$AP$5+$AP$6</f>
        <v>8094429.9488832531</v>
      </c>
      <c r="AQ8" s="62">
        <f t="shared" ca="1" si="1"/>
        <v>-5.7525749065084786E-2</v>
      </c>
      <c r="AS8" s="60" t="s">
        <v>80</v>
      </c>
      <c r="AT8" s="61">
        <f>+$AT$3+$AT$4+$AT$5+$AT$6</f>
        <v>20367887.823489998</v>
      </c>
      <c r="AU8" s="61">
        <f ca="1">+$AU$3+$AU$4+$AU$5+$AU$6</f>
        <v>21392480.722207576</v>
      </c>
      <c r="AV8" s="62">
        <f t="shared" ca="1" si="2"/>
        <v>5.0304327458831066E-2</v>
      </c>
    </row>
    <row r="9" spans="1:48" ht="11.25" customHeight="1" x14ac:dyDescent="0.25">
      <c r="A9" s="4" t="s">
        <v>21</v>
      </c>
      <c r="B9" s="4" t="s">
        <v>34</v>
      </c>
      <c r="C9" s="4" t="s">
        <v>51</v>
      </c>
      <c r="D9" s="4" t="s">
        <v>33</v>
      </c>
      <c r="E9" s="4" t="s">
        <v>25</v>
      </c>
      <c r="F9" s="4" t="s">
        <v>52</v>
      </c>
      <c r="G9" s="4" t="s">
        <v>25</v>
      </c>
      <c r="H9" s="4" t="s">
        <v>37</v>
      </c>
      <c r="I9" s="5">
        <v>44593</v>
      </c>
      <c r="J9" s="6">
        <v>1800</v>
      </c>
      <c r="K9" s="6">
        <v>900.80544599999996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53</v>
      </c>
      <c r="R9" s="4">
        <v>0</v>
      </c>
      <c r="S9" s="6">
        <v>2</v>
      </c>
      <c r="T9" s="6">
        <v>0</v>
      </c>
      <c r="U9" s="6">
        <v>0</v>
      </c>
      <c r="V9" s="6">
        <f>IF(ISERROR(VLOOKUP($S$9,'TAR FIN'!$A$1:$O$85,15,0)),0,VLOOKUP($S$9,'TAR FIN'!$A$1:$O$85,15,0))</f>
        <v>14.94</v>
      </c>
      <c r="W9" s="6">
        <f>IF(ISERROR(VLOOKUP($T$9,'TAR FIN'!$A$1:$O$85,15,0)),0,VLOOKUP($T$9,'TAR FIN'!$A$1:$O$85,15,0))</f>
        <v>0</v>
      </c>
      <c r="X9" s="6">
        <f>IF(ISERROR(VLOOKUP($U$9,'TAR FIN'!$A$1:$O$85,15,0)),0,VLOOKUP($U$9,'TAR FIN'!$A$1:$O$85,15,0))</f>
        <v>0</v>
      </c>
      <c r="Y9" s="6">
        <f ca="1">('TUSD BE'!$AM$6+'TUSD BF_350'!$AM$6+'TUSD CVA'!$AM$6)*1</f>
        <v>19.63429077280307</v>
      </c>
      <c r="Z9" s="6">
        <f ca="1">('TUSD BE'!$AM$7+'TUSD BF_350'!$AM$7+'TUSD CVA'!$AM$7)*1</f>
        <v>114.48039155571371</v>
      </c>
      <c r="AA9" s="6"/>
      <c r="AB9" s="6">
        <f>$K$9*$V$9</f>
        <v>13458.03336324</v>
      </c>
      <c r="AC9" s="6">
        <f>$M$9*$W$9</f>
        <v>0</v>
      </c>
      <c r="AD9" s="6">
        <f>$O$9*$X$9</f>
        <v>0</v>
      </c>
      <c r="AE9" s="6">
        <f ca="1">$K$9*$Y$9</f>
        <v>17686.676056488552</v>
      </c>
      <c r="AF9" s="6">
        <f ca="1">$M$9*$Z$9</f>
        <v>0</v>
      </c>
      <c r="AG9" s="6">
        <f>$O$9*$AA$9</f>
        <v>0</v>
      </c>
      <c r="AI9" s="60" t="s">
        <v>583</v>
      </c>
      <c r="AJ9" s="61">
        <f>AJ8+AJ7</f>
        <v>18491258.535863258</v>
      </c>
      <c r="AK9" s="61">
        <f ca="1">AK8+AK7</f>
        <v>21742811.997173507</v>
      </c>
      <c r="AL9" s="62">
        <f t="shared" ca="1" si="0"/>
        <v>0.17584273428463271</v>
      </c>
      <c r="AN9" s="60" t="s">
        <v>583</v>
      </c>
      <c r="AO9" s="61">
        <f>AO8+AO7</f>
        <v>14763114.957809202</v>
      </c>
      <c r="AP9" s="61">
        <f ca="1">AP8+AP7</f>
        <v>13903802.668435819</v>
      </c>
      <c r="AQ9" s="62">
        <f t="shared" ca="1" si="1"/>
        <v>-5.8206705822529292E-2</v>
      </c>
      <c r="AS9" s="60" t="s">
        <v>583</v>
      </c>
      <c r="AT9" s="61">
        <f>AT8+AT7</f>
        <v>33254373.49367246</v>
      </c>
      <c r="AU9" s="61">
        <f ca="1">AU8+AU7</f>
        <v>35646614.665609322</v>
      </c>
      <c r="AV9" s="62">
        <f t="shared" ca="1" si="2"/>
        <v>7.1937640695352467E-2</v>
      </c>
    </row>
    <row r="10" spans="1:48" ht="11.25" customHeight="1" x14ac:dyDescent="0.25">
      <c r="A10" s="4" t="s">
        <v>21</v>
      </c>
      <c r="B10" s="4" t="s">
        <v>34</v>
      </c>
      <c r="C10" s="4" t="s">
        <v>51</v>
      </c>
      <c r="D10" s="4" t="s">
        <v>33</v>
      </c>
      <c r="E10" s="4" t="s">
        <v>25</v>
      </c>
      <c r="F10" s="4" t="s">
        <v>52</v>
      </c>
      <c r="G10" s="4" t="s">
        <v>25</v>
      </c>
      <c r="H10" s="4" t="s">
        <v>37</v>
      </c>
      <c r="I10" s="5">
        <v>44621</v>
      </c>
      <c r="J10" s="6">
        <v>1800</v>
      </c>
      <c r="K10" s="6">
        <v>901.23863400000005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53</v>
      </c>
      <c r="R10" s="4">
        <v>0</v>
      </c>
      <c r="S10" s="6">
        <v>2</v>
      </c>
      <c r="T10" s="6">
        <v>0</v>
      </c>
      <c r="U10" s="6">
        <v>0</v>
      </c>
      <c r="V10" s="6">
        <f>IF(ISERROR(VLOOKUP($S$10,'TAR FIN'!$A$1:$O$85,15,0)),0,VLOOKUP($S$10,'TAR FIN'!$A$1:$O$85,15,0))</f>
        <v>14.94</v>
      </c>
      <c r="W10" s="6">
        <f>IF(ISERROR(VLOOKUP($T$10,'TAR FIN'!$A$1:$O$85,15,0)),0,VLOOKUP($T$10,'TAR FIN'!$A$1:$O$85,15,0))</f>
        <v>0</v>
      </c>
      <c r="X10" s="6">
        <f>IF(ISERROR(VLOOKUP($U$10,'TAR FIN'!$A$1:$O$85,15,0)),0,VLOOKUP($U$10,'TAR FIN'!$A$1:$O$85,15,0))</f>
        <v>0</v>
      </c>
      <c r="Y10" s="6">
        <f ca="1">('TUSD BE'!$AM$6+'TUSD BF_350'!$AM$6+'TUSD CVA'!$AM$6)*1</f>
        <v>19.63429077280307</v>
      </c>
      <c r="Z10" s="6">
        <f ca="1">('TUSD BE'!$AM$7+'TUSD BF_350'!$AM$7+'TUSD CVA'!$AM$7)*1</f>
        <v>114.48039155571371</v>
      </c>
      <c r="AA10" s="6"/>
      <c r="AB10" s="6">
        <f>$K$10*$V$10</f>
        <v>13464.505191960001</v>
      </c>
      <c r="AC10" s="6">
        <f>$M$10*$W$10</f>
        <v>0</v>
      </c>
      <c r="AD10" s="6">
        <f>$O$10*$X$10</f>
        <v>0</v>
      </c>
      <c r="AE10" s="6">
        <f ca="1">$K$10*$Y$10</f>
        <v>17695.181395639844</v>
      </c>
      <c r="AF10" s="6">
        <f ca="1">$M$10*$Z$10</f>
        <v>0</v>
      </c>
      <c r="AG10" s="6">
        <f>$O$10*$AA$10</f>
        <v>0</v>
      </c>
    </row>
    <row r="11" spans="1:48" ht="11.25" customHeight="1" x14ac:dyDescent="0.25">
      <c r="A11" s="4" t="s">
        <v>21</v>
      </c>
      <c r="B11" s="4" t="s">
        <v>34</v>
      </c>
      <c r="C11" s="4" t="s">
        <v>51</v>
      </c>
      <c r="D11" s="4" t="s">
        <v>33</v>
      </c>
      <c r="E11" s="4" t="s">
        <v>25</v>
      </c>
      <c r="F11" s="4" t="s">
        <v>52</v>
      </c>
      <c r="G11" s="4" t="s">
        <v>25</v>
      </c>
      <c r="H11" s="4" t="s">
        <v>37</v>
      </c>
      <c r="I11" s="5">
        <v>44652</v>
      </c>
      <c r="J11" s="6">
        <v>1800</v>
      </c>
      <c r="K11" s="6">
        <v>901.65754800000002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53</v>
      </c>
      <c r="R11" s="4">
        <v>0</v>
      </c>
      <c r="S11" s="6">
        <v>2</v>
      </c>
      <c r="T11" s="6">
        <v>0</v>
      </c>
      <c r="U11" s="6">
        <v>0</v>
      </c>
      <c r="V11" s="6">
        <f>IF(ISERROR(VLOOKUP($S$11,'TAR FIN'!$A$1:$O$85,15,0)),0,VLOOKUP($S$11,'TAR FIN'!$A$1:$O$85,15,0))</f>
        <v>14.94</v>
      </c>
      <c r="W11" s="6">
        <f>IF(ISERROR(VLOOKUP($T$11,'TAR FIN'!$A$1:$O$85,15,0)),0,VLOOKUP($T$11,'TAR FIN'!$A$1:$O$85,15,0))</f>
        <v>0</v>
      </c>
      <c r="X11" s="6">
        <f>IF(ISERROR(VLOOKUP($U$11,'TAR FIN'!$A$1:$O$85,15,0)),0,VLOOKUP($U$11,'TAR FIN'!$A$1:$O$85,15,0))</f>
        <v>0</v>
      </c>
      <c r="Y11" s="6">
        <f ca="1">('TUSD BE'!$AM$6+'TUSD BF_350'!$AM$6+'TUSD CVA'!$AM$6)*1</f>
        <v>19.63429077280307</v>
      </c>
      <c r="Z11" s="6">
        <f ca="1">('TUSD BE'!$AM$7+'TUSD BF_350'!$AM$7+'TUSD CVA'!$AM$7)*1</f>
        <v>114.48039155571371</v>
      </c>
      <c r="AA11" s="6"/>
      <c r="AB11" s="6">
        <f>$K$11*$V$11</f>
        <v>13470.763767119999</v>
      </c>
      <c r="AC11" s="6">
        <f>$M$11*$W$11</f>
        <v>0</v>
      </c>
      <c r="AD11" s="6">
        <f>$O$11*$X$11</f>
        <v>0</v>
      </c>
      <c r="AE11" s="6">
        <f ca="1">$K$11*$Y$11</f>
        <v>17703.406474924643</v>
      </c>
      <c r="AF11" s="6">
        <f ca="1">$M$11*$Z$11</f>
        <v>0</v>
      </c>
      <c r="AG11" s="6">
        <f>$O$11*$AA$11</f>
        <v>0</v>
      </c>
    </row>
    <row r="12" spans="1:48" ht="11.25" customHeight="1" x14ac:dyDescent="0.25">
      <c r="A12" s="4" t="s">
        <v>21</v>
      </c>
      <c r="B12" s="4" t="s">
        <v>34</v>
      </c>
      <c r="C12" s="4" t="s">
        <v>51</v>
      </c>
      <c r="D12" s="4" t="s">
        <v>33</v>
      </c>
      <c r="E12" s="4" t="s">
        <v>25</v>
      </c>
      <c r="F12" s="4" t="s">
        <v>52</v>
      </c>
      <c r="G12" s="4" t="s">
        <v>25</v>
      </c>
      <c r="H12" s="4" t="s">
        <v>37</v>
      </c>
      <c r="I12" s="5">
        <v>44682</v>
      </c>
      <c r="J12" s="6">
        <v>1800</v>
      </c>
      <c r="K12" s="6">
        <v>990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53</v>
      </c>
      <c r="R12" s="4">
        <v>0</v>
      </c>
      <c r="S12" s="6">
        <v>2</v>
      </c>
      <c r="T12" s="6">
        <v>0</v>
      </c>
      <c r="U12" s="6">
        <v>0</v>
      </c>
      <c r="V12" s="6">
        <f>IF(ISERROR(VLOOKUP($S$12,'TAR FIN'!$A$1:$O$85,15,0)),0,VLOOKUP($S$12,'TAR FIN'!$A$1:$O$85,15,0))</f>
        <v>14.94</v>
      </c>
      <c r="W12" s="6">
        <f>IF(ISERROR(VLOOKUP($T$12,'TAR FIN'!$A$1:$O$85,15,0)),0,VLOOKUP($T$12,'TAR FIN'!$A$1:$O$85,15,0))</f>
        <v>0</v>
      </c>
      <c r="X12" s="6">
        <f>IF(ISERROR(VLOOKUP($U$12,'TAR FIN'!$A$1:$O$85,15,0)),0,VLOOKUP($U$12,'TAR FIN'!$A$1:$O$85,15,0))</f>
        <v>0</v>
      </c>
      <c r="Y12" s="6">
        <f ca="1">('TUSD BE'!$AM$6+'TUSD BF_350'!$AM$6+'TUSD CVA'!$AM$6)*1</f>
        <v>19.63429077280307</v>
      </c>
      <c r="Z12" s="6">
        <f ca="1">('TUSD BE'!$AM$7+'TUSD BF_350'!$AM$7+'TUSD CVA'!$AM$7)*1</f>
        <v>114.48039155571371</v>
      </c>
      <c r="AA12" s="6"/>
      <c r="AB12" s="6">
        <f>$K$12*$V$12</f>
        <v>14790.6</v>
      </c>
      <c r="AC12" s="6">
        <f>$M$12*$W$12</f>
        <v>0</v>
      </c>
      <c r="AD12" s="6">
        <f>$O$12*$X$12</f>
        <v>0</v>
      </c>
      <c r="AE12" s="6">
        <f ca="1">$K$12*$Y$12</f>
        <v>19437.947865075039</v>
      </c>
      <c r="AF12" s="6">
        <f ca="1">$M$12*$Z$12</f>
        <v>0</v>
      </c>
      <c r="AG12" s="6">
        <f>$O$12*$AA$12</f>
        <v>0</v>
      </c>
    </row>
    <row r="13" spans="1:48" ht="11.25" customHeight="1" x14ac:dyDescent="0.25">
      <c r="A13" s="4" t="s">
        <v>21</v>
      </c>
      <c r="B13" s="4" t="s">
        <v>34</v>
      </c>
      <c r="C13" s="4" t="s">
        <v>51</v>
      </c>
      <c r="D13" s="4" t="s">
        <v>33</v>
      </c>
      <c r="E13" s="4" t="s">
        <v>25</v>
      </c>
      <c r="F13" s="4" t="s">
        <v>52</v>
      </c>
      <c r="G13" s="4" t="s">
        <v>25</v>
      </c>
      <c r="H13" s="4" t="s">
        <v>37</v>
      </c>
      <c r="I13" s="5">
        <v>44713</v>
      </c>
      <c r="J13" s="6">
        <v>1800</v>
      </c>
      <c r="K13" s="6">
        <v>990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53</v>
      </c>
      <c r="R13" s="4">
        <v>0</v>
      </c>
      <c r="S13" s="6">
        <v>2</v>
      </c>
      <c r="T13" s="6">
        <v>0</v>
      </c>
      <c r="U13" s="6">
        <v>0</v>
      </c>
      <c r="V13" s="6">
        <f>IF(ISERROR(VLOOKUP($S$13,'TAR FIN'!$A$1:$O$85,15,0)),0,VLOOKUP($S$13,'TAR FIN'!$A$1:$O$85,15,0))</f>
        <v>14.94</v>
      </c>
      <c r="W13" s="6">
        <f>IF(ISERROR(VLOOKUP($T$13,'TAR FIN'!$A$1:$O$85,15,0)),0,VLOOKUP($T$13,'TAR FIN'!$A$1:$O$85,15,0))</f>
        <v>0</v>
      </c>
      <c r="X13" s="6">
        <f>IF(ISERROR(VLOOKUP($U$13,'TAR FIN'!$A$1:$O$85,15,0)),0,VLOOKUP($U$13,'TAR FIN'!$A$1:$O$85,15,0))</f>
        <v>0</v>
      </c>
      <c r="Y13" s="6">
        <f ca="1">('TUSD BE'!$AM$6+'TUSD BF_350'!$AM$6+'TUSD CVA'!$AM$6)*1</f>
        <v>19.63429077280307</v>
      </c>
      <c r="Z13" s="6">
        <f ca="1">('TUSD BE'!$AM$7+'TUSD BF_350'!$AM$7+'TUSD CVA'!$AM$7)*1</f>
        <v>114.48039155571371</v>
      </c>
      <c r="AA13" s="6"/>
      <c r="AB13" s="6">
        <f>$K$13*$V$13</f>
        <v>14790.6</v>
      </c>
      <c r="AC13" s="6">
        <f>$M$13*$W$13</f>
        <v>0</v>
      </c>
      <c r="AD13" s="6">
        <f>$O$13*$X$13</f>
        <v>0</v>
      </c>
      <c r="AE13" s="6">
        <f ca="1">$K$13*$Y$13</f>
        <v>19437.947865075039</v>
      </c>
      <c r="AF13" s="6">
        <f ca="1">$M$13*$Z$13</f>
        <v>0</v>
      </c>
      <c r="AG13" s="6">
        <f>$O$13*$AA$13</f>
        <v>0</v>
      </c>
    </row>
    <row r="14" spans="1:48" ht="11.25" customHeight="1" x14ac:dyDescent="0.25">
      <c r="A14" s="4" t="s">
        <v>21</v>
      </c>
      <c r="B14" s="4" t="s">
        <v>34</v>
      </c>
      <c r="C14" s="4" t="s">
        <v>51</v>
      </c>
      <c r="D14" s="4" t="s">
        <v>33</v>
      </c>
      <c r="E14" s="4" t="s">
        <v>25</v>
      </c>
      <c r="F14" s="4" t="s">
        <v>52</v>
      </c>
      <c r="G14" s="4" t="s">
        <v>25</v>
      </c>
      <c r="H14" s="4" t="s">
        <v>25</v>
      </c>
      <c r="I14" s="5">
        <v>44378</v>
      </c>
      <c r="J14" s="6">
        <v>0</v>
      </c>
      <c r="K14" s="6">
        <v>0</v>
      </c>
      <c r="L14" s="6">
        <v>816.21</v>
      </c>
      <c r="M14" s="6">
        <v>816.21</v>
      </c>
      <c r="N14" s="6">
        <v>0</v>
      </c>
      <c r="O14" s="6">
        <v>0</v>
      </c>
      <c r="P14" s="6">
        <v>1</v>
      </c>
      <c r="Q14" s="4" t="s">
        <v>53</v>
      </c>
      <c r="R14" s="4">
        <v>0</v>
      </c>
      <c r="S14" s="6">
        <v>0</v>
      </c>
      <c r="T14" s="6">
        <v>19</v>
      </c>
      <c r="U14" s="6">
        <v>0</v>
      </c>
      <c r="V14" s="6">
        <f>IF(ISERROR(VLOOKUP($S$14,'TAR FIN'!$A$1:$O$85,15,0)),0,VLOOKUP($S$14,'TAR FIN'!$A$1:$O$85,15,0))</f>
        <v>0</v>
      </c>
      <c r="W14" s="6">
        <f>IF(ISERROR(VLOOKUP($T$14,'TAR FIN'!$A$1:$O$85,15,0)),0,VLOOKUP($T$14,'TAR FIN'!$A$1:$O$85,15,0))</f>
        <v>78.650000000000006</v>
      </c>
      <c r="X14" s="6">
        <f>IF(ISERROR(VLOOKUP($U$14,'TAR FIN'!$A$1:$O$85,15,0)),0,VLOOKUP($U$14,'TAR FIN'!$A$1:$O$85,15,0))</f>
        <v>0</v>
      </c>
      <c r="Y14" s="6"/>
      <c r="Z14" s="6">
        <f ca="1">('TUSD BE'!$AM$7+'TUSD BF_350'!$AM$7+'TUSD CVA'!$AM$7)*1</f>
        <v>114.48039155571371</v>
      </c>
      <c r="AA14" s="6"/>
      <c r="AB14" s="6">
        <f>$K$14*$V$14</f>
        <v>0</v>
      </c>
      <c r="AC14" s="6">
        <f>$M$14*$W$14</f>
        <v>64194.916500000007</v>
      </c>
      <c r="AD14" s="6">
        <f>$O$14*$X$14</f>
        <v>0</v>
      </c>
      <c r="AE14" s="6">
        <f>$K$14*$Y$14</f>
        <v>0</v>
      </c>
      <c r="AF14" s="6">
        <f ca="1">$M$14*$Z$14</f>
        <v>93440.040391689094</v>
      </c>
      <c r="AG14" s="6">
        <f>$O$14*$AA$14</f>
        <v>0</v>
      </c>
    </row>
    <row r="15" spans="1:48" ht="11.25" customHeight="1" x14ac:dyDescent="0.25">
      <c r="A15" s="4" t="s">
        <v>21</v>
      </c>
      <c r="B15" s="4" t="s">
        <v>34</v>
      </c>
      <c r="C15" s="4" t="s">
        <v>51</v>
      </c>
      <c r="D15" s="4" t="s">
        <v>33</v>
      </c>
      <c r="E15" s="4" t="s">
        <v>25</v>
      </c>
      <c r="F15" s="4" t="s">
        <v>52</v>
      </c>
      <c r="G15" s="4" t="s">
        <v>25</v>
      </c>
      <c r="H15" s="4" t="s">
        <v>25</v>
      </c>
      <c r="I15" s="5">
        <v>44409</v>
      </c>
      <c r="J15" s="6">
        <v>0</v>
      </c>
      <c r="K15" s="6">
        <v>0</v>
      </c>
      <c r="L15" s="6">
        <v>769.80899999999997</v>
      </c>
      <c r="M15" s="6">
        <v>769.80899999999997</v>
      </c>
      <c r="N15" s="6">
        <v>0</v>
      </c>
      <c r="O15" s="6">
        <v>0</v>
      </c>
      <c r="P15" s="6">
        <v>1</v>
      </c>
      <c r="Q15" s="4" t="s">
        <v>53</v>
      </c>
      <c r="R15" s="4">
        <v>0</v>
      </c>
      <c r="S15" s="6">
        <v>0</v>
      </c>
      <c r="T15" s="6">
        <v>19</v>
      </c>
      <c r="U15" s="6">
        <v>0</v>
      </c>
      <c r="V15" s="6">
        <f>IF(ISERROR(VLOOKUP($S$15,'TAR FIN'!$A$1:$O$85,15,0)),0,VLOOKUP($S$15,'TAR FIN'!$A$1:$O$85,15,0))</f>
        <v>0</v>
      </c>
      <c r="W15" s="6">
        <f>IF(ISERROR(VLOOKUP($T$15,'TAR FIN'!$A$1:$O$85,15,0)),0,VLOOKUP($T$15,'TAR FIN'!$A$1:$O$85,15,0))</f>
        <v>78.650000000000006</v>
      </c>
      <c r="X15" s="6">
        <f>IF(ISERROR(VLOOKUP($U$15,'TAR FIN'!$A$1:$O$85,15,0)),0,VLOOKUP($U$15,'TAR FIN'!$A$1:$O$85,15,0))</f>
        <v>0</v>
      </c>
      <c r="Y15" s="6"/>
      <c r="Z15" s="6">
        <f ca="1">('TUSD BE'!$AM$7+'TUSD BF_350'!$AM$7+'TUSD CVA'!$AM$7)*1</f>
        <v>114.48039155571371</v>
      </c>
      <c r="AA15" s="6"/>
      <c r="AB15" s="6">
        <f>$K$15*$V$15</f>
        <v>0</v>
      </c>
      <c r="AC15" s="6">
        <f>$M$15*$W$15</f>
        <v>60545.477850000003</v>
      </c>
      <c r="AD15" s="6">
        <f>$O$15*$X$15</f>
        <v>0</v>
      </c>
      <c r="AE15" s="6">
        <f>$K$15*$Y$15</f>
        <v>0</v>
      </c>
      <c r="AF15" s="6">
        <f ca="1">$M$15*$Z$15</f>
        <v>88128.035743112414</v>
      </c>
      <c r="AG15" s="6">
        <f>$O$15*$AA$15</f>
        <v>0</v>
      </c>
    </row>
    <row r="16" spans="1:48" ht="11.25" customHeight="1" x14ac:dyDescent="0.25">
      <c r="A16" s="4" t="s">
        <v>21</v>
      </c>
      <c r="B16" s="4" t="s">
        <v>34</v>
      </c>
      <c r="C16" s="4" t="s">
        <v>51</v>
      </c>
      <c r="D16" s="4" t="s">
        <v>33</v>
      </c>
      <c r="E16" s="4" t="s">
        <v>25</v>
      </c>
      <c r="F16" s="4" t="s">
        <v>52</v>
      </c>
      <c r="G16" s="4" t="s">
        <v>25</v>
      </c>
      <c r="H16" s="4" t="s">
        <v>25</v>
      </c>
      <c r="I16" s="5">
        <v>44440</v>
      </c>
      <c r="J16" s="6">
        <v>0</v>
      </c>
      <c r="K16" s="6">
        <v>0</v>
      </c>
      <c r="L16" s="6">
        <v>736.49300000000005</v>
      </c>
      <c r="M16" s="6">
        <v>736.49300000000005</v>
      </c>
      <c r="N16" s="6">
        <v>0</v>
      </c>
      <c r="O16" s="6">
        <v>0</v>
      </c>
      <c r="P16" s="6">
        <v>1</v>
      </c>
      <c r="Q16" s="4" t="s">
        <v>53</v>
      </c>
      <c r="R16" s="4">
        <v>0</v>
      </c>
      <c r="S16" s="6">
        <v>0</v>
      </c>
      <c r="T16" s="6">
        <v>19</v>
      </c>
      <c r="U16" s="6">
        <v>0</v>
      </c>
      <c r="V16" s="6">
        <f>IF(ISERROR(VLOOKUP($S$16,'TAR FIN'!$A$1:$O$85,15,0)),0,VLOOKUP($S$16,'TAR FIN'!$A$1:$O$85,15,0))</f>
        <v>0</v>
      </c>
      <c r="W16" s="6">
        <f>IF(ISERROR(VLOOKUP($T$16,'TAR FIN'!$A$1:$O$85,15,0)),0,VLOOKUP($T$16,'TAR FIN'!$A$1:$O$85,15,0))</f>
        <v>78.650000000000006</v>
      </c>
      <c r="X16" s="6">
        <f>IF(ISERROR(VLOOKUP($U$16,'TAR FIN'!$A$1:$O$85,15,0)),0,VLOOKUP($U$16,'TAR FIN'!$A$1:$O$85,15,0))</f>
        <v>0</v>
      </c>
      <c r="Y16" s="6"/>
      <c r="Z16" s="6">
        <f ca="1">('TUSD BE'!$AM$7+'TUSD BF_350'!$AM$7+'TUSD CVA'!$AM$7)*1</f>
        <v>114.48039155571371</v>
      </c>
      <c r="AA16" s="6"/>
      <c r="AB16" s="6">
        <f>$K$16*$V$16</f>
        <v>0</v>
      </c>
      <c r="AC16" s="6">
        <f>$M$16*$W$16</f>
        <v>57925.174450000006</v>
      </c>
      <c r="AD16" s="6">
        <f>$O$16*$X$16</f>
        <v>0</v>
      </c>
      <c r="AE16" s="6">
        <f>$K$16*$Y$16</f>
        <v>0</v>
      </c>
      <c r="AF16" s="6">
        <f ca="1">$M$16*$Z$16</f>
        <v>84314.007018042263</v>
      </c>
      <c r="AG16" s="6">
        <f>$O$16*$AA$16</f>
        <v>0</v>
      </c>
    </row>
    <row r="17" spans="1:33" ht="11.25" customHeight="1" x14ac:dyDescent="0.25">
      <c r="A17" s="4" t="s">
        <v>21</v>
      </c>
      <c r="B17" s="4" t="s">
        <v>34</v>
      </c>
      <c r="C17" s="4" t="s">
        <v>51</v>
      </c>
      <c r="D17" s="4" t="s">
        <v>33</v>
      </c>
      <c r="E17" s="4" t="s">
        <v>25</v>
      </c>
      <c r="F17" s="4" t="s">
        <v>52</v>
      </c>
      <c r="G17" s="4" t="s">
        <v>25</v>
      </c>
      <c r="H17" s="4" t="s">
        <v>25</v>
      </c>
      <c r="I17" s="5">
        <v>44470</v>
      </c>
      <c r="J17" s="6">
        <v>0</v>
      </c>
      <c r="K17" s="6">
        <v>0</v>
      </c>
      <c r="L17" s="6">
        <v>814.29600000000005</v>
      </c>
      <c r="M17" s="6">
        <v>814.29600000000005</v>
      </c>
      <c r="N17" s="6">
        <v>0</v>
      </c>
      <c r="O17" s="6">
        <v>0</v>
      </c>
      <c r="P17" s="6">
        <v>1</v>
      </c>
      <c r="Q17" s="4" t="s">
        <v>53</v>
      </c>
      <c r="R17" s="4">
        <v>0</v>
      </c>
      <c r="S17" s="6">
        <v>0</v>
      </c>
      <c r="T17" s="6">
        <v>19</v>
      </c>
      <c r="U17" s="6">
        <v>0</v>
      </c>
      <c r="V17" s="6">
        <f>IF(ISERROR(VLOOKUP($S$17,'TAR FIN'!$A$1:$O$85,15,0)),0,VLOOKUP($S$17,'TAR FIN'!$A$1:$O$85,15,0))</f>
        <v>0</v>
      </c>
      <c r="W17" s="6">
        <f>IF(ISERROR(VLOOKUP($T$17,'TAR FIN'!$A$1:$O$85,15,0)),0,VLOOKUP($T$17,'TAR FIN'!$A$1:$O$85,15,0))</f>
        <v>78.650000000000006</v>
      </c>
      <c r="X17" s="6">
        <f>IF(ISERROR(VLOOKUP($U$17,'TAR FIN'!$A$1:$O$85,15,0)),0,VLOOKUP($U$17,'TAR FIN'!$A$1:$O$85,15,0))</f>
        <v>0</v>
      </c>
      <c r="Y17" s="6"/>
      <c r="Z17" s="6">
        <f ca="1">('TUSD BE'!$AM$7+'TUSD BF_350'!$AM$7+'TUSD CVA'!$AM$7)*1</f>
        <v>114.48039155571371</v>
      </c>
      <c r="AA17" s="6"/>
      <c r="AB17" s="6">
        <f>$K$17*$V$17</f>
        <v>0</v>
      </c>
      <c r="AC17" s="6">
        <f>$M$17*$W$17</f>
        <v>64044.380400000009</v>
      </c>
      <c r="AD17" s="6">
        <f>$O$17*$X$17</f>
        <v>0</v>
      </c>
      <c r="AE17" s="6">
        <f>$K$17*$Y$17</f>
        <v>0</v>
      </c>
      <c r="AF17" s="6">
        <f ca="1">$M$17*$Z$17</f>
        <v>93220.924922251463</v>
      </c>
      <c r="AG17" s="6">
        <f>$O$17*$AA$17</f>
        <v>0</v>
      </c>
    </row>
    <row r="18" spans="1:33" ht="11.25" customHeight="1" x14ac:dyDescent="0.25">
      <c r="A18" s="4" t="s">
        <v>21</v>
      </c>
      <c r="B18" s="4" t="s">
        <v>34</v>
      </c>
      <c r="C18" s="4" t="s">
        <v>51</v>
      </c>
      <c r="D18" s="4" t="s">
        <v>33</v>
      </c>
      <c r="E18" s="4" t="s">
        <v>25</v>
      </c>
      <c r="F18" s="4" t="s">
        <v>52</v>
      </c>
      <c r="G18" s="4" t="s">
        <v>25</v>
      </c>
      <c r="H18" s="4" t="s">
        <v>25</v>
      </c>
      <c r="I18" s="5">
        <v>44501</v>
      </c>
      <c r="J18" s="6">
        <v>0</v>
      </c>
      <c r="K18" s="6">
        <v>0</v>
      </c>
      <c r="L18" s="6">
        <v>772.84299999999996</v>
      </c>
      <c r="M18" s="6">
        <v>772.84299999999996</v>
      </c>
      <c r="N18" s="6">
        <v>0</v>
      </c>
      <c r="O18" s="6">
        <v>0</v>
      </c>
      <c r="P18" s="6">
        <v>1</v>
      </c>
      <c r="Q18" s="4" t="s">
        <v>53</v>
      </c>
      <c r="R18" s="4">
        <v>0</v>
      </c>
      <c r="S18" s="6">
        <v>0</v>
      </c>
      <c r="T18" s="6">
        <v>19</v>
      </c>
      <c r="U18" s="6">
        <v>0</v>
      </c>
      <c r="V18" s="6">
        <f>IF(ISERROR(VLOOKUP($S$18,'TAR FIN'!$A$1:$O$85,15,0)),0,VLOOKUP($S$18,'TAR FIN'!$A$1:$O$85,15,0))</f>
        <v>0</v>
      </c>
      <c r="W18" s="6">
        <f>IF(ISERROR(VLOOKUP($T$18,'TAR FIN'!$A$1:$O$85,15,0)),0,VLOOKUP($T$18,'TAR FIN'!$A$1:$O$85,15,0))</f>
        <v>78.650000000000006</v>
      </c>
      <c r="X18" s="6">
        <f>IF(ISERROR(VLOOKUP($U$18,'TAR FIN'!$A$1:$O$85,15,0)),0,VLOOKUP($U$18,'TAR FIN'!$A$1:$O$85,15,0))</f>
        <v>0</v>
      </c>
      <c r="Y18" s="6"/>
      <c r="Z18" s="6">
        <f ca="1">('TUSD BE'!$AM$7+'TUSD BF_350'!$AM$7+'TUSD CVA'!$AM$7)*1</f>
        <v>114.48039155571371</v>
      </c>
      <c r="AA18" s="6"/>
      <c r="AB18" s="6">
        <f>$K$18*$V$18</f>
        <v>0</v>
      </c>
      <c r="AC18" s="6">
        <f>$M$18*$W$18</f>
        <v>60784.101950000004</v>
      </c>
      <c r="AD18" s="6">
        <f>$O$18*$X$18</f>
        <v>0</v>
      </c>
      <c r="AE18" s="6">
        <f>$K$18*$Y$18</f>
        <v>0</v>
      </c>
      <c r="AF18" s="6">
        <f ca="1">$M$18*$Z$18</f>
        <v>88475.369251092445</v>
      </c>
      <c r="AG18" s="6">
        <f>$O$18*$AA$18</f>
        <v>0</v>
      </c>
    </row>
    <row r="19" spans="1:33" ht="11.25" customHeight="1" x14ac:dyDescent="0.25">
      <c r="A19" s="4" t="s">
        <v>21</v>
      </c>
      <c r="B19" s="4" t="s">
        <v>34</v>
      </c>
      <c r="C19" s="4" t="s">
        <v>51</v>
      </c>
      <c r="D19" s="4" t="s">
        <v>33</v>
      </c>
      <c r="E19" s="4" t="s">
        <v>25</v>
      </c>
      <c r="F19" s="4" t="s">
        <v>52</v>
      </c>
      <c r="G19" s="4" t="s">
        <v>25</v>
      </c>
      <c r="H19" s="4" t="s">
        <v>25</v>
      </c>
      <c r="I19" s="5">
        <v>44531</v>
      </c>
      <c r="J19" s="6">
        <v>0</v>
      </c>
      <c r="K19" s="6">
        <v>0</v>
      </c>
      <c r="L19" s="6">
        <v>596.46600000000001</v>
      </c>
      <c r="M19" s="6">
        <v>596.46600000000001</v>
      </c>
      <c r="N19" s="6">
        <v>0</v>
      </c>
      <c r="O19" s="6">
        <v>0</v>
      </c>
      <c r="P19" s="6">
        <v>1</v>
      </c>
      <c r="Q19" s="4" t="s">
        <v>53</v>
      </c>
      <c r="R19" s="4">
        <v>0</v>
      </c>
      <c r="S19" s="6">
        <v>0</v>
      </c>
      <c r="T19" s="6">
        <v>19</v>
      </c>
      <c r="U19" s="6">
        <v>0</v>
      </c>
      <c r="V19" s="6">
        <f>IF(ISERROR(VLOOKUP($S$19,'TAR FIN'!$A$1:$O$85,15,0)),0,VLOOKUP($S$19,'TAR FIN'!$A$1:$O$85,15,0))</f>
        <v>0</v>
      </c>
      <c r="W19" s="6">
        <f>IF(ISERROR(VLOOKUP($T$19,'TAR FIN'!$A$1:$O$85,15,0)),0,VLOOKUP($T$19,'TAR FIN'!$A$1:$O$85,15,0))</f>
        <v>78.650000000000006</v>
      </c>
      <c r="X19" s="6">
        <f>IF(ISERROR(VLOOKUP($U$19,'TAR FIN'!$A$1:$O$85,15,0)),0,VLOOKUP($U$19,'TAR FIN'!$A$1:$O$85,15,0))</f>
        <v>0</v>
      </c>
      <c r="Y19" s="6"/>
      <c r="Z19" s="6">
        <f ca="1">('TUSD BE'!$AM$7+'TUSD BF_350'!$AM$7+'TUSD CVA'!$AM$7)*1</f>
        <v>114.48039155571371</v>
      </c>
      <c r="AA19" s="6"/>
      <c r="AB19" s="6">
        <f>$K$19*$V$19</f>
        <v>0</v>
      </c>
      <c r="AC19" s="6">
        <f>$M$19*$W$19</f>
        <v>46912.050900000002</v>
      </c>
      <c r="AD19" s="6">
        <f>$O$19*$X$19</f>
        <v>0</v>
      </c>
      <c r="AE19" s="6">
        <f>$K$19*$Y$19</f>
        <v>0</v>
      </c>
      <c r="AF19" s="6">
        <f ca="1">$M$19*$Z$19</f>
        <v>68283.661229670339</v>
      </c>
      <c r="AG19" s="6">
        <f>$O$19*$AA$19</f>
        <v>0</v>
      </c>
    </row>
    <row r="20" spans="1:33" ht="11.25" customHeight="1" x14ac:dyDescent="0.25">
      <c r="A20" s="4" t="s">
        <v>21</v>
      </c>
      <c r="B20" s="4" t="s">
        <v>34</v>
      </c>
      <c r="C20" s="4" t="s">
        <v>51</v>
      </c>
      <c r="D20" s="4" t="s">
        <v>33</v>
      </c>
      <c r="E20" s="4" t="s">
        <v>25</v>
      </c>
      <c r="F20" s="4" t="s">
        <v>52</v>
      </c>
      <c r="G20" s="4" t="s">
        <v>25</v>
      </c>
      <c r="H20" s="4" t="s">
        <v>25</v>
      </c>
      <c r="I20" s="5">
        <v>44562</v>
      </c>
      <c r="J20" s="6">
        <v>0</v>
      </c>
      <c r="K20" s="6">
        <v>0</v>
      </c>
      <c r="L20" s="6">
        <v>601.54100000000005</v>
      </c>
      <c r="M20" s="6">
        <v>601.54100000000005</v>
      </c>
      <c r="N20" s="6">
        <v>0</v>
      </c>
      <c r="O20" s="6">
        <v>0</v>
      </c>
      <c r="P20" s="6">
        <v>1</v>
      </c>
      <c r="Q20" s="4" t="s">
        <v>53</v>
      </c>
      <c r="R20" s="4">
        <v>0</v>
      </c>
      <c r="S20" s="6">
        <v>0</v>
      </c>
      <c r="T20" s="6">
        <v>19</v>
      </c>
      <c r="U20" s="6">
        <v>0</v>
      </c>
      <c r="V20" s="6">
        <f>IF(ISERROR(VLOOKUP($S$20,'TAR FIN'!$A$1:$O$85,15,0)),0,VLOOKUP($S$20,'TAR FIN'!$A$1:$O$85,15,0))</f>
        <v>0</v>
      </c>
      <c r="W20" s="6">
        <f>IF(ISERROR(VLOOKUP($T$20,'TAR FIN'!$A$1:$O$85,15,0)),0,VLOOKUP($T$20,'TAR FIN'!$A$1:$O$85,15,0))</f>
        <v>78.650000000000006</v>
      </c>
      <c r="X20" s="6">
        <f>IF(ISERROR(VLOOKUP($U$20,'TAR FIN'!$A$1:$O$85,15,0)),0,VLOOKUP($U$20,'TAR FIN'!$A$1:$O$85,15,0))</f>
        <v>0</v>
      </c>
      <c r="Y20" s="6"/>
      <c r="Z20" s="6">
        <f ca="1">('TUSD BE'!$AM$7+'TUSD BF_350'!$AM$7+'TUSD CVA'!$AM$7)*1</f>
        <v>114.48039155571371</v>
      </c>
      <c r="AA20" s="6"/>
      <c r="AB20" s="6">
        <f>$K$20*$V$20</f>
        <v>0</v>
      </c>
      <c r="AC20" s="6">
        <f>$M$20*$W$20</f>
        <v>47311.19965000001</v>
      </c>
      <c r="AD20" s="6">
        <f>$O$20*$X$20</f>
        <v>0</v>
      </c>
      <c r="AE20" s="6">
        <f>$K$20*$Y$20</f>
        <v>0</v>
      </c>
      <c r="AF20" s="6">
        <f ca="1">$M$20*$Z$20</f>
        <v>68864.649216815582</v>
      </c>
      <c r="AG20" s="6">
        <f>$O$20*$AA$20</f>
        <v>0</v>
      </c>
    </row>
    <row r="21" spans="1:33" ht="11.25" customHeight="1" x14ac:dyDescent="0.25">
      <c r="A21" s="4" t="s">
        <v>21</v>
      </c>
      <c r="B21" s="4" t="s">
        <v>34</v>
      </c>
      <c r="C21" s="4" t="s">
        <v>51</v>
      </c>
      <c r="D21" s="4" t="s">
        <v>33</v>
      </c>
      <c r="E21" s="4" t="s">
        <v>25</v>
      </c>
      <c r="F21" s="4" t="s">
        <v>52</v>
      </c>
      <c r="G21" s="4" t="s">
        <v>25</v>
      </c>
      <c r="H21" s="4" t="s">
        <v>25</v>
      </c>
      <c r="I21" s="5">
        <v>44593</v>
      </c>
      <c r="J21" s="6">
        <v>0</v>
      </c>
      <c r="K21" s="6">
        <v>0</v>
      </c>
      <c r="L21" s="6">
        <v>705.21699999999998</v>
      </c>
      <c r="M21" s="6">
        <v>705.21699999999998</v>
      </c>
      <c r="N21" s="6">
        <v>0</v>
      </c>
      <c r="O21" s="6">
        <v>0</v>
      </c>
      <c r="P21" s="6">
        <v>1</v>
      </c>
      <c r="Q21" s="4" t="s">
        <v>53</v>
      </c>
      <c r="R21" s="4">
        <v>0</v>
      </c>
      <c r="S21" s="6">
        <v>0</v>
      </c>
      <c r="T21" s="6">
        <v>19</v>
      </c>
      <c r="U21" s="6">
        <v>0</v>
      </c>
      <c r="V21" s="6">
        <f>IF(ISERROR(VLOOKUP($S$21,'TAR FIN'!$A$1:$O$85,15,0)),0,VLOOKUP($S$21,'TAR FIN'!$A$1:$O$85,15,0))</f>
        <v>0</v>
      </c>
      <c r="W21" s="6">
        <f>IF(ISERROR(VLOOKUP($T$21,'TAR FIN'!$A$1:$O$85,15,0)),0,VLOOKUP($T$21,'TAR FIN'!$A$1:$O$85,15,0))</f>
        <v>78.650000000000006</v>
      </c>
      <c r="X21" s="6">
        <f>IF(ISERROR(VLOOKUP($U$21,'TAR FIN'!$A$1:$O$85,15,0)),0,VLOOKUP($U$21,'TAR FIN'!$A$1:$O$85,15,0))</f>
        <v>0</v>
      </c>
      <c r="Y21" s="6"/>
      <c r="Z21" s="6">
        <f ca="1">('TUSD BE'!$AM$7+'TUSD BF_350'!$AM$7+'TUSD CVA'!$AM$7)*1</f>
        <v>114.48039155571371</v>
      </c>
      <c r="AA21" s="6"/>
      <c r="AB21" s="6">
        <f>$K$21*$V$21</f>
        <v>0</v>
      </c>
      <c r="AC21" s="6">
        <f>$M$21*$W$21</f>
        <v>55465.317050000005</v>
      </c>
      <c r="AD21" s="6">
        <f>$O$21*$X$21</f>
        <v>0</v>
      </c>
      <c r="AE21" s="6">
        <f>$K$21*$Y$21</f>
        <v>0</v>
      </c>
      <c r="AF21" s="6">
        <f ca="1">$M$21*$Z$21</f>
        <v>80733.518291745757</v>
      </c>
      <c r="AG21" s="6">
        <f>$O$21*$AA$21</f>
        <v>0</v>
      </c>
    </row>
    <row r="22" spans="1:33" ht="11.25" customHeight="1" x14ac:dyDescent="0.25">
      <c r="A22" s="4" t="s">
        <v>21</v>
      </c>
      <c r="B22" s="4" t="s">
        <v>34</v>
      </c>
      <c r="C22" s="4" t="s">
        <v>51</v>
      </c>
      <c r="D22" s="4" t="s">
        <v>33</v>
      </c>
      <c r="E22" s="4" t="s">
        <v>25</v>
      </c>
      <c r="F22" s="4" t="s">
        <v>52</v>
      </c>
      <c r="G22" s="4" t="s">
        <v>25</v>
      </c>
      <c r="H22" s="4" t="s">
        <v>25</v>
      </c>
      <c r="I22" s="5">
        <v>44621</v>
      </c>
      <c r="J22" s="6">
        <v>0</v>
      </c>
      <c r="K22" s="6">
        <v>0</v>
      </c>
      <c r="L22" s="6">
        <v>761.19200000000001</v>
      </c>
      <c r="M22" s="6">
        <v>761.19200000000001</v>
      </c>
      <c r="N22" s="6">
        <v>0</v>
      </c>
      <c r="O22" s="6">
        <v>0</v>
      </c>
      <c r="P22" s="6">
        <v>1</v>
      </c>
      <c r="Q22" s="4" t="s">
        <v>53</v>
      </c>
      <c r="R22" s="4">
        <v>0</v>
      </c>
      <c r="S22" s="6">
        <v>0</v>
      </c>
      <c r="T22" s="6">
        <v>19</v>
      </c>
      <c r="U22" s="6">
        <v>0</v>
      </c>
      <c r="V22" s="6">
        <f>IF(ISERROR(VLOOKUP($S$22,'TAR FIN'!$A$1:$O$85,15,0)),0,VLOOKUP($S$22,'TAR FIN'!$A$1:$O$85,15,0))</f>
        <v>0</v>
      </c>
      <c r="W22" s="6">
        <f>IF(ISERROR(VLOOKUP($T$22,'TAR FIN'!$A$1:$O$85,15,0)),0,VLOOKUP($T$22,'TAR FIN'!$A$1:$O$85,15,0))</f>
        <v>78.650000000000006</v>
      </c>
      <c r="X22" s="6">
        <f>IF(ISERROR(VLOOKUP($U$22,'TAR FIN'!$A$1:$O$85,15,0)),0,VLOOKUP($U$22,'TAR FIN'!$A$1:$O$85,15,0))</f>
        <v>0</v>
      </c>
      <c r="Y22" s="6"/>
      <c r="Z22" s="6">
        <f ca="1">('TUSD BE'!$AM$7+'TUSD BF_350'!$AM$7+'TUSD CVA'!$AM$7)*1</f>
        <v>114.48039155571371</v>
      </c>
      <c r="AA22" s="6"/>
      <c r="AB22" s="6">
        <f>$K$22*$V$22</f>
        <v>0</v>
      </c>
      <c r="AC22" s="6">
        <f>$M$22*$W$22</f>
        <v>59867.750800000002</v>
      </c>
      <c r="AD22" s="6">
        <f>$O$22*$X$22</f>
        <v>0</v>
      </c>
      <c r="AE22" s="6">
        <f>$K$22*$Y$22</f>
        <v>0</v>
      </c>
      <c r="AF22" s="6">
        <f ca="1">$M$22*$Z$22</f>
        <v>87141.558209076829</v>
      </c>
      <c r="AG22" s="6">
        <f>$O$22*$AA$22</f>
        <v>0</v>
      </c>
    </row>
    <row r="23" spans="1:33" ht="11.25" customHeight="1" x14ac:dyDescent="0.25">
      <c r="A23" s="4" t="s">
        <v>21</v>
      </c>
      <c r="B23" s="4" t="s">
        <v>34</v>
      </c>
      <c r="C23" s="4" t="s">
        <v>51</v>
      </c>
      <c r="D23" s="4" t="s">
        <v>33</v>
      </c>
      <c r="E23" s="4" t="s">
        <v>25</v>
      </c>
      <c r="F23" s="4" t="s">
        <v>52</v>
      </c>
      <c r="G23" s="4" t="s">
        <v>25</v>
      </c>
      <c r="H23" s="4" t="s">
        <v>25</v>
      </c>
      <c r="I23" s="5">
        <v>44652</v>
      </c>
      <c r="J23" s="6">
        <v>0</v>
      </c>
      <c r="K23" s="6">
        <v>0</v>
      </c>
      <c r="L23" s="6">
        <v>683.74400000000003</v>
      </c>
      <c r="M23" s="6">
        <v>683.74400000000003</v>
      </c>
      <c r="N23" s="6">
        <v>0</v>
      </c>
      <c r="O23" s="6">
        <v>0</v>
      </c>
      <c r="P23" s="6">
        <v>1</v>
      </c>
      <c r="Q23" s="4" t="s">
        <v>53</v>
      </c>
      <c r="R23" s="4">
        <v>0</v>
      </c>
      <c r="S23" s="6">
        <v>0</v>
      </c>
      <c r="T23" s="6">
        <v>19</v>
      </c>
      <c r="U23" s="6">
        <v>0</v>
      </c>
      <c r="V23" s="6">
        <f>IF(ISERROR(VLOOKUP($S$23,'TAR FIN'!$A$1:$O$85,15,0)),0,VLOOKUP($S$23,'TAR FIN'!$A$1:$O$85,15,0))</f>
        <v>0</v>
      </c>
      <c r="W23" s="6">
        <f>IF(ISERROR(VLOOKUP($T$23,'TAR FIN'!$A$1:$O$85,15,0)),0,VLOOKUP($T$23,'TAR FIN'!$A$1:$O$85,15,0))</f>
        <v>78.650000000000006</v>
      </c>
      <c r="X23" s="6">
        <f>IF(ISERROR(VLOOKUP($U$23,'TAR FIN'!$A$1:$O$85,15,0)),0,VLOOKUP($U$23,'TAR FIN'!$A$1:$O$85,15,0))</f>
        <v>0</v>
      </c>
      <c r="Y23" s="6"/>
      <c r="Z23" s="6">
        <f ca="1">('TUSD BE'!$AM$7+'TUSD BF_350'!$AM$7+'TUSD CVA'!$AM$7)*1</f>
        <v>114.48039155571371</v>
      </c>
      <c r="AA23" s="6"/>
      <c r="AB23" s="6">
        <f>$K$23*$V$23</f>
        <v>0</v>
      </c>
      <c r="AC23" s="6">
        <f>$M$23*$W$23</f>
        <v>53776.465600000003</v>
      </c>
      <c r="AD23" s="6">
        <f>$O$23*$X$23</f>
        <v>0</v>
      </c>
      <c r="AE23" s="6">
        <f>$K$23*$Y$23</f>
        <v>0</v>
      </c>
      <c r="AF23" s="6">
        <f ca="1">$M$23*$Z$23</f>
        <v>78275.280843869914</v>
      </c>
      <c r="AG23" s="6">
        <f>$O$23*$AA$23</f>
        <v>0</v>
      </c>
    </row>
    <row r="24" spans="1:33" ht="11.25" customHeight="1" x14ac:dyDescent="0.25">
      <c r="A24" s="4" t="s">
        <v>21</v>
      </c>
      <c r="B24" s="4" t="s">
        <v>34</v>
      </c>
      <c r="C24" s="4" t="s">
        <v>51</v>
      </c>
      <c r="D24" s="4" t="s">
        <v>33</v>
      </c>
      <c r="E24" s="4" t="s">
        <v>25</v>
      </c>
      <c r="F24" s="4" t="s">
        <v>52</v>
      </c>
      <c r="G24" s="4" t="s">
        <v>25</v>
      </c>
      <c r="H24" s="4" t="s">
        <v>25</v>
      </c>
      <c r="I24" s="5">
        <v>44682</v>
      </c>
      <c r="J24" s="6">
        <v>0</v>
      </c>
      <c r="K24" s="6">
        <v>0</v>
      </c>
      <c r="L24" s="6">
        <v>709.04</v>
      </c>
      <c r="M24" s="6">
        <v>709.04</v>
      </c>
      <c r="N24" s="6">
        <v>0</v>
      </c>
      <c r="O24" s="6">
        <v>0</v>
      </c>
      <c r="P24" s="6">
        <v>1</v>
      </c>
      <c r="Q24" s="4" t="s">
        <v>53</v>
      </c>
      <c r="R24" s="4">
        <v>0</v>
      </c>
      <c r="S24" s="6">
        <v>0</v>
      </c>
      <c r="T24" s="6">
        <v>19</v>
      </c>
      <c r="U24" s="6">
        <v>0</v>
      </c>
      <c r="V24" s="6">
        <f>IF(ISERROR(VLOOKUP($S$24,'TAR FIN'!$A$1:$O$85,15,0)),0,VLOOKUP($S$24,'TAR FIN'!$A$1:$O$85,15,0))</f>
        <v>0</v>
      </c>
      <c r="W24" s="6">
        <f>IF(ISERROR(VLOOKUP($T$24,'TAR FIN'!$A$1:$O$85,15,0)),0,VLOOKUP($T$24,'TAR FIN'!$A$1:$O$85,15,0))</f>
        <v>78.650000000000006</v>
      </c>
      <c r="X24" s="6">
        <f>IF(ISERROR(VLOOKUP($U$24,'TAR FIN'!$A$1:$O$85,15,0)),0,VLOOKUP($U$24,'TAR FIN'!$A$1:$O$85,15,0))</f>
        <v>0</v>
      </c>
      <c r="Y24" s="6"/>
      <c r="Z24" s="6">
        <f ca="1">('TUSD BE'!$AM$7+'TUSD BF_350'!$AM$7+'TUSD CVA'!$AM$7)*1</f>
        <v>114.48039155571371</v>
      </c>
      <c r="AA24" s="6"/>
      <c r="AB24" s="6">
        <f>$K$24*$V$24</f>
        <v>0</v>
      </c>
      <c r="AC24" s="6">
        <f>$M$24*$W$24</f>
        <v>55765.995999999999</v>
      </c>
      <c r="AD24" s="6">
        <f>$O$24*$X$24</f>
        <v>0</v>
      </c>
      <c r="AE24" s="6">
        <f>$K$24*$Y$24</f>
        <v>0</v>
      </c>
      <c r="AF24" s="6">
        <f ca="1">$M$24*$Z$24</f>
        <v>81171.176828663243</v>
      </c>
      <c r="AG24" s="6">
        <f>$O$24*$AA$24</f>
        <v>0</v>
      </c>
    </row>
    <row r="25" spans="1:33" ht="11.25" customHeight="1" x14ac:dyDescent="0.25">
      <c r="A25" s="4" t="s">
        <v>21</v>
      </c>
      <c r="B25" s="4" t="s">
        <v>34</v>
      </c>
      <c r="C25" s="4" t="s">
        <v>51</v>
      </c>
      <c r="D25" s="4" t="s">
        <v>33</v>
      </c>
      <c r="E25" s="4" t="s">
        <v>25</v>
      </c>
      <c r="F25" s="4" t="s">
        <v>52</v>
      </c>
      <c r="G25" s="4" t="s">
        <v>25</v>
      </c>
      <c r="H25" s="4" t="s">
        <v>25</v>
      </c>
      <c r="I25" s="5">
        <v>44713</v>
      </c>
      <c r="J25" s="6">
        <v>0</v>
      </c>
      <c r="K25" s="6">
        <v>0</v>
      </c>
      <c r="L25" s="6">
        <v>709.08799999999997</v>
      </c>
      <c r="M25" s="6">
        <v>709.08799999999997</v>
      </c>
      <c r="N25" s="6">
        <v>0</v>
      </c>
      <c r="O25" s="6">
        <v>0</v>
      </c>
      <c r="P25" s="6">
        <v>1</v>
      </c>
      <c r="Q25" s="4" t="s">
        <v>53</v>
      </c>
      <c r="R25" s="4">
        <v>0</v>
      </c>
      <c r="S25" s="6">
        <v>0</v>
      </c>
      <c r="T25" s="6">
        <v>19</v>
      </c>
      <c r="U25" s="6">
        <v>0</v>
      </c>
      <c r="V25" s="6">
        <f>IF(ISERROR(VLOOKUP($S$25,'TAR FIN'!$A$1:$O$85,15,0)),0,VLOOKUP($S$25,'TAR FIN'!$A$1:$O$85,15,0))</f>
        <v>0</v>
      </c>
      <c r="W25" s="6">
        <f>IF(ISERROR(VLOOKUP($T$25,'TAR FIN'!$A$1:$O$85,15,0)),0,VLOOKUP($T$25,'TAR FIN'!$A$1:$O$85,15,0))</f>
        <v>78.650000000000006</v>
      </c>
      <c r="X25" s="6">
        <f>IF(ISERROR(VLOOKUP($U$25,'TAR FIN'!$A$1:$O$85,15,0)),0,VLOOKUP($U$25,'TAR FIN'!$A$1:$O$85,15,0))</f>
        <v>0</v>
      </c>
      <c r="Y25" s="6"/>
      <c r="Z25" s="6">
        <f ca="1">('TUSD BE'!$AM$7+'TUSD BF_350'!$AM$7+'TUSD CVA'!$AM$7)*1</f>
        <v>114.48039155571371</v>
      </c>
      <c r="AA25" s="6"/>
      <c r="AB25" s="6">
        <f>$K$25*$V$25</f>
        <v>0</v>
      </c>
      <c r="AC25" s="6">
        <f>$M$25*$W$25</f>
        <v>55769.771200000003</v>
      </c>
      <c r="AD25" s="6">
        <f>$O$25*$X$25</f>
        <v>0</v>
      </c>
      <c r="AE25" s="6">
        <f>$K$25*$Y$25</f>
        <v>0</v>
      </c>
      <c r="AF25" s="6">
        <f ca="1">$M$25*$Z$25</f>
        <v>81176.671887457924</v>
      </c>
      <c r="AG25" s="6">
        <f>$O$25*$AA$25</f>
        <v>0</v>
      </c>
    </row>
    <row r="26" spans="1:33" ht="11.25" customHeight="1" x14ac:dyDescent="0.25">
      <c r="A26" s="4" t="s">
        <v>21</v>
      </c>
      <c r="B26" s="4" t="s">
        <v>34</v>
      </c>
      <c r="C26" s="4" t="s">
        <v>51</v>
      </c>
      <c r="D26" s="4" t="s">
        <v>33</v>
      </c>
      <c r="E26" s="4" t="s">
        <v>25</v>
      </c>
      <c r="F26" s="4" t="s">
        <v>52</v>
      </c>
      <c r="G26" s="4" t="s">
        <v>25</v>
      </c>
      <c r="H26" s="4" t="s">
        <v>36</v>
      </c>
      <c r="I26" s="5">
        <v>44378</v>
      </c>
      <c r="J26" s="6">
        <v>1700</v>
      </c>
      <c r="K26" s="6">
        <v>855.07099800000003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53</v>
      </c>
      <c r="R26" s="4">
        <v>0</v>
      </c>
      <c r="S26" s="6">
        <v>8</v>
      </c>
      <c r="T26" s="6">
        <v>0</v>
      </c>
      <c r="U26" s="6">
        <v>0</v>
      </c>
      <c r="V26" s="6">
        <f>IF(ISERROR(VLOOKUP($S$26,'TAR FIN'!$A$1:$O$85,15,0)),0,VLOOKUP($S$26,'TAR FIN'!$A$1:$O$85,15,0))</f>
        <v>35.54</v>
      </c>
      <c r="W26" s="6">
        <f>IF(ISERROR(VLOOKUP($T$26,'TAR FIN'!$A$1:$O$85,15,0)),0,VLOOKUP($T$26,'TAR FIN'!$A$1:$O$85,15,0))</f>
        <v>0</v>
      </c>
      <c r="X26" s="6">
        <f>IF(ISERROR(VLOOKUP($U$26,'TAR FIN'!$A$1:$O$85,15,0)),0,VLOOKUP($U$26,'TAR FIN'!$A$1:$O$85,15,0))</f>
        <v>0</v>
      </c>
      <c r="Y26" s="6">
        <f ca="1">('TUSD BE'!$AM$5+'TUSD BF_350'!$AM$5+'TUSD CVA'!$AM$5)*1</f>
        <v>35.086170133817248</v>
      </c>
      <c r="Z26" s="6">
        <f ca="1">('TUSD BE'!$AM$7+'TUSD BF_350'!$AM$7+'TUSD CVA'!$AM$7)*1</f>
        <v>114.48039155571371</v>
      </c>
      <c r="AA26" s="6"/>
      <c r="AB26" s="6">
        <f>$K$26*$V$26</f>
        <v>30389.223268919999</v>
      </c>
      <c r="AC26" s="6">
        <f>$M$26*$W$26</f>
        <v>0</v>
      </c>
      <c r="AD26" s="6">
        <f>$O$26*$X$26</f>
        <v>0</v>
      </c>
      <c r="AE26" s="6">
        <f ca="1">$K$26*$Y$26</f>
        <v>30001.16651232091</v>
      </c>
      <c r="AF26" s="6">
        <f ca="1">$M$26*$Z$26</f>
        <v>0</v>
      </c>
      <c r="AG26" s="6">
        <f>$O$26*$AA$26</f>
        <v>0</v>
      </c>
    </row>
    <row r="27" spans="1:33" ht="11.25" customHeight="1" x14ac:dyDescent="0.25">
      <c r="A27" s="4" t="s">
        <v>21</v>
      </c>
      <c r="B27" s="4" t="s">
        <v>34</v>
      </c>
      <c r="C27" s="4" t="s">
        <v>51</v>
      </c>
      <c r="D27" s="4" t="s">
        <v>33</v>
      </c>
      <c r="E27" s="4" t="s">
        <v>25</v>
      </c>
      <c r="F27" s="4" t="s">
        <v>52</v>
      </c>
      <c r="G27" s="4" t="s">
        <v>25</v>
      </c>
      <c r="H27" s="4" t="s">
        <v>36</v>
      </c>
      <c r="I27" s="5">
        <v>44409</v>
      </c>
      <c r="J27" s="6">
        <v>1757</v>
      </c>
      <c r="K27" s="6">
        <v>895.97728311000003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53</v>
      </c>
      <c r="R27" s="4">
        <v>0</v>
      </c>
      <c r="S27" s="6">
        <v>8</v>
      </c>
      <c r="T27" s="6">
        <v>0</v>
      </c>
      <c r="U27" s="6">
        <v>0</v>
      </c>
      <c r="V27" s="6">
        <f>IF(ISERROR(VLOOKUP($S$27,'TAR FIN'!$A$1:$O$85,15,0)),0,VLOOKUP($S$27,'TAR FIN'!$A$1:$O$85,15,0))</f>
        <v>35.54</v>
      </c>
      <c r="W27" s="6">
        <f>IF(ISERROR(VLOOKUP($T$27,'TAR FIN'!$A$1:$O$85,15,0)),0,VLOOKUP($T$27,'TAR FIN'!$A$1:$O$85,15,0))</f>
        <v>0</v>
      </c>
      <c r="X27" s="6">
        <f>IF(ISERROR(VLOOKUP($U$27,'TAR FIN'!$A$1:$O$85,15,0)),0,VLOOKUP($U$27,'TAR FIN'!$A$1:$O$85,15,0))</f>
        <v>0</v>
      </c>
      <c r="Y27" s="6">
        <f ca="1">('TUSD BE'!$AM$5+'TUSD BF_350'!$AM$5+'TUSD CVA'!$AM$5)*1</f>
        <v>35.086170133817248</v>
      </c>
      <c r="Z27" s="6">
        <f ca="1">('TUSD BE'!$AM$7+'TUSD BF_350'!$AM$7+'TUSD CVA'!$AM$7)*1</f>
        <v>114.48039155571371</v>
      </c>
      <c r="AA27" s="6"/>
      <c r="AB27" s="6">
        <f>$K$27*$V$27</f>
        <v>31843.032641729402</v>
      </c>
      <c r="AC27" s="6">
        <f>$M$27*$W$27</f>
        <v>0</v>
      </c>
      <c r="AD27" s="6">
        <f>$O$27*$X$27</f>
        <v>0</v>
      </c>
      <c r="AE27" s="6">
        <f ca="1">$K$27*$Y$27</f>
        <v>31436.411391232803</v>
      </c>
      <c r="AF27" s="6">
        <f ca="1">$M$27*$Z$27</f>
        <v>0</v>
      </c>
      <c r="AG27" s="6">
        <f>$O$27*$AA$27</f>
        <v>0</v>
      </c>
    </row>
    <row r="28" spans="1:33" ht="11.25" customHeight="1" x14ac:dyDescent="0.25">
      <c r="A28" s="4" t="s">
        <v>21</v>
      </c>
      <c r="B28" s="4" t="s">
        <v>34</v>
      </c>
      <c r="C28" s="4" t="s">
        <v>51</v>
      </c>
      <c r="D28" s="4" t="s">
        <v>33</v>
      </c>
      <c r="E28" s="4" t="s">
        <v>25</v>
      </c>
      <c r="F28" s="4" t="s">
        <v>52</v>
      </c>
      <c r="G28" s="4" t="s">
        <v>25</v>
      </c>
      <c r="H28" s="4" t="s">
        <v>36</v>
      </c>
      <c r="I28" s="5">
        <v>44440</v>
      </c>
      <c r="J28" s="6">
        <v>1700</v>
      </c>
      <c r="K28" s="6">
        <v>856.94091300000002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53</v>
      </c>
      <c r="R28" s="4">
        <v>0</v>
      </c>
      <c r="S28" s="6">
        <v>8</v>
      </c>
      <c r="T28" s="6">
        <v>0</v>
      </c>
      <c r="U28" s="6">
        <v>0</v>
      </c>
      <c r="V28" s="6">
        <f>IF(ISERROR(VLOOKUP($S$28,'TAR FIN'!$A$1:$O$85,15,0)),0,VLOOKUP($S$28,'TAR FIN'!$A$1:$O$85,15,0))</f>
        <v>35.54</v>
      </c>
      <c r="W28" s="6">
        <f>IF(ISERROR(VLOOKUP($T$28,'TAR FIN'!$A$1:$O$85,15,0)),0,VLOOKUP($T$28,'TAR FIN'!$A$1:$O$85,15,0))</f>
        <v>0</v>
      </c>
      <c r="X28" s="6">
        <f>IF(ISERROR(VLOOKUP($U$28,'TAR FIN'!$A$1:$O$85,15,0)),0,VLOOKUP($U$28,'TAR FIN'!$A$1:$O$85,15,0))</f>
        <v>0</v>
      </c>
      <c r="Y28" s="6">
        <f ca="1">('TUSD BE'!$AM$5+'TUSD BF_350'!$AM$5+'TUSD CVA'!$AM$5)*1</f>
        <v>35.086170133817248</v>
      </c>
      <c r="Z28" s="6">
        <f ca="1">('TUSD BE'!$AM$7+'TUSD BF_350'!$AM$7+'TUSD CVA'!$AM$7)*1</f>
        <v>114.48039155571371</v>
      </c>
      <c r="AA28" s="6"/>
      <c r="AB28" s="6">
        <f>$K$28*$V$28</f>
        <v>30455.68004802</v>
      </c>
      <c r="AC28" s="6">
        <f>$M$28*$W$28</f>
        <v>0</v>
      </c>
      <c r="AD28" s="6">
        <f>$O$28*$X$28</f>
        <v>0</v>
      </c>
      <c r="AE28" s="6">
        <f ca="1">$K$28*$Y$28</f>
        <v>30066.774668146685</v>
      </c>
      <c r="AF28" s="6">
        <f ca="1">$M$28*$Z$28</f>
        <v>0</v>
      </c>
      <c r="AG28" s="6">
        <f>$O$28*$AA$28</f>
        <v>0</v>
      </c>
    </row>
    <row r="29" spans="1:33" ht="11.25" customHeight="1" x14ac:dyDescent="0.25">
      <c r="A29" s="4" t="s">
        <v>21</v>
      </c>
      <c r="B29" s="4" t="s">
        <v>34</v>
      </c>
      <c r="C29" s="4" t="s">
        <v>51</v>
      </c>
      <c r="D29" s="4" t="s">
        <v>33</v>
      </c>
      <c r="E29" s="4" t="s">
        <v>25</v>
      </c>
      <c r="F29" s="4" t="s">
        <v>52</v>
      </c>
      <c r="G29" s="4" t="s">
        <v>25</v>
      </c>
      <c r="H29" s="4" t="s">
        <v>36</v>
      </c>
      <c r="I29" s="5">
        <v>44470</v>
      </c>
      <c r="J29" s="6">
        <v>1730</v>
      </c>
      <c r="K29" s="6">
        <v>865.41687809999996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53</v>
      </c>
      <c r="R29" s="4">
        <v>0</v>
      </c>
      <c r="S29" s="6">
        <v>8</v>
      </c>
      <c r="T29" s="6">
        <v>0</v>
      </c>
      <c r="U29" s="6">
        <v>0</v>
      </c>
      <c r="V29" s="6">
        <f>IF(ISERROR(VLOOKUP($S$29,'TAR FIN'!$A$1:$O$85,15,0)),0,VLOOKUP($S$29,'TAR FIN'!$A$1:$O$85,15,0))</f>
        <v>35.54</v>
      </c>
      <c r="W29" s="6">
        <f>IF(ISERROR(VLOOKUP($T$29,'TAR FIN'!$A$1:$O$85,15,0)),0,VLOOKUP($T$29,'TAR FIN'!$A$1:$O$85,15,0))</f>
        <v>0</v>
      </c>
      <c r="X29" s="6">
        <f>IF(ISERROR(VLOOKUP($U$29,'TAR FIN'!$A$1:$O$85,15,0)),0,VLOOKUP($U$29,'TAR FIN'!$A$1:$O$85,15,0))</f>
        <v>0</v>
      </c>
      <c r="Y29" s="6">
        <f ca="1">('TUSD BE'!$AM$5+'TUSD BF_350'!$AM$5+'TUSD CVA'!$AM$5)*1</f>
        <v>35.086170133817248</v>
      </c>
      <c r="Z29" s="6">
        <f ca="1">('TUSD BE'!$AM$7+'TUSD BF_350'!$AM$7+'TUSD CVA'!$AM$7)*1</f>
        <v>114.48039155571371</v>
      </c>
      <c r="AA29" s="6"/>
      <c r="AB29" s="6">
        <f>$K$29*$V$29</f>
        <v>30756.915847673998</v>
      </c>
      <c r="AC29" s="6">
        <f>$M$29*$W$29</f>
        <v>0</v>
      </c>
      <c r="AD29" s="6">
        <f>$O$29*$X$29</f>
        <v>0</v>
      </c>
      <c r="AE29" s="6">
        <f ca="1">$K$29*$Y$29</f>
        <v>30364.163821693579</v>
      </c>
      <c r="AF29" s="6">
        <f ca="1">$M$29*$Z$29</f>
        <v>0</v>
      </c>
      <c r="AG29" s="6">
        <f>$O$29*$AA$29</f>
        <v>0</v>
      </c>
    </row>
    <row r="30" spans="1:33" ht="11.25" customHeight="1" x14ac:dyDescent="0.25">
      <c r="A30" s="4" t="s">
        <v>21</v>
      </c>
      <c r="B30" s="4" t="s">
        <v>34</v>
      </c>
      <c r="C30" s="4" t="s">
        <v>51</v>
      </c>
      <c r="D30" s="4" t="s">
        <v>33</v>
      </c>
      <c r="E30" s="4" t="s">
        <v>25</v>
      </c>
      <c r="F30" s="4" t="s">
        <v>52</v>
      </c>
      <c r="G30" s="4" t="s">
        <v>25</v>
      </c>
      <c r="H30" s="4" t="s">
        <v>36</v>
      </c>
      <c r="I30" s="5">
        <v>44501</v>
      </c>
      <c r="J30" s="6">
        <v>1700</v>
      </c>
      <c r="K30" s="6">
        <v>850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53</v>
      </c>
      <c r="R30" s="4">
        <v>0</v>
      </c>
      <c r="S30" s="6">
        <v>8</v>
      </c>
      <c r="T30" s="6">
        <v>0</v>
      </c>
      <c r="U30" s="6">
        <v>0</v>
      </c>
      <c r="V30" s="6">
        <f>IF(ISERROR(VLOOKUP($S$30,'TAR FIN'!$A$1:$O$85,15,0)),0,VLOOKUP($S$30,'TAR FIN'!$A$1:$O$85,15,0))</f>
        <v>35.54</v>
      </c>
      <c r="W30" s="6">
        <f>IF(ISERROR(VLOOKUP($T$30,'TAR FIN'!$A$1:$O$85,15,0)),0,VLOOKUP($T$30,'TAR FIN'!$A$1:$O$85,15,0))</f>
        <v>0</v>
      </c>
      <c r="X30" s="6">
        <f>IF(ISERROR(VLOOKUP($U$30,'TAR FIN'!$A$1:$O$85,15,0)),0,VLOOKUP($U$30,'TAR FIN'!$A$1:$O$85,15,0))</f>
        <v>0</v>
      </c>
      <c r="Y30" s="6">
        <f ca="1">('TUSD BE'!$AM$5+'TUSD BF_350'!$AM$5+'TUSD CVA'!$AM$5)*1</f>
        <v>35.086170133817248</v>
      </c>
      <c r="Z30" s="6">
        <f ca="1">('TUSD BE'!$AM$7+'TUSD BF_350'!$AM$7+'TUSD CVA'!$AM$7)*1</f>
        <v>114.48039155571371</v>
      </c>
      <c r="AA30" s="6"/>
      <c r="AB30" s="6">
        <f>$K$30*$V$30</f>
        <v>30209</v>
      </c>
      <c r="AC30" s="6">
        <f>$M$30*$W$30</f>
        <v>0</v>
      </c>
      <c r="AD30" s="6">
        <f>$O$30*$X$30</f>
        <v>0</v>
      </c>
      <c r="AE30" s="6">
        <f ca="1">$K$30*$Y$30</f>
        <v>29823.24461374466</v>
      </c>
      <c r="AF30" s="6">
        <f ca="1">$M$30*$Z$30</f>
        <v>0</v>
      </c>
      <c r="AG30" s="6">
        <f>$O$30*$AA$30</f>
        <v>0</v>
      </c>
    </row>
    <row r="31" spans="1:33" ht="11.25" customHeight="1" x14ac:dyDescent="0.25">
      <c r="A31" s="4" t="s">
        <v>21</v>
      </c>
      <c r="B31" s="4" t="s">
        <v>34</v>
      </c>
      <c r="C31" s="4" t="s">
        <v>51</v>
      </c>
      <c r="D31" s="4" t="s">
        <v>33</v>
      </c>
      <c r="E31" s="4" t="s">
        <v>25</v>
      </c>
      <c r="F31" s="4" t="s">
        <v>52</v>
      </c>
      <c r="G31" s="4" t="s">
        <v>25</v>
      </c>
      <c r="H31" s="4" t="s">
        <v>36</v>
      </c>
      <c r="I31" s="5">
        <v>44531</v>
      </c>
      <c r="J31" s="6">
        <v>1700</v>
      </c>
      <c r="K31" s="6">
        <v>880.96453099999997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53</v>
      </c>
      <c r="R31" s="4">
        <v>0</v>
      </c>
      <c r="S31" s="6">
        <v>8</v>
      </c>
      <c r="T31" s="6">
        <v>0</v>
      </c>
      <c r="U31" s="6">
        <v>0</v>
      </c>
      <c r="V31" s="6">
        <f>IF(ISERROR(VLOOKUP($S$31,'TAR FIN'!$A$1:$O$85,15,0)),0,VLOOKUP($S$31,'TAR FIN'!$A$1:$O$85,15,0))</f>
        <v>35.54</v>
      </c>
      <c r="W31" s="6">
        <f>IF(ISERROR(VLOOKUP($T$31,'TAR FIN'!$A$1:$O$85,15,0)),0,VLOOKUP($T$31,'TAR FIN'!$A$1:$O$85,15,0))</f>
        <v>0</v>
      </c>
      <c r="X31" s="6">
        <f>IF(ISERROR(VLOOKUP($U$31,'TAR FIN'!$A$1:$O$85,15,0)),0,VLOOKUP($U$31,'TAR FIN'!$A$1:$O$85,15,0))</f>
        <v>0</v>
      </c>
      <c r="Y31" s="6">
        <f ca="1">('TUSD BE'!$AM$5+'TUSD BF_350'!$AM$5+'TUSD CVA'!$AM$5)*1</f>
        <v>35.086170133817248</v>
      </c>
      <c r="Z31" s="6">
        <f ca="1">('TUSD BE'!$AM$7+'TUSD BF_350'!$AM$7+'TUSD CVA'!$AM$7)*1</f>
        <v>114.48039155571371</v>
      </c>
      <c r="AA31" s="6"/>
      <c r="AB31" s="6">
        <f>$K$31*$V$31</f>
        <v>31309.479431739997</v>
      </c>
      <c r="AC31" s="6">
        <f>$M$31*$W$31</f>
        <v>0</v>
      </c>
      <c r="AD31" s="6">
        <f>$O$31*$X$31</f>
        <v>0</v>
      </c>
      <c r="AE31" s="6">
        <f ca="1">$K$31*$Y$31</f>
        <v>30909.671416524518</v>
      </c>
      <c r="AF31" s="6">
        <f ca="1">$M$31*$Z$31</f>
        <v>0</v>
      </c>
      <c r="AG31" s="6">
        <f>$O$31*$AA$31</f>
        <v>0</v>
      </c>
    </row>
    <row r="32" spans="1:33" ht="11.25" customHeight="1" x14ac:dyDescent="0.25">
      <c r="A32" s="4" t="s">
        <v>21</v>
      </c>
      <c r="B32" s="4" t="s">
        <v>34</v>
      </c>
      <c r="C32" s="4" t="s">
        <v>51</v>
      </c>
      <c r="D32" s="4" t="s">
        <v>33</v>
      </c>
      <c r="E32" s="4" t="s">
        <v>25</v>
      </c>
      <c r="F32" s="4" t="s">
        <v>52</v>
      </c>
      <c r="G32" s="4" t="s">
        <v>25</v>
      </c>
      <c r="H32" s="4" t="s">
        <v>36</v>
      </c>
      <c r="I32" s="5">
        <v>44562</v>
      </c>
      <c r="J32" s="6">
        <v>1700</v>
      </c>
      <c r="K32" s="6">
        <v>851.10343599999999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53</v>
      </c>
      <c r="R32" s="4">
        <v>0</v>
      </c>
      <c r="S32" s="6">
        <v>8</v>
      </c>
      <c r="T32" s="6">
        <v>0</v>
      </c>
      <c r="U32" s="6">
        <v>0</v>
      </c>
      <c r="V32" s="6">
        <f>IF(ISERROR(VLOOKUP($S$32,'TAR FIN'!$A$1:$O$85,15,0)),0,VLOOKUP($S$32,'TAR FIN'!$A$1:$O$85,15,0))</f>
        <v>35.54</v>
      </c>
      <c r="W32" s="6">
        <f>IF(ISERROR(VLOOKUP($T$32,'TAR FIN'!$A$1:$O$85,15,0)),0,VLOOKUP($T$32,'TAR FIN'!$A$1:$O$85,15,0))</f>
        <v>0</v>
      </c>
      <c r="X32" s="6">
        <f>IF(ISERROR(VLOOKUP($U$32,'TAR FIN'!$A$1:$O$85,15,0)),0,VLOOKUP($U$32,'TAR FIN'!$A$1:$O$85,15,0))</f>
        <v>0</v>
      </c>
      <c r="Y32" s="6">
        <f ca="1">('TUSD BE'!$AM$5+'TUSD BF_350'!$AM$5+'TUSD CVA'!$AM$5)*1</f>
        <v>35.086170133817248</v>
      </c>
      <c r="Z32" s="6">
        <f ca="1">('TUSD BE'!$AM$7+'TUSD BF_350'!$AM$7+'TUSD CVA'!$AM$7)*1</f>
        <v>114.48039155571371</v>
      </c>
      <c r="AA32" s="6"/>
      <c r="AB32" s="6">
        <f>$K$32*$V$32</f>
        <v>30248.216115439998</v>
      </c>
      <c r="AC32" s="6">
        <f>$M$32*$W$32</f>
        <v>0</v>
      </c>
      <c r="AD32" s="6">
        <f>$O$32*$X$32</f>
        <v>0</v>
      </c>
      <c r="AE32" s="6">
        <f ca="1">$K$32*$Y$32</f>
        <v>29861.959956972438</v>
      </c>
      <c r="AF32" s="6">
        <f ca="1">$M$32*$Z$32</f>
        <v>0</v>
      </c>
      <c r="AG32" s="6">
        <f>$O$32*$AA$32</f>
        <v>0</v>
      </c>
    </row>
    <row r="33" spans="1:33" ht="11.25" customHeight="1" x14ac:dyDescent="0.25">
      <c r="A33" s="4" t="s">
        <v>21</v>
      </c>
      <c r="B33" s="4" t="s">
        <v>34</v>
      </c>
      <c r="C33" s="4" t="s">
        <v>51</v>
      </c>
      <c r="D33" s="4" t="s">
        <v>33</v>
      </c>
      <c r="E33" s="4" t="s">
        <v>25</v>
      </c>
      <c r="F33" s="4" t="s">
        <v>52</v>
      </c>
      <c r="G33" s="4" t="s">
        <v>25</v>
      </c>
      <c r="H33" s="4" t="s">
        <v>36</v>
      </c>
      <c r="I33" s="5">
        <v>44593</v>
      </c>
      <c r="J33" s="6">
        <v>1700</v>
      </c>
      <c r="K33" s="6">
        <v>850.76069900000005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53</v>
      </c>
      <c r="R33" s="4">
        <v>0</v>
      </c>
      <c r="S33" s="6">
        <v>8</v>
      </c>
      <c r="T33" s="6">
        <v>0</v>
      </c>
      <c r="U33" s="6">
        <v>0</v>
      </c>
      <c r="V33" s="6">
        <f>IF(ISERROR(VLOOKUP($S$33,'TAR FIN'!$A$1:$O$85,15,0)),0,VLOOKUP($S$33,'TAR FIN'!$A$1:$O$85,15,0))</f>
        <v>35.54</v>
      </c>
      <c r="W33" s="6">
        <f>IF(ISERROR(VLOOKUP($T$33,'TAR FIN'!$A$1:$O$85,15,0)),0,VLOOKUP($T$33,'TAR FIN'!$A$1:$O$85,15,0))</f>
        <v>0</v>
      </c>
      <c r="X33" s="6">
        <f>IF(ISERROR(VLOOKUP($U$33,'TAR FIN'!$A$1:$O$85,15,0)),0,VLOOKUP($U$33,'TAR FIN'!$A$1:$O$85,15,0))</f>
        <v>0</v>
      </c>
      <c r="Y33" s="6">
        <f ca="1">('TUSD BE'!$AM$5+'TUSD BF_350'!$AM$5+'TUSD CVA'!$AM$5)*1</f>
        <v>35.086170133817248</v>
      </c>
      <c r="Z33" s="6">
        <f ca="1">('TUSD BE'!$AM$7+'TUSD BF_350'!$AM$7+'TUSD CVA'!$AM$7)*1</f>
        <v>114.48039155571371</v>
      </c>
      <c r="AA33" s="6"/>
      <c r="AB33" s="6">
        <f>$K$33*$V$33</f>
        <v>30236.035242460002</v>
      </c>
      <c r="AC33" s="6">
        <f>$M$33*$W$33</f>
        <v>0</v>
      </c>
      <c r="AD33" s="6">
        <f>$O$33*$X$33</f>
        <v>0</v>
      </c>
      <c r="AE33" s="6">
        <f ca="1">$K$33*$Y$33</f>
        <v>29849.934628279287</v>
      </c>
      <c r="AF33" s="6">
        <f ca="1">$M$33*$Z$33</f>
        <v>0</v>
      </c>
      <c r="AG33" s="6">
        <f>$O$33*$AA$33</f>
        <v>0</v>
      </c>
    </row>
    <row r="34" spans="1:33" ht="11.25" customHeight="1" x14ac:dyDescent="0.25">
      <c r="A34" s="4" t="s">
        <v>21</v>
      </c>
      <c r="B34" s="4" t="s">
        <v>34</v>
      </c>
      <c r="C34" s="4" t="s">
        <v>51</v>
      </c>
      <c r="D34" s="4" t="s">
        <v>33</v>
      </c>
      <c r="E34" s="4" t="s">
        <v>25</v>
      </c>
      <c r="F34" s="4" t="s">
        <v>52</v>
      </c>
      <c r="G34" s="4" t="s">
        <v>25</v>
      </c>
      <c r="H34" s="4" t="s">
        <v>36</v>
      </c>
      <c r="I34" s="5">
        <v>44621</v>
      </c>
      <c r="J34" s="6">
        <v>1700</v>
      </c>
      <c r="K34" s="6">
        <v>851.16982099999996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53</v>
      </c>
      <c r="R34" s="4">
        <v>0</v>
      </c>
      <c r="S34" s="6">
        <v>8</v>
      </c>
      <c r="T34" s="6">
        <v>0</v>
      </c>
      <c r="U34" s="6">
        <v>0</v>
      </c>
      <c r="V34" s="6">
        <f>IF(ISERROR(VLOOKUP($S$34,'TAR FIN'!$A$1:$O$85,15,0)),0,VLOOKUP($S$34,'TAR FIN'!$A$1:$O$85,15,0))</f>
        <v>35.54</v>
      </c>
      <c r="W34" s="6">
        <f>IF(ISERROR(VLOOKUP($T$34,'TAR FIN'!$A$1:$O$85,15,0)),0,VLOOKUP($T$34,'TAR FIN'!$A$1:$O$85,15,0))</f>
        <v>0</v>
      </c>
      <c r="X34" s="6">
        <f>IF(ISERROR(VLOOKUP($U$34,'TAR FIN'!$A$1:$O$85,15,0)),0,VLOOKUP($U$34,'TAR FIN'!$A$1:$O$85,15,0))</f>
        <v>0</v>
      </c>
      <c r="Y34" s="6">
        <f ca="1">('TUSD BE'!$AM$5+'TUSD BF_350'!$AM$5+'TUSD CVA'!$AM$5)*1</f>
        <v>35.086170133817248</v>
      </c>
      <c r="Z34" s="6">
        <f ca="1">('TUSD BE'!$AM$7+'TUSD BF_350'!$AM$7+'TUSD CVA'!$AM$7)*1</f>
        <v>114.48039155571371</v>
      </c>
      <c r="AA34" s="6"/>
      <c r="AB34" s="6">
        <f>$K$34*$V$34</f>
        <v>30250.575438339998</v>
      </c>
      <c r="AC34" s="6">
        <f>$M$34*$W$34</f>
        <v>0</v>
      </c>
      <c r="AD34" s="6">
        <f>$O$34*$X$34</f>
        <v>0</v>
      </c>
      <c r="AE34" s="6">
        <f ca="1">$K$34*$Y$34</f>
        <v>29864.289152376772</v>
      </c>
      <c r="AF34" s="6">
        <f ca="1">$M$34*$Z$34</f>
        <v>0</v>
      </c>
      <c r="AG34" s="6">
        <f>$O$34*$AA$34</f>
        <v>0</v>
      </c>
    </row>
    <row r="35" spans="1:33" ht="11.25" customHeight="1" x14ac:dyDescent="0.25">
      <c r="A35" s="4" t="s">
        <v>21</v>
      </c>
      <c r="B35" s="4" t="s">
        <v>34</v>
      </c>
      <c r="C35" s="4" t="s">
        <v>51</v>
      </c>
      <c r="D35" s="4" t="s">
        <v>33</v>
      </c>
      <c r="E35" s="4" t="s">
        <v>25</v>
      </c>
      <c r="F35" s="4" t="s">
        <v>52</v>
      </c>
      <c r="G35" s="4" t="s">
        <v>25</v>
      </c>
      <c r="H35" s="4" t="s">
        <v>36</v>
      </c>
      <c r="I35" s="5">
        <v>44652</v>
      </c>
      <c r="J35" s="6">
        <v>1700</v>
      </c>
      <c r="K35" s="6">
        <v>851.56546200000003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53</v>
      </c>
      <c r="R35" s="4">
        <v>0</v>
      </c>
      <c r="S35" s="6">
        <v>8</v>
      </c>
      <c r="T35" s="6">
        <v>0</v>
      </c>
      <c r="U35" s="6">
        <v>0</v>
      </c>
      <c r="V35" s="6">
        <f>IF(ISERROR(VLOOKUP($S$35,'TAR FIN'!$A$1:$O$85,15,0)),0,VLOOKUP($S$35,'TAR FIN'!$A$1:$O$85,15,0))</f>
        <v>35.54</v>
      </c>
      <c r="W35" s="6">
        <f>IF(ISERROR(VLOOKUP($T$35,'TAR FIN'!$A$1:$O$85,15,0)),0,VLOOKUP($T$35,'TAR FIN'!$A$1:$O$85,15,0))</f>
        <v>0</v>
      </c>
      <c r="X35" s="6">
        <f>IF(ISERROR(VLOOKUP($U$35,'TAR FIN'!$A$1:$O$85,15,0)),0,VLOOKUP($U$35,'TAR FIN'!$A$1:$O$85,15,0))</f>
        <v>0</v>
      </c>
      <c r="Y35" s="6">
        <f ca="1">('TUSD BE'!$AM$5+'TUSD BF_350'!$AM$5+'TUSD CVA'!$AM$5)*1</f>
        <v>35.086170133817248</v>
      </c>
      <c r="Z35" s="6">
        <f ca="1">('TUSD BE'!$AM$7+'TUSD BF_350'!$AM$7+'TUSD CVA'!$AM$7)*1</f>
        <v>114.48039155571371</v>
      </c>
      <c r="AA35" s="6"/>
      <c r="AB35" s="6">
        <f>$K$35*$V$35</f>
        <v>30264.636519480002</v>
      </c>
      <c r="AC35" s="6">
        <f>$M$35*$W$35</f>
        <v>0</v>
      </c>
      <c r="AD35" s="6">
        <f>$O$35*$X$35</f>
        <v>0</v>
      </c>
      <c r="AE35" s="6">
        <f ca="1">$K$35*$Y$35</f>
        <v>29878.170679814688</v>
      </c>
      <c r="AF35" s="6">
        <f ca="1">$M$35*$Z$35</f>
        <v>0</v>
      </c>
      <c r="AG35" s="6">
        <f>$O$35*$AA$35</f>
        <v>0</v>
      </c>
    </row>
    <row r="36" spans="1:33" ht="11.25" customHeight="1" x14ac:dyDescent="0.25">
      <c r="A36" s="4" t="s">
        <v>21</v>
      </c>
      <c r="B36" s="4" t="s">
        <v>34</v>
      </c>
      <c r="C36" s="4" t="s">
        <v>51</v>
      </c>
      <c r="D36" s="4" t="s">
        <v>33</v>
      </c>
      <c r="E36" s="4" t="s">
        <v>25</v>
      </c>
      <c r="F36" s="4" t="s">
        <v>52</v>
      </c>
      <c r="G36" s="4" t="s">
        <v>25</v>
      </c>
      <c r="H36" s="4" t="s">
        <v>36</v>
      </c>
      <c r="I36" s="5">
        <v>44682</v>
      </c>
      <c r="J36" s="6">
        <v>1700</v>
      </c>
      <c r="K36" s="6">
        <v>935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53</v>
      </c>
      <c r="R36" s="4">
        <v>0</v>
      </c>
      <c r="S36" s="6">
        <v>8</v>
      </c>
      <c r="T36" s="6">
        <v>0</v>
      </c>
      <c r="U36" s="6">
        <v>0</v>
      </c>
      <c r="V36" s="6">
        <f>IF(ISERROR(VLOOKUP($S$36,'TAR FIN'!$A$1:$O$85,15,0)),0,VLOOKUP($S$36,'TAR FIN'!$A$1:$O$85,15,0))</f>
        <v>35.54</v>
      </c>
      <c r="W36" s="6">
        <f>IF(ISERROR(VLOOKUP($T$36,'TAR FIN'!$A$1:$O$85,15,0)),0,VLOOKUP($T$36,'TAR FIN'!$A$1:$O$85,15,0))</f>
        <v>0</v>
      </c>
      <c r="X36" s="6">
        <f>IF(ISERROR(VLOOKUP($U$36,'TAR FIN'!$A$1:$O$85,15,0)),0,VLOOKUP($U$36,'TAR FIN'!$A$1:$O$85,15,0))</f>
        <v>0</v>
      </c>
      <c r="Y36" s="6">
        <f ca="1">('TUSD BE'!$AM$5+'TUSD BF_350'!$AM$5+'TUSD CVA'!$AM$5)*1</f>
        <v>35.086170133817248</v>
      </c>
      <c r="Z36" s="6">
        <f ca="1">('TUSD BE'!$AM$7+'TUSD BF_350'!$AM$7+'TUSD CVA'!$AM$7)*1</f>
        <v>114.48039155571371</v>
      </c>
      <c r="AA36" s="6"/>
      <c r="AB36" s="6">
        <f>$K$36*$V$36</f>
        <v>33229.9</v>
      </c>
      <c r="AC36" s="6">
        <f>$M$36*$W$36</f>
        <v>0</v>
      </c>
      <c r="AD36" s="6">
        <f>$O$36*$X$36</f>
        <v>0</v>
      </c>
      <c r="AE36" s="6">
        <f ca="1">$K$36*$Y$36</f>
        <v>32805.569075119129</v>
      </c>
      <c r="AF36" s="6">
        <f ca="1">$M$36*$Z$36</f>
        <v>0</v>
      </c>
      <c r="AG36" s="6">
        <f>$O$36*$AA$36</f>
        <v>0</v>
      </c>
    </row>
    <row r="37" spans="1:33" ht="11.25" customHeight="1" x14ac:dyDescent="0.25">
      <c r="A37" s="4" t="s">
        <v>21</v>
      </c>
      <c r="B37" s="4" t="s">
        <v>34</v>
      </c>
      <c r="C37" s="4" t="s">
        <v>51</v>
      </c>
      <c r="D37" s="4" t="s">
        <v>33</v>
      </c>
      <c r="E37" s="4" t="s">
        <v>25</v>
      </c>
      <c r="F37" s="4" t="s">
        <v>52</v>
      </c>
      <c r="G37" s="4" t="s">
        <v>25</v>
      </c>
      <c r="H37" s="4" t="s">
        <v>36</v>
      </c>
      <c r="I37" s="5">
        <v>44713</v>
      </c>
      <c r="J37" s="6">
        <v>1700</v>
      </c>
      <c r="K37" s="6">
        <v>935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53</v>
      </c>
      <c r="R37" s="4">
        <v>0</v>
      </c>
      <c r="S37" s="6">
        <v>8</v>
      </c>
      <c r="T37" s="6">
        <v>0</v>
      </c>
      <c r="U37" s="6">
        <v>0</v>
      </c>
      <c r="V37" s="6">
        <f>IF(ISERROR(VLOOKUP($S$37,'TAR FIN'!$A$1:$O$85,15,0)),0,VLOOKUP($S$37,'TAR FIN'!$A$1:$O$85,15,0))</f>
        <v>35.54</v>
      </c>
      <c r="W37" s="6">
        <f>IF(ISERROR(VLOOKUP($T$37,'TAR FIN'!$A$1:$O$85,15,0)),0,VLOOKUP($T$37,'TAR FIN'!$A$1:$O$85,15,0))</f>
        <v>0</v>
      </c>
      <c r="X37" s="6">
        <f>IF(ISERROR(VLOOKUP($U$37,'TAR FIN'!$A$1:$O$85,15,0)),0,VLOOKUP($U$37,'TAR FIN'!$A$1:$O$85,15,0))</f>
        <v>0</v>
      </c>
      <c r="Y37" s="6">
        <f ca="1">('TUSD BE'!$AM$5+'TUSD BF_350'!$AM$5+'TUSD CVA'!$AM$5)*1</f>
        <v>35.086170133817248</v>
      </c>
      <c r="Z37" s="6">
        <f ca="1">('TUSD BE'!$AM$7+'TUSD BF_350'!$AM$7+'TUSD CVA'!$AM$7)*1</f>
        <v>114.48039155571371</v>
      </c>
      <c r="AA37" s="6"/>
      <c r="AB37" s="6">
        <f>$K$37*$V$37</f>
        <v>33229.9</v>
      </c>
      <c r="AC37" s="6">
        <f>$M$37*$W$37</f>
        <v>0</v>
      </c>
      <c r="AD37" s="6">
        <f>$O$37*$X$37</f>
        <v>0</v>
      </c>
      <c r="AE37" s="6">
        <f ca="1">$K$37*$Y$37</f>
        <v>32805.569075119129</v>
      </c>
      <c r="AF37" s="6">
        <f ca="1">$M$37*$Z$37</f>
        <v>0</v>
      </c>
      <c r="AG37" s="6">
        <f>$O$37*$AA$37</f>
        <v>0</v>
      </c>
    </row>
    <row r="38" spans="1:33" ht="11.25" customHeight="1" x14ac:dyDescent="0.25">
      <c r="A38" s="4" t="s">
        <v>21</v>
      </c>
      <c r="B38" s="4" t="s">
        <v>34</v>
      </c>
      <c r="C38" s="4" t="s">
        <v>35</v>
      </c>
      <c r="D38" s="4" t="s">
        <v>38</v>
      </c>
      <c r="E38" s="4" t="s">
        <v>25</v>
      </c>
      <c r="F38" s="4" t="s">
        <v>25</v>
      </c>
      <c r="G38" s="4" t="s">
        <v>25</v>
      </c>
      <c r="H38" s="4" t="s">
        <v>37</v>
      </c>
      <c r="I38" s="5">
        <v>44378</v>
      </c>
      <c r="J38" s="6">
        <v>0</v>
      </c>
      <c r="K38" s="6">
        <v>0</v>
      </c>
      <c r="L38" s="6">
        <v>178.31800000000001</v>
      </c>
      <c r="M38" s="6">
        <v>178.31800000000001</v>
      </c>
      <c r="N38" s="6">
        <v>178.31800000000001</v>
      </c>
      <c r="O38" s="6">
        <v>178.31800000000001</v>
      </c>
      <c r="P38" s="6">
        <v>0</v>
      </c>
      <c r="Q38" s="4" t="s">
        <v>26</v>
      </c>
      <c r="R38" s="4">
        <v>0</v>
      </c>
      <c r="S38" s="6">
        <v>0</v>
      </c>
      <c r="T38" s="6">
        <v>13</v>
      </c>
      <c r="U38" s="6">
        <v>16</v>
      </c>
      <c r="V38" s="6">
        <f>IF(ISERROR(VLOOKUP($S$38,'TAR FIN'!$A$1:$O$85,15,0)),0,VLOOKUP($S$38,'TAR FIN'!$A$1:$O$85,15,0))</f>
        <v>0</v>
      </c>
      <c r="W38" s="6">
        <f>IF(ISERROR(VLOOKUP($T$38,'TAR FIN'!$A$1:$O$85,15,0)),0,VLOOKUP($T$38,'TAR FIN'!$A$1:$O$85,15,0))</f>
        <v>78.650000000000006</v>
      </c>
      <c r="X38" s="6">
        <f>IF(ISERROR(VLOOKUP($U$38,'TAR FIN'!$A$1:$O$85,15,0)),0,VLOOKUP($U$38,'TAR FIN'!$A$1:$O$85,15,0))</f>
        <v>229.87</v>
      </c>
      <c r="Y38" s="6"/>
      <c r="Z38" s="6">
        <f ca="1">('TUSD BE'!$AM$12+'TUSD BF_350'!$AM$12+'TUSD CVA'!$AM$12)*1</f>
        <v>114.48039155571371</v>
      </c>
      <c r="AA38" s="6">
        <f ca="1">('TE BE'!$AB$6+'TE BF_350'!$AB$6+'TE CVA'!$AB$6)*1</f>
        <v>216.60171770542672</v>
      </c>
      <c r="AB38" s="6">
        <f>$K$38*$V$38</f>
        <v>0</v>
      </c>
      <c r="AC38" s="6">
        <f>$M$38*$W$38</f>
        <v>14024.710700000001</v>
      </c>
      <c r="AD38" s="6">
        <f>$O$38*$X$38</f>
        <v>40989.958660000004</v>
      </c>
      <c r="AE38" s="6">
        <f>$K$38*$Y$38</f>
        <v>0</v>
      </c>
      <c r="AF38" s="6">
        <f ca="1">$M$38*$Z$38</f>
        <v>20413.914461431759</v>
      </c>
      <c r="AG38" s="6">
        <f ca="1">$O$38*$AA$38</f>
        <v>38623.985097796285</v>
      </c>
    </row>
    <row r="39" spans="1:33" ht="11.25" customHeight="1" x14ac:dyDescent="0.25">
      <c r="A39" s="4" t="s">
        <v>27</v>
      </c>
      <c r="B39" s="4" t="s">
        <v>34</v>
      </c>
      <c r="C39" s="4" t="s">
        <v>35</v>
      </c>
      <c r="D39" s="4" t="s">
        <v>38</v>
      </c>
      <c r="E39" s="4" t="s">
        <v>25</v>
      </c>
      <c r="F39" s="4" t="s">
        <v>25</v>
      </c>
      <c r="G39" s="4" t="s">
        <v>25</v>
      </c>
      <c r="H39" s="4" t="s">
        <v>37</v>
      </c>
      <c r="I39" s="5">
        <v>44378</v>
      </c>
      <c r="J39" s="6">
        <v>0</v>
      </c>
      <c r="K39" s="6">
        <v>0</v>
      </c>
      <c r="L39" s="6">
        <v>12.545</v>
      </c>
      <c r="M39" s="6">
        <v>12.545</v>
      </c>
      <c r="N39" s="6">
        <v>12.545</v>
      </c>
      <c r="O39" s="6">
        <v>12.545</v>
      </c>
      <c r="P39" s="6">
        <v>0</v>
      </c>
      <c r="Q39" s="4" t="s">
        <v>26</v>
      </c>
      <c r="R39" s="4">
        <v>0</v>
      </c>
      <c r="S39" s="6">
        <v>0</v>
      </c>
      <c r="T39" s="6">
        <v>13</v>
      </c>
      <c r="U39" s="6">
        <v>16</v>
      </c>
      <c r="V39" s="6">
        <f>IF(ISERROR(VLOOKUP($S$39,'TAR FIN'!$A$1:$O$85,15,0)),0,VLOOKUP($S$39,'TAR FIN'!$A$1:$O$85,15,0))</f>
        <v>0</v>
      </c>
      <c r="W39" s="6">
        <f>IF(ISERROR(VLOOKUP($T$39,'TAR FIN'!$A$1:$O$85,15,0)),0,VLOOKUP($T$39,'TAR FIN'!$A$1:$O$85,15,0))</f>
        <v>78.650000000000006</v>
      </c>
      <c r="X39" s="6">
        <f>IF(ISERROR(VLOOKUP($U$39,'TAR FIN'!$A$1:$O$85,15,0)),0,VLOOKUP($U$39,'TAR FIN'!$A$1:$O$85,15,0))</f>
        <v>229.87</v>
      </c>
      <c r="Y39" s="6"/>
      <c r="Z39" s="6">
        <f ca="1">('TUSD BE'!$AM$12+'TUSD BF_350'!$AM$12+'TUSD CVA'!$AM$12)*1</f>
        <v>114.48039155571371</v>
      </c>
      <c r="AA39" s="6">
        <f ca="1">('TE BE'!$AB$6+'TE BF_350'!$AB$6+'TE CVA'!$AB$6)*1</f>
        <v>216.60171770542672</v>
      </c>
      <c r="AB39" s="6">
        <f>$K$39*$V$39</f>
        <v>0</v>
      </c>
      <c r="AC39" s="6">
        <f>$M$39*$W$39</f>
        <v>986.66425000000004</v>
      </c>
      <c r="AD39" s="6">
        <f>$O$39*$X$39</f>
        <v>2883.7191499999999</v>
      </c>
      <c r="AE39" s="6">
        <f>$K$39*$Y$39</f>
        <v>0</v>
      </c>
      <c r="AF39" s="6">
        <f ca="1">$M$39*$Z$39</f>
        <v>1436.1565120664284</v>
      </c>
      <c r="AG39" s="6">
        <f ca="1">$O$39*$AA$39</f>
        <v>2717.2685486145783</v>
      </c>
    </row>
    <row r="40" spans="1:33" ht="11.25" customHeight="1" x14ac:dyDescent="0.25">
      <c r="A40" s="4" t="s">
        <v>21</v>
      </c>
      <c r="B40" s="4" t="s">
        <v>34</v>
      </c>
      <c r="C40" s="4" t="s">
        <v>35</v>
      </c>
      <c r="D40" s="4" t="s">
        <v>38</v>
      </c>
      <c r="E40" s="4" t="s">
        <v>25</v>
      </c>
      <c r="F40" s="4" t="s">
        <v>25</v>
      </c>
      <c r="G40" s="4" t="s">
        <v>25</v>
      </c>
      <c r="H40" s="4" t="s">
        <v>37</v>
      </c>
      <c r="I40" s="5">
        <v>44409</v>
      </c>
      <c r="J40" s="6">
        <v>0</v>
      </c>
      <c r="K40" s="6">
        <v>0</v>
      </c>
      <c r="L40" s="6">
        <v>172.43899999999999</v>
      </c>
      <c r="M40" s="6">
        <v>172.43899999999999</v>
      </c>
      <c r="N40" s="6">
        <v>172.43899999999999</v>
      </c>
      <c r="O40" s="6">
        <v>172.43899999999999</v>
      </c>
      <c r="P40" s="6">
        <v>0</v>
      </c>
      <c r="Q40" s="4" t="s">
        <v>26</v>
      </c>
      <c r="R40" s="4">
        <v>0</v>
      </c>
      <c r="S40" s="6">
        <v>0</v>
      </c>
      <c r="T40" s="6">
        <v>13</v>
      </c>
      <c r="U40" s="6">
        <v>16</v>
      </c>
      <c r="V40" s="6">
        <f>IF(ISERROR(VLOOKUP($S$40,'TAR FIN'!$A$1:$O$85,15,0)),0,VLOOKUP($S$40,'TAR FIN'!$A$1:$O$85,15,0))</f>
        <v>0</v>
      </c>
      <c r="W40" s="6">
        <f>IF(ISERROR(VLOOKUP($T$40,'TAR FIN'!$A$1:$O$85,15,0)),0,VLOOKUP($T$40,'TAR FIN'!$A$1:$O$85,15,0))</f>
        <v>78.650000000000006</v>
      </c>
      <c r="X40" s="6">
        <f>IF(ISERROR(VLOOKUP($U$40,'TAR FIN'!$A$1:$O$85,15,0)),0,VLOOKUP($U$40,'TAR FIN'!$A$1:$O$85,15,0))</f>
        <v>229.87</v>
      </c>
      <c r="Y40" s="6"/>
      <c r="Z40" s="6">
        <f ca="1">('TUSD BE'!$AM$12+'TUSD BF_350'!$AM$12+'TUSD CVA'!$AM$12)*1</f>
        <v>114.48039155571371</v>
      </c>
      <c r="AA40" s="6">
        <f ca="1">('TE BE'!$AB$6+'TE BF_350'!$AB$6+'TE CVA'!$AB$6)*1</f>
        <v>216.60171770542672</v>
      </c>
      <c r="AB40" s="6">
        <f>$K$40*$V$40</f>
        <v>0</v>
      </c>
      <c r="AC40" s="6">
        <f>$M$40*$W$40</f>
        <v>13562.32735</v>
      </c>
      <c r="AD40" s="6">
        <f>$O$40*$X$40</f>
        <v>39638.552929999998</v>
      </c>
      <c r="AE40" s="6">
        <f>$K$40*$Y$40</f>
        <v>0</v>
      </c>
      <c r="AF40" s="6">
        <f ca="1">$M$40*$Z$40</f>
        <v>19740.884239475716</v>
      </c>
      <c r="AG40" s="6">
        <f ca="1">$O$40*$AA$40</f>
        <v>37350.583599406076</v>
      </c>
    </row>
    <row r="41" spans="1:33" ht="11.25" customHeight="1" x14ac:dyDescent="0.25">
      <c r="A41" s="4" t="s">
        <v>27</v>
      </c>
      <c r="B41" s="4" t="s">
        <v>34</v>
      </c>
      <c r="C41" s="4" t="s">
        <v>35</v>
      </c>
      <c r="D41" s="4" t="s">
        <v>38</v>
      </c>
      <c r="E41" s="4" t="s">
        <v>25</v>
      </c>
      <c r="F41" s="4" t="s">
        <v>25</v>
      </c>
      <c r="G41" s="4" t="s">
        <v>25</v>
      </c>
      <c r="H41" s="4" t="s">
        <v>37</v>
      </c>
      <c r="I41" s="5">
        <v>44409</v>
      </c>
      <c r="J41" s="6">
        <v>0</v>
      </c>
      <c r="K41" s="6">
        <v>0</v>
      </c>
      <c r="L41" s="6">
        <v>9.2539999999999996</v>
      </c>
      <c r="M41" s="6">
        <v>9.2539999999999996</v>
      </c>
      <c r="N41" s="6">
        <v>9.2539999999999996</v>
      </c>
      <c r="O41" s="6">
        <v>9.2539999999999996</v>
      </c>
      <c r="P41" s="6">
        <v>0</v>
      </c>
      <c r="Q41" s="4" t="s">
        <v>26</v>
      </c>
      <c r="R41" s="4">
        <v>0</v>
      </c>
      <c r="S41" s="6">
        <v>0</v>
      </c>
      <c r="T41" s="6">
        <v>13</v>
      </c>
      <c r="U41" s="6">
        <v>16</v>
      </c>
      <c r="V41" s="6">
        <f>IF(ISERROR(VLOOKUP($S$41,'TAR FIN'!$A$1:$O$85,15,0)),0,VLOOKUP($S$41,'TAR FIN'!$A$1:$O$85,15,0))</f>
        <v>0</v>
      </c>
      <c r="W41" s="6">
        <f>IF(ISERROR(VLOOKUP($T$41,'TAR FIN'!$A$1:$O$85,15,0)),0,VLOOKUP($T$41,'TAR FIN'!$A$1:$O$85,15,0))</f>
        <v>78.650000000000006</v>
      </c>
      <c r="X41" s="6">
        <f>IF(ISERROR(VLOOKUP($U$41,'TAR FIN'!$A$1:$O$85,15,0)),0,VLOOKUP($U$41,'TAR FIN'!$A$1:$O$85,15,0))</f>
        <v>229.87</v>
      </c>
      <c r="Y41" s="6"/>
      <c r="Z41" s="6">
        <f ca="1">('TUSD BE'!$AM$12+'TUSD BF_350'!$AM$12+'TUSD CVA'!$AM$12)*1</f>
        <v>114.48039155571371</v>
      </c>
      <c r="AA41" s="6">
        <f ca="1">('TE BE'!$AB$6+'TE BF_350'!$AB$6+'TE CVA'!$AB$6)*1</f>
        <v>216.60171770542672</v>
      </c>
      <c r="AB41" s="6">
        <f>$K$41*$V$41</f>
        <v>0</v>
      </c>
      <c r="AC41" s="6">
        <f>$M$41*$W$41</f>
        <v>727.82709999999997</v>
      </c>
      <c r="AD41" s="6">
        <f>$O$41*$X$41</f>
        <v>2127.2169800000001</v>
      </c>
      <c r="AE41" s="6">
        <f>$K$41*$Y$41</f>
        <v>0</v>
      </c>
      <c r="AF41" s="6">
        <f ca="1">$M$41*$Z$41</f>
        <v>1059.4015434565747</v>
      </c>
      <c r="AG41" s="6">
        <f ca="1">$O$41*$AA$41</f>
        <v>2004.4322956460187</v>
      </c>
    </row>
    <row r="42" spans="1:33" ht="11.25" customHeight="1" x14ac:dyDescent="0.25">
      <c r="A42" s="4" t="s">
        <v>21</v>
      </c>
      <c r="B42" s="4" t="s">
        <v>34</v>
      </c>
      <c r="C42" s="4" t="s">
        <v>35</v>
      </c>
      <c r="D42" s="4" t="s">
        <v>38</v>
      </c>
      <c r="E42" s="4" t="s">
        <v>25</v>
      </c>
      <c r="F42" s="4" t="s">
        <v>25</v>
      </c>
      <c r="G42" s="4" t="s">
        <v>25</v>
      </c>
      <c r="H42" s="4" t="s">
        <v>37</v>
      </c>
      <c r="I42" s="5">
        <v>44440</v>
      </c>
      <c r="J42" s="6">
        <v>0</v>
      </c>
      <c r="K42" s="6">
        <v>0</v>
      </c>
      <c r="L42" s="6">
        <v>166.48099999999999</v>
      </c>
      <c r="M42" s="6">
        <v>166.48099999999999</v>
      </c>
      <c r="N42" s="6">
        <v>166.48099999999999</v>
      </c>
      <c r="O42" s="6">
        <v>166.48099999999999</v>
      </c>
      <c r="P42" s="6">
        <v>0</v>
      </c>
      <c r="Q42" s="4" t="s">
        <v>26</v>
      </c>
      <c r="R42" s="4">
        <v>0</v>
      </c>
      <c r="S42" s="6">
        <v>0</v>
      </c>
      <c r="T42" s="6">
        <v>13</v>
      </c>
      <c r="U42" s="6">
        <v>16</v>
      </c>
      <c r="V42" s="6">
        <f>IF(ISERROR(VLOOKUP($S$42,'TAR FIN'!$A$1:$O$85,15,0)),0,VLOOKUP($S$42,'TAR FIN'!$A$1:$O$85,15,0))</f>
        <v>0</v>
      </c>
      <c r="W42" s="6">
        <f>IF(ISERROR(VLOOKUP($T$42,'TAR FIN'!$A$1:$O$85,15,0)),0,VLOOKUP($T$42,'TAR FIN'!$A$1:$O$85,15,0))</f>
        <v>78.650000000000006</v>
      </c>
      <c r="X42" s="6">
        <f>IF(ISERROR(VLOOKUP($U$42,'TAR FIN'!$A$1:$O$85,15,0)),0,VLOOKUP($U$42,'TAR FIN'!$A$1:$O$85,15,0))</f>
        <v>229.87</v>
      </c>
      <c r="Y42" s="6"/>
      <c r="Z42" s="6">
        <f ca="1">('TUSD BE'!$AM$12+'TUSD BF_350'!$AM$12+'TUSD CVA'!$AM$12)*1</f>
        <v>114.48039155571371</v>
      </c>
      <c r="AA42" s="6">
        <f ca="1">('TE BE'!$AB$6+'TE BF_350'!$AB$6+'TE CVA'!$AB$6)*1</f>
        <v>216.60171770542672</v>
      </c>
      <c r="AB42" s="6">
        <f>$K$42*$V$42</f>
        <v>0</v>
      </c>
      <c r="AC42" s="6">
        <f>$M$42*$W$42</f>
        <v>13093.730650000001</v>
      </c>
      <c r="AD42" s="6">
        <f>$O$42*$X$42</f>
        <v>38268.98747</v>
      </c>
      <c r="AE42" s="6">
        <f>$K$42*$Y$42</f>
        <v>0</v>
      </c>
      <c r="AF42" s="6">
        <f ca="1">$M$42*$Z$42</f>
        <v>19058.810066586775</v>
      </c>
      <c r="AG42" s="6">
        <f ca="1">$O$42*$AA$42</f>
        <v>36060.070565317146</v>
      </c>
    </row>
    <row r="43" spans="1:33" ht="11.25" customHeight="1" x14ac:dyDescent="0.25">
      <c r="A43" s="4" t="s">
        <v>27</v>
      </c>
      <c r="B43" s="4" t="s">
        <v>34</v>
      </c>
      <c r="C43" s="4" t="s">
        <v>35</v>
      </c>
      <c r="D43" s="4" t="s">
        <v>38</v>
      </c>
      <c r="E43" s="4" t="s">
        <v>25</v>
      </c>
      <c r="F43" s="4" t="s">
        <v>25</v>
      </c>
      <c r="G43" s="4" t="s">
        <v>25</v>
      </c>
      <c r="H43" s="4" t="s">
        <v>37</v>
      </c>
      <c r="I43" s="5">
        <v>44440</v>
      </c>
      <c r="J43" s="6">
        <v>0</v>
      </c>
      <c r="K43" s="6">
        <v>0</v>
      </c>
      <c r="L43" s="6">
        <v>7.24</v>
      </c>
      <c r="M43" s="6">
        <v>7.24</v>
      </c>
      <c r="N43" s="6">
        <v>7.24</v>
      </c>
      <c r="O43" s="6">
        <v>7.24</v>
      </c>
      <c r="P43" s="6">
        <v>0</v>
      </c>
      <c r="Q43" s="4" t="s">
        <v>26</v>
      </c>
      <c r="R43" s="4">
        <v>0</v>
      </c>
      <c r="S43" s="6">
        <v>0</v>
      </c>
      <c r="T43" s="6">
        <v>13</v>
      </c>
      <c r="U43" s="6">
        <v>16</v>
      </c>
      <c r="V43" s="6">
        <f>IF(ISERROR(VLOOKUP($S$43,'TAR FIN'!$A$1:$O$85,15,0)),0,VLOOKUP($S$43,'TAR FIN'!$A$1:$O$85,15,0))</f>
        <v>0</v>
      </c>
      <c r="W43" s="6">
        <f>IF(ISERROR(VLOOKUP($T$43,'TAR FIN'!$A$1:$O$85,15,0)),0,VLOOKUP($T$43,'TAR FIN'!$A$1:$O$85,15,0))</f>
        <v>78.650000000000006</v>
      </c>
      <c r="X43" s="6">
        <f>IF(ISERROR(VLOOKUP($U$43,'TAR FIN'!$A$1:$O$85,15,0)),0,VLOOKUP($U$43,'TAR FIN'!$A$1:$O$85,15,0))</f>
        <v>229.87</v>
      </c>
      <c r="Y43" s="6"/>
      <c r="Z43" s="6">
        <f ca="1">('TUSD BE'!$AM$12+'TUSD BF_350'!$AM$12+'TUSD CVA'!$AM$12)*1</f>
        <v>114.48039155571371</v>
      </c>
      <c r="AA43" s="6">
        <f ca="1">('TE BE'!$AB$6+'TE BF_350'!$AB$6+'TE CVA'!$AB$6)*1</f>
        <v>216.60171770542672</v>
      </c>
      <c r="AB43" s="6">
        <f>$K$43*$V$43</f>
        <v>0</v>
      </c>
      <c r="AC43" s="6">
        <f>$M$43*$W$43</f>
        <v>569.42600000000004</v>
      </c>
      <c r="AD43" s="6">
        <f>$O$43*$X$43</f>
        <v>1664.2588000000001</v>
      </c>
      <c r="AE43" s="6">
        <f>$K$43*$Y$43</f>
        <v>0</v>
      </c>
      <c r="AF43" s="6">
        <f ca="1">$M$43*$Z$43</f>
        <v>828.83803486336728</v>
      </c>
      <c r="AG43" s="6">
        <f ca="1">$O$43*$AA$43</f>
        <v>1568.1964361872895</v>
      </c>
    </row>
    <row r="44" spans="1:33" ht="11.25" customHeight="1" x14ac:dyDescent="0.25">
      <c r="A44" s="4" t="s">
        <v>21</v>
      </c>
      <c r="B44" s="4" t="s">
        <v>34</v>
      </c>
      <c r="C44" s="4" t="s">
        <v>35</v>
      </c>
      <c r="D44" s="4" t="s">
        <v>38</v>
      </c>
      <c r="E44" s="4" t="s">
        <v>25</v>
      </c>
      <c r="F44" s="4" t="s">
        <v>25</v>
      </c>
      <c r="G44" s="4" t="s">
        <v>25</v>
      </c>
      <c r="H44" s="4" t="s">
        <v>37</v>
      </c>
      <c r="I44" s="5">
        <v>44470</v>
      </c>
      <c r="J44" s="6">
        <v>0</v>
      </c>
      <c r="K44" s="6">
        <v>0</v>
      </c>
      <c r="L44" s="6">
        <v>175.33600000000001</v>
      </c>
      <c r="M44" s="6">
        <v>175.33600000000001</v>
      </c>
      <c r="N44" s="6">
        <v>175.33600000000001</v>
      </c>
      <c r="O44" s="6">
        <v>175.33600000000001</v>
      </c>
      <c r="P44" s="6">
        <v>0</v>
      </c>
      <c r="Q44" s="4" t="s">
        <v>26</v>
      </c>
      <c r="R44" s="4">
        <v>0</v>
      </c>
      <c r="S44" s="6">
        <v>0</v>
      </c>
      <c r="T44" s="6">
        <v>13</v>
      </c>
      <c r="U44" s="6">
        <v>16</v>
      </c>
      <c r="V44" s="6">
        <f>IF(ISERROR(VLOOKUP($S$44,'TAR FIN'!$A$1:$O$85,15,0)),0,VLOOKUP($S$44,'TAR FIN'!$A$1:$O$85,15,0))</f>
        <v>0</v>
      </c>
      <c r="W44" s="6">
        <f>IF(ISERROR(VLOOKUP($T$44,'TAR FIN'!$A$1:$O$85,15,0)),0,VLOOKUP($T$44,'TAR FIN'!$A$1:$O$85,15,0))</f>
        <v>78.650000000000006</v>
      </c>
      <c r="X44" s="6">
        <f>IF(ISERROR(VLOOKUP($U$44,'TAR FIN'!$A$1:$O$85,15,0)),0,VLOOKUP($U$44,'TAR FIN'!$A$1:$O$85,15,0))</f>
        <v>229.87</v>
      </c>
      <c r="Y44" s="6"/>
      <c r="Z44" s="6">
        <f ca="1">('TUSD BE'!$AM$12+'TUSD BF_350'!$AM$12+'TUSD CVA'!$AM$12)*1</f>
        <v>114.48039155571371</v>
      </c>
      <c r="AA44" s="6">
        <f ca="1">('TE BE'!$AB$6+'TE BF_350'!$AB$6+'TE CVA'!$AB$6)*1</f>
        <v>216.60171770542672</v>
      </c>
      <c r="AB44" s="6">
        <f>$K$44*$V$44</f>
        <v>0</v>
      </c>
      <c r="AC44" s="6">
        <f>$M$44*$W$44</f>
        <v>13790.176400000002</v>
      </c>
      <c r="AD44" s="6">
        <f>$O$44*$X$44</f>
        <v>40304.486320000004</v>
      </c>
      <c r="AE44" s="6">
        <f>$K$44*$Y$44</f>
        <v>0</v>
      </c>
      <c r="AF44" s="6">
        <f ca="1">$M$44*$Z$44</f>
        <v>20072.533933812621</v>
      </c>
      <c r="AG44" s="6">
        <f ca="1">$O$44*$AA$44</f>
        <v>37978.078775598704</v>
      </c>
    </row>
    <row r="45" spans="1:33" ht="11.25" customHeight="1" x14ac:dyDescent="0.25">
      <c r="A45" s="4" t="s">
        <v>27</v>
      </c>
      <c r="B45" s="4" t="s">
        <v>34</v>
      </c>
      <c r="C45" s="4" t="s">
        <v>35</v>
      </c>
      <c r="D45" s="4" t="s">
        <v>38</v>
      </c>
      <c r="E45" s="4" t="s">
        <v>25</v>
      </c>
      <c r="F45" s="4" t="s">
        <v>25</v>
      </c>
      <c r="G45" s="4" t="s">
        <v>25</v>
      </c>
      <c r="H45" s="4" t="s">
        <v>37</v>
      </c>
      <c r="I45" s="5">
        <v>44470</v>
      </c>
      <c r="J45" s="6">
        <v>0</v>
      </c>
      <c r="K45" s="6">
        <v>0</v>
      </c>
      <c r="L45" s="6">
        <v>8.6389999999999993</v>
      </c>
      <c r="M45" s="6">
        <v>8.6389999999999993</v>
      </c>
      <c r="N45" s="6">
        <v>8.6389999999999993</v>
      </c>
      <c r="O45" s="6">
        <v>8.6389999999999993</v>
      </c>
      <c r="P45" s="6">
        <v>0</v>
      </c>
      <c r="Q45" s="4" t="s">
        <v>26</v>
      </c>
      <c r="R45" s="4">
        <v>0</v>
      </c>
      <c r="S45" s="6">
        <v>0</v>
      </c>
      <c r="T45" s="6">
        <v>13</v>
      </c>
      <c r="U45" s="6">
        <v>16</v>
      </c>
      <c r="V45" s="6">
        <f>IF(ISERROR(VLOOKUP($S$45,'TAR FIN'!$A$1:$O$85,15,0)),0,VLOOKUP($S$45,'TAR FIN'!$A$1:$O$85,15,0))</f>
        <v>0</v>
      </c>
      <c r="W45" s="6">
        <f>IF(ISERROR(VLOOKUP($T$45,'TAR FIN'!$A$1:$O$85,15,0)),0,VLOOKUP($T$45,'TAR FIN'!$A$1:$O$85,15,0))</f>
        <v>78.650000000000006</v>
      </c>
      <c r="X45" s="6">
        <f>IF(ISERROR(VLOOKUP($U$45,'TAR FIN'!$A$1:$O$85,15,0)),0,VLOOKUP($U$45,'TAR FIN'!$A$1:$O$85,15,0))</f>
        <v>229.87</v>
      </c>
      <c r="Y45" s="6"/>
      <c r="Z45" s="6">
        <f ca="1">('TUSD BE'!$AM$12+'TUSD BF_350'!$AM$12+'TUSD CVA'!$AM$12)*1</f>
        <v>114.48039155571371</v>
      </c>
      <c r="AA45" s="6">
        <f ca="1">('TE BE'!$AB$6+'TE BF_350'!$AB$6+'TE CVA'!$AB$6)*1</f>
        <v>216.60171770542672</v>
      </c>
      <c r="AB45" s="6">
        <f>$K$45*$V$45</f>
        <v>0</v>
      </c>
      <c r="AC45" s="6">
        <f>$M$45*$W$45</f>
        <v>679.45735000000002</v>
      </c>
      <c r="AD45" s="6">
        <f>$O$45*$X$45</f>
        <v>1985.8469299999999</v>
      </c>
      <c r="AE45" s="6">
        <f>$K$45*$Y$45</f>
        <v>0</v>
      </c>
      <c r="AF45" s="6">
        <f ca="1">$M$45*$Z$45</f>
        <v>988.99610264981061</v>
      </c>
      <c r="AG45" s="6">
        <f ca="1">$O$45*$AA$45</f>
        <v>1871.2222392571814</v>
      </c>
    </row>
    <row r="46" spans="1:33" ht="11.25" customHeight="1" x14ac:dyDescent="0.25">
      <c r="A46" s="4" t="s">
        <v>21</v>
      </c>
      <c r="B46" s="4" t="s">
        <v>34</v>
      </c>
      <c r="C46" s="4" t="s">
        <v>35</v>
      </c>
      <c r="D46" s="4" t="s">
        <v>38</v>
      </c>
      <c r="E46" s="4" t="s">
        <v>25</v>
      </c>
      <c r="F46" s="4" t="s">
        <v>25</v>
      </c>
      <c r="G46" s="4" t="s">
        <v>25</v>
      </c>
      <c r="H46" s="4" t="s">
        <v>37</v>
      </c>
      <c r="I46" s="5">
        <v>44501</v>
      </c>
      <c r="J46" s="6">
        <v>0</v>
      </c>
      <c r="K46" s="6">
        <v>0</v>
      </c>
      <c r="L46" s="6">
        <v>205.268</v>
      </c>
      <c r="M46" s="6">
        <v>205.268</v>
      </c>
      <c r="N46" s="6">
        <v>205.268</v>
      </c>
      <c r="O46" s="6">
        <v>205.268</v>
      </c>
      <c r="P46" s="6">
        <v>0</v>
      </c>
      <c r="Q46" s="4" t="s">
        <v>26</v>
      </c>
      <c r="R46" s="4">
        <v>0</v>
      </c>
      <c r="S46" s="6">
        <v>0</v>
      </c>
      <c r="T46" s="6">
        <v>13</v>
      </c>
      <c r="U46" s="6">
        <v>16</v>
      </c>
      <c r="V46" s="6">
        <f>IF(ISERROR(VLOOKUP($S$46,'TAR FIN'!$A$1:$O$85,15,0)),0,VLOOKUP($S$46,'TAR FIN'!$A$1:$O$85,15,0))</f>
        <v>0</v>
      </c>
      <c r="W46" s="6">
        <f>IF(ISERROR(VLOOKUP($T$46,'TAR FIN'!$A$1:$O$85,15,0)),0,VLOOKUP($T$46,'TAR FIN'!$A$1:$O$85,15,0))</f>
        <v>78.650000000000006</v>
      </c>
      <c r="X46" s="6">
        <f>IF(ISERROR(VLOOKUP($U$46,'TAR FIN'!$A$1:$O$85,15,0)),0,VLOOKUP($U$46,'TAR FIN'!$A$1:$O$85,15,0))</f>
        <v>229.87</v>
      </c>
      <c r="Y46" s="6"/>
      <c r="Z46" s="6">
        <f ca="1">('TUSD BE'!$AM$12+'TUSD BF_350'!$AM$12+'TUSD CVA'!$AM$12)*1</f>
        <v>114.48039155571371</v>
      </c>
      <c r="AA46" s="6">
        <f ca="1">('TE BE'!$AB$6+'TE BF_350'!$AB$6+'TE CVA'!$AB$6)*1</f>
        <v>216.60171770542672</v>
      </c>
      <c r="AB46" s="6">
        <f>$K$46*$V$46</f>
        <v>0</v>
      </c>
      <c r="AC46" s="6">
        <f>$M$46*$W$46</f>
        <v>16144.328200000002</v>
      </c>
      <c r="AD46" s="6">
        <f>$O$46*$X$46</f>
        <v>47184.955159999998</v>
      </c>
      <c r="AE46" s="6">
        <f>$K$46*$Y$46</f>
        <v>0</v>
      </c>
      <c r="AF46" s="6">
        <f ca="1">$M$46*$Z$46</f>
        <v>23499.16101385824</v>
      </c>
      <c r="AG46" s="6">
        <f ca="1">$O$46*$AA$46</f>
        <v>44461.401389957529</v>
      </c>
    </row>
    <row r="47" spans="1:33" ht="11.25" customHeight="1" x14ac:dyDescent="0.25">
      <c r="A47" s="4" t="s">
        <v>27</v>
      </c>
      <c r="B47" s="4" t="s">
        <v>34</v>
      </c>
      <c r="C47" s="4" t="s">
        <v>35</v>
      </c>
      <c r="D47" s="4" t="s">
        <v>38</v>
      </c>
      <c r="E47" s="4" t="s">
        <v>25</v>
      </c>
      <c r="F47" s="4" t="s">
        <v>25</v>
      </c>
      <c r="G47" s="4" t="s">
        <v>25</v>
      </c>
      <c r="H47" s="4" t="s">
        <v>37</v>
      </c>
      <c r="I47" s="5">
        <v>44501</v>
      </c>
      <c r="J47" s="6">
        <v>0</v>
      </c>
      <c r="K47" s="6">
        <v>0</v>
      </c>
      <c r="L47" s="6">
        <v>32.134999999999998</v>
      </c>
      <c r="M47" s="6">
        <v>32.134999999999998</v>
      </c>
      <c r="N47" s="6">
        <v>32.134999999999998</v>
      </c>
      <c r="O47" s="6">
        <v>32.134999999999998</v>
      </c>
      <c r="P47" s="6">
        <v>0</v>
      </c>
      <c r="Q47" s="4" t="s">
        <v>26</v>
      </c>
      <c r="R47" s="4">
        <v>0</v>
      </c>
      <c r="S47" s="6">
        <v>0</v>
      </c>
      <c r="T47" s="6">
        <v>13</v>
      </c>
      <c r="U47" s="6">
        <v>16</v>
      </c>
      <c r="V47" s="6">
        <f>IF(ISERROR(VLOOKUP($S$47,'TAR FIN'!$A$1:$O$85,15,0)),0,VLOOKUP($S$47,'TAR FIN'!$A$1:$O$85,15,0))</f>
        <v>0</v>
      </c>
      <c r="W47" s="6">
        <f>IF(ISERROR(VLOOKUP($T$47,'TAR FIN'!$A$1:$O$85,15,0)),0,VLOOKUP($T$47,'TAR FIN'!$A$1:$O$85,15,0))</f>
        <v>78.650000000000006</v>
      </c>
      <c r="X47" s="6">
        <f>IF(ISERROR(VLOOKUP($U$47,'TAR FIN'!$A$1:$O$85,15,0)),0,VLOOKUP($U$47,'TAR FIN'!$A$1:$O$85,15,0))</f>
        <v>229.87</v>
      </c>
      <c r="Y47" s="6"/>
      <c r="Z47" s="6">
        <f ca="1">('TUSD BE'!$AM$12+'TUSD BF_350'!$AM$12+'TUSD CVA'!$AM$12)*1</f>
        <v>114.48039155571371</v>
      </c>
      <c r="AA47" s="6">
        <f ca="1">('TE BE'!$AB$6+'TE BF_350'!$AB$6+'TE CVA'!$AB$6)*1</f>
        <v>216.60171770542672</v>
      </c>
      <c r="AB47" s="6">
        <f>$K$47*$V$47</f>
        <v>0</v>
      </c>
      <c r="AC47" s="6">
        <f>$M$47*$W$47</f>
        <v>2527.4177500000001</v>
      </c>
      <c r="AD47" s="6">
        <f>$O$47*$X$47</f>
        <v>7386.8724499999998</v>
      </c>
      <c r="AE47" s="6">
        <f>$K$47*$Y$47</f>
        <v>0</v>
      </c>
      <c r="AF47" s="6">
        <f ca="1">$M$47*$Z$47</f>
        <v>3678.8273826428599</v>
      </c>
      <c r="AG47" s="6">
        <f ca="1">$O$47*$AA$47</f>
        <v>6960.4961984638876</v>
      </c>
    </row>
    <row r="48" spans="1:33" ht="11.25" customHeight="1" x14ac:dyDescent="0.25">
      <c r="A48" s="4" t="s">
        <v>21</v>
      </c>
      <c r="B48" s="4" t="s">
        <v>34</v>
      </c>
      <c r="C48" s="4" t="s">
        <v>35</v>
      </c>
      <c r="D48" s="4" t="s">
        <v>38</v>
      </c>
      <c r="E48" s="4" t="s">
        <v>25</v>
      </c>
      <c r="F48" s="4" t="s">
        <v>25</v>
      </c>
      <c r="G48" s="4" t="s">
        <v>25</v>
      </c>
      <c r="H48" s="4" t="s">
        <v>37</v>
      </c>
      <c r="I48" s="5">
        <v>44531</v>
      </c>
      <c r="J48" s="6">
        <v>0</v>
      </c>
      <c r="K48" s="6">
        <v>0</v>
      </c>
      <c r="L48" s="6">
        <v>219.99600000000001</v>
      </c>
      <c r="M48" s="6">
        <v>219.99600000000001</v>
      </c>
      <c r="N48" s="6">
        <v>219.99600000000001</v>
      </c>
      <c r="O48" s="6">
        <v>219.99600000000001</v>
      </c>
      <c r="P48" s="6">
        <v>0</v>
      </c>
      <c r="Q48" s="4" t="s">
        <v>26</v>
      </c>
      <c r="R48" s="4">
        <v>0</v>
      </c>
      <c r="S48" s="6">
        <v>0</v>
      </c>
      <c r="T48" s="6">
        <v>13</v>
      </c>
      <c r="U48" s="6">
        <v>16</v>
      </c>
      <c r="V48" s="6">
        <f>IF(ISERROR(VLOOKUP($S$48,'TAR FIN'!$A$1:$O$85,15,0)),0,VLOOKUP($S$48,'TAR FIN'!$A$1:$O$85,15,0))</f>
        <v>0</v>
      </c>
      <c r="W48" s="6">
        <f>IF(ISERROR(VLOOKUP($T$48,'TAR FIN'!$A$1:$O$85,15,0)),0,VLOOKUP($T$48,'TAR FIN'!$A$1:$O$85,15,0))</f>
        <v>78.650000000000006</v>
      </c>
      <c r="X48" s="6">
        <f>IF(ISERROR(VLOOKUP($U$48,'TAR FIN'!$A$1:$O$85,15,0)),0,VLOOKUP($U$48,'TAR FIN'!$A$1:$O$85,15,0))</f>
        <v>229.87</v>
      </c>
      <c r="Y48" s="6"/>
      <c r="Z48" s="6">
        <f ca="1">('TUSD BE'!$AM$12+'TUSD BF_350'!$AM$12+'TUSD CVA'!$AM$12)*1</f>
        <v>114.48039155571371</v>
      </c>
      <c r="AA48" s="6">
        <f ca="1">('TE BE'!$AB$6+'TE BF_350'!$AB$6+'TE CVA'!$AB$6)*1</f>
        <v>216.60171770542672</v>
      </c>
      <c r="AB48" s="6">
        <f>$K$48*$V$48</f>
        <v>0</v>
      </c>
      <c r="AC48" s="6">
        <f>$M$48*$W$48</f>
        <v>17302.685400000002</v>
      </c>
      <c r="AD48" s="6">
        <f>$O$48*$X$48</f>
        <v>50570.480520000005</v>
      </c>
      <c r="AE48" s="6">
        <f>$K$48*$Y$48</f>
        <v>0</v>
      </c>
      <c r="AF48" s="6">
        <f ca="1">$M$48*$Z$48</f>
        <v>25185.228220690795</v>
      </c>
      <c r="AG48" s="6">
        <f ca="1">$O$48*$AA$48</f>
        <v>47651.511488323056</v>
      </c>
    </row>
    <row r="49" spans="1:33" ht="11.25" customHeight="1" x14ac:dyDescent="0.25">
      <c r="A49" s="4" t="s">
        <v>27</v>
      </c>
      <c r="B49" s="4" t="s">
        <v>34</v>
      </c>
      <c r="C49" s="4" t="s">
        <v>35</v>
      </c>
      <c r="D49" s="4" t="s">
        <v>38</v>
      </c>
      <c r="E49" s="4" t="s">
        <v>25</v>
      </c>
      <c r="F49" s="4" t="s">
        <v>25</v>
      </c>
      <c r="G49" s="4" t="s">
        <v>25</v>
      </c>
      <c r="H49" s="4" t="s">
        <v>37</v>
      </c>
      <c r="I49" s="5">
        <v>44531</v>
      </c>
      <c r="J49" s="6">
        <v>0</v>
      </c>
      <c r="K49" s="6">
        <v>0</v>
      </c>
      <c r="L49" s="6">
        <v>16.257999999999999</v>
      </c>
      <c r="M49" s="6">
        <v>16.257999999999999</v>
      </c>
      <c r="N49" s="6">
        <v>16.257999999999999</v>
      </c>
      <c r="O49" s="6">
        <v>16.257999999999999</v>
      </c>
      <c r="P49" s="6">
        <v>0</v>
      </c>
      <c r="Q49" s="4" t="s">
        <v>26</v>
      </c>
      <c r="R49" s="4">
        <v>0</v>
      </c>
      <c r="S49" s="6">
        <v>0</v>
      </c>
      <c r="T49" s="6">
        <v>13</v>
      </c>
      <c r="U49" s="6">
        <v>16</v>
      </c>
      <c r="V49" s="6">
        <f>IF(ISERROR(VLOOKUP($S$49,'TAR FIN'!$A$1:$O$85,15,0)),0,VLOOKUP($S$49,'TAR FIN'!$A$1:$O$85,15,0))</f>
        <v>0</v>
      </c>
      <c r="W49" s="6">
        <f>IF(ISERROR(VLOOKUP($T$49,'TAR FIN'!$A$1:$O$85,15,0)),0,VLOOKUP($T$49,'TAR FIN'!$A$1:$O$85,15,0))</f>
        <v>78.650000000000006</v>
      </c>
      <c r="X49" s="6">
        <f>IF(ISERROR(VLOOKUP($U$49,'TAR FIN'!$A$1:$O$85,15,0)),0,VLOOKUP($U$49,'TAR FIN'!$A$1:$O$85,15,0))</f>
        <v>229.87</v>
      </c>
      <c r="Y49" s="6"/>
      <c r="Z49" s="6">
        <f ca="1">('TUSD BE'!$AM$12+'TUSD BF_350'!$AM$12+'TUSD CVA'!$AM$12)*1</f>
        <v>114.48039155571371</v>
      </c>
      <c r="AA49" s="6">
        <f ca="1">('TE BE'!$AB$6+'TE BF_350'!$AB$6+'TE CVA'!$AB$6)*1</f>
        <v>216.60171770542672</v>
      </c>
      <c r="AB49" s="6">
        <f>$K$49*$V$49</f>
        <v>0</v>
      </c>
      <c r="AC49" s="6">
        <f>$M$49*$W$49</f>
        <v>1278.6917000000001</v>
      </c>
      <c r="AD49" s="6">
        <f>$O$49*$X$49</f>
        <v>3737.2264599999999</v>
      </c>
      <c r="AE49" s="6">
        <f>$K$49*$Y$49</f>
        <v>0</v>
      </c>
      <c r="AF49" s="6">
        <f ca="1">$M$49*$Z$49</f>
        <v>1861.2222059127935</v>
      </c>
      <c r="AG49" s="6">
        <f ca="1">$O$49*$AA$49</f>
        <v>3521.5107264548274</v>
      </c>
    </row>
    <row r="50" spans="1:33" ht="11.25" customHeight="1" x14ac:dyDescent="0.25">
      <c r="A50" s="4" t="s">
        <v>21</v>
      </c>
      <c r="B50" s="4" t="s">
        <v>34</v>
      </c>
      <c r="C50" s="4" t="s">
        <v>35</v>
      </c>
      <c r="D50" s="4" t="s">
        <v>38</v>
      </c>
      <c r="E50" s="4" t="s">
        <v>25</v>
      </c>
      <c r="F50" s="4" t="s">
        <v>25</v>
      </c>
      <c r="G50" s="4" t="s">
        <v>25</v>
      </c>
      <c r="H50" s="4" t="s">
        <v>37</v>
      </c>
      <c r="I50" s="5">
        <v>44562</v>
      </c>
      <c r="J50" s="6">
        <v>0</v>
      </c>
      <c r="K50" s="6">
        <v>0</v>
      </c>
      <c r="L50" s="6">
        <v>234.53899999999999</v>
      </c>
      <c r="M50" s="6">
        <v>234.53899999999999</v>
      </c>
      <c r="N50" s="6">
        <v>234.53899999999999</v>
      </c>
      <c r="O50" s="6">
        <v>234.53899999999999</v>
      </c>
      <c r="P50" s="6">
        <v>0</v>
      </c>
      <c r="Q50" s="4" t="s">
        <v>26</v>
      </c>
      <c r="R50" s="4">
        <v>0</v>
      </c>
      <c r="S50" s="6">
        <v>0</v>
      </c>
      <c r="T50" s="6">
        <v>13</v>
      </c>
      <c r="U50" s="6">
        <v>16</v>
      </c>
      <c r="V50" s="6">
        <f>IF(ISERROR(VLOOKUP($S$50,'TAR FIN'!$A$1:$O$85,15,0)),0,VLOOKUP($S$50,'TAR FIN'!$A$1:$O$85,15,0))</f>
        <v>0</v>
      </c>
      <c r="W50" s="6">
        <f>IF(ISERROR(VLOOKUP($T$50,'TAR FIN'!$A$1:$O$85,15,0)),0,VLOOKUP($T$50,'TAR FIN'!$A$1:$O$85,15,0))</f>
        <v>78.650000000000006</v>
      </c>
      <c r="X50" s="6">
        <f>IF(ISERROR(VLOOKUP($U$50,'TAR FIN'!$A$1:$O$85,15,0)),0,VLOOKUP($U$50,'TAR FIN'!$A$1:$O$85,15,0))</f>
        <v>229.87</v>
      </c>
      <c r="Y50" s="6"/>
      <c r="Z50" s="6">
        <f ca="1">('TUSD BE'!$AM$12+'TUSD BF_350'!$AM$12+'TUSD CVA'!$AM$12)*1</f>
        <v>114.48039155571371</v>
      </c>
      <c r="AA50" s="6">
        <f ca="1">('TE BE'!$AB$6+'TE BF_350'!$AB$6+'TE CVA'!$AB$6)*1</f>
        <v>216.60171770542672</v>
      </c>
      <c r="AB50" s="6">
        <f>$K$50*$V$50</f>
        <v>0</v>
      </c>
      <c r="AC50" s="6">
        <f>$M$50*$W$50</f>
        <v>18446.49235</v>
      </c>
      <c r="AD50" s="6">
        <f>$O$50*$X$50</f>
        <v>53913.479930000001</v>
      </c>
      <c r="AE50" s="6">
        <f>$K$50*$Y$50</f>
        <v>0</v>
      </c>
      <c r="AF50" s="6">
        <f ca="1">$M$50*$Z$50</f>
        <v>26850.116555085537</v>
      </c>
      <c r="AG50" s="6">
        <f ca="1">$O$50*$AA$50</f>
        <v>50801.550268913074</v>
      </c>
    </row>
    <row r="51" spans="1:33" ht="11.25" customHeight="1" x14ac:dyDescent="0.25">
      <c r="A51" s="4" t="s">
        <v>27</v>
      </c>
      <c r="B51" s="4" t="s">
        <v>34</v>
      </c>
      <c r="C51" s="4" t="s">
        <v>35</v>
      </c>
      <c r="D51" s="4" t="s">
        <v>38</v>
      </c>
      <c r="E51" s="4" t="s">
        <v>25</v>
      </c>
      <c r="F51" s="4" t="s">
        <v>25</v>
      </c>
      <c r="G51" s="4" t="s">
        <v>25</v>
      </c>
      <c r="H51" s="4" t="s">
        <v>37</v>
      </c>
      <c r="I51" s="5">
        <v>44562</v>
      </c>
      <c r="J51" s="6">
        <v>0</v>
      </c>
      <c r="K51" s="6">
        <v>0</v>
      </c>
      <c r="L51" s="6">
        <v>20.654</v>
      </c>
      <c r="M51" s="6">
        <v>20.654</v>
      </c>
      <c r="N51" s="6">
        <v>20.654</v>
      </c>
      <c r="O51" s="6">
        <v>20.654</v>
      </c>
      <c r="P51" s="6">
        <v>0</v>
      </c>
      <c r="Q51" s="4" t="s">
        <v>26</v>
      </c>
      <c r="R51" s="4">
        <v>0</v>
      </c>
      <c r="S51" s="6">
        <v>0</v>
      </c>
      <c r="T51" s="6">
        <v>13</v>
      </c>
      <c r="U51" s="6">
        <v>16</v>
      </c>
      <c r="V51" s="6">
        <f>IF(ISERROR(VLOOKUP($S$51,'TAR FIN'!$A$1:$O$85,15,0)),0,VLOOKUP($S$51,'TAR FIN'!$A$1:$O$85,15,0))</f>
        <v>0</v>
      </c>
      <c r="W51" s="6">
        <f>IF(ISERROR(VLOOKUP($T$51,'TAR FIN'!$A$1:$O$85,15,0)),0,VLOOKUP($T$51,'TAR FIN'!$A$1:$O$85,15,0))</f>
        <v>78.650000000000006</v>
      </c>
      <c r="X51" s="6">
        <f>IF(ISERROR(VLOOKUP($U$51,'TAR FIN'!$A$1:$O$85,15,0)),0,VLOOKUP($U$51,'TAR FIN'!$A$1:$O$85,15,0))</f>
        <v>229.87</v>
      </c>
      <c r="Y51" s="6"/>
      <c r="Z51" s="6">
        <f ca="1">('TUSD BE'!$AM$12+'TUSD BF_350'!$AM$12+'TUSD CVA'!$AM$12)*1</f>
        <v>114.48039155571371</v>
      </c>
      <c r="AA51" s="6">
        <f ca="1">('TE BE'!$AB$6+'TE BF_350'!$AB$6+'TE CVA'!$AB$6)*1</f>
        <v>216.60171770542672</v>
      </c>
      <c r="AB51" s="6">
        <f>$K$51*$V$51</f>
        <v>0</v>
      </c>
      <c r="AC51" s="6">
        <f>$M$51*$W$51</f>
        <v>1624.4371000000001</v>
      </c>
      <c r="AD51" s="6">
        <f>$O$51*$X$51</f>
        <v>4747.7349800000002</v>
      </c>
      <c r="AE51" s="6">
        <f>$K$51*$Y$51</f>
        <v>0</v>
      </c>
      <c r="AF51" s="6">
        <f ca="1">$M$51*$Z$51</f>
        <v>2364.4780071917107</v>
      </c>
      <c r="AG51" s="6">
        <f ca="1">$O$51*$AA$51</f>
        <v>4473.6918774878832</v>
      </c>
    </row>
    <row r="52" spans="1:33" ht="11.25" customHeight="1" x14ac:dyDescent="0.25">
      <c r="A52" s="4" t="s">
        <v>21</v>
      </c>
      <c r="B52" s="4" t="s">
        <v>34</v>
      </c>
      <c r="C52" s="4" t="s">
        <v>35</v>
      </c>
      <c r="D52" s="4" t="s">
        <v>38</v>
      </c>
      <c r="E52" s="4" t="s">
        <v>25</v>
      </c>
      <c r="F52" s="4" t="s">
        <v>25</v>
      </c>
      <c r="G52" s="4" t="s">
        <v>25</v>
      </c>
      <c r="H52" s="4" t="s">
        <v>37</v>
      </c>
      <c r="I52" s="5">
        <v>44593</v>
      </c>
      <c r="J52" s="6">
        <v>0</v>
      </c>
      <c r="K52" s="6">
        <v>0</v>
      </c>
      <c r="L52" s="6">
        <v>208.126</v>
      </c>
      <c r="M52" s="6">
        <v>208.126</v>
      </c>
      <c r="N52" s="6">
        <v>208.126</v>
      </c>
      <c r="O52" s="6">
        <v>208.126</v>
      </c>
      <c r="P52" s="6">
        <v>0</v>
      </c>
      <c r="Q52" s="4" t="s">
        <v>26</v>
      </c>
      <c r="R52" s="4">
        <v>0</v>
      </c>
      <c r="S52" s="6">
        <v>0</v>
      </c>
      <c r="T52" s="6">
        <v>13</v>
      </c>
      <c r="U52" s="6">
        <v>16</v>
      </c>
      <c r="V52" s="6">
        <f>IF(ISERROR(VLOOKUP($S$52,'TAR FIN'!$A$1:$O$85,15,0)),0,VLOOKUP($S$52,'TAR FIN'!$A$1:$O$85,15,0))</f>
        <v>0</v>
      </c>
      <c r="W52" s="6">
        <f>IF(ISERROR(VLOOKUP($T$52,'TAR FIN'!$A$1:$O$85,15,0)),0,VLOOKUP($T$52,'TAR FIN'!$A$1:$O$85,15,0))</f>
        <v>78.650000000000006</v>
      </c>
      <c r="X52" s="6">
        <f>IF(ISERROR(VLOOKUP($U$52,'TAR FIN'!$A$1:$O$85,15,0)),0,VLOOKUP($U$52,'TAR FIN'!$A$1:$O$85,15,0))</f>
        <v>229.87</v>
      </c>
      <c r="Y52" s="6"/>
      <c r="Z52" s="6">
        <f ca="1">('TUSD BE'!$AM$12+'TUSD BF_350'!$AM$12+'TUSD CVA'!$AM$12)*1</f>
        <v>114.48039155571371</v>
      </c>
      <c r="AA52" s="6">
        <f ca="1">('TE BE'!$AB$6+'TE BF_350'!$AB$6+'TE CVA'!$AB$6)*1</f>
        <v>216.60171770542672</v>
      </c>
      <c r="AB52" s="6">
        <f>$K$52*$V$52</f>
        <v>0</v>
      </c>
      <c r="AC52" s="6">
        <f>$M$52*$W$52</f>
        <v>16369.109900000001</v>
      </c>
      <c r="AD52" s="6">
        <f>$O$52*$X$52</f>
        <v>47841.923620000001</v>
      </c>
      <c r="AE52" s="6">
        <f>$K$52*$Y$52</f>
        <v>0</v>
      </c>
      <c r="AF52" s="6">
        <f ca="1">$M$52*$Z$52</f>
        <v>23826.345972924471</v>
      </c>
      <c r="AG52" s="6">
        <f ca="1">$O$52*$AA$52</f>
        <v>45080.449099159639</v>
      </c>
    </row>
    <row r="53" spans="1:33" ht="11.25" customHeight="1" x14ac:dyDescent="0.25">
      <c r="A53" s="4" t="s">
        <v>27</v>
      </c>
      <c r="B53" s="4" t="s">
        <v>34</v>
      </c>
      <c r="C53" s="4" t="s">
        <v>35</v>
      </c>
      <c r="D53" s="4" t="s">
        <v>38</v>
      </c>
      <c r="E53" s="4" t="s">
        <v>25</v>
      </c>
      <c r="F53" s="4" t="s">
        <v>25</v>
      </c>
      <c r="G53" s="4" t="s">
        <v>25</v>
      </c>
      <c r="H53" s="4" t="s">
        <v>37</v>
      </c>
      <c r="I53" s="5">
        <v>44593</v>
      </c>
      <c r="J53" s="6">
        <v>0</v>
      </c>
      <c r="K53" s="6">
        <v>0</v>
      </c>
      <c r="L53" s="6">
        <v>41.901000000000003</v>
      </c>
      <c r="M53" s="6">
        <v>41.901000000000003</v>
      </c>
      <c r="N53" s="6">
        <v>41.901000000000003</v>
      </c>
      <c r="O53" s="6">
        <v>41.901000000000003</v>
      </c>
      <c r="P53" s="6">
        <v>0</v>
      </c>
      <c r="Q53" s="4" t="s">
        <v>26</v>
      </c>
      <c r="R53" s="4">
        <v>0</v>
      </c>
      <c r="S53" s="6">
        <v>0</v>
      </c>
      <c r="T53" s="6">
        <v>13</v>
      </c>
      <c r="U53" s="6">
        <v>16</v>
      </c>
      <c r="V53" s="6">
        <f>IF(ISERROR(VLOOKUP($S$53,'TAR FIN'!$A$1:$O$85,15,0)),0,VLOOKUP($S$53,'TAR FIN'!$A$1:$O$85,15,0))</f>
        <v>0</v>
      </c>
      <c r="W53" s="6">
        <f>IF(ISERROR(VLOOKUP($T$53,'TAR FIN'!$A$1:$O$85,15,0)),0,VLOOKUP($T$53,'TAR FIN'!$A$1:$O$85,15,0))</f>
        <v>78.650000000000006</v>
      </c>
      <c r="X53" s="6">
        <f>IF(ISERROR(VLOOKUP($U$53,'TAR FIN'!$A$1:$O$85,15,0)),0,VLOOKUP($U$53,'TAR FIN'!$A$1:$O$85,15,0))</f>
        <v>229.87</v>
      </c>
      <c r="Y53" s="6"/>
      <c r="Z53" s="6">
        <f ca="1">('TUSD BE'!$AM$12+'TUSD BF_350'!$AM$12+'TUSD CVA'!$AM$12)*1</f>
        <v>114.48039155571371</v>
      </c>
      <c r="AA53" s="6">
        <f ca="1">('TE BE'!$AB$6+'TE BF_350'!$AB$6+'TE CVA'!$AB$6)*1</f>
        <v>216.60171770542672</v>
      </c>
      <c r="AB53" s="6">
        <f>$K$53*$V$53</f>
        <v>0</v>
      </c>
      <c r="AC53" s="6">
        <f>$M$53*$W$53</f>
        <v>3295.5136500000003</v>
      </c>
      <c r="AD53" s="6">
        <f>$O$53*$X$53</f>
        <v>9631.7828700000009</v>
      </c>
      <c r="AE53" s="6">
        <f>$K$53*$Y$53</f>
        <v>0</v>
      </c>
      <c r="AF53" s="6">
        <f ca="1">$M$53*$Z$53</f>
        <v>4796.8428865759606</v>
      </c>
      <c r="AG53" s="6">
        <f ca="1">$O$53*$AA$53</f>
        <v>9075.8285735750851</v>
      </c>
    </row>
    <row r="54" spans="1:33" ht="11.25" customHeight="1" x14ac:dyDescent="0.25">
      <c r="A54" s="4" t="s">
        <v>21</v>
      </c>
      <c r="B54" s="4" t="s">
        <v>34</v>
      </c>
      <c r="C54" s="4" t="s">
        <v>35</v>
      </c>
      <c r="D54" s="4" t="s">
        <v>38</v>
      </c>
      <c r="E54" s="4" t="s">
        <v>25</v>
      </c>
      <c r="F54" s="4" t="s">
        <v>25</v>
      </c>
      <c r="G54" s="4" t="s">
        <v>25</v>
      </c>
      <c r="H54" s="4" t="s">
        <v>37</v>
      </c>
      <c r="I54" s="5">
        <v>44621</v>
      </c>
      <c r="J54" s="6">
        <v>0</v>
      </c>
      <c r="K54" s="6">
        <v>0</v>
      </c>
      <c r="L54" s="6">
        <v>209.947</v>
      </c>
      <c r="M54" s="6">
        <v>209.947</v>
      </c>
      <c r="N54" s="6">
        <v>209.947</v>
      </c>
      <c r="O54" s="6">
        <v>209.947</v>
      </c>
      <c r="P54" s="6">
        <v>0</v>
      </c>
      <c r="Q54" s="4" t="s">
        <v>26</v>
      </c>
      <c r="R54" s="4">
        <v>0</v>
      </c>
      <c r="S54" s="6">
        <v>0</v>
      </c>
      <c r="T54" s="6">
        <v>13</v>
      </c>
      <c r="U54" s="6">
        <v>16</v>
      </c>
      <c r="V54" s="6">
        <f>IF(ISERROR(VLOOKUP($S$54,'TAR FIN'!$A$1:$O$85,15,0)),0,VLOOKUP($S$54,'TAR FIN'!$A$1:$O$85,15,0))</f>
        <v>0</v>
      </c>
      <c r="W54" s="6">
        <f>IF(ISERROR(VLOOKUP($T$54,'TAR FIN'!$A$1:$O$85,15,0)),0,VLOOKUP($T$54,'TAR FIN'!$A$1:$O$85,15,0))</f>
        <v>78.650000000000006</v>
      </c>
      <c r="X54" s="6">
        <f>IF(ISERROR(VLOOKUP($U$54,'TAR FIN'!$A$1:$O$85,15,0)),0,VLOOKUP($U$54,'TAR FIN'!$A$1:$O$85,15,0))</f>
        <v>229.87</v>
      </c>
      <c r="Y54" s="6"/>
      <c r="Z54" s="6">
        <f ca="1">('TUSD BE'!$AM$12+'TUSD BF_350'!$AM$12+'TUSD CVA'!$AM$12)*1</f>
        <v>114.48039155571371</v>
      </c>
      <c r="AA54" s="6">
        <f ca="1">('TE BE'!$AB$6+'TE BF_350'!$AB$6+'TE CVA'!$AB$6)*1</f>
        <v>216.60171770542672</v>
      </c>
      <c r="AB54" s="6">
        <f>$K$54*$V$54</f>
        <v>0</v>
      </c>
      <c r="AC54" s="6">
        <f>$M$54*$W$54</f>
        <v>16512.331550000003</v>
      </c>
      <c r="AD54" s="6">
        <f>$O$54*$X$54</f>
        <v>48260.516889999999</v>
      </c>
      <c r="AE54" s="6">
        <f>$K$54*$Y$54</f>
        <v>0</v>
      </c>
      <c r="AF54" s="6">
        <f ca="1">$M$54*$Z$54</f>
        <v>24034.814765947427</v>
      </c>
      <c r="AG54" s="6">
        <f ca="1">$O$54*$AA$54</f>
        <v>45474.880827101224</v>
      </c>
    </row>
    <row r="55" spans="1:33" ht="11.25" customHeight="1" x14ac:dyDescent="0.25">
      <c r="A55" s="4" t="s">
        <v>27</v>
      </c>
      <c r="B55" s="4" t="s">
        <v>34</v>
      </c>
      <c r="C55" s="4" t="s">
        <v>35</v>
      </c>
      <c r="D55" s="4" t="s">
        <v>38</v>
      </c>
      <c r="E55" s="4" t="s">
        <v>25</v>
      </c>
      <c r="F55" s="4" t="s">
        <v>25</v>
      </c>
      <c r="G55" s="4" t="s">
        <v>25</v>
      </c>
      <c r="H55" s="4" t="s">
        <v>37</v>
      </c>
      <c r="I55" s="5">
        <v>44621</v>
      </c>
      <c r="J55" s="6">
        <v>0</v>
      </c>
      <c r="K55" s="6">
        <v>0</v>
      </c>
      <c r="L55" s="6">
        <v>32.024000000000001</v>
      </c>
      <c r="M55" s="6">
        <v>32.024000000000001</v>
      </c>
      <c r="N55" s="6">
        <v>32.024000000000001</v>
      </c>
      <c r="O55" s="6">
        <v>32.024000000000001</v>
      </c>
      <c r="P55" s="6">
        <v>0</v>
      </c>
      <c r="Q55" s="4" t="s">
        <v>26</v>
      </c>
      <c r="R55" s="4">
        <v>0</v>
      </c>
      <c r="S55" s="6">
        <v>0</v>
      </c>
      <c r="T55" s="6">
        <v>13</v>
      </c>
      <c r="U55" s="6">
        <v>16</v>
      </c>
      <c r="V55" s="6">
        <f>IF(ISERROR(VLOOKUP($S$55,'TAR FIN'!$A$1:$O$85,15,0)),0,VLOOKUP($S$55,'TAR FIN'!$A$1:$O$85,15,0))</f>
        <v>0</v>
      </c>
      <c r="W55" s="6">
        <f>IF(ISERROR(VLOOKUP($T$55,'TAR FIN'!$A$1:$O$85,15,0)),0,VLOOKUP($T$55,'TAR FIN'!$A$1:$O$85,15,0))</f>
        <v>78.650000000000006</v>
      </c>
      <c r="X55" s="6">
        <f>IF(ISERROR(VLOOKUP($U$55,'TAR FIN'!$A$1:$O$85,15,0)),0,VLOOKUP($U$55,'TAR FIN'!$A$1:$O$85,15,0))</f>
        <v>229.87</v>
      </c>
      <c r="Y55" s="6"/>
      <c r="Z55" s="6">
        <f ca="1">('TUSD BE'!$AM$12+'TUSD BF_350'!$AM$12+'TUSD CVA'!$AM$12)*1</f>
        <v>114.48039155571371</v>
      </c>
      <c r="AA55" s="6">
        <f ca="1">('TE BE'!$AB$6+'TE BF_350'!$AB$6+'TE CVA'!$AB$6)*1</f>
        <v>216.60171770542672</v>
      </c>
      <c r="AB55" s="6">
        <f>$K$55*$V$55</f>
        <v>0</v>
      </c>
      <c r="AC55" s="6">
        <f>$M$55*$W$55</f>
        <v>2518.6876000000002</v>
      </c>
      <c r="AD55" s="6">
        <f>$O$55*$X$55</f>
        <v>7361.3568800000003</v>
      </c>
      <c r="AE55" s="6">
        <f>$K$55*$Y$55</f>
        <v>0</v>
      </c>
      <c r="AF55" s="6">
        <f ca="1">$M$55*$Z$55</f>
        <v>3666.1200591801758</v>
      </c>
      <c r="AG55" s="6">
        <f ca="1">$O$55*$AA$55</f>
        <v>6936.4534077985854</v>
      </c>
    </row>
    <row r="56" spans="1:33" ht="11.25" customHeight="1" x14ac:dyDescent="0.25">
      <c r="A56" s="4" t="s">
        <v>21</v>
      </c>
      <c r="B56" s="4" t="s">
        <v>34</v>
      </c>
      <c r="C56" s="4" t="s">
        <v>35</v>
      </c>
      <c r="D56" s="4" t="s">
        <v>38</v>
      </c>
      <c r="E56" s="4" t="s">
        <v>25</v>
      </c>
      <c r="F56" s="4" t="s">
        <v>25</v>
      </c>
      <c r="G56" s="4" t="s">
        <v>25</v>
      </c>
      <c r="H56" s="4" t="s">
        <v>37</v>
      </c>
      <c r="I56" s="5">
        <v>44652</v>
      </c>
      <c r="J56" s="6">
        <v>0</v>
      </c>
      <c r="K56" s="6">
        <v>0</v>
      </c>
      <c r="L56" s="6">
        <v>178.52699999999999</v>
      </c>
      <c r="M56" s="6">
        <v>178.52699999999999</v>
      </c>
      <c r="N56" s="6">
        <v>178.52699999999999</v>
      </c>
      <c r="O56" s="6">
        <v>178.52699999999999</v>
      </c>
      <c r="P56" s="6">
        <v>0</v>
      </c>
      <c r="Q56" s="4" t="s">
        <v>26</v>
      </c>
      <c r="R56" s="4">
        <v>0</v>
      </c>
      <c r="S56" s="6">
        <v>0</v>
      </c>
      <c r="T56" s="6">
        <v>13</v>
      </c>
      <c r="U56" s="6">
        <v>16</v>
      </c>
      <c r="V56" s="6">
        <f>IF(ISERROR(VLOOKUP($S$56,'TAR FIN'!$A$1:$O$85,15,0)),0,VLOOKUP($S$56,'TAR FIN'!$A$1:$O$85,15,0))</f>
        <v>0</v>
      </c>
      <c r="W56" s="6">
        <f>IF(ISERROR(VLOOKUP($T$56,'TAR FIN'!$A$1:$O$85,15,0)),0,VLOOKUP($T$56,'TAR FIN'!$A$1:$O$85,15,0))</f>
        <v>78.650000000000006</v>
      </c>
      <c r="X56" s="6">
        <f>IF(ISERROR(VLOOKUP($U$56,'TAR FIN'!$A$1:$O$85,15,0)),0,VLOOKUP($U$56,'TAR FIN'!$A$1:$O$85,15,0))</f>
        <v>229.87</v>
      </c>
      <c r="Y56" s="6"/>
      <c r="Z56" s="6">
        <f ca="1">('TUSD BE'!$AM$12+'TUSD BF_350'!$AM$12+'TUSD CVA'!$AM$12)*1</f>
        <v>114.48039155571371</v>
      </c>
      <c r="AA56" s="6">
        <f ca="1">('TE BE'!$AB$6+'TE BF_350'!$AB$6+'TE CVA'!$AB$6)*1</f>
        <v>216.60171770542672</v>
      </c>
      <c r="AB56" s="6">
        <f>$K$56*$V$56</f>
        <v>0</v>
      </c>
      <c r="AC56" s="6">
        <f>$M$56*$W$56</f>
        <v>14041.14855</v>
      </c>
      <c r="AD56" s="6">
        <f>$O$56*$X$56</f>
        <v>41038.001489999995</v>
      </c>
      <c r="AE56" s="6">
        <f>$K$56*$Y$56</f>
        <v>0</v>
      </c>
      <c r="AF56" s="6">
        <f ca="1">$M$56*$Z$56</f>
        <v>20437.840863266902</v>
      </c>
      <c r="AG56" s="6">
        <f ca="1">$O$56*$AA$56</f>
        <v>38669.254856796717</v>
      </c>
    </row>
    <row r="57" spans="1:33" ht="11.25" customHeight="1" x14ac:dyDescent="0.25">
      <c r="A57" s="4" t="s">
        <v>27</v>
      </c>
      <c r="B57" s="4" t="s">
        <v>34</v>
      </c>
      <c r="C57" s="4" t="s">
        <v>35</v>
      </c>
      <c r="D57" s="4" t="s">
        <v>38</v>
      </c>
      <c r="E57" s="4" t="s">
        <v>25</v>
      </c>
      <c r="F57" s="4" t="s">
        <v>25</v>
      </c>
      <c r="G57" s="4" t="s">
        <v>25</v>
      </c>
      <c r="H57" s="4" t="s">
        <v>37</v>
      </c>
      <c r="I57" s="5">
        <v>44652</v>
      </c>
      <c r="J57" s="6">
        <v>0</v>
      </c>
      <c r="K57" s="6">
        <v>0</v>
      </c>
      <c r="L57" s="6">
        <v>46.622</v>
      </c>
      <c r="M57" s="6">
        <v>46.622</v>
      </c>
      <c r="N57" s="6">
        <v>46.622</v>
      </c>
      <c r="O57" s="6">
        <v>46.622</v>
      </c>
      <c r="P57" s="6">
        <v>0</v>
      </c>
      <c r="Q57" s="4" t="s">
        <v>26</v>
      </c>
      <c r="R57" s="4">
        <v>0</v>
      </c>
      <c r="S57" s="6">
        <v>0</v>
      </c>
      <c r="T57" s="6">
        <v>13</v>
      </c>
      <c r="U57" s="6">
        <v>16</v>
      </c>
      <c r="V57" s="6">
        <f>IF(ISERROR(VLOOKUP($S$57,'TAR FIN'!$A$1:$O$85,15,0)),0,VLOOKUP($S$57,'TAR FIN'!$A$1:$O$85,15,0))</f>
        <v>0</v>
      </c>
      <c r="W57" s="6">
        <f>IF(ISERROR(VLOOKUP($T$57,'TAR FIN'!$A$1:$O$85,15,0)),0,VLOOKUP($T$57,'TAR FIN'!$A$1:$O$85,15,0))</f>
        <v>78.650000000000006</v>
      </c>
      <c r="X57" s="6">
        <f>IF(ISERROR(VLOOKUP($U$57,'TAR FIN'!$A$1:$O$85,15,0)),0,VLOOKUP($U$57,'TAR FIN'!$A$1:$O$85,15,0))</f>
        <v>229.87</v>
      </c>
      <c r="Y57" s="6"/>
      <c r="Z57" s="6">
        <f ca="1">('TUSD BE'!$AM$12+'TUSD BF_350'!$AM$12+'TUSD CVA'!$AM$12)*1</f>
        <v>114.48039155571371</v>
      </c>
      <c r="AA57" s="6">
        <f ca="1">('TE BE'!$AB$6+'TE BF_350'!$AB$6+'TE CVA'!$AB$6)*1</f>
        <v>216.60171770542672</v>
      </c>
      <c r="AB57" s="6">
        <f>$K$57*$V$57</f>
        <v>0</v>
      </c>
      <c r="AC57" s="6">
        <f>$M$57*$W$57</f>
        <v>3666.8203000000003</v>
      </c>
      <c r="AD57" s="6">
        <f>$O$57*$X$57</f>
        <v>10716.99914</v>
      </c>
      <c r="AE57" s="6">
        <f>$K$57*$Y$57</f>
        <v>0</v>
      </c>
      <c r="AF57" s="6">
        <f ca="1">$M$57*$Z$57</f>
        <v>5337.3048151104849</v>
      </c>
      <c r="AG57" s="6">
        <f ca="1">$O$57*$AA$57</f>
        <v>10098.405282862404</v>
      </c>
    </row>
    <row r="58" spans="1:33" ht="11.25" customHeight="1" x14ac:dyDescent="0.25">
      <c r="A58" s="4" t="s">
        <v>21</v>
      </c>
      <c r="B58" s="4" t="s">
        <v>34</v>
      </c>
      <c r="C58" s="4" t="s">
        <v>35</v>
      </c>
      <c r="D58" s="4" t="s">
        <v>38</v>
      </c>
      <c r="E58" s="4" t="s">
        <v>25</v>
      </c>
      <c r="F58" s="4" t="s">
        <v>25</v>
      </c>
      <c r="G58" s="4" t="s">
        <v>25</v>
      </c>
      <c r="H58" s="4" t="s">
        <v>37</v>
      </c>
      <c r="I58" s="5">
        <v>44682</v>
      </c>
      <c r="J58" s="6">
        <v>0</v>
      </c>
      <c r="K58" s="6">
        <v>0</v>
      </c>
      <c r="L58" s="6">
        <v>187.43799999999999</v>
      </c>
      <c r="M58" s="6">
        <v>187.43799999999999</v>
      </c>
      <c r="N58" s="6">
        <v>187.43799999999999</v>
      </c>
      <c r="O58" s="6">
        <v>187.43799999999999</v>
      </c>
      <c r="P58" s="6">
        <v>0</v>
      </c>
      <c r="Q58" s="4" t="s">
        <v>26</v>
      </c>
      <c r="R58" s="4">
        <v>0</v>
      </c>
      <c r="S58" s="6">
        <v>0</v>
      </c>
      <c r="T58" s="6">
        <v>13</v>
      </c>
      <c r="U58" s="6">
        <v>16</v>
      </c>
      <c r="V58" s="6">
        <f>IF(ISERROR(VLOOKUP($S$58,'TAR FIN'!$A$1:$O$85,15,0)),0,VLOOKUP($S$58,'TAR FIN'!$A$1:$O$85,15,0))</f>
        <v>0</v>
      </c>
      <c r="W58" s="6">
        <f>IF(ISERROR(VLOOKUP($T$58,'TAR FIN'!$A$1:$O$85,15,0)),0,VLOOKUP($T$58,'TAR FIN'!$A$1:$O$85,15,0))</f>
        <v>78.650000000000006</v>
      </c>
      <c r="X58" s="6">
        <f>IF(ISERROR(VLOOKUP($U$58,'TAR FIN'!$A$1:$O$85,15,0)),0,VLOOKUP($U$58,'TAR FIN'!$A$1:$O$85,15,0))</f>
        <v>229.87</v>
      </c>
      <c r="Y58" s="6"/>
      <c r="Z58" s="6">
        <f ca="1">('TUSD BE'!$AM$12+'TUSD BF_350'!$AM$12+'TUSD CVA'!$AM$12)*1</f>
        <v>114.48039155571371</v>
      </c>
      <c r="AA58" s="6">
        <f ca="1">('TE BE'!$AB$6+'TE BF_350'!$AB$6+'TE CVA'!$AB$6)*1</f>
        <v>216.60171770542672</v>
      </c>
      <c r="AB58" s="6">
        <f>$K$58*$V$58</f>
        <v>0</v>
      </c>
      <c r="AC58" s="6">
        <f>$M$58*$W$58</f>
        <v>14741.9987</v>
      </c>
      <c r="AD58" s="6">
        <f>$O$58*$X$58</f>
        <v>43086.373059999998</v>
      </c>
      <c r="AE58" s="6">
        <f>$K$58*$Y$58</f>
        <v>0</v>
      </c>
      <c r="AF58" s="6">
        <f ca="1">$M$58*$Z$58</f>
        <v>21457.975632419864</v>
      </c>
      <c r="AG58" s="6">
        <f ca="1">$O$58*$AA$58</f>
        <v>40599.392763269774</v>
      </c>
    </row>
    <row r="59" spans="1:33" ht="11.25" customHeight="1" x14ac:dyDescent="0.25">
      <c r="A59" s="4" t="s">
        <v>27</v>
      </c>
      <c r="B59" s="4" t="s">
        <v>34</v>
      </c>
      <c r="C59" s="4" t="s">
        <v>35</v>
      </c>
      <c r="D59" s="4" t="s">
        <v>38</v>
      </c>
      <c r="E59" s="4" t="s">
        <v>25</v>
      </c>
      <c r="F59" s="4" t="s">
        <v>25</v>
      </c>
      <c r="G59" s="4" t="s">
        <v>25</v>
      </c>
      <c r="H59" s="4" t="s">
        <v>37</v>
      </c>
      <c r="I59" s="5">
        <v>44682</v>
      </c>
      <c r="J59" s="6">
        <v>0</v>
      </c>
      <c r="K59" s="6">
        <v>0</v>
      </c>
      <c r="L59" s="6">
        <v>28.597999999999999</v>
      </c>
      <c r="M59" s="6">
        <v>28.597999999999999</v>
      </c>
      <c r="N59" s="6">
        <v>28.597999999999999</v>
      </c>
      <c r="O59" s="6">
        <v>28.597999999999999</v>
      </c>
      <c r="P59" s="6">
        <v>0</v>
      </c>
      <c r="Q59" s="4" t="s">
        <v>26</v>
      </c>
      <c r="R59" s="4">
        <v>0</v>
      </c>
      <c r="S59" s="6">
        <v>0</v>
      </c>
      <c r="T59" s="6">
        <v>13</v>
      </c>
      <c r="U59" s="6">
        <v>16</v>
      </c>
      <c r="V59" s="6">
        <f>IF(ISERROR(VLOOKUP($S$59,'TAR FIN'!$A$1:$O$85,15,0)),0,VLOOKUP($S$59,'TAR FIN'!$A$1:$O$85,15,0))</f>
        <v>0</v>
      </c>
      <c r="W59" s="6">
        <f>IF(ISERROR(VLOOKUP($T$59,'TAR FIN'!$A$1:$O$85,15,0)),0,VLOOKUP($T$59,'TAR FIN'!$A$1:$O$85,15,0))</f>
        <v>78.650000000000006</v>
      </c>
      <c r="X59" s="6">
        <f>IF(ISERROR(VLOOKUP($U$59,'TAR FIN'!$A$1:$O$85,15,0)),0,VLOOKUP($U$59,'TAR FIN'!$A$1:$O$85,15,0))</f>
        <v>229.87</v>
      </c>
      <c r="Y59" s="6"/>
      <c r="Z59" s="6">
        <f ca="1">('TUSD BE'!$AM$12+'TUSD BF_350'!$AM$12+'TUSD CVA'!$AM$12)*1</f>
        <v>114.48039155571371</v>
      </c>
      <c r="AA59" s="6">
        <f ca="1">('TE BE'!$AB$6+'TE BF_350'!$AB$6+'TE CVA'!$AB$6)*1</f>
        <v>216.60171770542672</v>
      </c>
      <c r="AB59" s="6">
        <f>$K$59*$V$59</f>
        <v>0</v>
      </c>
      <c r="AC59" s="6">
        <f>$M$59*$W$59</f>
        <v>2249.2327</v>
      </c>
      <c r="AD59" s="6">
        <f>$O$59*$X$59</f>
        <v>6573.8222599999999</v>
      </c>
      <c r="AE59" s="6">
        <f>$K$59*$Y$59</f>
        <v>0</v>
      </c>
      <c r="AF59" s="6">
        <f ca="1">$M$59*$Z$59</f>
        <v>3273.9102377103004</v>
      </c>
      <c r="AG59" s="6">
        <f ca="1">$O$59*$AA$59</f>
        <v>6194.3759229397929</v>
      </c>
    </row>
    <row r="60" spans="1:33" ht="11.25" customHeight="1" x14ac:dyDescent="0.25">
      <c r="A60" s="4" t="s">
        <v>21</v>
      </c>
      <c r="B60" s="4" t="s">
        <v>34</v>
      </c>
      <c r="C60" s="4" t="s">
        <v>35</v>
      </c>
      <c r="D60" s="4" t="s">
        <v>38</v>
      </c>
      <c r="E60" s="4" t="s">
        <v>25</v>
      </c>
      <c r="F60" s="4" t="s">
        <v>25</v>
      </c>
      <c r="G60" s="4" t="s">
        <v>25</v>
      </c>
      <c r="H60" s="4" t="s">
        <v>37</v>
      </c>
      <c r="I60" s="5">
        <v>44713</v>
      </c>
      <c r="J60" s="6">
        <v>0</v>
      </c>
      <c r="K60" s="6">
        <v>0</v>
      </c>
      <c r="L60" s="6">
        <v>177.31899999999999</v>
      </c>
      <c r="M60" s="6">
        <v>177.31899999999999</v>
      </c>
      <c r="N60" s="6">
        <v>177.31899999999999</v>
      </c>
      <c r="O60" s="6">
        <v>177.31899999999999</v>
      </c>
      <c r="P60" s="6">
        <v>0</v>
      </c>
      <c r="Q60" s="4" t="s">
        <v>26</v>
      </c>
      <c r="R60" s="4">
        <v>0</v>
      </c>
      <c r="S60" s="6">
        <v>0</v>
      </c>
      <c r="T60" s="6">
        <v>13</v>
      </c>
      <c r="U60" s="6">
        <v>16</v>
      </c>
      <c r="V60" s="6">
        <f>IF(ISERROR(VLOOKUP($S$60,'TAR FIN'!$A$1:$O$85,15,0)),0,VLOOKUP($S$60,'TAR FIN'!$A$1:$O$85,15,0))</f>
        <v>0</v>
      </c>
      <c r="W60" s="6">
        <f>IF(ISERROR(VLOOKUP($T$60,'TAR FIN'!$A$1:$O$85,15,0)),0,VLOOKUP($T$60,'TAR FIN'!$A$1:$O$85,15,0))</f>
        <v>78.650000000000006</v>
      </c>
      <c r="X60" s="6">
        <f>IF(ISERROR(VLOOKUP($U$60,'TAR FIN'!$A$1:$O$85,15,0)),0,VLOOKUP($U$60,'TAR FIN'!$A$1:$O$85,15,0))</f>
        <v>229.87</v>
      </c>
      <c r="Y60" s="6"/>
      <c r="Z60" s="6">
        <f ca="1">('TUSD BE'!$AM$12+'TUSD BF_350'!$AM$12+'TUSD CVA'!$AM$12)*1</f>
        <v>114.48039155571371</v>
      </c>
      <c r="AA60" s="6">
        <f ca="1">('TE BE'!$AB$6+'TE BF_350'!$AB$6+'TE CVA'!$AB$6)*1</f>
        <v>216.60171770542672</v>
      </c>
      <c r="AB60" s="6">
        <f>$K$60*$V$60</f>
        <v>0</v>
      </c>
      <c r="AC60" s="6">
        <f>$M$60*$W$60</f>
        <v>13946.139349999999</v>
      </c>
      <c r="AD60" s="6">
        <f>$O$60*$X$60</f>
        <v>40760.318529999997</v>
      </c>
      <c r="AE60" s="6">
        <f>$K$60*$Y$60</f>
        <v>0</v>
      </c>
      <c r="AF60" s="6">
        <f ca="1">$M$60*$Z$60</f>
        <v>20299.548550267598</v>
      </c>
      <c r="AG60" s="6">
        <f ca="1">$O$60*$AA$60</f>
        <v>38407.599981808562</v>
      </c>
    </row>
    <row r="61" spans="1:33" ht="11.25" customHeight="1" x14ac:dyDescent="0.25">
      <c r="A61" s="4" t="s">
        <v>27</v>
      </c>
      <c r="B61" s="4" t="s">
        <v>34</v>
      </c>
      <c r="C61" s="4" t="s">
        <v>35</v>
      </c>
      <c r="D61" s="4" t="s">
        <v>38</v>
      </c>
      <c r="E61" s="4" t="s">
        <v>25</v>
      </c>
      <c r="F61" s="4" t="s">
        <v>25</v>
      </c>
      <c r="G61" s="4" t="s">
        <v>25</v>
      </c>
      <c r="H61" s="4" t="s">
        <v>37</v>
      </c>
      <c r="I61" s="5">
        <v>44713</v>
      </c>
      <c r="J61" s="6">
        <v>0</v>
      </c>
      <c r="K61" s="6">
        <v>0</v>
      </c>
      <c r="L61" s="6">
        <v>22.238</v>
      </c>
      <c r="M61" s="6">
        <v>22.238</v>
      </c>
      <c r="N61" s="6">
        <v>22.238</v>
      </c>
      <c r="O61" s="6">
        <v>22.238</v>
      </c>
      <c r="P61" s="6">
        <v>0</v>
      </c>
      <c r="Q61" s="4" t="s">
        <v>26</v>
      </c>
      <c r="R61" s="4">
        <v>0</v>
      </c>
      <c r="S61" s="6">
        <v>0</v>
      </c>
      <c r="T61" s="6">
        <v>13</v>
      </c>
      <c r="U61" s="6">
        <v>16</v>
      </c>
      <c r="V61" s="6">
        <f>IF(ISERROR(VLOOKUP($S$61,'TAR FIN'!$A$1:$O$85,15,0)),0,VLOOKUP($S$61,'TAR FIN'!$A$1:$O$85,15,0))</f>
        <v>0</v>
      </c>
      <c r="W61" s="6">
        <f>IF(ISERROR(VLOOKUP($T$61,'TAR FIN'!$A$1:$O$85,15,0)),0,VLOOKUP($T$61,'TAR FIN'!$A$1:$O$85,15,0))</f>
        <v>78.650000000000006</v>
      </c>
      <c r="X61" s="6">
        <f>IF(ISERROR(VLOOKUP($U$61,'TAR FIN'!$A$1:$O$85,15,0)),0,VLOOKUP($U$61,'TAR FIN'!$A$1:$O$85,15,0))</f>
        <v>229.87</v>
      </c>
      <c r="Y61" s="6"/>
      <c r="Z61" s="6">
        <f ca="1">('TUSD BE'!$AM$12+'TUSD BF_350'!$AM$12+'TUSD CVA'!$AM$12)*1</f>
        <v>114.48039155571371</v>
      </c>
      <c r="AA61" s="6">
        <f ca="1">('TE BE'!$AB$6+'TE BF_350'!$AB$6+'TE CVA'!$AB$6)*1</f>
        <v>216.60171770542672</v>
      </c>
      <c r="AB61" s="6">
        <f>$K$61*$V$61</f>
        <v>0</v>
      </c>
      <c r="AC61" s="6">
        <f>$M$61*$W$61</f>
        <v>1749.0187000000001</v>
      </c>
      <c r="AD61" s="6">
        <f>$O$61*$X$61</f>
        <v>5111.8490599999996</v>
      </c>
      <c r="AE61" s="6">
        <f>$K$61*$Y$61</f>
        <v>0</v>
      </c>
      <c r="AF61" s="6">
        <f ca="1">$M$61*$Z$61</f>
        <v>2545.8149474159613</v>
      </c>
      <c r="AG61" s="6">
        <f ca="1">$O$61*$AA$61</f>
        <v>4816.7889983332798</v>
      </c>
    </row>
    <row r="62" spans="1:33" ht="11.25" customHeight="1" x14ac:dyDescent="0.25">
      <c r="A62" s="4" t="s">
        <v>21</v>
      </c>
      <c r="B62" s="4" t="s">
        <v>34</v>
      </c>
      <c r="C62" s="4" t="s">
        <v>35</v>
      </c>
      <c r="D62" s="4" t="s">
        <v>38</v>
      </c>
      <c r="E62" s="4" t="s">
        <v>25</v>
      </c>
      <c r="F62" s="4" t="s">
        <v>25</v>
      </c>
      <c r="G62" s="4" t="s">
        <v>25</v>
      </c>
      <c r="H62" s="4" t="s">
        <v>25</v>
      </c>
      <c r="I62" s="5">
        <v>44378</v>
      </c>
      <c r="J62" s="6">
        <v>900</v>
      </c>
      <c r="K62" s="6">
        <v>900</v>
      </c>
      <c r="L62" s="6">
        <v>0</v>
      </c>
      <c r="M62" s="6">
        <v>0</v>
      </c>
      <c r="N62" s="6">
        <v>0</v>
      </c>
      <c r="O62" s="6">
        <v>0</v>
      </c>
      <c r="P62" s="6">
        <v>9</v>
      </c>
      <c r="Q62" s="4" t="s">
        <v>26</v>
      </c>
      <c r="R62" s="4">
        <v>0</v>
      </c>
      <c r="S62" s="6">
        <v>36</v>
      </c>
      <c r="T62" s="6">
        <v>0</v>
      </c>
      <c r="U62" s="6">
        <v>0</v>
      </c>
      <c r="V62" s="6">
        <f>IF(ISERROR(VLOOKUP($S$62,'TAR FIN'!$A$1:$O$85,15,0)),0,VLOOKUP($S$62,'TAR FIN'!$A$1:$O$85,15,0))</f>
        <v>14.94</v>
      </c>
      <c r="W62" s="6">
        <f>IF(ISERROR(VLOOKUP($T$62,'TAR FIN'!$A$1:$O$85,15,0)),0,VLOOKUP($T$62,'TAR FIN'!$A$1:$O$85,15,0))</f>
        <v>0</v>
      </c>
      <c r="X62" s="6">
        <f>IF(ISERROR(VLOOKUP($U$62,'TAR FIN'!$A$1:$O$85,15,0)),0,VLOOKUP($U$62,'TAR FIN'!$A$1:$O$85,15,0))</f>
        <v>0</v>
      </c>
      <c r="Y62" s="6">
        <f ca="1">('TUSD BE'!$AM$10+'TUSD BF_350'!$AM$10+'TUSD CVA'!$AM$10)*1</f>
        <v>19.63429077280307</v>
      </c>
      <c r="Z62" s="6"/>
      <c r="AA62" s="6"/>
      <c r="AB62" s="6">
        <f>$K$62*$V$62</f>
        <v>13446</v>
      </c>
      <c r="AC62" s="6">
        <f>$M$62*$W$62</f>
        <v>0</v>
      </c>
      <c r="AD62" s="6">
        <f>$O$62*$X$62</f>
        <v>0</v>
      </c>
      <c r="AE62" s="6">
        <f ca="1">$K$62*$Y$62</f>
        <v>17670.861695522763</v>
      </c>
      <c r="AF62" s="6">
        <f>$M$62*$Z$62</f>
        <v>0</v>
      </c>
      <c r="AG62" s="6">
        <f>$O$62*$AA$62</f>
        <v>0</v>
      </c>
    </row>
    <row r="63" spans="1:33" ht="11.25" customHeight="1" x14ac:dyDescent="0.25">
      <c r="A63" s="4" t="s">
        <v>27</v>
      </c>
      <c r="B63" s="4" t="s">
        <v>34</v>
      </c>
      <c r="C63" s="4" t="s">
        <v>35</v>
      </c>
      <c r="D63" s="4" t="s">
        <v>38</v>
      </c>
      <c r="E63" s="4" t="s">
        <v>25</v>
      </c>
      <c r="F63" s="4" t="s">
        <v>25</v>
      </c>
      <c r="G63" s="4" t="s">
        <v>25</v>
      </c>
      <c r="H63" s="4" t="s">
        <v>25</v>
      </c>
      <c r="I63" s="5">
        <v>44378</v>
      </c>
      <c r="J63" s="6">
        <v>150</v>
      </c>
      <c r="K63" s="6">
        <v>150</v>
      </c>
      <c r="L63" s="6">
        <v>0</v>
      </c>
      <c r="M63" s="6">
        <v>0</v>
      </c>
      <c r="N63" s="6">
        <v>0</v>
      </c>
      <c r="O63" s="6">
        <v>0</v>
      </c>
      <c r="P63" s="6">
        <v>1</v>
      </c>
      <c r="Q63" s="4" t="s">
        <v>26</v>
      </c>
      <c r="R63" s="4">
        <v>0</v>
      </c>
      <c r="S63" s="6">
        <v>36</v>
      </c>
      <c r="T63" s="6">
        <v>0</v>
      </c>
      <c r="U63" s="6">
        <v>0</v>
      </c>
      <c r="V63" s="6">
        <f>IF(ISERROR(VLOOKUP($S$63,'TAR FIN'!$A$1:$O$85,15,0)),0,VLOOKUP($S$63,'TAR FIN'!$A$1:$O$85,15,0))</f>
        <v>14.94</v>
      </c>
      <c r="W63" s="6">
        <f>IF(ISERROR(VLOOKUP($T$63,'TAR FIN'!$A$1:$O$85,15,0)),0,VLOOKUP($T$63,'TAR FIN'!$A$1:$O$85,15,0))</f>
        <v>0</v>
      </c>
      <c r="X63" s="6">
        <f>IF(ISERROR(VLOOKUP($U$63,'TAR FIN'!$A$1:$O$85,15,0)),0,VLOOKUP($U$63,'TAR FIN'!$A$1:$O$85,15,0))</f>
        <v>0</v>
      </c>
      <c r="Y63" s="6">
        <f ca="1">('TUSD BE'!$AM$10+'TUSD BF_350'!$AM$10+'TUSD CVA'!$AM$10)*1</f>
        <v>19.63429077280307</v>
      </c>
      <c r="Z63" s="6"/>
      <c r="AA63" s="6"/>
      <c r="AB63" s="6">
        <f>$K$63*$V$63</f>
        <v>2241</v>
      </c>
      <c r="AC63" s="6">
        <f>$M$63*$W$63</f>
        <v>0</v>
      </c>
      <c r="AD63" s="6">
        <f>$O$63*$X$63</f>
        <v>0</v>
      </c>
      <c r="AE63" s="6">
        <f ca="1">$K$63*$Y$63</f>
        <v>2945.1436159204604</v>
      </c>
      <c r="AF63" s="6">
        <f>$M$63*$Z$63</f>
        <v>0</v>
      </c>
      <c r="AG63" s="6">
        <f>$O$63*$AA$63</f>
        <v>0</v>
      </c>
    </row>
    <row r="64" spans="1:33" ht="11.25" customHeight="1" x14ac:dyDescent="0.25">
      <c r="A64" s="4" t="s">
        <v>21</v>
      </c>
      <c r="B64" s="4" t="s">
        <v>34</v>
      </c>
      <c r="C64" s="4" t="s">
        <v>35</v>
      </c>
      <c r="D64" s="4" t="s">
        <v>38</v>
      </c>
      <c r="E64" s="4" t="s">
        <v>25</v>
      </c>
      <c r="F64" s="4" t="s">
        <v>25</v>
      </c>
      <c r="G64" s="4" t="s">
        <v>25</v>
      </c>
      <c r="H64" s="4" t="s">
        <v>25</v>
      </c>
      <c r="I64" s="5">
        <v>44409</v>
      </c>
      <c r="J64" s="6">
        <v>877</v>
      </c>
      <c r="K64" s="6">
        <v>877</v>
      </c>
      <c r="L64" s="6">
        <v>0</v>
      </c>
      <c r="M64" s="6">
        <v>0</v>
      </c>
      <c r="N64" s="6">
        <v>0</v>
      </c>
      <c r="O64" s="6">
        <v>0</v>
      </c>
      <c r="P64" s="6">
        <v>9</v>
      </c>
      <c r="Q64" s="4" t="s">
        <v>26</v>
      </c>
      <c r="R64" s="4">
        <v>0</v>
      </c>
      <c r="S64" s="6">
        <v>36</v>
      </c>
      <c r="T64" s="6">
        <v>0</v>
      </c>
      <c r="U64" s="6">
        <v>0</v>
      </c>
      <c r="V64" s="6">
        <f>IF(ISERROR(VLOOKUP($S$64,'TAR FIN'!$A$1:$O$85,15,0)),0,VLOOKUP($S$64,'TAR FIN'!$A$1:$O$85,15,0))</f>
        <v>14.94</v>
      </c>
      <c r="W64" s="6">
        <f>IF(ISERROR(VLOOKUP($T$64,'TAR FIN'!$A$1:$O$85,15,0)),0,VLOOKUP($T$64,'TAR FIN'!$A$1:$O$85,15,0))</f>
        <v>0</v>
      </c>
      <c r="X64" s="6">
        <f>IF(ISERROR(VLOOKUP($U$64,'TAR FIN'!$A$1:$O$85,15,0)),0,VLOOKUP($U$64,'TAR FIN'!$A$1:$O$85,15,0))</f>
        <v>0</v>
      </c>
      <c r="Y64" s="6">
        <f ca="1">('TUSD BE'!$AM$10+'TUSD BF_350'!$AM$10+'TUSD CVA'!$AM$10)*1</f>
        <v>19.63429077280307</v>
      </c>
      <c r="Z64" s="6"/>
      <c r="AA64" s="6"/>
      <c r="AB64" s="6">
        <f>$K$64*$V$64</f>
        <v>13102.38</v>
      </c>
      <c r="AC64" s="6">
        <f>$M$64*$W$64</f>
        <v>0</v>
      </c>
      <c r="AD64" s="6">
        <f>$O$64*$X$64</f>
        <v>0</v>
      </c>
      <c r="AE64" s="6">
        <f ca="1">$K$64*$Y$64</f>
        <v>17219.273007748292</v>
      </c>
      <c r="AF64" s="6">
        <f>$M$64*$Z$64</f>
        <v>0</v>
      </c>
      <c r="AG64" s="6">
        <f>$O$64*$AA$64</f>
        <v>0</v>
      </c>
    </row>
    <row r="65" spans="1:33" ht="11.25" customHeight="1" x14ac:dyDescent="0.25">
      <c r="A65" s="4" t="s">
        <v>27</v>
      </c>
      <c r="B65" s="4" t="s">
        <v>34</v>
      </c>
      <c r="C65" s="4" t="s">
        <v>35</v>
      </c>
      <c r="D65" s="4" t="s">
        <v>38</v>
      </c>
      <c r="E65" s="4" t="s">
        <v>25</v>
      </c>
      <c r="F65" s="4" t="s">
        <v>25</v>
      </c>
      <c r="G65" s="4" t="s">
        <v>25</v>
      </c>
      <c r="H65" s="4" t="s">
        <v>25</v>
      </c>
      <c r="I65" s="5">
        <v>44409</v>
      </c>
      <c r="J65" s="6">
        <v>150</v>
      </c>
      <c r="K65" s="6">
        <v>150</v>
      </c>
      <c r="L65" s="6">
        <v>0</v>
      </c>
      <c r="M65" s="6">
        <v>0</v>
      </c>
      <c r="N65" s="6">
        <v>0</v>
      </c>
      <c r="O65" s="6">
        <v>0</v>
      </c>
      <c r="P65" s="6">
        <v>1</v>
      </c>
      <c r="Q65" s="4" t="s">
        <v>26</v>
      </c>
      <c r="R65" s="4">
        <v>0</v>
      </c>
      <c r="S65" s="6">
        <v>36</v>
      </c>
      <c r="T65" s="6">
        <v>0</v>
      </c>
      <c r="U65" s="6">
        <v>0</v>
      </c>
      <c r="V65" s="6">
        <f>IF(ISERROR(VLOOKUP($S$65,'TAR FIN'!$A$1:$O$85,15,0)),0,VLOOKUP($S$65,'TAR FIN'!$A$1:$O$85,15,0))</f>
        <v>14.94</v>
      </c>
      <c r="W65" s="6">
        <f>IF(ISERROR(VLOOKUP($T$65,'TAR FIN'!$A$1:$O$85,15,0)),0,VLOOKUP($T$65,'TAR FIN'!$A$1:$O$85,15,0))</f>
        <v>0</v>
      </c>
      <c r="X65" s="6">
        <f>IF(ISERROR(VLOOKUP($U$65,'TAR FIN'!$A$1:$O$85,15,0)),0,VLOOKUP($U$65,'TAR FIN'!$A$1:$O$85,15,0))</f>
        <v>0</v>
      </c>
      <c r="Y65" s="6">
        <f ca="1">('TUSD BE'!$AM$10+'TUSD BF_350'!$AM$10+'TUSD CVA'!$AM$10)*1</f>
        <v>19.63429077280307</v>
      </c>
      <c r="Z65" s="6"/>
      <c r="AA65" s="6"/>
      <c r="AB65" s="6">
        <f>$K$65*$V$65</f>
        <v>2241</v>
      </c>
      <c r="AC65" s="6">
        <f>$M$65*$W$65</f>
        <v>0</v>
      </c>
      <c r="AD65" s="6">
        <f>$O$65*$X$65</f>
        <v>0</v>
      </c>
      <c r="AE65" s="6">
        <f ca="1">$K$65*$Y$65</f>
        <v>2945.1436159204604</v>
      </c>
      <c r="AF65" s="6">
        <f>$M$65*$Z$65</f>
        <v>0</v>
      </c>
      <c r="AG65" s="6">
        <f>$O$65*$AA$65</f>
        <v>0</v>
      </c>
    </row>
    <row r="66" spans="1:33" ht="11.25" customHeight="1" x14ac:dyDescent="0.25">
      <c r="A66" s="4" t="s">
        <v>21</v>
      </c>
      <c r="B66" s="4" t="s">
        <v>34</v>
      </c>
      <c r="C66" s="4" t="s">
        <v>35</v>
      </c>
      <c r="D66" s="4" t="s">
        <v>38</v>
      </c>
      <c r="E66" s="4" t="s">
        <v>25</v>
      </c>
      <c r="F66" s="4" t="s">
        <v>25</v>
      </c>
      <c r="G66" s="4" t="s">
        <v>25</v>
      </c>
      <c r="H66" s="4" t="s">
        <v>25</v>
      </c>
      <c r="I66" s="5">
        <v>44440</v>
      </c>
      <c r="J66" s="6">
        <v>877</v>
      </c>
      <c r="K66" s="6">
        <v>877</v>
      </c>
      <c r="L66" s="6">
        <v>0</v>
      </c>
      <c r="M66" s="6">
        <v>0</v>
      </c>
      <c r="N66" s="6">
        <v>0</v>
      </c>
      <c r="O66" s="6">
        <v>0</v>
      </c>
      <c r="P66" s="6">
        <v>9</v>
      </c>
      <c r="Q66" s="4" t="s">
        <v>26</v>
      </c>
      <c r="R66" s="4">
        <v>0</v>
      </c>
      <c r="S66" s="6">
        <v>36</v>
      </c>
      <c r="T66" s="6">
        <v>0</v>
      </c>
      <c r="U66" s="6">
        <v>0</v>
      </c>
      <c r="V66" s="6">
        <f>IF(ISERROR(VLOOKUP($S$66,'TAR FIN'!$A$1:$O$85,15,0)),0,VLOOKUP($S$66,'TAR FIN'!$A$1:$O$85,15,0))</f>
        <v>14.94</v>
      </c>
      <c r="W66" s="6">
        <f>IF(ISERROR(VLOOKUP($T$66,'TAR FIN'!$A$1:$O$85,15,0)),0,VLOOKUP($T$66,'TAR FIN'!$A$1:$O$85,15,0))</f>
        <v>0</v>
      </c>
      <c r="X66" s="6">
        <f>IF(ISERROR(VLOOKUP($U$66,'TAR FIN'!$A$1:$O$85,15,0)),0,VLOOKUP($U$66,'TAR FIN'!$A$1:$O$85,15,0))</f>
        <v>0</v>
      </c>
      <c r="Y66" s="6">
        <f ca="1">('TUSD BE'!$AM$10+'TUSD BF_350'!$AM$10+'TUSD CVA'!$AM$10)*1</f>
        <v>19.63429077280307</v>
      </c>
      <c r="Z66" s="6"/>
      <c r="AA66" s="6"/>
      <c r="AB66" s="6">
        <f>$K$66*$V$66</f>
        <v>13102.38</v>
      </c>
      <c r="AC66" s="6">
        <f>$M$66*$W$66</f>
        <v>0</v>
      </c>
      <c r="AD66" s="6">
        <f>$O$66*$X$66</f>
        <v>0</v>
      </c>
      <c r="AE66" s="6">
        <f ca="1">$K$66*$Y$66</f>
        <v>17219.273007748292</v>
      </c>
      <c r="AF66" s="6">
        <f>$M$66*$Z$66</f>
        <v>0</v>
      </c>
      <c r="AG66" s="6">
        <f>$O$66*$AA$66</f>
        <v>0</v>
      </c>
    </row>
    <row r="67" spans="1:33" ht="11.25" customHeight="1" x14ac:dyDescent="0.25">
      <c r="A67" s="4" t="s">
        <v>27</v>
      </c>
      <c r="B67" s="4" t="s">
        <v>34</v>
      </c>
      <c r="C67" s="4" t="s">
        <v>35</v>
      </c>
      <c r="D67" s="4" t="s">
        <v>38</v>
      </c>
      <c r="E67" s="4" t="s">
        <v>25</v>
      </c>
      <c r="F67" s="4" t="s">
        <v>25</v>
      </c>
      <c r="G67" s="4" t="s">
        <v>25</v>
      </c>
      <c r="H67" s="4" t="s">
        <v>25</v>
      </c>
      <c r="I67" s="5">
        <v>44440</v>
      </c>
      <c r="J67" s="6">
        <v>150</v>
      </c>
      <c r="K67" s="6">
        <v>150</v>
      </c>
      <c r="L67" s="6">
        <v>0</v>
      </c>
      <c r="M67" s="6">
        <v>0</v>
      </c>
      <c r="N67" s="6">
        <v>0</v>
      </c>
      <c r="O67" s="6">
        <v>0</v>
      </c>
      <c r="P67" s="6">
        <v>1</v>
      </c>
      <c r="Q67" s="4" t="s">
        <v>26</v>
      </c>
      <c r="R67" s="4">
        <v>0</v>
      </c>
      <c r="S67" s="6">
        <v>36</v>
      </c>
      <c r="T67" s="6">
        <v>0</v>
      </c>
      <c r="U67" s="6">
        <v>0</v>
      </c>
      <c r="V67" s="6">
        <f>IF(ISERROR(VLOOKUP($S$67,'TAR FIN'!$A$1:$O$85,15,0)),0,VLOOKUP($S$67,'TAR FIN'!$A$1:$O$85,15,0))</f>
        <v>14.94</v>
      </c>
      <c r="W67" s="6">
        <f>IF(ISERROR(VLOOKUP($T$67,'TAR FIN'!$A$1:$O$85,15,0)),0,VLOOKUP($T$67,'TAR FIN'!$A$1:$O$85,15,0))</f>
        <v>0</v>
      </c>
      <c r="X67" s="6">
        <f>IF(ISERROR(VLOOKUP($U$67,'TAR FIN'!$A$1:$O$85,15,0)),0,VLOOKUP($U$67,'TAR FIN'!$A$1:$O$85,15,0))</f>
        <v>0</v>
      </c>
      <c r="Y67" s="6">
        <f ca="1">('TUSD BE'!$AM$10+'TUSD BF_350'!$AM$10+'TUSD CVA'!$AM$10)*1</f>
        <v>19.63429077280307</v>
      </c>
      <c r="Z67" s="6"/>
      <c r="AA67" s="6"/>
      <c r="AB67" s="6">
        <f>$K$67*$V$67</f>
        <v>2241</v>
      </c>
      <c r="AC67" s="6">
        <f>$M$67*$W$67</f>
        <v>0</v>
      </c>
      <c r="AD67" s="6">
        <f>$O$67*$X$67</f>
        <v>0</v>
      </c>
      <c r="AE67" s="6">
        <f ca="1">$K$67*$Y$67</f>
        <v>2945.1436159204604</v>
      </c>
      <c r="AF67" s="6">
        <f>$M$67*$Z$67</f>
        <v>0</v>
      </c>
      <c r="AG67" s="6">
        <f>$O$67*$AA$67</f>
        <v>0</v>
      </c>
    </row>
    <row r="68" spans="1:33" ht="11.25" customHeight="1" x14ac:dyDescent="0.25">
      <c r="A68" s="4" t="s">
        <v>21</v>
      </c>
      <c r="B68" s="4" t="s">
        <v>34</v>
      </c>
      <c r="C68" s="4" t="s">
        <v>35</v>
      </c>
      <c r="D68" s="4" t="s">
        <v>38</v>
      </c>
      <c r="E68" s="4" t="s">
        <v>25</v>
      </c>
      <c r="F68" s="4" t="s">
        <v>25</v>
      </c>
      <c r="G68" s="4" t="s">
        <v>25</v>
      </c>
      <c r="H68" s="4" t="s">
        <v>25</v>
      </c>
      <c r="I68" s="5">
        <v>44470</v>
      </c>
      <c r="J68" s="6">
        <v>877</v>
      </c>
      <c r="K68" s="6">
        <v>877</v>
      </c>
      <c r="L68" s="6">
        <v>0</v>
      </c>
      <c r="M68" s="6">
        <v>0</v>
      </c>
      <c r="N68" s="6">
        <v>0</v>
      </c>
      <c r="O68" s="6">
        <v>0</v>
      </c>
      <c r="P68" s="6">
        <v>9</v>
      </c>
      <c r="Q68" s="4" t="s">
        <v>26</v>
      </c>
      <c r="R68" s="4">
        <v>0</v>
      </c>
      <c r="S68" s="6">
        <v>36</v>
      </c>
      <c r="T68" s="6">
        <v>0</v>
      </c>
      <c r="U68" s="6">
        <v>0</v>
      </c>
      <c r="V68" s="6">
        <f>IF(ISERROR(VLOOKUP($S$68,'TAR FIN'!$A$1:$O$85,15,0)),0,VLOOKUP($S$68,'TAR FIN'!$A$1:$O$85,15,0))</f>
        <v>14.94</v>
      </c>
      <c r="W68" s="6">
        <f>IF(ISERROR(VLOOKUP($T$68,'TAR FIN'!$A$1:$O$85,15,0)),0,VLOOKUP($T$68,'TAR FIN'!$A$1:$O$85,15,0))</f>
        <v>0</v>
      </c>
      <c r="X68" s="6">
        <f>IF(ISERROR(VLOOKUP($U$68,'TAR FIN'!$A$1:$O$85,15,0)),0,VLOOKUP($U$68,'TAR FIN'!$A$1:$O$85,15,0))</f>
        <v>0</v>
      </c>
      <c r="Y68" s="6">
        <f ca="1">('TUSD BE'!$AM$10+'TUSD BF_350'!$AM$10+'TUSD CVA'!$AM$10)*1</f>
        <v>19.63429077280307</v>
      </c>
      <c r="Z68" s="6"/>
      <c r="AA68" s="6"/>
      <c r="AB68" s="6">
        <f>$K$68*$V$68</f>
        <v>13102.38</v>
      </c>
      <c r="AC68" s="6">
        <f>$M$68*$W$68</f>
        <v>0</v>
      </c>
      <c r="AD68" s="6">
        <f>$O$68*$X$68</f>
        <v>0</v>
      </c>
      <c r="AE68" s="6">
        <f ca="1">$K$68*$Y$68</f>
        <v>17219.273007748292</v>
      </c>
      <c r="AF68" s="6">
        <f>$M$68*$Z$68</f>
        <v>0</v>
      </c>
      <c r="AG68" s="6">
        <f>$O$68*$AA$68</f>
        <v>0</v>
      </c>
    </row>
    <row r="69" spans="1:33" ht="11.25" customHeight="1" x14ac:dyDescent="0.25">
      <c r="A69" s="4" t="s">
        <v>27</v>
      </c>
      <c r="B69" s="4" t="s">
        <v>34</v>
      </c>
      <c r="C69" s="4" t="s">
        <v>35</v>
      </c>
      <c r="D69" s="4" t="s">
        <v>38</v>
      </c>
      <c r="E69" s="4" t="s">
        <v>25</v>
      </c>
      <c r="F69" s="4" t="s">
        <v>25</v>
      </c>
      <c r="G69" s="4" t="s">
        <v>25</v>
      </c>
      <c r="H69" s="4" t="s">
        <v>25</v>
      </c>
      <c r="I69" s="5">
        <v>44470</v>
      </c>
      <c r="J69" s="6">
        <v>150</v>
      </c>
      <c r="K69" s="6">
        <v>150</v>
      </c>
      <c r="L69" s="6">
        <v>0</v>
      </c>
      <c r="M69" s="6">
        <v>0</v>
      </c>
      <c r="N69" s="6">
        <v>0</v>
      </c>
      <c r="O69" s="6">
        <v>0</v>
      </c>
      <c r="P69" s="6">
        <v>1</v>
      </c>
      <c r="Q69" s="4" t="s">
        <v>26</v>
      </c>
      <c r="R69" s="4">
        <v>0</v>
      </c>
      <c r="S69" s="6">
        <v>36</v>
      </c>
      <c r="T69" s="6">
        <v>0</v>
      </c>
      <c r="U69" s="6">
        <v>0</v>
      </c>
      <c r="V69" s="6">
        <f>IF(ISERROR(VLOOKUP($S$69,'TAR FIN'!$A$1:$O$85,15,0)),0,VLOOKUP($S$69,'TAR FIN'!$A$1:$O$85,15,0))</f>
        <v>14.94</v>
      </c>
      <c r="W69" s="6">
        <f>IF(ISERROR(VLOOKUP($T$69,'TAR FIN'!$A$1:$O$85,15,0)),0,VLOOKUP($T$69,'TAR FIN'!$A$1:$O$85,15,0))</f>
        <v>0</v>
      </c>
      <c r="X69" s="6">
        <f>IF(ISERROR(VLOOKUP($U$69,'TAR FIN'!$A$1:$O$85,15,0)),0,VLOOKUP($U$69,'TAR FIN'!$A$1:$O$85,15,0))</f>
        <v>0</v>
      </c>
      <c r="Y69" s="6">
        <f ca="1">('TUSD BE'!$AM$10+'TUSD BF_350'!$AM$10+'TUSD CVA'!$AM$10)*1</f>
        <v>19.63429077280307</v>
      </c>
      <c r="Z69" s="6"/>
      <c r="AA69" s="6"/>
      <c r="AB69" s="6">
        <f>$K$69*$V$69</f>
        <v>2241</v>
      </c>
      <c r="AC69" s="6">
        <f>$M$69*$W$69</f>
        <v>0</v>
      </c>
      <c r="AD69" s="6">
        <f>$O$69*$X$69</f>
        <v>0</v>
      </c>
      <c r="AE69" s="6">
        <f ca="1">$K$69*$Y$69</f>
        <v>2945.1436159204604</v>
      </c>
      <c r="AF69" s="6">
        <f>$M$69*$Z$69</f>
        <v>0</v>
      </c>
      <c r="AG69" s="6">
        <f>$O$69*$AA$69</f>
        <v>0</v>
      </c>
    </row>
    <row r="70" spans="1:33" ht="11.25" customHeight="1" x14ac:dyDescent="0.25">
      <c r="A70" s="4" t="s">
        <v>21</v>
      </c>
      <c r="B70" s="4" t="s">
        <v>34</v>
      </c>
      <c r="C70" s="4" t="s">
        <v>35</v>
      </c>
      <c r="D70" s="4" t="s">
        <v>38</v>
      </c>
      <c r="E70" s="4" t="s">
        <v>25</v>
      </c>
      <c r="F70" s="4" t="s">
        <v>25</v>
      </c>
      <c r="G70" s="4" t="s">
        <v>25</v>
      </c>
      <c r="H70" s="4" t="s">
        <v>25</v>
      </c>
      <c r="I70" s="5">
        <v>44501</v>
      </c>
      <c r="J70" s="6">
        <v>880</v>
      </c>
      <c r="K70" s="6">
        <v>880</v>
      </c>
      <c r="L70" s="6">
        <v>0</v>
      </c>
      <c r="M70" s="6">
        <v>0</v>
      </c>
      <c r="N70" s="6">
        <v>0</v>
      </c>
      <c r="O70" s="6">
        <v>0</v>
      </c>
      <c r="P70" s="6">
        <v>9</v>
      </c>
      <c r="Q70" s="4" t="s">
        <v>26</v>
      </c>
      <c r="R70" s="4">
        <v>0</v>
      </c>
      <c r="S70" s="6">
        <v>36</v>
      </c>
      <c r="T70" s="6">
        <v>0</v>
      </c>
      <c r="U70" s="6">
        <v>0</v>
      </c>
      <c r="V70" s="6">
        <f>IF(ISERROR(VLOOKUP($S$70,'TAR FIN'!$A$1:$O$85,15,0)),0,VLOOKUP($S$70,'TAR FIN'!$A$1:$O$85,15,0))</f>
        <v>14.94</v>
      </c>
      <c r="W70" s="6">
        <f>IF(ISERROR(VLOOKUP($T$70,'TAR FIN'!$A$1:$O$85,15,0)),0,VLOOKUP($T$70,'TAR FIN'!$A$1:$O$85,15,0))</f>
        <v>0</v>
      </c>
      <c r="X70" s="6">
        <f>IF(ISERROR(VLOOKUP($U$70,'TAR FIN'!$A$1:$O$85,15,0)),0,VLOOKUP($U$70,'TAR FIN'!$A$1:$O$85,15,0))</f>
        <v>0</v>
      </c>
      <c r="Y70" s="6">
        <f ca="1">('TUSD BE'!$AM$10+'TUSD BF_350'!$AM$10+'TUSD CVA'!$AM$10)*1</f>
        <v>19.63429077280307</v>
      </c>
      <c r="Z70" s="6"/>
      <c r="AA70" s="6"/>
      <c r="AB70" s="6">
        <f>$K$70*$V$70</f>
        <v>13147.199999999999</v>
      </c>
      <c r="AC70" s="6">
        <f>$M$70*$W$70</f>
        <v>0</v>
      </c>
      <c r="AD70" s="6">
        <f>$O$70*$X$70</f>
        <v>0</v>
      </c>
      <c r="AE70" s="6">
        <f ca="1">$K$70*$Y$70</f>
        <v>17278.175880066701</v>
      </c>
      <c r="AF70" s="6">
        <f>$M$70*$Z$70</f>
        <v>0</v>
      </c>
      <c r="AG70" s="6">
        <f>$O$70*$AA$70</f>
        <v>0</v>
      </c>
    </row>
    <row r="71" spans="1:33" ht="11.25" customHeight="1" x14ac:dyDescent="0.25">
      <c r="A71" s="4" t="s">
        <v>27</v>
      </c>
      <c r="B71" s="4" t="s">
        <v>34</v>
      </c>
      <c r="C71" s="4" t="s">
        <v>35</v>
      </c>
      <c r="D71" s="4" t="s">
        <v>38</v>
      </c>
      <c r="E71" s="4" t="s">
        <v>25</v>
      </c>
      <c r="F71" s="4" t="s">
        <v>25</v>
      </c>
      <c r="G71" s="4" t="s">
        <v>25</v>
      </c>
      <c r="H71" s="4" t="s">
        <v>25</v>
      </c>
      <c r="I71" s="5">
        <v>44501</v>
      </c>
      <c r="J71" s="6">
        <v>187</v>
      </c>
      <c r="K71" s="6">
        <v>187</v>
      </c>
      <c r="L71" s="6">
        <v>0</v>
      </c>
      <c r="M71" s="6">
        <v>0</v>
      </c>
      <c r="N71" s="6">
        <v>0</v>
      </c>
      <c r="O71" s="6">
        <v>0</v>
      </c>
      <c r="P71" s="6">
        <v>1</v>
      </c>
      <c r="Q71" s="4" t="s">
        <v>26</v>
      </c>
      <c r="R71" s="4">
        <v>0</v>
      </c>
      <c r="S71" s="6">
        <v>36</v>
      </c>
      <c r="T71" s="6">
        <v>0</v>
      </c>
      <c r="U71" s="6">
        <v>0</v>
      </c>
      <c r="V71" s="6">
        <f>IF(ISERROR(VLOOKUP($S$71,'TAR FIN'!$A$1:$O$85,15,0)),0,VLOOKUP($S$71,'TAR FIN'!$A$1:$O$85,15,0))</f>
        <v>14.94</v>
      </c>
      <c r="W71" s="6">
        <f>IF(ISERROR(VLOOKUP($T$71,'TAR FIN'!$A$1:$O$85,15,0)),0,VLOOKUP($T$71,'TAR FIN'!$A$1:$O$85,15,0))</f>
        <v>0</v>
      </c>
      <c r="X71" s="6">
        <f>IF(ISERROR(VLOOKUP($U$71,'TAR FIN'!$A$1:$O$85,15,0)),0,VLOOKUP($U$71,'TAR FIN'!$A$1:$O$85,15,0))</f>
        <v>0</v>
      </c>
      <c r="Y71" s="6">
        <f ca="1">('TUSD BE'!$AM$10+'TUSD BF_350'!$AM$10+'TUSD CVA'!$AM$10)*1</f>
        <v>19.63429077280307</v>
      </c>
      <c r="Z71" s="6"/>
      <c r="AA71" s="6"/>
      <c r="AB71" s="6">
        <f>$K$71*$V$71</f>
        <v>2793.7799999999997</v>
      </c>
      <c r="AC71" s="6">
        <f>$M$71*$W$71</f>
        <v>0</v>
      </c>
      <c r="AD71" s="6">
        <f>$O$71*$X$71</f>
        <v>0</v>
      </c>
      <c r="AE71" s="6">
        <f ca="1">$K$71*$Y$71</f>
        <v>3671.612374514174</v>
      </c>
      <c r="AF71" s="6">
        <f>$M$71*$Z$71</f>
        <v>0</v>
      </c>
      <c r="AG71" s="6">
        <f>$O$71*$AA$71</f>
        <v>0</v>
      </c>
    </row>
    <row r="72" spans="1:33" ht="11.25" customHeight="1" x14ac:dyDescent="0.25">
      <c r="A72" s="4" t="s">
        <v>21</v>
      </c>
      <c r="B72" s="4" t="s">
        <v>34</v>
      </c>
      <c r="C72" s="4" t="s">
        <v>35</v>
      </c>
      <c r="D72" s="4" t="s">
        <v>38</v>
      </c>
      <c r="E72" s="4" t="s">
        <v>25</v>
      </c>
      <c r="F72" s="4" t="s">
        <v>25</v>
      </c>
      <c r="G72" s="4" t="s">
        <v>25</v>
      </c>
      <c r="H72" s="4" t="s">
        <v>25</v>
      </c>
      <c r="I72" s="5">
        <v>44531</v>
      </c>
      <c r="J72" s="6">
        <v>890</v>
      </c>
      <c r="K72" s="6">
        <v>890</v>
      </c>
      <c r="L72" s="6">
        <v>0</v>
      </c>
      <c r="M72" s="6">
        <v>0</v>
      </c>
      <c r="N72" s="6">
        <v>0</v>
      </c>
      <c r="O72" s="6">
        <v>0</v>
      </c>
      <c r="P72" s="6">
        <v>9</v>
      </c>
      <c r="Q72" s="4" t="s">
        <v>26</v>
      </c>
      <c r="R72" s="4">
        <v>0</v>
      </c>
      <c r="S72" s="6">
        <v>36</v>
      </c>
      <c r="T72" s="6">
        <v>0</v>
      </c>
      <c r="U72" s="6">
        <v>0</v>
      </c>
      <c r="V72" s="6">
        <f>IF(ISERROR(VLOOKUP($S$72,'TAR FIN'!$A$1:$O$85,15,0)),0,VLOOKUP($S$72,'TAR FIN'!$A$1:$O$85,15,0))</f>
        <v>14.94</v>
      </c>
      <c r="W72" s="6">
        <f>IF(ISERROR(VLOOKUP($T$72,'TAR FIN'!$A$1:$O$85,15,0)),0,VLOOKUP($T$72,'TAR FIN'!$A$1:$O$85,15,0))</f>
        <v>0</v>
      </c>
      <c r="X72" s="6">
        <f>IF(ISERROR(VLOOKUP($U$72,'TAR FIN'!$A$1:$O$85,15,0)),0,VLOOKUP($U$72,'TAR FIN'!$A$1:$O$85,15,0))</f>
        <v>0</v>
      </c>
      <c r="Y72" s="6">
        <f ca="1">('TUSD BE'!$AM$10+'TUSD BF_350'!$AM$10+'TUSD CVA'!$AM$10)*1</f>
        <v>19.63429077280307</v>
      </c>
      <c r="Z72" s="6"/>
      <c r="AA72" s="6"/>
      <c r="AB72" s="6">
        <f>$K$72*$V$72</f>
        <v>13296.6</v>
      </c>
      <c r="AC72" s="6">
        <f>$M$72*$W$72</f>
        <v>0</v>
      </c>
      <c r="AD72" s="6">
        <f>$O$72*$X$72</f>
        <v>0</v>
      </c>
      <c r="AE72" s="6">
        <f ca="1">$K$72*$Y$72</f>
        <v>17474.518787794732</v>
      </c>
      <c r="AF72" s="6">
        <f>$M$72*$Z$72</f>
        <v>0</v>
      </c>
      <c r="AG72" s="6">
        <f>$O$72*$AA$72</f>
        <v>0</v>
      </c>
    </row>
    <row r="73" spans="1:33" ht="11.25" customHeight="1" x14ac:dyDescent="0.25">
      <c r="A73" s="4" t="s">
        <v>27</v>
      </c>
      <c r="B73" s="4" t="s">
        <v>34</v>
      </c>
      <c r="C73" s="4" t="s">
        <v>35</v>
      </c>
      <c r="D73" s="4" t="s">
        <v>38</v>
      </c>
      <c r="E73" s="4" t="s">
        <v>25</v>
      </c>
      <c r="F73" s="4" t="s">
        <v>25</v>
      </c>
      <c r="G73" s="4" t="s">
        <v>25</v>
      </c>
      <c r="H73" s="4" t="s">
        <v>25</v>
      </c>
      <c r="I73" s="5">
        <v>44531</v>
      </c>
      <c r="J73" s="6">
        <v>150</v>
      </c>
      <c r="K73" s="6">
        <v>150</v>
      </c>
      <c r="L73" s="6">
        <v>0</v>
      </c>
      <c r="M73" s="6">
        <v>0</v>
      </c>
      <c r="N73" s="6">
        <v>0</v>
      </c>
      <c r="O73" s="6">
        <v>0</v>
      </c>
      <c r="P73" s="6">
        <v>1</v>
      </c>
      <c r="Q73" s="4" t="s">
        <v>26</v>
      </c>
      <c r="R73" s="4">
        <v>0</v>
      </c>
      <c r="S73" s="6">
        <v>36</v>
      </c>
      <c r="T73" s="6">
        <v>0</v>
      </c>
      <c r="U73" s="6">
        <v>0</v>
      </c>
      <c r="V73" s="6">
        <f>IF(ISERROR(VLOOKUP($S$73,'TAR FIN'!$A$1:$O$85,15,0)),0,VLOOKUP($S$73,'TAR FIN'!$A$1:$O$85,15,0))</f>
        <v>14.94</v>
      </c>
      <c r="W73" s="6">
        <f>IF(ISERROR(VLOOKUP($T$73,'TAR FIN'!$A$1:$O$85,15,0)),0,VLOOKUP($T$73,'TAR FIN'!$A$1:$O$85,15,0))</f>
        <v>0</v>
      </c>
      <c r="X73" s="6">
        <f>IF(ISERROR(VLOOKUP($U$73,'TAR FIN'!$A$1:$O$85,15,0)),0,VLOOKUP($U$73,'TAR FIN'!$A$1:$O$85,15,0))</f>
        <v>0</v>
      </c>
      <c r="Y73" s="6">
        <f ca="1">('TUSD BE'!$AM$10+'TUSD BF_350'!$AM$10+'TUSD CVA'!$AM$10)*1</f>
        <v>19.63429077280307</v>
      </c>
      <c r="Z73" s="6"/>
      <c r="AA73" s="6"/>
      <c r="AB73" s="6">
        <f>$K$73*$V$73</f>
        <v>2241</v>
      </c>
      <c r="AC73" s="6">
        <f>$M$73*$W$73</f>
        <v>0</v>
      </c>
      <c r="AD73" s="6">
        <f>$O$73*$X$73</f>
        <v>0</v>
      </c>
      <c r="AE73" s="6">
        <f ca="1">$K$73*$Y$73</f>
        <v>2945.1436159204604</v>
      </c>
      <c r="AF73" s="6">
        <f>$M$73*$Z$73</f>
        <v>0</v>
      </c>
      <c r="AG73" s="6">
        <f>$O$73*$AA$73</f>
        <v>0</v>
      </c>
    </row>
    <row r="74" spans="1:33" ht="11.25" customHeight="1" x14ac:dyDescent="0.25">
      <c r="A74" s="4" t="s">
        <v>21</v>
      </c>
      <c r="B74" s="4" t="s">
        <v>34</v>
      </c>
      <c r="C74" s="4" t="s">
        <v>35</v>
      </c>
      <c r="D74" s="4" t="s">
        <v>38</v>
      </c>
      <c r="E74" s="4" t="s">
        <v>25</v>
      </c>
      <c r="F74" s="4" t="s">
        <v>25</v>
      </c>
      <c r="G74" s="4" t="s">
        <v>25</v>
      </c>
      <c r="H74" s="4" t="s">
        <v>25</v>
      </c>
      <c r="I74" s="5">
        <v>44562</v>
      </c>
      <c r="J74" s="6">
        <v>933</v>
      </c>
      <c r="K74" s="6">
        <v>933</v>
      </c>
      <c r="L74" s="6">
        <v>0</v>
      </c>
      <c r="M74" s="6">
        <v>0</v>
      </c>
      <c r="N74" s="6">
        <v>0</v>
      </c>
      <c r="O74" s="6">
        <v>0</v>
      </c>
      <c r="P74" s="6">
        <v>9</v>
      </c>
      <c r="Q74" s="4" t="s">
        <v>26</v>
      </c>
      <c r="R74" s="4">
        <v>0</v>
      </c>
      <c r="S74" s="6">
        <v>36</v>
      </c>
      <c r="T74" s="6">
        <v>0</v>
      </c>
      <c r="U74" s="6">
        <v>0</v>
      </c>
      <c r="V74" s="6">
        <f>IF(ISERROR(VLOOKUP($S$74,'TAR FIN'!$A$1:$O$85,15,0)),0,VLOOKUP($S$74,'TAR FIN'!$A$1:$O$85,15,0))</f>
        <v>14.94</v>
      </c>
      <c r="W74" s="6">
        <f>IF(ISERROR(VLOOKUP($T$74,'TAR FIN'!$A$1:$O$85,15,0)),0,VLOOKUP($T$74,'TAR FIN'!$A$1:$O$85,15,0))</f>
        <v>0</v>
      </c>
      <c r="X74" s="6">
        <f>IF(ISERROR(VLOOKUP($U$74,'TAR FIN'!$A$1:$O$85,15,0)),0,VLOOKUP($U$74,'TAR FIN'!$A$1:$O$85,15,0))</f>
        <v>0</v>
      </c>
      <c r="Y74" s="6">
        <f ca="1">('TUSD BE'!$AM$10+'TUSD BF_350'!$AM$10+'TUSD CVA'!$AM$10)*1</f>
        <v>19.63429077280307</v>
      </c>
      <c r="Z74" s="6"/>
      <c r="AA74" s="6"/>
      <c r="AB74" s="6">
        <f>$K$74*$V$74</f>
        <v>13939.02</v>
      </c>
      <c r="AC74" s="6">
        <f>$M$74*$W$74</f>
        <v>0</v>
      </c>
      <c r="AD74" s="6">
        <f>$O$74*$X$74</f>
        <v>0</v>
      </c>
      <c r="AE74" s="6">
        <f ca="1">$K$74*$Y$74</f>
        <v>18318.793291025264</v>
      </c>
      <c r="AF74" s="6">
        <f>$M$74*$Z$74</f>
        <v>0</v>
      </c>
      <c r="AG74" s="6">
        <f>$O$74*$AA$74</f>
        <v>0</v>
      </c>
    </row>
    <row r="75" spans="1:33" ht="11.25" customHeight="1" x14ac:dyDescent="0.25">
      <c r="A75" s="4" t="s">
        <v>27</v>
      </c>
      <c r="B75" s="4" t="s">
        <v>34</v>
      </c>
      <c r="C75" s="4" t="s">
        <v>35</v>
      </c>
      <c r="D75" s="4" t="s">
        <v>38</v>
      </c>
      <c r="E75" s="4" t="s">
        <v>25</v>
      </c>
      <c r="F75" s="4" t="s">
        <v>25</v>
      </c>
      <c r="G75" s="4" t="s">
        <v>25</v>
      </c>
      <c r="H75" s="4" t="s">
        <v>25</v>
      </c>
      <c r="I75" s="5">
        <v>44562</v>
      </c>
      <c r="J75" s="6">
        <v>150</v>
      </c>
      <c r="K75" s="6">
        <v>150</v>
      </c>
      <c r="L75" s="6">
        <v>0</v>
      </c>
      <c r="M75" s="6">
        <v>0</v>
      </c>
      <c r="N75" s="6">
        <v>0</v>
      </c>
      <c r="O75" s="6">
        <v>0</v>
      </c>
      <c r="P75" s="6">
        <v>1</v>
      </c>
      <c r="Q75" s="4" t="s">
        <v>26</v>
      </c>
      <c r="R75" s="4">
        <v>0</v>
      </c>
      <c r="S75" s="6">
        <v>36</v>
      </c>
      <c r="T75" s="6">
        <v>0</v>
      </c>
      <c r="U75" s="6">
        <v>0</v>
      </c>
      <c r="V75" s="6">
        <f>IF(ISERROR(VLOOKUP($S$75,'TAR FIN'!$A$1:$O$85,15,0)),0,VLOOKUP($S$75,'TAR FIN'!$A$1:$O$85,15,0))</f>
        <v>14.94</v>
      </c>
      <c r="W75" s="6">
        <f>IF(ISERROR(VLOOKUP($T$75,'TAR FIN'!$A$1:$O$85,15,0)),0,VLOOKUP($T$75,'TAR FIN'!$A$1:$O$85,15,0))</f>
        <v>0</v>
      </c>
      <c r="X75" s="6">
        <f>IF(ISERROR(VLOOKUP($U$75,'TAR FIN'!$A$1:$O$85,15,0)),0,VLOOKUP($U$75,'TAR FIN'!$A$1:$O$85,15,0))</f>
        <v>0</v>
      </c>
      <c r="Y75" s="6">
        <f ca="1">('TUSD BE'!$AM$10+'TUSD BF_350'!$AM$10+'TUSD CVA'!$AM$10)*1</f>
        <v>19.63429077280307</v>
      </c>
      <c r="Z75" s="6"/>
      <c r="AA75" s="6"/>
      <c r="AB75" s="6">
        <f>$K$75*$V$75</f>
        <v>2241</v>
      </c>
      <c r="AC75" s="6">
        <f>$M$75*$W$75</f>
        <v>0</v>
      </c>
      <c r="AD75" s="6">
        <f>$O$75*$X$75</f>
        <v>0</v>
      </c>
      <c r="AE75" s="6">
        <f ca="1">$K$75*$Y$75</f>
        <v>2945.1436159204604</v>
      </c>
      <c r="AF75" s="6">
        <f>$M$75*$Z$75</f>
        <v>0</v>
      </c>
      <c r="AG75" s="6">
        <f>$O$75*$AA$75</f>
        <v>0</v>
      </c>
    </row>
    <row r="76" spans="1:33" ht="11.25" customHeight="1" x14ac:dyDescent="0.25">
      <c r="A76" s="4" t="s">
        <v>21</v>
      </c>
      <c r="B76" s="4" t="s">
        <v>34</v>
      </c>
      <c r="C76" s="4" t="s">
        <v>35</v>
      </c>
      <c r="D76" s="4" t="s">
        <v>38</v>
      </c>
      <c r="E76" s="4" t="s">
        <v>25</v>
      </c>
      <c r="F76" s="4" t="s">
        <v>25</v>
      </c>
      <c r="G76" s="4" t="s">
        <v>25</v>
      </c>
      <c r="H76" s="4" t="s">
        <v>25</v>
      </c>
      <c r="I76" s="5">
        <v>44593</v>
      </c>
      <c r="J76" s="6">
        <v>891</v>
      </c>
      <c r="K76" s="6">
        <v>891</v>
      </c>
      <c r="L76" s="6">
        <v>0</v>
      </c>
      <c r="M76" s="6">
        <v>0</v>
      </c>
      <c r="N76" s="6">
        <v>0</v>
      </c>
      <c r="O76" s="6">
        <v>0</v>
      </c>
      <c r="P76" s="6">
        <v>9</v>
      </c>
      <c r="Q76" s="4" t="s">
        <v>26</v>
      </c>
      <c r="R76" s="4">
        <v>0</v>
      </c>
      <c r="S76" s="6">
        <v>36</v>
      </c>
      <c r="T76" s="6">
        <v>0</v>
      </c>
      <c r="U76" s="6">
        <v>0</v>
      </c>
      <c r="V76" s="6">
        <f>IF(ISERROR(VLOOKUP($S$76,'TAR FIN'!$A$1:$O$85,15,0)),0,VLOOKUP($S$76,'TAR FIN'!$A$1:$O$85,15,0))</f>
        <v>14.94</v>
      </c>
      <c r="W76" s="6">
        <f>IF(ISERROR(VLOOKUP($T$76,'TAR FIN'!$A$1:$O$85,15,0)),0,VLOOKUP($T$76,'TAR FIN'!$A$1:$O$85,15,0))</f>
        <v>0</v>
      </c>
      <c r="X76" s="6">
        <f>IF(ISERROR(VLOOKUP($U$76,'TAR FIN'!$A$1:$O$85,15,0)),0,VLOOKUP($U$76,'TAR FIN'!$A$1:$O$85,15,0))</f>
        <v>0</v>
      </c>
      <c r="Y76" s="6">
        <f ca="1">('TUSD BE'!$AM$10+'TUSD BF_350'!$AM$10+'TUSD CVA'!$AM$10)*1</f>
        <v>19.63429077280307</v>
      </c>
      <c r="Z76" s="6"/>
      <c r="AA76" s="6"/>
      <c r="AB76" s="6">
        <f>$K$76*$V$76</f>
        <v>13311.539999999999</v>
      </c>
      <c r="AC76" s="6">
        <f>$M$76*$W$76</f>
        <v>0</v>
      </c>
      <c r="AD76" s="6">
        <f>$O$76*$X$76</f>
        <v>0</v>
      </c>
      <c r="AE76" s="6">
        <f ca="1">$K$76*$Y$76</f>
        <v>17494.153078567535</v>
      </c>
      <c r="AF76" s="6">
        <f>$M$76*$Z$76</f>
        <v>0</v>
      </c>
      <c r="AG76" s="6">
        <f>$O$76*$AA$76</f>
        <v>0</v>
      </c>
    </row>
    <row r="77" spans="1:33" ht="11.25" customHeight="1" x14ac:dyDescent="0.25">
      <c r="A77" s="4" t="s">
        <v>27</v>
      </c>
      <c r="B77" s="4" t="s">
        <v>34</v>
      </c>
      <c r="C77" s="4" t="s">
        <v>35</v>
      </c>
      <c r="D77" s="4" t="s">
        <v>38</v>
      </c>
      <c r="E77" s="4" t="s">
        <v>25</v>
      </c>
      <c r="F77" s="4" t="s">
        <v>25</v>
      </c>
      <c r="G77" s="4" t="s">
        <v>25</v>
      </c>
      <c r="H77" s="4" t="s">
        <v>25</v>
      </c>
      <c r="I77" s="5">
        <v>44593</v>
      </c>
      <c r="J77" s="6">
        <v>191</v>
      </c>
      <c r="K77" s="6">
        <v>191</v>
      </c>
      <c r="L77" s="6">
        <v>0</v>
      </c>
      <c r="M77" s="6">
        <v>0</v>
      </c>
      <c r="N77" s="6">
        <v>0</v>
      </c>
      <c r="O77" s="6">
        <v>0</v>
      </c>
      <c r="P77" s="6">
        <v>1</v>
      </c>
      <c r="Q77" s="4" t="s">
        <v>26</v>
      </c>
      <c r="R77" s="4">
        <v>0</v>
      </c>
      <c r="S77" s="6">
        <v>36</v>
      </c>
      <c r="T77" s="6">
        <v>0</v>
      </c>
      <c r="U77" s="6">
        <v>0</v>
      </c>
      <c r="V77" s="6">
        <f>IF(ISERROR(VLOOKUP($S$77,'TAR FIN'!$A$1:$O$85,15,0)),0,VLOOKUP($S$77,'TAR FIN'!$A$1:$O$85,15,0))</f>
        <v>14.94</v>
      </c>
      <c r="W77" s="6">
        <f>IF(ISERROR(VLOOKUP($T$77,'TAR FIN'!$A$1:$O$85,15,0)),0,VLOOKUP($T$77,'TAR FIN'!$A$1:$O$85,15,0))</f>
        <v>0</v>
      </c>
      <c r="X77" s="6">
        <f>IF(ISERROR(VLOOKUP($U$77,'TAR FIN'!$A$1:$O$85,15,0)),0,VLOOKUP($U$77,'TAR FIN'!$A$1:$O$85,15,0))</f>
        <v>0</v>
      </c>
      <c r="Y77" s="6">
        <f ca="1">('TUSD BE'!$AM$10+'TUSD BF_350'!$AM$10+'TUSD CVA'!$AM$10)*1</f>
        <v>19.63429077280307</v>
      </c>
      <c r="Z77" s="6"/>
      <c r="AA77" s="6"/>
      <c r="AB77" s="6">
        <f>$K$77*$V$77</f>
        <v>2853.54</v>
      </c>
      <c r="AC77" s="6">
        <f>$M$77*$W$77</f>
        <v>0</v>
      </c>
      <c r="AD77" s="6">
        <f>$O$77*$X$77</f>
        <v>0</v>
      </c>
      <c r="AE77" s="6">
        <f ca="1">$K$77*$Y$77</f>
        <v>3750.1495376053863</v>
      </c>
      <c r="AF77" s="6">
        <f>$M$77*$Z$77</f>
        <v>0</v>
      </c>
      <c r="AG77" s="6">
        <f>$O$77*$AA$77</f>
        <v>0</v>
      </c>
    </row>
    <row r="78" spans="1:33" ht="11.25" customHeight="1" x14ac:dyDescent="0.25">
      <c r="A78" s="4" t="s">
        <v>21</v>
      </c>
      <c r="B78" s="4" t="s">
        <v>34</v>
      </c>
      <c r="C78" s="4" t="s">
        <v>35</v>
      </c>
      <c r="D78" s="4" t="s">
        <v>38</v>
      </c>
      <c r="E78" s="4" t="s">
        <v>25</v>
      </c>
      <c r="F78" s="4" t="s">
        <v>25</v>
      </c>
      <c r="G78" s="4" t="s">
        <v>25</v>
      </c>
      <c r="H78" s="4" t="s">
        <v>25</v>
      </c>
      <c r="I78" s="5">
        <v>44621</v>
      </c>
      <c r="J78" s="6">
        <v>882</v>
      </c>
      <c r="K78" s="6">
        <v>882</v>
      </c>
      <c r="L78" s="6">
        <v>0</v>
      </c>
      <c r="M78" s="6">
        <v>0</v>
      </c>
      <c r="N78" s="6">
        <v>0</v>
      </c>
      <c r="O78" s="6">
        <v>0</v>
      </c>
      <c r="P78" s="6">
        <v>9</v>
      </c>
      <c r="Q78" s="4" t="s">
        <v>26</v>
      </c>
      <c r="R78" s="4">
        <v>0</v>
      </c>
      <c r="S78" s="6">
        <v>36</v>
      </c>
      <c r="T78" s="6">
        <v>0</v>
      </c>
      <c r="U78" s="6">
        <v>0</v>
      </c>
      <c r="V78" s="6">
        <f>IF(ISERROR(VLOOKUP($S$78,'TAR FIN'!$A$1:$O$85,15,0)),0,VLOOKUP($S$78,'TAR FIN'!$A$1:$O$85,15,0))</f>
        <v>14.94</v>
      </c>
      <c r="W78" s="6">
        <f>IF(ISERROR(VLOOKUP($T$78,'TAR FIN'!$A$1:$O$85,15,0)),0,VLOOKUP($T$78,'TAR FIN'!$A$1:$O$85,15,0))</f>
        <v>0</v>
      </c>
      <c r="X78" s="6">
        <f>IF(ISERROR(VLOOKUP($U$78,'TAR FIN'!$A$1:$O$85,15,0)),0,VLOOKUP($U$78,'TAR FIN'!$A$1:$O$85,15,0))</f>
        <v>0</v>
      </c>
      <c r="Y78" s="6">
        <f ca="1">('TUSD BE'!$AM$10+'TUSD BF_350'!$AM$10+'TUSD CVA'!$AM$10)*1</f>
        <v>19.63429077280307</v>
      </c>
      <c r="Z78" s="6"/>
      <c r="AA78" s="6"/>
      <c r="AB78" s="6">
        <f>$K$78*$V$78</f>
        <v>13177.08</v>
      </c>
      <c r="AC78" s="6">
        <f>$M$78*$W$78</f>
        <v>0</v>
      </c>
      <c r="AD78" s="6">
        <f>$O$78*$X$78</f>
        <v>0</v>
      </c>
      <c r="AE78" s="6">
        <f ca="1">$K$78*$Y$78</f>
        <v>17317.444461612307</v>
      </c>
      <c r="AF78" s="6">
        <f>$M$78*$Z$78</f>
        <v>0</v>
      </c>
      <c r="AG78" s="6">
        <f>$O$78*$AA$78</f>
        <v>0</v>
      </c>
    </row>
    <row r="79" spans="1:33" ht="11.25" customHeight="1" x14ac:dyDescent="0.25">
      <c r="A79" s="4" t="s">
        <v>27</v>
      </c>
      <c r="B79" s="4" t="s">
        <v>34</v>
      </c>
      <c r="C79" s="4" t="s">
        <v>35</v>
      </c>
      <c r="D79" s="4" t="s">
        <v>38</v>
      </c>
      <c r="E79" s="4" t="s">
        <v>25</v>
      </c>
      <c r="F79" s="4" t="s">
        <v>25</v>
      </c>
      <c r="G79" s="4" t="s">
        <v>25</v>
      </c>
      <c r="H79" s="4" t="s">
        <v>25</v>
      </c>
      <c r="I79" s="5">
        <v>44621</v>
      </c>
      <c r="J79" s="6">
        <v>155</v>
      </c>
      <c r="K79" s="6">
        <v>155</v>
      </c>
      <c r="L79" s="6">
        <v>0</v>
      </c>
      <c r="M79" s="6">
        <v>0</v>
      </c>
      <c r="N79" s="6">
        <v>0</v>
      </c>
      <c r="O79" s="6">
        <v>0</v>
      </c>
      <c r="P79" s="6">
        <v>1</v>
      </c>
      <c r="Q79" s="4" t="s">
        <v>26</v>
      </c>
      <c r="R79" s="4">
        <v>0</v>
      </c>
      <c r="S79" s="6">
        <v>36</v>
      </c>
      <c r="T79" s="6">
        <v>0</v>
      </c>
      <c r="U79" s="6">
        <v>0</v>
      </c>
      <c r="V79" s="6">
        <f>IF(ISERROR(VLOOKUP($S$79,'TAR FIN'!$A$1:$O$85,15,0)),0,VLOOKUP($S$79,'TAR FIN'!$A$1:$O$85,15,0))</f>
        <v>14.94</v>
      </c>
      <c r="W79" s="6">
        <f>IF(ISERROR(VLOOKUP($T$79,'TAR FIN'!$A$1:$O$85,15,0)),0,VLOOKUP($T$79,'TAR FIN'!$A$1:$O$85,15,0))</f>
        <v>0</v>
      </c>
      <c r="X79" s="6">
        <f>IF(ISERROR(VLOOKUP($U$79,'TAR FIN'!$A$1:$O$85,15,0)),0,VLOOKUP($U$79,'TAR FIN'!$A$1:$O$85,15,0))</f>
        <v>0</v>
      </c>
      <c r="Y79" s="6">
        <f ca="1">('TUSD BE'!$AM$10+'TUSD BF_350'!$AM$10+'TUSD CVA'!$AM$10)*1</f>
        <v>19.63429077280307</v>
      </c>
      <c r="Z79" s="6"/>
      <c r="AA79" s="6"/>
      <c r="AB79" s="6">
        <f>$K$79*$V$79</f>
        <v>2315.6999999999998</v>
      </c>
      <c r="AC79" s="6">
        <f>$M$79*$W$79</f>
        <v>0</v>
      </c>
      <c r="AD79" s="6">
        <f>$O$79*$X$79</f>
        <v>0</v>
      </c>
      <c r="AE79" s="6">
        <f ca="1">$K$79*$Y$79</f>
        <v>3043.3150697844758</v>
      </c>
      <c r="AF79" s="6">
        <f>$M$79*$Z$79</f>
        <v>0</v>
      </c>
      <c r="AG79" s="6">
        <f>$O$79*$AA$79</f>
        <v>0</v>
      </c>
    </row>
    <row r="80" spans="1:33" ht="11.25" customHeight="1" x14ac:dyDescent="0.25">
      <c r="A80" s="4" t="s">
        <v>21</v>
      </c>
      <c r="B80" s="4" t="s">
        <v>34</v>
      </c>
      <c r="C80" s="4" t="s">
        <v>35</v>
      </c>
      <c r="D80" s="4" t="s">
        <v>38</v>
      </c>
      <c r="E80" s="4" t="s">
        <v>25</v>
      </c>
      <c r="F80" s="4" t="s">
        <v>25</v>
      </c>
      <c r="G80" s="4" t="s">
        <v>25</v>
      </c>
      <c r="H80" s="4" t="s">
        <v>25</v>
      </c>
      <c r="I80" s="5">
        <v>44652</v>
      </c>
      <c r="J80" s="6">
        <v>887</v>
      </c>
      <c r="K80" s="6">
        <v>887</v>
      </c>
      <c r="L80" s="6">
        <v>0</v>
      </c>
      <c r="M80" s="6">
        <v>0</v>
      </c>
      <c r="N80" s="6">
        <v>0</v>
      </c>
      <c r="O80" s="6">
        <v>0</v>
      </c>
      <c r="P80" s="6">
        <v>9</v>
      </c>
      <c r="Q80" s="4" t="s">
        <v>26</v>
      </c>
      <c r="R80" s="4">
        <v>0</v>
      </c>
      <c r="S80" s="6">
        <v>36</v>
      </c>
      <c r="T80" s="6">
        <v>0</v>
      </c>
      <c r="U80" s="6">
        <v>0</v>
      </c>
      <c r="V80" s="6">
        <f>IF(ISERROR(VLOOKUP($S$80,'TAR FIN'!$A$1:$O$85,15,0)),0,VLOOKUP($S$80,'TAR FIN'!$A$1:$O$85,15,0))</f>
        <v>14.94</v>
      </c>
      <c r="W80" s="6">
        <f>IF(ISERROR(VLOOKUP($T$80,'TAR FIN'!$A$1:$O$85,15,0)),0,VLOOKUP($T$80,'TAR FIN'!$A$1:$O$85,15,0))</f>
        <v>0</v>
      </c>
      <c r="X80" s="6">
        <f>IF(ISERROR(VLOOKUP($U$80,'TAR FIN'!$A$1:$O$85,15,0)),0,VLOOKUP($U$80,'TAR FIN'!$A$1:$O$85,15,0))</f>
        <v>0</v>
      </c>
      <c r="Y80" s="6">
        <f ca="1">('TUSD BE'!$AM$10+'TUSD BF_350'!$AM$10+'TUSD CVA'!$AM$10)*1</f>
        <v>19.63429077280307</v>
      </c>
      <c r="Z80" s="6"/>
      <c r="AA80" s="6"/>
      <c r="AB80" s="6">
        <f>$K$80*$V$80</f>
        <v>13251.779999999999</v>
      </c>
      <c r="AC80" s="6">
        <f>$M$80*$W$80</f>
        <v>0</v>
      </c>
      <c r="AD80" s="6">
        <f>$O$80*$X$80</f>
        <v>0</v>
      </c>
      <c r="AE80" s="6">
        <f ca="1">$K$80*$Y$80</f>
        <v>17415.615915476323</v>
      </c>
      <c r="AF80" s="6">
        <f>$M$80*$Z$80</f>
        <v>0</v>
      </c>
      <c r="AG80" s="6">
        <f>$O$80*$AA$80</f>
        <v>0</v>
      </c>
    </row>
    <row r="81" spans="1:33" ht="11.25" customHeight="1" x14ac:dyDescent="0.25">
      <c r="A81" s="4" t="s">
        <v>27</v>
      </c>
      <c r="B81" s="4" t="s">
        <v>34</v>
      </c>
      <c r="C81" s="4" t="s">
        <v>35</v>
      </c>
      <c r="D81" s="4" t="s">
        <v>38</v>
      </c>
      <c r="E81" s="4" t="s">
        <v>25</v>
      </c>
      <c r="F81" s="4" t="s">
        <v>25</v>
      </c>
      <c r="G81" s="4" t="s">
        <v>25</v>
      </c>
      <c r="H81" s="4" t="s">
        <v>25</v>
      </c>
      <c r="I81" s="5">
        <v>44652</v>
      </c>
      <c r="J81" s="6">
        <v>199</v>
      </c>
      <c r="K81" s="6">
        <v>199</v>
      </c>
      <c r="L81" s="6">
        <v>0</v>
      </c>
      <c r="M81" s="6">
        <v>0</v>
      </c>
      <c r="N81" s="6">
        <v>0</v>
      </c>
      <c r="O81" s="6">
        <v>0</v>
      </c>
      <c r="P81" s="6">
        <v>1</v>
      </c>
      <c r="Q81" s="4" t="s">
        <v>26</v>
      </c>
      <c r="R81" s="4">
        <v>0</v>
      </c>
      <c r="S81" s="6">
        <v>36</v>
      </c>
      <c r="T81" s="6">
        <v>0</v>
      </c>
      <c r="U81" s="6">
        <v>0</v>
      </c>
      <c r="V81" s="6">
        <f>IF(ISERROR(VLOOKUP($S$81,'TAR FIN'!$A$1:$O$85,15,0)),0,VLOOKUP($S$81,'TAR FIN'!$A$1:$O$85,15,0))</f>
        <v>14.94</v>
      </c>
      <c r="W81" s="6">
        <f>IF(ISERROR(VLOOKUP($T$81,'TAR FIN'!$A$1:$O$85,15,0)),0,VLOOKUP($T$81,'TAR FIN'!$A$1:$O$85,15,0))</f>
        <v>0</v>
      </c>
      <c r="X81" s="6">
        <f>IF(ISERROR(VLOOKUP($U$81,'TAR FIN'!$A$1:$O$85,15,0)),0,VLOOKUP($U$81,'TAR FIN'!$A$1:$O$85,15,0))</f>
        <v>0</v>
      </c>
      <c r="Y81" s="6">
        <f ca="1">('TUSD BE'!$AM$10+'TUSD BF_350'!$AM$10+'TUSD CVA'!$AM$10)*1</f>
        <v>19.63429077280307</v>
      </c>
      <c r="Z81" s="6"/>
      <c r="AA81" s="6"/>
      <c r="AB81" s="6">
        <f>$K$81*$V$81</f>
        <v>2973.06</v>
      </c>
      <c r="AC81" s="6">
        <f>$M$81*$W$81</f>
        <v>0</v>
      </c>
      <c r="AD81" s="6">
        <f>$O$81*$X$81</f>
        <v>0</v>
      </c>
      <c r="AE81" s="6">
        <f ca="1">$K$81*$Y$81</f>
        <v>3907.2238637878108</v>
      </c>
      <c r="AF81" s="6">
        <f>$M$81*$Z$81</f>
        <v>0</v>
      </c>
      <c r="AG81" s="6">
        <f>$O$81*$AA$81</f>
        <v>0</v>
      </c>
    </row>
    <row r="82" spans="1:33" ht="11.25" customHeight="1" x14ac:dyDescent="0.25">
      <c r="A82" s="4" t="s">
        <v>21</v>
      </c>
      <c r="B82" s="4" t="s">
        <v>34</v>
      </c>
      <c r="C82" s="4" t="s">
        <v>35</v>
      </c>
      <c r="D82" s="4" t="s">
        <v>38</v>
      </c>
      <c r="E82" s="4" t="s">
        <v>25</v>
      </c>
      <c r="F82" s="4" t="s">
        <v>25</v>
      </c>
      <c r="G82" s="4" t="s">
        <v>25</v>
      </c>
      <c r="H82" s="4" t="s">
        <v>25</v>
      </c>
      <c r="I82" s="5">
        <v>44682</v>
      </c>
      <c r="J82" s="6">
        <v>887</v>
      </c>
      <c r="K82" s="6">
        <v>887</v>
      </c>
      <c r="L82" s="6">
        <v>0</v>
      </c>
      <c r="M82" s="6">
        <v>0</v>
      </c>
      <c r="N82" s="6">
        <v>0</v>
      </c>
      <c r="O82" s="6">
        <v>0</v>
      </c>
      <c r="P82" s="6">
        <v>9</v>
      </c>
      <c r="Q82" s="4" t="s">
        <v>26</v>
      </c>
      <c r="R82" s="4">
        <v>0</v>
      </c>
      <c r="S82" s="6">
        <v>36</v>
      </c>
      <c r="T82" s="6">
        <v>0</v>
      </c>
      <c r="U82" s="6">
        <v>0</v>
      </c>
      <c r="V82" s="6">
        <f>IF(ISERROR(VLOOKUP($S$82,'TAR FIN'!$A$1:$O$85,15,0)),0,VLOOKUP($S$82,'TAR FIN'!$A$1:$O$85,15,0))</f>
        <v>14.94</v>
      </c>
      <c r="W82" s="6">
        <f>IF(ISERROR(VLOOKUP($T$82,'TAR FIN'!$A$1:$O$85,15,0)),0,VLOOKUP($T$82,'TAR FIN'!$A$1:$O$85,15,0))</f>
        <v>0</v>
      </c>
      <c r="X82" s="6">
        <f>IF(ISERROR(VLOOKUP($U$82,'TAR FIN'!$A$1:$O$85,15,0)),0,VLOOKUP($U$82,'TAR FIN'!$A$1:$O$85,15,0))</f>
        <v>0</v>
      </c>
      <c r="Y82" s="6">
        <f ca="1">('TUSD BE'!$AM$10+'TUSD BF_350'!$AM$10+'TUSD CVA'!$AM$10)*1</f>
        <v>19.63429077280307</v>
      </c>
      <c r="Z82" s="6"/>
      <c r="AA82" s="6"/>
      <c r="AB82" s="6">
        <f>$K$82*$V$82</f>
        <v>13251.779999999999</v>
      </c>
      <c r="AC82" s="6">
        <f>$M$82*$W$82</f>
        <v>0</v>
      </c>
      <c r="AD82" s="6">
        <f>$O$82*$X$82</f>
        <v>0</v>
      </c>
      <c r="AE82" s="6">
        <f ca="1">$K$82*$Y$82</f>
        <v>17415.615915476323</v>
      </c>
      <c r="AF82" s="6">
        <f>$M$82*$Z$82</f>
        <v>0</v>
      </c>
      <c r="AG82" s="6">
        <f>$O$82*$AA$82</f>
        <v>0</v>
      </c>
    </row>
    <row r="83" spans="1:33" ht="11.25" customHeight="1" x14ac:dyDescent="0.25">
      <c r="A83" s="4" t="s">
        <v>27</v>
      </c>
      <c r="B83" s="4" t="s">
        <v>34</v>
      </c>
      <c r="C83" s="4" t="s">
        <v>35</v>
      </c>
      <c r="D83" s="4" t="s">
        <v>38</v>
      </c>
      <c r="E83" s="4" t="s">
        <v>25</v>
      </c>
      <c r="F83" s="4" t="s">
        <v>25</v>
      </c>
      <c r="G83" s="4" t="s">
        <v>25</v>
      </c>
      <c r="H83" s="4" t="s">
        <v>25</v>
      </c>
      <c r="I83" s="5">
        <v>44682</v>
      </c>
      <c r="J83" s="6">
        <v>181</v>
      </c>
      <c r="K83" s="6">
        <v>181</v>
      </c>
      <c r="L83" s="6">
        <v>0</v>
      </c>
      <c r="M83" s="6">
        <v>0</v>
      </c>
      <c r="N83" s="6">
        <v>0</v>
      </c>
      <c r="O83" s="6">
        <v>0</v>
      </c>
      <c r="P83" s="6">
        <v>1</v>
      </c>
      <c r="Q83" s="4" t="s">
        <v>26</v>
      </c>
      <c r="R83" s="4">
        <v>0</v>
      </c>
      <c r="S83" s="6">
        <v>36</v>
      </c>
      <c r="T83" s="6">
        <v>0</v>
      </c>
      <c r="U83" s="6">
        <v>0</v>
      </c>
      <c r="V83" s="6">
        <f>IF(ISERROR(VLOOKUP($S$83,'TAR FIN'!$A$1:$O$85,15,0)),0,VLOOKUP($S$83,'TAR FIN'!$A$1:$O$85,15,0))</f>
        <v>14.94</v>
      </c>
      <c r="W83" s="6">
        <f>IF(ISERROR(VLOOKUP($T$83,'TAR FIN'!$A$1:$O$85,15,0)),0,VLOOKUP($T$83,'TAR FIN'!$A$1:$O$85,15,0))</f>
        <v>0</v>
      </c>
      <c r="X83" s="6">
        <f>IF(ISERROR(VLOOKUP($U$83,'TAR FIN'!$A$1:$O$85,15,0)),0,VLOOKUP($U$83,'TAR FIN'!$A$1:$O$85,15,0))</f>
        <v>0</v>
      </c>
      <c r="Y83" s="6">
        <f ca="1">('TUSD BE'!$AM$10+'TUSD BF_350'!$AM$10+'TUSD CVA'!$AM$10)*1</f>
        <v>19.63429077280307</v>
      </c>
      <c r="Z83" s="6"/>
      <c r="AA83" s="6"/>
      <c r="AB83" s="6">
        <f>$K$83*$V$83</f>
        <v>2704.14</v>
      </c>
      <c r="AC83" s="6">
        <f>$M$83*$W$83</f>
        <v>0</v>
      </c>
      <c r="AD83" s="6">
        <f>$O$83*$X$83</f>
        <v>0</v>
      </c>
      <c r="AE83" s="6">
        <f ca="1">$K$83*$Y$83</f>
        <v>3553.8066298773556</v>
      </c>
      <c r="AF83" s="6">
        <f>$M$83*$Z$83</f>
        <v>0</v>
      </c>
      <c r="AG83" s="6">
        <f>$O$83*$AA$83</f>
        <v>0</v>
      </c>
    </row>
    <row r="84" spans="1:33" ht="11.25" customHeight="1" x14ac:dyDescent="0.25">
      <c r="A84" s="4" t="s">
        <v>21</v>
      </c>
      <c r="B84" s="4" t="s">
        <v>34</v>
      </c>
      <c r="C84" s="4" t="s">
        <v>35</v>
      </c>
      <c r="D84" s="4" t="s">
        <v>38</v>
      </c>
      <c r="E84" s="4" t="s">
        <v>25</v>
      </c>
      <c r="F84" s="4" t="s">
        <v>25</v>
      </c>
      <c r="G84" s="4" t="s">
        <v>25</v>
      </c>
      <c r="H84" s="4" t="s">
        <v>25</v>
      </c>
      <c r="I84" s="5">
        <v>44713</v>
      </c>
      <c r="J84" s="6">
        <v>887</v>
      </c>
      <c r="K84" s="6">
        <v>887</v>
      </c>
      <c r="L84" s="6">
        <v>0</v>
      </c>
      <c r="M84" s="6">
        <v>0</v>
      </c>
      <c r="N84" s="6">
        <v>0</v>
      </c>
      <c r="O84" s="6">
        <v>0</v>
      </c>
      <c r="P84" s="6">
        <v>9</v>
      </c>
      <c r="Q84" s="4" t="s">
        <v>26</v>
      </c>
      <c r="R84" s="4">
        <v>0</v>
      </c>
      <c r="S84" s="6">
        <v>36</v>
      </c>
      <c r="T84" s="6">
        <v>0</v>
      </c>
      <c r="U84" s="6">
        <v>0</v>
      </c>
      <c r="V84" s="6">
        <f>IF(ISERROR(VLOOKUP($S$84,'TAR FIN'!$A$1:$O$85,15,0)),0,VLOOKUP($S$84,'TAR FIN'!$A$1:$O$85,15,0))</f>
        <v>14.94</v>
      </c>
      <c r="W84" s="6">
        <f>IF(ISERROR(VLOOKUP($T$84,'TAR FIN'!$A$1:$O$85,15,0)),0,VLOOKUP($T$84,'TAR FIN'!$A$1:$O$85,15,0))</f>
        <v>0</v>
      </c>
      <c r="X84" s="6">
        <f>IF(ISERROR(VLOOKUP($U$84,'TAR FIN'!$A$1:$O$85,15,0)),0,VLOOKUP($U$84,'TAR FIN'!$A$1:$O$85,15,0))</f>
        <v>0</v>
      </c>
      <c r="Y84" s="6">
        <f ca="1">('TUSD BE'!$AM$10+'TUSD BF_350'!$AM$10+'TUSD CVA'!$AM$10)*1</f>
        <v>19.63429077280307</v>
      </c>
      <c r="Z84" s="6"/>
      <c r="AA84" s="6"/>
      <c r="AB84" s="6">
        <f>$K$84*$V$84</f>
        <v>13251.779999999999</v>
      </c>
      <c r="AC84" s="6">
        <f>$M$84*$W$84</f>
        <v>0</v>
      </c>
      <c r="AD84" s="6">
        <f>$O$84*$X$84</f>
        <v>0</v>
      </c>
      <c r="AE84" s="6">
        <f ca="1">$K$84*$Y$84</f>
        <v>17415.615915476323</v>
      </c>
      <c r="AF84" s="6">
        <f>$M$84*$Z$84</f>
        <v>0</v>
      </c>
      <c r="AG84" s="6">
        <f>$O$84*$AA$84</f>
        <v>0</v>
      </c>
    </row>
    <row r="85" spans="1:33" ht="11.25" customHeight="1" x14ac:dyDescent="0.25">
      <c r="A85" s="4" t="s">
        <v>27</v>
      </c>
      <c r="B85" s="4" t="s">
        <v>34</v>
      </c>
      <c r="C85" s="4" t="s">
        <v>35</v>
      </c>
      <c r="D85" s="4" t="s">
        <v>38</v>
      </c>
      <c r="E85" s="4" t="s">
        <v>25</v>
      </c>
      <c r="F85" s="4" t="s">
        <v>25</v>
      </c>
      <c r="G85" s="4" t="s">
        <v>25</v>
      </c>
      <c r="H85" s="4" t="s">
        <v>25</v>
      </c>
      <c r="I85" s="5">
        <v>44713</v>
      </c>
      <c r="J85" s="6">
        <v>150</v>
      </c>
      <c r="K85" s="6">
        <v>150</v>
      </c>
      <c r="L85" s="6">
        <v>0</v>
      </c>
      <c r="M85" s="6">
        <v>0</v>
      </c>
      <c r="N85" s="6">
        <v>0</v>
      </c>
      <c r="O85" s="6">
        <v>0</v>
      </c>
      <c r="P85" s="6">
        <v>1</v>
      </c>
      <c r="Q85" s="4" t="s">
        <v>26</v>
      </c>
      <c r="R85" s="4">
        <v>0</v>
      </c>
      <c r="S85" s="6">
        <v>36</v>
      </c>
      <c r="T85" s="6">
        <v>0</v>
      </c>
      <c r="U85" s="6">
        <v>0</v>
      </c>
      <c r="V85" s="6">
        <f>IF(ISERROR(VLOOKUP($S$85,'TAR FIN'!$A$1:$O$85,15,0)),0,VLOOKUP($S$85,'TAR FIN'!$A$1:$O$85,15,0))</f>
        <v>14.94</v>
      </c>
      <c r="W85" s="6">
        <f>IF(ISERROR(VLOOKUP($T$85,'TAR FIN'!$A$1:$O$85,15,0)),0,VLOOKUP($T$85,'TAR FIN'!$A$1:$O$85,15,0))</f>
        <v>0</v>
      </c>
      <c r="X85" s="6">
        <f>IF(ISERROR(VLOOKUP($U$85,'TAR FIN'!$A$1:$O$85,15,0)),0,VLOOKUP($U$85,'TAR FIN'!$A$1:$O$85,15,0))</f>
        <v>0</v>
      </c>
      <c r="Y85" s="6">
        <f ca="1">('TUSD BE'!$AM$10+'TUSD BF_350'!$AM$10+'TUSD CVA'!$AM$10)*1</f>
        <v>19.63429077280307</v>
      </c>
      <c r="Z85" s="6"/>
      <c r="AA85" s="6"/>
      <c r="AB85" s="6">
        <f>$K$85*$V$85</f>
        <v>2241</v>
      </c>
      <c r="AC85" s="6">
        <f>$M$85*$W$85</f>
        <v>0</v>
      </c>
      <c r="AD85" s="6">
        <f>$O$85*$X$85</f>
        <v>0</v>
      </c>
      <c r="AE85" s="6">
        <f ca="1">$K$85*$Y$85</f>
        <v>2945.1436159204604</v>
      </c>
      <c r="AF85" s="6">
        <f>$M$85*$Z$85</f>
        <v>0</v>
      </c>
      <c r="AG85" s="6">
        <f>$O$85*$AA$85</f>
        <v>0</v>
      </c>
    </row>
    <row r="86" spans="1:33" ht="11.25" customHeight="1" x14ac:dyDescent="0.25">
      <c r="A86" s="4" t="s">
        <v>21</v>
      </c>
      <c r="B86" s="4" t="s">
        <v>34</v>
      </c>
      <c r="C86" s="4" t="s">
        <v>35</v>
      </c>
      <c r="D86" s="4" t="s">
        <v>38</v>
      </c>
      <c r="E86" s="4" t="s">
        <v>25</v>
      </c>
      <c r="F86" s="4" t="s">
        <v>25</v>
      </c>
      <c r="G86" s="4" t="s">
        <v>25</v>
      </c>
      <c r="H86" s="4" t="s">
        <v>36</v>
      </c>
      <c r="I86" s="5">
        <v>44378</v>
      </c>
      <c r="J86" s="6">
        <v>0</v>
      </c>
      <c r="K86" s="6">
        <v>0</v>
      </c>
      <c r="L86" s="6">
        <v>16.327999999999999</v>
      </c>
      <c r="M86" s="6">
        <v>16.327999999999999</v>
      </c>
      <c r="N86" s="6">
        <v>16.327999999999999</v>
      </c>
      <c r="O86" s="6">
        <v>16.327999999999999</v>
      </c>
      <c r="P86" s="6">
        <v>0</v>
      </c>
      <c r="Q86" s="4" t="s">
        <v>26</v>
      </c>
      <c r="R86" s="4">
        <v>0</v>
      </c>
      <c r="S86" s="6">
        <v>0</v>
      </c>
      <c r="T86" s="6">
        <v>15</v>
      </c>
      <c r="U86" s="6">
        <v>9</v>
      </c>
      <c r="V86" s="6">
        <f>IF(ISERROR(VLOOKUP($S$86,'TAR FIN'!$A$1:$O$85,15,0)),0,VLOOKUP($S$86,'TAR FIN'!$A$1:$O$85,15,0))</f>
        <v>0</v>
      </c>
      <c r="W86" s="6">
        <f>IF(ISERROR(VLOOKUP($T$86,'TAR FIN'!$A$1:$O$85,15,0)),0,VLOOKUP($T$86,'TAR FIN'!$A$1:$O$85,15,0))</f>
        <v>940.75</v>
      </c>
      <c r="X86" s="6">
        <f>IF(ISERROR(VLOOKUP($U$86,'TAR FIN'!$A$1:$O$85,15,0)),0,VLOOKUP($U$86,'TAR FIN'!$A$1:$O$85,15,0))</f>
        <v>373.71</v>
      </c>
      <c r="Y86" s="6"/>
      <c r="Z86" s="6">
        <f ca="1">('TUSD BE'!$AM$11+'TUSD BF_350'!$AM$11+'TUSD CVA'!$AM$11)*1</f>
        <v>966.5081601045739</v>
      </c>
      <c r="AA86" s="6">
        <f ca="1">('TE BE'!$AB$5+'TE BF_350'!$AB$5+'TE CVA'!$AB$5)*1</f>
        <v>347.98834052804079</v>
      </c>
      <c r="AB86" s="6">
        <f>$K$86*$V$86</f>
        <v>0</v>
      </c>
      <c r="AC86" s="6">
        <f>$M$86*$W$86</f>
        <v>15360.565999999999</v>
      </c>
      <c r="AD86" s="6">
        <f>$O$86*$X$86</f>
        <v>6101.9368799999993</v>
      </c>
      <c r="AE86" s="6">
        <f>$K$86*$Y$86</f>
        <v>0</v>
      </c>
      <c r="AF86" s="6">
        <f ca="1">$M$86*$Z$86</f>
        <v>15781.145238187482</v>
      </c>
      <c r="AG86" s="6">
        <f ca="1">$O$86*$AA$86</f>
        <v>5681.95362414185</v>
      </c>
    </row>
    <row r="87" spans="1:33" ht="11.25" customHeight="1" x14ac:dyDescent="0.25">
      <c r="A87" s="4" t="s">
        <v>27</v>
      </c>
      <c r="B87" s="4" t="s">
        <v>34</v>
      </c>
      <c r="C87" s="4" t="s">
        <v>35</v>
      </c>
      <c r="D87" s="4" t="s">
        <v>38</v>
      </c>
      <c r="E87" s="4" t="s">
        <v>25</v>
      </c>
      <c r="F87" s="4" t="s">
        <v>25</v>
      </c>
      <c r="G87" s="4" t="s">
        <v>25</v>
      </c>
      <c r="H87" s="4" t="s">
        <v>36</v>
      </c>
      <c r="I87" s="5">
        <v>44378</v>
      </c>
      <c r="J87" s="6">
        <v>0</v>
      </c>
      <c r="K87" s="6">
        <v>0</v>
      </c>
      <c r="L87" s="6">
        <v>1.6339999999999999</v>
      </c>
      <c r="M87" s="6">
        <v>1.6339999999999999</v>
      </c>
      <c r="N87" s="6">
        <v>1.6339999999999999</v>
      </c>
      <c r="O87" s="6">
        <v>1.6339999999999999</v>
      </c>
      <c r="P87" s="6">
        <v>0</v>
      </c>
      <c r="Q87" s="4" t="s">
        <v>26</v>
      </c>
      <c r="R87" s="4">
        <v>0</v>
      </c>
      <c r="S87" s="6">
        <v>0</v>
      </c>
      <c r="T87" s="6">
        <v>15</v>
      </c>
      <c r="U87" s="6">
        <v>9</v>
      </c>
      <c r="V87" s="6">
        <f>IF(ISERROR(VLOOKUP($S$87,'TAR FIN'!$A$1:$O$85,15,0)),0,VLOOKUP($S$87,'TAR FIN'!$A$1:$O$85,15,0))</f>
        <v>0</v>
      </c>
      <c r="W87" s="6">
        <f>IF(ISERROR(VLOOKUP($T$87,'TAR FIN'!$A$1:$O$85,15,0)),0,VLOOKUP($T$87,'TAR FIN'!$A$1:$O$85,15,0))</f>
        <v>940.75</v>
      </c>
      <c r="X87" s="6">
        <f>IF(ISERROR(VLOOKUP($U$87,'TAR FIN'!$A$1:$O$85,15,0)),0,VLOOKUP($U$87,'TAR FIN'!$A$1:$O$85,15,0))</f>
        <v>373.71</v>
      </c>
      <c r="Y87" s="6"/>
      <c r="Z87" s="6">
        <f ca="1">('TUSD BE'!$AM$11+'TUSD BF_350'!$AM$11+'TUSD CVA'!$AM$11)*1</f>
        <v>966.5081601045739</v>
      </c>
      <c r="AA87" s="6">
        <f ca="1">('TE BE'!$AB$5+'TE BF_350'!$AB$5+'TE CVA'!$AB$5)*1</f>
        <v>347.98834052804079</v>
      </c>
      <c r="AB87" s="6">
        <f>$K$87*$V$87</f>
        <v>0</v>
      </c>
      <c r="AC87" s="6">
        <f>$M$87*$W$87</f>
        <v>1537.1854999999998</v>
      </c>
      <c r="AD87" s="6">
        <f>$O$87*$X$87</f>
        <v>610.64213999999993</v>
      </c>
      <c r="AE87" s="6">
        <f>$K$87*$Y$87</f>
        <v>0</v>
      </c>
      <c r="AF87" s="6">
        <f ca="1">$M$87*$Z$87</f>
        <v>1579.2743336108736</v>
      </c>
      <c r="AG87" s="6">
        <f ca="1">$O$87*$AA$87</f>
        <v>568.61294842281859</v>
      </c>
    </row>
    <row r="88" spans="1:33" ht="11.25" customHeight="1" x14ac:dyDescent="0.25">
      <c r="A88" s="4" t="s">
        <v>21</v>
      </c>
      <c r="B88" s="4" t="s">
        <v>34</v>
      </c>
      <c r="C88" s="4" t="s">
        <v>35</v>
      </c>
      <c r="D88" s="4" t="s">
        <v>38</v>
      </c>
      <c r="E88" s="4" t="s">
        <v>25</v>
      </c>
      <c r="F88" s="4" t="s">
        <v>25</v>
      </c>
      <c r="G88" s="4" t="s">
        <v>25</v>
      </c>
      <c r="H88" s="4" t="s">
        <v>36</v>
      </c>
      <c r="I88" s="5">
        <v>44409</v>
      </c>
      <c r="J88" s="6">
        <v>0</v>
      </c>
      <c r="K88" s="6">
        <v>0</v>
      </c>
      <c r="L88" s="6">
        <v>16.292999999999999</v>
      </c>
      <c r="M88" s="6">
        <v>16.292999999999999</v>
      </c>
      <c r="N88" s="6">
        <v>16.292999999999999</v>
      </c>
      <c r="O88" s="6">
        <v>16.292999999999999</v>
      </c>
      <c r="P88" s="6">
        <v>0</v>
      </c>
      <c r="Q88" s="4" t="s">
        <v>26</v>
      </c>
      <c r="R88" s="4">
        <v>0</v>
      </c>
      <c r="S88" s="6">
        <v>0</v>
      </c>
      <c r="T88" s="6">
        <v>15</v>
      </c>
      <c r="U88" s="6">
        <v>9</v>
      </c>
      <c r="V88" s="6">
        <f>IF(ISERROR(VLOOKUP($S$88,'TAR FIN'!$A$1:$O$85,15,0)),0,VLOOKUP($S$88,'TAR FIN'!$A$1:$O$85,15,0))</f>
        <v>0</v>
      </c>
      <c r="W88" s="6">
        <f>IF(ISERROR(VLOOKUP($T$88,'TAR FIN'!$A$1:$O$85,15,0)),0,VLOOKUP($T$88,'TAR FIN'!$A$1:$O$85,15,0))</f>
        <v>940.75</v>
      </c>
      <c r="X88" s="6">
        <f>IF(ISERROR(VLOOKUP($U$88,'TAR FIN'!$A$1:$O$85,15,0)),0,VLOOKUP($U$88,'TAR FIN'!$A$1:$O$85,15,0))</f>
        <v>373.71</v>
      </c>
      <c r="Y88" s="6"/>
      <c r="Z88" s="6">
        <f ca="1">('TUSD BE'!$AM$11+'TUSD BF_350'!$AM$11+'TUSD CVA'!$AM$11)*1</f>
        <v>966.5081601045739</v>
      </c>
      <c r="AA88" s="6">
        <f ca="1">('TE BE'!$AB$5+'TE BF_350'!$AB$5+'TE CVA'!$AB$5)*1</f>
        <v>347.98834052804079</v>
      </c>
      <c r="AB88" s="6">
        <f>$K$88*$V$88</f>
        <v>0</v>
      </c>
      <c r="AC88" s="6">
        <f>$M$88*$W$88</f>
        <v>15327.639749999998</v>
      </c>
      <c r="AD88" s="6">
        <f>$O$88*$X$88</f>
        <v>6088.8570299999992</v>
      </c>
      <c r="AE88" s="6">
        <f>$K$88*$Y$88</f>
        <v>0</v>
      </c>
      <c r="AF88" s="6">
        <f ca="1">$M$88*$Z$88</f>
        <v>15747.317452583822</v>
      </c>
      <c r="AG88" s="6">
        <f ca="1">$O$88*$AA$88</f>
        <v>5669.7740322233685</v>
      </c>
    </row>
    <row r="89" spans="1:33" ht="11.25" customHeight="1" x14ac:dyDescent="0.25">
      <c r="A89" s="4" t="s">
        <v>27</v>
      </c>
      <c r="B89" s="4" t="s">
        <v>34</v>
      </c>
      <c r="C89" s="4" t="s">
        <v>35</v>
      </c>
      <c r="D89" s="4" t="s">
        <v>38</v>
      </c>
      <c r="E89" s="4" t="s">
        <v>25</v>
      </c>
      <c r="F89" s="4" t="s">
        <v>25</v>
      </c>
      <c r="G89" s="4" t="s">
        <v>25</v>
      </c>
      <c r="H89" s="4" t="s">
        <v>36</v>
      </c>
      <c r="I89" s="5">
        <v>44409</v>
      </c>
      <c r="J89" s="6">
        <v>0</v>
      </c>
      <c r="K89" s="6">
        <v>0</v>
      </c>
      <c r="L89" s="6">
        <v>1.1910000000000001</v>
      </c>
      <c r="M89" s="6">
        <v>1.1910000000000001</v>
      </c>
      <c r="N89" s="6">
        <v>1.1910000000000001</v>
      </c>
      <c r="O89" s="6">
        <v>1.1910000000000001</v>
      </c>
      <c r="P89" s="6">
        <v>0</v>
      </c>
      <c r="Q89" s="4" t="s">
        <v>26</v>
      </c>
      <c r="R89" s="4">
        <v>0</v>
      </c>
      <c r="S89" s="6">
        <v>0</v>
      </c>
      <c r="T89" s="6">
        <v>15</v>
      </c>
      <c r="U89" s="6">
        <v>9</v>
      </c>
      <c r="V89" s="6">
        <f>IF(ISERROR(VLOOKUP($S$89,'TAR FIN'!$A$1:$O$85,15,0)),0,VLOOKUP($S$89,'TAR FIN'!$A$1:$O$85,15,0))</f>
        <v>0</v>
      </c>
      <c r="W89" s="6">
        <f>IF(ISERROR(VLOOKUP($T$89,'TAR FIN'!$A$1:$O$85,15,0)),0,VLOOKUP($T$89,'TAR FIN'!$A$1:$O$85,15,0))</f>
        <v>940.75</v>
      </c>
      <c r="X89" s="6">
        <f>IF(ISERROR(VLOOKUP($U$89,'TAR FIN'!$A$1:$O$85,15,0)),0,VLOOKUP($U$89,'TAR FIN'!$A$1:$O$85,15,0))</f>
        <v>373.71</v>
      </c>
      <c r="Y89" s="6"/>
      <c r="Z89" s="6">
        <f ca="1">('TUSD BE'!$AM$11+'TUSD BF_350'!$AM$11+'TUSD CVA'!$AM$11)*1</f>
        <v>966.5081601045739</v>
      </c>
      <c r="AA89" s="6">
        <f ca="1">('TE BE'!$AB$5+'TE BF_350'!$AB$5+'TE CVA'!$AB$5)*1</f>
        <v>347.98834052804079</v>
      </c>
      <c r="AB89" s="6">
        <f>$K$89*$V$89</f>
        <v>0</v>
      </c>
      <c r="AC89" s="6">
        <f>$M$89*$W$89</f>
        <v>1120.43325</v>
      </c>
      <c r="AD89" s="6">
        <f>$O$89*$X$89</f>
        <v>445.08861000000002</v>
      </c>
      <c r="AE89" s="6">
        <f>$K$89*$Y$89</f>
        <v>0</v>
      </c>
      <c r="AF89" s="6">
        <f ca="1">$M$89*$Z$89</f>
        <v>1151.1112186845476</v>
      </c>
      <c r="AG89" s="6">
        <f ca="1">$O$89*$AA$89</f>
        <v>414.45411356889662</v>
      </c>
    </row>
    <row r="90" spans="1:33" ht="11.25" customHeight="1" x14ac:dyDescent="0.25">
      <c r="A90" s="4" t="s">
        <v>21</v>
      </c>
      <c r="B90" s="4" t="s">
        <v>34</v>
      </c>
      <c r="C90" s="4" t="s">
        <v>35</v>
      </c>
      <c r="D90" s="4" t="s">
        <v>38</v>
      </c>
      <c r="E90" s="4" t="s">
        <v>25</v>
      </c>
      <c r="F90" s="4" t="s">
        <v>25</v>
      </c>
      <c r="G90" s="4" t="s">
        <v>25</v>
      </c>
      <c r="H90" s="4" t="s">
        <v>36</v>
      </c>
      <c r="I90" s="5">
        <v>44440</v>
      </c>
      <c r="J90" s="6">
        <v>0</v>
      </c>
      <c r="K90" s="6">
        <v>0</v>
      </c>
      <c r="L90" s="6">
        <v>16.042000000000002</v>
      </c>
      <c r="M90" s="6">
        <v>16.042000000000002</v>
      </c>
      <c r="N90" s="6">
        <v>16.042000000000002</v>
      </c>
      <c r="O90" s="6">
        <v>16.042000000000002</v>
      </c>
      <c r="P90" s="6">
        <v>0</v>
      </c>
      <c r="Q90" s="4" t="s">
        <v>26</v>
      </c>
      <c r="R90" s="4">
        <v>0</v>
      </c>
      <c r="S90" s="6">
        <v>0</v>
      </c>
      <c r="T90" s="6">
        <v>15</v>
      </c>
      <c r="U90" s="6">
        <v>9</v>
      </c>
      <c r="V90" s="6">
        <f>IF(ISERROR(VLOOKUP($S$90,'TAR FIN'!$A$1:$O$85,15,0)),0,VLOOKUP($S$90,'TAR FIN'!$A$1:$O$85,15,0))</f>
        <v>0</v>
      </c>
      <c r="W90" s="6">
        <f>IF(ISERROR(VLOOKUP($T$90,'TAR FIN'!$A$1:$O$85,15,0)),0,VLOOKUP($T$90,'TAR FIN'!$A$1:$O$85,15,0))</f>
        <v>940.75</v>
      </c>
      <c r="X90" s="6">
        <f>IF(ISERROR(VLOOKUP($U$90,'TAR FIN'!$A$1:$O$85,15,0)),0,VLOOKUP($U$90,'TAR FIN'!$A$1:$O$85,15,0))</f>
        <v>373.71</v>
      </c>
      <c r="Y90" s="6"/>
      <c r="Z90" s="6">
        <f ca="1">('TUSD BE'!$AM$11+'TUSD BF_350'!$AM$11+'TUSD CVA'!$AM$11)*1</f>
        <v>966.5081601045739</v>
      </c>
      <c r="AA90" s="6">
        <f ca="1">('TE BE'!$AB$5+'TE BF_350'!$AB$5+'TE CVA'!$AB$5)*1</f>
        <v>347.98834052804079</v>
      </c>
      <c r="AB90" s="6">
        <f>$K$90*$V$90</f>
        <v>0</v>
      </c>
      <c r="AC90" s="6">
        <f>$M$90*$W$90</f>
        <v>15091.511500000002</v>
      </c>
      <c r="AD90" s="6">
        <f>$O$90*$X$90</f>
        <v>5995.0558200000005</v>
      </c>
      <c r="AE90" s="6">
        <f>$K$90*$Y$90</f>
        <v>0</v>
      </c>
      <c r="AF90" s="6">
        <f ca="1">$M$90*$Z$90</f>
        <v>15504.723904397577</v>
      </c>
      <c r="AG90" s="6">
        <f ca="1">$O$90*$AA$90</f>
        <v>5582.428958750831</v>
      </c>
    </row>
    <row r="91" spans="1:33" ht="11.25" customHeight="1" x14ac:dyDescent="0.25">
      <c r="A91" s="4" t="s">
        <v>27</v>
      </c>
      <c r="B91" s="4" t="s">
        <v>34</v>
      </c>
      <c r="C91" s="4" t="s">
        <v>35</v>
      </c>
      <c r="D91" s="4" t="s">
        <v>38</v>
      </c>
      <c r="E91" s="4" t="s">
        <v>25</v>
      </c>
      <c r="F91" s="4" t="s">
        <v>25</v>
      </c>
      <c r="G91" s="4" t="s">
        <v>25</v>
      </c>
      <c r="H91" s="4" t="s">
        <v>36</v>
      </c>
      <c r="I91" s="5">
        <v>44440</v>
      </c>
      <c r="J91" s="6">
        <v>0</v>
      </c>
      <c r="K91" s="6">
        <v>0</v>
      </c>
      <c r="L91" s="6">
        <v>0.97299999999999998</v>
      </c>
      <c r="M91" s="6">
        <v>0.97299999999999998</v>
      </c>
      <c r="N91" s="6">
        <v>0.97299999999999998</v>
      </c>
      <c r="O91" s="6">
        <v>0.97299999999999998</v>
      </c>
      <c r="P91" s="6">
        <v>0</v>
      </c>
      <c r="Q91" s="4" t="s">
        <v>26</v>
      </c>
      <c r="R91" s="4">
        <v>0</v>
      </c>
      <c r="S91" s="6">
        <v>0</v>
      </c>
      <c r="T91" s="6">
        <v>15</v>
      </c>
      <c r="U91" s="6">
        <v>9</v>
      </c>
      <c r="V91" s="6">
        <f>IF(ISERROR(VLOOKUP($S$91,'TAR FIN'!$A$1:$O$85,15,0)),0,VLOOKUP($S$91,'TAR FIN'!$A$1:$O$85,15,0))</f>
        <v>0</v>
      </c>
      <c r="W91" s="6">
        <f>IF(ISERROR(VLOOKUP($T$91,'TAR FIN'!$A$1:$O$85,15,0)),0,VLOOKUP($T$91,'TAR FIN'!$A$1:$O$85,15,0))</f>
        <v>940.75</v>
      </c>
      <c r="X91" s="6">
        <f>IF(ISERROR(VLOOKUP($U$91,'TAR FIN'!$A$1:$O$85,15,0)),0,VLOOKUP($U$91,'TAR FIN'!$A$1:$O$85,15,0))</f>
        <v>373.71</v>
      </c>
      <c r="Y91" s="6"/>
      <c r="Z91" s="6">
        <f ca="1">('TUSD BE'!$AM$11+'TUSD BF_350'!$AM$11+'TUSD CVA'!$AM$11)*1</f>
        <v>966.5081601045739</v>
      </c>
      <c r="AA91" s="6">
        <f ca="1">('TE BE'!$AB$5+'TE BF_350'!$AB$5+'TE CVA'!$AB$5)*1</f>
        <v>347.98834052804079</v>
      </c>
      <c r="AB91" s="6">
        <f>$K$91*$V$91</f>
        <v>0</v>
      </c>
      <c r="AC91" s="6">
        <f>$M$91*$W$91</f>
        <v>915.34974999999997</v>
      </c>
      <c r="AD91" s="6">
        <f>$O$91*$X$91</f>
        <v>363.61982999999998</v>
      </c>
      <c r="AE91" s="6">
        <f>$K$91*$Y$91</f>
        <v>0</v>
      </c>
      <c r="AF91" s="6">
        <f ca="1">$M$91*$Z$91</f>
        <v>940.41243978175044</v>
      </c>
      <c r="AG91" s="6">
        <f ca="1">$O$91*$AA$91</f>
        <v>338.59265533378368</v>
      </c>
    </row>
    <row r="92" spans="1:33" ht="11.25" customHeight="1" x14ac:dyDescent="0.25">
      <c r="A92" s="4" t="s">
        <v>21</v>
      </c>
      <c r="B92" s="4" t="s">
        <v>34</v>
      </c>
      <c r="C92" s="4" t="s">
        <v>35</v>
      </c>
      <c r="D92" s="4" t="s">
        <v>38</v>
      </c>
      <c r="E92" s="4" t="s">
        <v>25</v>
      </c>
      <c r="F92" s="4" t="s">
        <v>25</v>
      </c>
      <c r="G92" s="4" t="s">
        <v>25</v>
      </c>
      <c r="H92" s="4" t="s">
        <v>36</v>
      </c>
      <c r="I92" s="5">
        <v>44470</v>
      </c>
      <c r="J92" s="6">
        <v>0</v>
      </c>
      <c r="K92" s="6">
        <v>0</v>
      </c>
      <c r="L92" s="6">
        <v>15.581</v>
      </c>
      <c r="M92" s="6">
        <v>15.581</v>
      </c>
      <c r="N92" s="6">
        <v>15.581</v>
      </c>
      <c r="O92" s="6">
        <v>15.581</v>
      </c>
      <c r="P92" s="6">
        <v>0</v>
      </c>
      <c r="Q92" s="4" t="s">
        <v>26</v>
      </c>
      <c r="R92" s="4">
        <v>0</v>
      </c>
      <c r="S92" s="6">
        <v>0</v>
      </c>
      <c r="T92" s="6">
        <v>15</v>
      </c>
      <c r="U92" s="6">
        <v>9</v>
      </c>
      <c r="V92" s="6">
        <f>IF(ISERROR(VLOOKUP($S$92,'TAR FIN'!$A$1:$O$85,15,0)),0,VLOOKUP($S$92,'TAR FIN'!$A$1:$O$85,15,0))</f>
        <v>0</v>
      </c>
      <c r="W92" s="6">
        <f>IF(ISERROR(VLOOKUP($T$92,'TAR FIN'!$A$1:$O$85,15,0)),0,VLOOKUP($T$92,'TAR FIN'!$A$1:$O$85,15,0))</f>
        <v>940.75</v>
      </c>
      <c r="X92" s="6">
        <f>IF(ISERROR(VLOOKUP($U$92,'TAR FIN'!$A$1:$O$85,15,0)),0,VLOOKUP($U$92,'TAR FIN'!$A$1:$O$85,15,0))</f>
        <v>373.71</v>
      </c>
      <c r="Y92" s="6"/>
      <c r="Z92" s="6">
        <f ca="1">('TUSD BE'!$AM$11+'TUSD BF_350'!$AM$11+'TUSD CVA'!$AM$11)*1</f>
        <v>966.5081601045739</v>
      </c>
      <c r="AA92" s="6">
        <f ca="1">('TE BE'!$AB$5+'TE BF_350'!$AB$5+'TE CVA'!$AB$5)*1</f>
        <v>347.98834052804079</v>
      </c>
      <c r="AB92" s="6">
        <f>$K$92*$V$92</f>
        <v>0</v>
      </c>
      <c r="AC92" s="6">
        <f>$M$92*$W$92</f>
        <v>14657.82575</v>
      </c>
      <c r="AD92" s="6">
        <f>$O$92*$X$92</f>
        <v>5822.7755099999995</v>
      </c>
      <c r="AE92" s="6">
        <f>$K$92*$Y$92</f>
        <v>0</v>
      </c>
      <c r="AF92" s="6">
        <f ca="1">$M$92*$Z$92</f>
        <v>15059.163642589365</v>
      </c>
      <c r="AG92" s="6">
        <f ca="1">$O$92*$AA$92</f>
        <v>5422.0063337674037</v>
      </c>
    </row>
    <row r="93" spans="1:33" ht="11.25" customHeight="1" x14ac:dyDescent="0.25">
      <c r="A93" s="4" t="s">
        <v>27</v>
      </c>
      <c r="B93" s="4" t="s">
        <v>34</v>
      </c>
      <c r="C93" s="4" t="s">
        <v>35</v>
      </c>
      <c r="D93" s="4" t="s">
        <v>38</v>
      </c>
      <c r="E93" s="4" t="s">
        <v>25</v>
      </c>
      <c r="F93" s="4" t="s">
        <v>25</v>
      </c>
      <c r="G93" s="4" t="s">
        <v>25</v>
      </c>
      <c r="H93" s="4" t="s">
        <v>36</v>
      </c>
      <c r="I93" s="5">
        <v>44470</v>
      </c>
      <c r="J93" s="6">
        <v>0</v>
      </c>
      <c r="K93" s="6">
        <v>0</v>
      </c>
      <c r="L93" s="6">
        <v>0.995</v>
      </c>
      <c r="M93" s="6">
        <v>0.995</v>
      </c>
      <c r="N93" s="6">
        <v>0.995</v>
      </c>
      <c r="O93" s="6">
        <v>0.995</v>
      </c>
      <c r="P93" s="6">
        <v>0</v>
      </c>
      <c r="Q93" s="4" t="s">
        <v>26</v>
      </c>
      <c r="R93" s="4">
        <v>0</v>
      </c>
      <c r="S93" s="6">
        <v>0</v>
      </c>
      <c r="T93" s="6">
        <v>15</v>
      </c>
      <c r="U93" s="6">
        <v>9</v>
      </c>
      <c r="V93" s="6">
        <f>IF(ISERROR(VLOOKUP($S$93,'TAR FIN'!$A$1:$O$85,15,0)),0,VLOOKUP($S$93,'TAR FIN'!$A$1:$O$85,15,0))</f>
        <v>0</v>
      </c>
      <c r="W93" s="6">
        <f>IF(ISERROR(VLOOKUP($T$93,'TAR FIN'!$A$1:$O$85,15,0)),0,VLOOKUP($T$93,'TAR FIN'!$A$1:$O$85,15,0))</f>
        <v>940.75</v>
      </c>
      <c r="X93" s="6">
        <f>IF(ISERROR(VLOOKUP($U$93,'TAR FIN'!$A$1:$O$85,15,0)),0,VLOOKUP($U$93,'TAR FIN'!$A$1:$O$85,15,0))</f>
        <v>373.71</v>
      </c>
      <c r="Y93" s="6"/>
      <c r="Z93" s="6">
        <f ca="1">('TUSD BE'!$AM$11+'TUSD BF_350'!$AM$11+'TUSD CVA'!$AM$11)*1</f>
        <v>966.5081601045739</v>
      </c>
      <c r="AA93" s="6">
        <f ca="1">('TE BE'!$AB$5+'TE BF_350'!$AB$5+'TE CVA'!$AB$5)*1</f>
        <v>347.98834052804079</v>
      </c>
      <c r="AB93" s="6">
        <f>$K$93*$V$93</f>
        <v>0</v>
      </c>
      <c r="AC93" s="6">
        <f>$M$93*$W$93</f>
        <v>936.04624999999999</v>
      </c>
      <c r="AD93" s="6">
        <f>$O$93*$X$93</f>
        <v>371.84144999999995</v>
      </c>
      <c r="AE93" s="6">
        <f>$K$93*$Y$93</f>
        <v>0</v>
      </c>
      <c r="AF93" s="6">
        <f ca="1">$M$93*$Z$93</f>
        <v>961.675619304051</v>
      </c>
      <c r="AG93" s="6">
        <f ca="1">$O$93*$AA$93</f>
        <v>346.24839882540061</v>
      </c>
    </row>
    <row r="94" spans="1:33" ht="11.25" customHeight="1" x14ac:dyDescent="0.25">
      <c r="A94" s="4" t="s">
        <v>21</v>
      </c>
      <c r="B94" s="4" t="s">
        <v>34</v>
      </c>
      <c r="C94" s="4" t="s">
        <v>35</v>
      </c>
      <c r="D94" s="4" t="s">
        <v>38</v>
      </c>
      <c r="E94" s="4" t="s">
        <v>25</v>
      </c>
      <c r="F94" s="4" t="s">
        <v>25</v>
      </c>
      <c r="G94" s="4" t="s">
        <v>25</v>
      </c>
      <c r="H94" s="4" t="s">
        <v>36</v>
      </c>
      <c r="I94" s="5">
        <v>44501</v>
      </c>
      <c r="J94" s="6">
        <v>0</v>
      </c>
      <c r="K94" s="6">
        <v>0</v>
      </c>
      <c r="L94" s="6">
        <v>18.66</v>
      </c>
      <c r="M94" s="6">
        <v>18.66</v>
      </c>
      <c r="N94" s="6">
        <v>18.66</v>
      </c>
      <c r="O94" s="6">
        <v>18.66</v>
      </c>
      <c r="P94" s="6">
        <v>0</v>
      </c>
      <c r="Q94" s="4" t="s">
        <v>26</v>
      </c>
      <c r="R94" s="4">
        <v>0</v>
      </c>
      <c r="S94" s="6">
        <v>0</v>
      </c>
      <c r="T94" s="6">
        <v>15</v>
      </c>
      <c r="U94" s="6">
        <v>9</v>
      </c>
      <c r="V94" s="6">
        <f>IF(ISERROR(VLOOKUP($S$94,'TAR FIN'!$A$1:$O$85,15,0)),0,VLOOKUP($S$94,'TAR FIN'!$A$1:$O$85,15,0))</f>
        <v>0</v>
      </c>
      <c r="W94" s="6">
        <f>IF(ISERROR(VLOOKUP($T$94,'TAR FIN'!$A$1:$O$85,15,0)),0,VLOOKUP($T$94,'TAR FIN'!$A$1:$O$85,15,0))</f>
        <v>940.75</v>
      </c>
      <c r="X94" s="6">
        <f>IF(ISERROR(VLOOKUP($U$94,'TAR FIN'!$A$1:$O$85,15,0)),0,VLOOKUP($U$94,'TAR FIN'!$A$1:$O$85,15,0))</f>
        <v>373.71</v>
      </c>
      <c r="Y94" s="6"/>
      <c r="Z94" s="6">
        <f ca="1">('TUSD BE'!$AM$11+'TUSD BF_350'!$AM$11+'TUSD CVA'!$AM$11)*1</f>
        <v>966.5081601045739</v>
      </c>
      <c r="AA94" s="6">
        <f ca="1">('TE BE'!$AB$5+'TE BF_350'!$AB$5+'TE CVA'!$AB$5)*1</f>
        <v>347.98834052804079</v>
      </c>
      <c r="AB94" s="6">
        <f>$K$94*$V$94</f>
        <v>0</v>
      </c>
      <c r="AC94" s="6">
        <f>$M$94*$W$94</f>
        <v>17554.395</v>
      </c>
      <c r="AD94" s="6">
        <f>$O$94*$X$94</f>
        <v>6973.4285999999993</v>
      </c>
      <c r="AE94" s="6">
        <f>$K$94*$Y$94</f>
        <v>0</v>
      </c>
      <c r="AF94" s="6">
        <f ca="1">$M$94*$Z$94</f>
        <v>18035.042267551351</v>
      </c>
      <c r="AG94" s="6">
        <f ca="1">$O$94*$AA$94</f>
        <v>6493.4624342532416</v>
      </c>
    </row>
    <row r="95" spans="1:33" ht="11.25" customHeight="1" x14ac:dyDescent="0.25">
      <c r="A95" s="4" t="s">
        <v>27</v>
      </c>
      <c r="B95" s="4" t="s">
        <v>34</v>
      </c>
      <c r="C95" s="4" t="s">
        <v>35</v>
      </c>
      <c r="D95" s="4" t="s">
        <v>38</v>
      </c>
      <c r="E95" s="4" t="s">
        <v>25</v>
      </c>
      <c r="F95" s="4" t="s">
        <v>25</v>
      </c>
      <c r="G95" s="4" t="s">
        <v>25</v>
      </c>
      <c r="H95" s="4" t="s">
        <v>36</v>
      </c>
      <c r="I95" s="5">
        <v>44501</v>
      </c>
      <c r="J95" s="6">
        <v>0</v>
      </c>
      <c r="K95" s="6">
        <v>0</v>
      </c>
      <c r="L95" s="6">
        <v>2.6749999999999998</v>
      </c>
      <c r="M95" s="6">
        <v>2.6749999999999998</v>
      </c>
      <c r="N95" s="6">
        <v>2.6749999999999998</v>
      </c>
      <c r="O95" s="6">
        <v>2.6749999999999998</v>
      </c>
      <c r="P95" s="6">
        <v>0</v>
      </c>
      <c r="Q95" s="4" t="s">
        <v>26</v>
      </c>
      <c r="R95" s="4">
        <v>0</v>
      </c>
      <c r="S95" s="6">
        <v>0</v>
      </c>
      <c r="T95" s="6">
        <v>15</v>
      </c>
      <c r="U95" s="6">
        <v>9</v>
      </c>
      <c r="V95" s="6">
        <f>IF(ISERROR(VLOOKUP($S$95,'TAR FIN'!$A$1:$O$85,15,0)),0,VLOOKUP($S$95,'TAR FIN'!$A$1:$O$85,15,0))</f>
        <v>0</v>
      </c>
      <c r="W95" s="6">
        <f>IF(ISERROR(VLOOKUP($T$95,'TAR FIN'!$A$1:$O$85,15,0)),0,VLOOKUP($T$95,'TAR FIN'!$A$1:$O$85,15,0))</f>
        <v>940.75</v>
      </c>
      <c r="X95" s="6">
        <f>IF(ISERROR(VLOOKUP($U$95,'TAR FIN'!$A$1:$O$85,15,0)),0,VLOOKUP($U$95,'TAR FIN'!$A$1:$O$85,15,0))</f>
        <v>373.71</v>
      </c>
      <c r="Y95" s="6"/>
      <c r="Z95" s="6">
        <f ca="1">('TUSD BE'!$AM$11+'TUSD BF_350'!$AM$11+'TUSD CVA'!$AM$11)*1</f>
        <v>966.5081601045739</v>
      </c>
      <c r="AA95" s="6">
        <f ca="1">('TE BE'!$AB$5+'TE BF_350'!$AB$5+'TE CVA'!$AB$5)*1</f>
        <v>347.98834052804079</v>
      </c>
      <c r="AB95" s="6">
        <f>$K$95*$V$95</f>
        <v>0</v>
      </c>
      <c r="AC95" s="6">
        <f>$M$95*$W$95</f>
        <v>2516.5062499999999</v>
      </c>
      <c r="AD95" s="6">
        <f>$O$95*$X$95</f>
        <v>999.67424999999992</v>
      </c>
      <c r="AE95" s="6">
        <f>$K$95*$Y$95</f>
        <v>0</v>
      </c>
      <c r="AF95" s="6">
        <f ca="1">$M$95*$Z$95</f>
        <v>2585.4093282797348</v>
      </c>
      <c r="AG95" s="6">
        <f ca="1">$O$95*$AA$95</f>
        <v>930.86881091250905</v>
      </c>
    </row>
    <row r="96" spans="1:33" ht="11.25" customHeight="1" x14ac:dyDescent="0.25">
      <c r="A96" s="4" t="s">
        <v>21</v>
      </c>
      <c r="B96" s="4" t="s">
        <v>34</v>
      </c>
      <c r="C96" s="4" t="s">
        <v>35</v>
      </c>
      <c r="D96" s="4" t="s">
        <v>38</v>
      </c>
      <c r="E96" s="4" t="s">
        <v>25</v>
      </c>
      <c r="F96" s="4" t="s">
        <v>25</v>
      </c>
      <c r="G96" s="4" t="s">
        <v>25</v>
      </c>
      <c r="H96" s="4" t="s">
        <v>36</v>
      </c>
      <c r="I96" s="5">
        <v>44531</v>
      </c>
      <c r="J96" s="6">
        <v>0</v>
      </c>
      <c r="K96" s="6">
        <v>0</v>
      </c>
      <c r="L96" s="6">
        <v>22.087</v>
      </c>
      <c r="M96" s="6">
        <v>22.087</v>
      </c>
      <c r="N96" s="6">
        <v>22.087</v>
      </c>
      <c r="O96" s="6">
        <v>22.087</v>
      </c>
      <c r="P96" s="6">
        <v>0</v>
      </c>
      <c r="Q96" s="4" t="s">
        <v>26</v>
      </c>
      <c r="R96" s="4">
        <v>0</v>
      </c>
      <c r="S96" s="6">
        <v>0</v>
      </c>
      <c r="T96" s="6">
        <v>15</v>
      </c>
      <c r="U96" s="6">
        <v>9</v>
      </c>
      <c r="V96" s="6">
        <f>IF(ISERROR(VLOOKUP($S$96,'TAR FIN'!$A$1:$O$85,15,0)),0,VLOOKUP($S$96,'TAR FIN'!$A$1:$O$85,15,0))</f>
        <v>0</v>
      </c>
      <c r="W96" s="6">
        <f>IF(ISERROR(VLOOKUP($T$96,'TAR FIN'!$A$1:$O$85,15,0)),0,VLOOKUP($T$96,'TAR FIN'!$A$1:$O$85,15,0))</f>
        <v>940.75</v>
      </c>
      <c r="X96" s="6">
        <f>IF(ISERROR(VLOOKUP($U$96,'TAR FIN'!$A$1:$O$85,15,0)),0,VLOOKUP($U$96,'TAR FIN'!$A$1:$O$85,15,0))</f>
        <v>373.71</v>
      </c>
      <c r="Y96" s="6"/>
      <c r="Z96" s="6">
        <f ca="1">('TUSD BE'!$AM$11+'TUSD BF_350'!$AM$11+'TUSD CVA'!$AM$11)*1</f>
        <v>966.5081601045739</v>
      </c>
      <c r="AA96" s="6">
        <f ca="1">('TE BE'!$AB$5+'TE BF_350'!$AB$5+'TE CVA'!$AB$5)*1</f>
        <v>347.98834052804079</v>
      </c>
      <c r="AB96" s="6">
        <f>$K$96*$V$96</f>
        <v>0</v>
      </c>
      <c r="AC96" s="6">
        <f>$M$96*$W$96</f>
        <v>20778.345249999998</v>
      </c>
      <c r="AD96" s="6">
        <f>$O$96*$X$96</f>
        <v>8254.1327700000002</v>
      </c>
      <c r="AE96" s="6">
        <f>$K$96*$Y$96</f>
        <v>0</v>
      </c>
      <c r="AF96" s="6">
        <f ca="1">$M$96*$Z$96</f>
        <v>21347.265732229724</v>
      </c>
      <c r="AG96" s="6">
        <f ca="1">$O$96*$AA$96</f>
        <v>7686.0184772428365</v>
      </c>
    </row>
    <row r="97" spans="1:33" ht="11.25" customHeight="1" x14ac:dyDescent="0.25">
      <c r="A97" s="4" t="s">
        <v>27</v>
      </c>
      <c r="B97" s="4" t="s">
        <v>34</v>
      </c>
      <c r="C97" s="4" t="s">
        <v>35</v>
      </c>
      <c r="D97" s="4" t="s">
        <v>38</v>
      </c>
      <c r="E97" s="4" t="s">
        <v>25</v>
      </c>
      <c r="F97" s="4" t="s">
        <v>25</v>
      </c>
      <c r="G97" s="4" t="s">
        <v>25</v>
      </c>
      <c r="H97" s="4" t="s">
        <v>36</v>
      </c>
      <c r="I97" s="5">
        <v>44531</v>
      </c>
      <c r="J97" s="6">
        <v>0</v>
      </c>
      <c r="K97" s="6">
        <v>0</v>
      </c>
      <c r="L97" s="6">
        <v>0.97</v>
      </c>
      <c r="M97" s="6">
        <v>0.97</v>
      </c>
      <c r="N97" s="6">
        <v>0.97</v>
      </c>
      <c r="O97" s="6">
        <v>0.97</v>
      </c>
      <c r="P97" s="6">
        <v>0</v>
      </c>
      <c r="Q97" s="4" t="s">
        <v>26</v>
      </c>
      <c r="R97" s="4">
        <v>0</v>
      </c>
      <c r="S97" s="6">
        <v>0</v>
      </c>
      <c r="T97" s="6">
        <v>15</v>
      </c>
      <c r="U97" s="6">
        <v>9</v>
      </c>
      <c r="V97" s="6">
        <f>IF(ISERROR(VLOOKUP($S$97,'TAR FIN'!$A$1:$O$85,15,0)),0,VLOOKUP($S$97,'TAR FIN'!$A$1:$O$85,15,0))</f>
        <v>0</v>
      </c>
      <c r="W97" s="6">
        <f>IF(ISERROR(VLOOKUP($T$97,'TAR FIN'!$A$1:$O$85,15,0)),0,VLOOKUP($T$97,'TAR FIN'!$A$1:$O$85,15,0))</f>
        <v>940.75</v>
      </c>
      <c r="X97" s="6">
        <f>IF(ISERROR(VLOOKUP($U$97,'TAR FIN'!$A$1:$O$85,15,0)),0,VLOOKUP($U$97,'TAR FIN'!$A$1:$O$85,15,0))</f>
        <v>373.71</v>
      </c>
      <c r="Y97" s="6"/>
      <c r="Z97" s="6">
        <f ca="1">('TUSD BE'!$AM$11+'TUSD BF_350'!$AM$11+'TUSD CVA'!$AM$11)*1</f>
        <v>966.5081601045739</v>
      </c>
      <c r="AA97" s="6">
        <f ca="1">('TE BE'!$AB$5+'TE BF_350'!$AB$5+'TE CVA'!$AB$5)*1</f>
        <v>347.98834052804079</v>
      </c>
      <c r="AB97" s="6">
        <f>$K$97*$V$97</f>
        <v>0</v>
      </c>
      <c r="AC97" s="6">
        <f>$M$97*$W$97</f>
        <v>912.52749999999992</v>
      </c>
      <c r="AD97" s="6">
        <f>$O$97*$X$97</f>
        <v>362.49869999999999</v>
      </c>
      <c r="AE97" s="6">
        <f>$K$97*$Y$97</f>
        <v>0</v>
      </c>
      <c r="AF97" s="6">
        <f ca="1">$M$97*$Z$97</f>
        <v>937.51291530143669</v>
      </c>
      <c r="AG97" s="6">
        <f ca="1">$O$97*$AA$97</f>
        <v>337.54869031219954</v>
      </c>
    </row>
    <row r="98" spans="1:33" ht="11.25" customHeight="1" x14ac:dyDescent="0.25">
      <c r="A98" s="4" t="s">
        <v>21</v>
      </c>
      <c r="B98" s="4" t="s">
        <v>34</v>
      </c>
      <c r="C98" s="4" t="s">
        <v>35</v>
      </c>
      <c r="D98" s="4" t="s">
        <v>38</v>
      </c>
      <c r="E98" s="4" t="s">
        <v>25</v>
      </c>
      <c r="F98" s="4" t="s">
        <v>25</v>
      </c>
      <c r="G98" s="4" t="s">
        <v>25</v>
      </c>
      <c r="H98" s="4" t="s">
        <v>36</v>
      </c>
      <c r="I98" s="5">
        <v>44562</v>
      </c>
      <c r="J98" s="6">
        <v>0</v>
      </c>
      <c r="K98" s="6">
        <v>0</v>
      </c>
      <c r="L98" s="6">
        <v>21.966000000000001</v>
      </c>
      <c r="M98" s="6">
        <v>21.966000000000001</v>
      </c>
      <c r="N98" s="6">
        <v>21.966000000000001</v>
      </c>
      <c r="O98" s="6">
        <v>21.966000000000001</v>
      </c>
      <c r="P98" s="6">
        <v>0</v>
      </c>
      <c r="Q98" s="4" t="s">
        <v>26</v>
      </c>
      <c r="R98" s="4">
        <v>0</v>
      </c>
      <c r="S98" s="6">
        <v>0</v>
      </c>
      <c r="T98" s="6">
        <v>15</v>
      </c>
      <c r="U98" s="6">
        <v>9</v>
      </c>
      <c r="V98" s="6">
        <f>IF(ISERROR(VLOOKUP($S$98,'TAR FIN'!$A$1:$O$85,15,0)),0,VLOOKUP($S$98,'TAR FIN'!$A$1:$O$85,15,0))</f>
        <v>0</v>
      </c>
      <c r="W98" s="6">
        <f>IF(ISERROR(VLOOKUP($T$98,'TAR FIN'!$A$1:$O$85,15,0)),0,VLOOKUP($T$98,'TAR FIN'!$A$1:$O$85,15,0))</f>
        <v>940.75</v>
      </c>
      <c r="X98" s="6">
        <f>IF(ISERROR(VLOOKUP($U$98,'TAR FIN'!$A$1:$O$85,15,0)),0,VLOOKUP($U$98,'TAR FIN'!$A$1:$O$85,15,0))</f>
        <v>373.71</v>
      </c>
      <c r="Y98" s="6"/>
      <c r="Z98" s="6">
        <f ca="1">('TUSD BE'!$AM$11+'TUSD BF_350'!$AM$11+'TUSD CVA'!$AM$11)*1</f>
        <v>966.5081601045739</v>
      </c>
      <c r="AA98" s="6">
        <f ca="1">('TE BE'!$AB$5+'TE BF_350'!$AB$5+'TE CVA'!$AB$5)*1</f>
        <v>347.98834052804079</v>
      </c>
      <c r="AB98" s="6">
        <f>$K$98*$V$98</f>
        <v>0</v>
      </c>
      <c r="AC98" s="6">
        <f>$M$98*$W$98</f>
        <v>20664.514500000001</v>
      </c>
      <c r="AD98" s="6">
        <f>$O$98*$X$98</f>
        <v>8208.9138600000006</v>
      </c>
      <c r="AE98" s="6">
        <f>$K$98*$Y$98</f>
        <v>0</v>
      </c>
      <c r="AF98" s="6">
        <f ca="1">$M$98*$Z$98</f>
        <v>21230.31824485707</v>
      </c>
      <c r="AG98" s="6">
        <f ca="1">$O$98*$AA$98</f>
        <v>7643.9118880389442</v>
      </c>
    </row>
    <row r="99" spans="1:33" ht="11.25" customHeight="1" x14ac:dyDescent="0.25">
      <c r="A99" s="4" t="s">
        <v>27</v>
      </c>
      <c r="B99" s="4" t="s">
        <v>34</v>
      </c>
      <c r="C99" s="4" t="s">
        <v>35</v>
      </c>
      <c r="D99" s="4" t="s">
        <v>38</v>
      </c>
      <c r="E99" s="4" t="s">
        <v>25</v>
      </c>
      <c r="F99" s="4" t="s">
        <v>25</v>
      </c>
      <c r="G99" s="4" t="s">
        <v>25</v>
      </c>
      <c r="H99" s="4" t="s">
        <v>36</v>
      </c>
      <c r="I99" s="5">
        <v>44562</v>
      </c>
      <c r="J99" s="6">
        <v>0</v>
      </c>
      <c r="K99" s="6">
        <v>0</v>
      </c>
      <c r="L99" s="6">
        <v>2.1240000000000001</v>
      </c>
      <c r="M99" s="6">
        <v>2.1240000000000001</v>
      </c>
      <c r="N99" s="6">
        <v>2.1240000000000001</v>
      </c>
      <c r="O99" s="6">
        <v>2.1240000000000001</v>
      </c>
      <c r="P99" s="6">
        <v>0</v>
      </c>
      <c r="Q99" s="4" t="s">
        <v>26</v>
      </c>
      <c r="R99" s="4">
        <v>0</v>
      </c>
      <c r="S99" s="6">
        <v>0</v>
      </c>
      <c r="T99" s="6">
        <v>15</v>
      </c>
      <c r="U99" s="6">
        <v>9</v>
      </c>
      <c r="V99" s="6">
        <f>IF(ISERROR(VLOOKUP($S$99,'TAR FIN'!$A$1:$O$85,15,0)),0,VLOOKUP($S$99,'TAR FIN'!$A$1:$O$85,15,0))</f>
        <v>0</v>
      </c>
      <c r="W99" s="6">
        <f>IF(ISERROR(VLOOKUP($T$99,'TAR FIN'!$A$1:$O$85,15,0)),0,VLOOKUP($T$99,'TAR FIN'!$A$1:$O$85,15,0))</f>
        <v>940.75</v>
      </c>
      <c r="X99" s="6">
        <f>IF(ISERROR(VLOOKUP($U$99,'TAR FIN'!$A$1:$O$85,15,0)),0,VLOOKUP($U$99,'TAR FIN'!$A$1:$O$85,15,0))</f>
        <v>373.71</v>
      </c>
      <c r="Y99" s="6"/>
      <c r="Z99" s="6">
        <f ca="1">('TUSD BE'!$AM$11+'TUSD BF_350'!$AM$11+'TUSD CVA'!$AM$11)*1</f>
        <v>966.5081601045739</v>
      </c>
      <c r="AA99" s="6">
        <f ca="1">('TE BE'!$AB$5+'TE BF_350'!$AB$5+'TE CVA'!$AB$5)*1</f>
        <v>347.98834052804079</v>
      </c>
      <c r="AB99" s="6">
        <f>$K$99*$V$99</f>
        <v>0</v>
      </c>
      <c r="AC99" s="6">
        <f>$M$99*$W$99</f>
        <v>1998.153</v>
      </c>
      <c r="AD99" s="6">
        <f>$O$99*$X$99</f>
        <v>793.76004</v>
      </c>
      <c r="AE99" s="6">
        <f>$K$99*$Y$99</f>
        <v>0</v>
      </c>
      <c r="AF99" s="6">
        <f ca="1">$M$99*$Z$99</f>
        <v>2052.8633320621152</v>
      </c>
      <c r="AG99" s="6">
        <f ca="1">$O$99*$AA$99</f>
        <v>739.12723528155868</v>
      </c>
    </row>
    <row r="100" spans="1:33" ht="11.25" customHeight="1" x14ac:dyDescent="0.25">
      <c r="A100" s="4" t="s">
        <v>21</v>
      </c>
      <c r="B100" s="4" t="s">
        <v>34</v>
      </c>
      <c r="C100" s="4" t="s">
        <v>35</v>
      </c>
      <c r="D100" s="4" t="s">
        <v>38</v>
      </c>
      <c r="E100" s="4" t="s">
        <v>25</v>
      </c>
      <c r="F100" s="4" t="s">
        <v>25</v>
      </c>
      <c r="G100" s="4" t="s">
        <v>25</v>
      </c>
      <c r="H100" s="4" t="s">
        <v>36</v>
      </c>
      <c r="I100" s="5">
        <v>44593</v>
      </c>
      <c r="J100" s="6">
        <v>0</v>
      </c>
      <c r="K100" s="6">
        <v>0</v>
      </c>
      <c r="L100" s="6">
        <v>20.425000000000001</v>
      </c>
      <c r="M100" s="6">
        <v>20.425000000000001</v>
      </c>
      <c r="N100" s="6">
        <v>20.425000000000001</v>
      </c>
      <c r="O100" s="6">
        <v>20.425000000000001</v>
      </c>
      <c r="P100" s="6">
        <v>0</v>
      </c>
      <c r="Q100" s="4" t="s">
        <v>26</v>
      </c>
      <c r="R100" s="4">
        <v>0</v>
      </c>
      <c r="S100" s="6">
        <v>0</v>
      </c>
      <c r="T100" s="6">
        <v>15</v>
      </c>
      <c r="U100" s="6">
        <v>9</v>
      </c>
      <c r="V100" s="6">
        <f>IF(ISERROR(VLOOKUP($S$100,'TAR FIN'!$A$1:$O$85,15,0)),0,VLOOKUP($S$100,'TAR FIN'!$A$1:$O$85,15,0))</f>
        <v>0</v>
      </c>
      <c r="W100" s="6">
        <f>IF(ISERROR(VLOOKUP($T$100,'TAR FIN'!$A$1:$O$85,15,0)),0,VLOOKUP($T$100,'TAR FIN'!$A$1:$O$85,15,0))</f>
        <v>940.75</v>
      </c>
      <c r="X100" s="6">
        <f>IF(ISERROR(VLOOKUP($U$100,'TAR FIN'!$A$1:$O$85,15,0)),0,VLOOKUP($U$100,'TAR FIN'!$A$1:$O$85,15,0))</f>
        <v>373.71</v>
      </c>
      <c r="Y100" s="6"/>
      <c r="Z100" s="6">
        <f ca="1">('TUSD BE'!$AM$11+'TUSD BF_350'!$AM$11+'TUSD CVA'!$AM$11)*1</f>
        <v>966.5081601045739</v>
      </c>
      <c r="AA100" s="6">
        <f ca="1">('TE BE'!$AB$5+'TE BF_350'!$AB$5+'TE CVA'!$AB$5)*1</f>
        <v>347.98834052804079</v>
      </c>
      <c r="AB100" s="6">
        <f>$K$100*$V$100</f>
        <v>0</v>
      </c>
      <c r="AC100" s="6">
        <f>$M$100*$W$100</f>
        <v>19214.818750000002</v>
      </c>
      <c r="AD100" s="6">
        <f>$O$100*$X$100</f>
        <v>7633.02675</v>
      </c>
      <c r="AE100" s="6">
        <f>$K$100*$Y$100</f>
        <v>0</v>
      </c>
      <c r="AF100" s="6">
        <f ca="1">$M$100*$Z$100</f>
        <v>19740.929170135922</v>
      </c>
      <c r="AG100" s="6">
        <f ca="1">$O$100*$AA$100</f>
        <v>7107.6618552852333</v>
      </c>
    </row>
    <row r="101" spans="1:33" ht="11.25" customHeight="1" x14ac:dyDescent="0.25">
      <c r="A101" s="4" t="s">
        <v>27</v>
      </c>
      <c r="B101" s="4" t="s">
        <v>34</v>
      </c>
      <c r="C101" s="4" t="s">
        <v>35</v>
      </c>
      <c r="D101" s="4" t="s">
        <v>38</v>
      </c>
      <c r="E101" s="4" t="s">
        <v>25</v>
      </c>
      <c r="F101" s="4" t="s">
        <v>25</v>
      </c>
      <c r="G101" s="4" t="s">
        <v>25</v>
      </c>
      <c r="H101" s="4" t="s">
        <v>36</v>
      </c>
      <c r="I101" s="5">
        <v>44593</v>
      </c>
      <c r="J101" s="6">
        <v>0</v>
      </c>
      <c r="K101" s="6">
        <v>0</v>
      </c>
      <c r="L101" s="6">
        <v>4.3490000000000002</v>
      </c>
      <c r="M101" s="6">
        <v>4.3490000000000002</v>
      </c>
      <c r="N101" s="6">
        <v>4.3490000000000002</v>
      </c>
      <c r="O101" s="6">
        <v>4.3490000000000002</v>
      </c>
      <c r="P101" s="6">
        <v>0</v>
      </c>
      <c r="Q101" s="4" t="s">
        <v>26</v>
      </c>
      <c r="R101" s="4">
        <v>0</v>
      </c>
      <c r="S101" s="6">
        <v>0</v>
      </c>
      <c r="T101" s="6">
        <v>15</v>
      </c>
      <c r="U101" s="6">
        <v>9</v>
      </c>
      <c r="V101" s="6">
        <f>IF(ISERROR(VLOOKUP($S$101,'TAR FIN'!$A$1:$O$85,15,0)),0,VLOOKUP($S$101,'TAR FIN'!$A$1:$O$85,15,0))</f>
        <v>0</v>
      </c>
      <c r="W101" s="6">
        <f>IF(ISERROR(VLOOKUP($T$101,'TAR FIN'!$A$1:$O$85,15,0)),0,VLOOKUP($T$101,'TAR FIN'!$A$1:$O$85,15,0))</f>
        <v>940.75</v>
      </c>
      <c r="X101" s="6">
        <f>IF(ISERROR(VLOOKUP($U$101,'TAR FIN'!$A$1:$O$85,15,0)),0,VLOOKUP($U$101,'TAR FIN'!$A$1:$O$85,15,0))</f>
        <v>373.71</v>
      </c>
      <c r="Y101" s="6"/>
      <c r="Z101" s="6">
        <f ca="1">('TUSD BE'!$AM$11+'TUSD BF_350'!$AM$11+'TUSD CVA'!$AM$11)*1</f>
        <v>966.5081601045739</v>
      </c>
      <c r="AA101" s="6">
        <f ca="1">('TE BE'!$AB$5+'TE BF_350'!$AB$5+'TE CVA'!$AB$5)*1</f>
        <v>347.98834052804079</v>
      </c>
      <c r="AB101" s="6">
        <f>$K$101*$V$101</f>
        <v>0</v>
      </c>
      <c r="AC101" s="6">
        <f>$M$101*$W$101</f>
        <v>4091.3217500000001</v>
      </c>
      <c r="AD101" s="6">
        <f>$O$101*$X$101</f>
        <v>1625.2647899999999</v>
      </c>
      <c r="AE101" s="6">
        <f>$K$101*$Y$101</f>
        <v>0</v>
      </c>
      <c r="AF101" s="6">
        <f ca="1">$M$101*$Z$101</f>
        <v>4203.3439882947923</v>
      </c>
      <c r="AG101" s="6">
        <f ca="1">$O$101*$AA$101</f>
        <v>1513.4012929564494</v>
      </c>
    </row>
    <row r="102" spans="1:33" ht="11.25" customHeight="1" x14ac:dyDescent="0.25">
      <c r="A102" s="4" t="s">
        <v>21</v>
      </c>
      <c r="B102" s="4" t="s">
        <v>34</v>
      </c>
      <c r="C102" s="4" t="s">
        <v>35</v>
      </c>
      <c r="D102" s="4" t="s">
        <v>38</v>
      </c>
      <c r="E102" s="4" t="s">
        <v>25</v>
      </c>
      <c r="F102" s="4" t="s">
        <v>25</v>
      </c>
      <c r="G102" s="4" t="s">
        <v>25</v>
      </c>
      <c r="H102" s="4" t="s">
        <v>36</v>
      </c>
      <c r="I102" s="5">
        <v>44621</v>
      </c>
      <c r="J102" s="6">
        <v>0</v>
      </c>
      <c r="K102" s="6">
        <v>0</v>
      </c>
      <c r="L102" s="6">
        <v>19.513000000000002</v>
      </c>
      <c r="M102" s="6">
        <v>19.513000000000002</v>
      </c>
      <c r="N102" s="6">
        <v>19.513000000000002</v>
      </c>
      <c r="O102" s="6">
        <v>19.513000000000002</v>
      </c>
      <c r="P102" s="6">
        <v>0</v>
      </c>
      <c r="Q102" s="4" t="s">
        <v>26</v>
      </c>
      <c r="R102" s="4">
        <v>0</v>
      </c>
      <c r="S102" s="6">
        <v>0</v>
      </c>
      <c r="T102" s="6">
        <v>15</v>
      </c>
      <c r="U102" s="6">
        <v>9</v>
      </c>
      <c r="V102" s="6">
        <f>IF(ISERROR(VLOOKUP($S$102,'TAR FIN'!$A$1:$O$85,15,0)),0,VLOOKUP($S$102,'TAR FIN'!$A$1:$O$85,15,0))</f>
        <v>0</v>
      </c>
      <c r="W102" s="6">
        <f>IF(ISERROR(VLOOKUP($T$102,'TAR FIN'!$A$1:$O$85,15,0)),0,VLOOKUP($T$102,'TAR FIN'!$A$1:$O$85,15,0))</f>
        <v>940.75</v>
      </c>
      <c r="X102" s="6">
        <f>IF(ISERROR(VLOOKUP($U$102,'TAR FIN'!$A$1:$O$85,15,0)),0,VLOOKUP($U$102,'TAR FIN'!$A$1:$O$85,15,0))</f>
        <v>373.71</v>
      </c>
      <c r="Y102" s="6"/>
      <c r="Z102" s="6">
        <f ca="1">('TUSD BE'!$AM$11+'TUSD BF_350'!$AM$11+'TUSD CVA'!$AM$11)*1</f>
        <v>966.5081601045739</v>
      </c>
      <c r="AA102" s="6">
        <f ca="1">('TE BE'!$AB$5+'TE BF_350'!$AB$5+'TE CVA'!$AB$5)*1</f>
        <v>347.98834052804079</v>
      </c>
      <c r="AB102" s="6">
        <f>$K$102*$V$102</f>
        <v>0</v>
      </c>
      <c r="AC102" s="6">
        <f>$M$102*$W$102</f>
        <v>18356.854750000002</v>
      </c>
      <c r="AD102" s="6">
        <f>$O$102*$X$102</f>
        <v>7292.2032300000001</v>
      </c>
      <c r="AE102" s="6">
        <f>$K$102*$Y$102</f>
        <v>0</v>
      </c>
      <c r="AF102" s="6">
        <f ca="1">$M$102*$Z$102</f>
        <v>18859.473728120553</v>
      </c>
      <c r="AG102" s="6">
        <f ca="1">$O$102*$AA$102</f>
        <v>6790.2964887236603</v>
      </c>
    </row>
    <row r="103" spans="1:33" ht="11.25" customHeight="1" x14ac:dyDescent="0.25">
      <c r="A103" s="4" t="s">
        <v>27</v>
      </c>
      <c r="B103" s="4" t="s">
        <v>34</v>
      </c>
      <c r="C103" s="4" t="s">
        <v>35</v>
      </c>
      <c r="D103" s="4" t="s">
        <v>38</v>
      </c>
      <c r="E103" s="4" t="s">
        <v>25</v>
      </c>
      <c r="F103" s="4" t="s">
        <v>25</v>
      </c>
      <c r="G103" s="4" t="s">
        <v>25</v>
      </c>
      <c r="H103" s="4" t="s">
        <v>36</v>
      </c>
      <c r="I103" s="5">
        <v>44621</v>
      </c>
      <c r="J103" s="6">
        <v>0</v>
      </c>
      <c r="K103" s="6">
        <v>0</v>
      </c>
      <c r="L103" s="6">
        <v>3.1930000000000001</v>
      </c>
      <c r="M103" s="6">
        <v>3.1930000000000001</v>
      </c>
      <c r="N103" s="6">
        <v>3.1930000000000001</v>
      </c>
      <c r="O103" s="6">
        <v>3.1930000000000001</v>
      </c>
      <c r="P103" s="6">
        <v>0</v>
      </c>
      <c r="Q103" s="4" t="s">
        <v>26</v>
      </c>
      <c r="R103" s="4">
        <v>0</v>
      </c>
      <c r="S103" s="6">
        <v>0</v>
      </c>
      <c r="T103" s="6">
        <v>15</v>
      </c>
      <c r="U103" s="6">
        <v>9</v>
      </c>
      <c r="V103" s="6">
        <f>IF(ISERROR(VLOOKUP($S$103,'TAR FIN'!$A$1:$O$85,15,0)),0,VLOOKUP($S$103,'TAR FIN'!$A$1:$O$85,15,0))</f>
        <v>0</v>
      </c>
      <c r="W103" s="6">
        <f>IF(ISERROR(VLOOKUP($T$103,'TAR FIN'!$A$1:$O$85,15,0)),0,VLOOKUP($T$103,'TAR FIN'!$A$1:$O$85,15,0))</f>
        <v>940.75</v>
      </c>
      <c r="X103" s="6">
        <f>IF(ISERROR(VLOOKUP($U$103,'TAR FIN'!$A$1:$O$85,15,0)),0,VLOOKUP($U$103,'TAR FIN'!$A$1:$O$85,15,0))</f>
        <v>373.71</v>
      </c>
      <c r="Y103" s="6"/>
      <c r="Z103" s="6">
        <f ca="1">('TUSD BE'!$AM$11+'TUSD BF_350'!$AM$11+'TUSD CVA'!$AM$11)*1</f>
        <v>966.5081601045739</v>
      </c>
      <c r="AA103" s="6">
        <f ca="1">('TE BE'!$AB$5+'TE BF_350'!$AB$5+'TE CVA'!$AB$5)*1</f>
        <v>347.98834052804079</v>
      </c>
      <c r="AB103" s="6">
        <f>$K$103*$V$103</f>
        <v>0</v>
      </c>
      <c r="AC103" s="6">
        <f>$M$103*$W$103</f>
        <v>3003.81475</v>
      </c>
      <c r="AD103" s="6">
        <f>$O$103*$X$103</f>
        <v>1193.25603</v>
      </c>
      <c r="AE103" s="6">
        <f>$K$103*$Y$103</f>
        <v>0</v>
      </c>
      <c r="AF103" s="6">
        <f ca="1">$M$103*$Z$103</f>
        <v>3086.0605552139045</v>
      </c>
      <c r="AG103" s="6">
        <f ca="1">$O$103*$AA$103</f>
        <v>1111.1267713060342</v>
      </c>
    </row>
    <row r="104" spans="1:33" ht="11.25" customHeight="1" x14ac:dyDescent="0.25">
      <c r="A104" s="4" t="s">
        <v>21</v>
      </c>
      <c r="B104" s="4" t="s">
        <v>34</v>
      </c>
      <c r="C104" s="4" t="s">
        <v>35</v>
      </c>
      <c r="D104" s="4" t="s">
        <v>38</v>
      </c>
      <c r="E104" s="4" t="s">
        <v>25</v>
      </c>
      <c r="F104" s="4" t="s">
        <v>25</v>
      </c>
      <c r="G104" s="4" t="s">
        <v>25</v>
      </c>
      <c r="H104" s="4" t="s">
        <v>36</v>
      </c>
      <c r="I104" s="5">
        <v>44652</v>
      </c>
      <c r="J104" s="6">
        <v>0</v>
      </c>
      <c r="K104" s="6">
        <v>0</v>
      </c>
      <c r="L104" s="6">
        <v>15.244999999999999</v>
      </c>
      <c r="M104" s="6">
        <v>15.244999999999999</v>
      </c>
      <c r="N104" s="6">
        <v>15.244999999999999</v>
      </c>
      <c r="O104" s="6">
        <v>15.244999999999999</v>
      </c>
      <c r="P104" s="6">
        <v>0</v>
      </c>
      <c r="Q104" s="4" t="s">
        <v>26</v>
      </c>
      <c r="R104" s="4">
        <v>0</v>
      </c>
      <c r="S104" s="6">
        <v>0</v>
      </c>
      <c r="T104" s="6">
        <v>15</v>
      </c>
      <c r="U104" s="6">
        <v>9</v>
      </c>
      <c r="V104" s="6">
        <f>IF(ISERROR(VLOOKUP($S$104,'TAR FIN'!$A$1:$O$85,15,0)),0,VLOOKUP($S$104,'TAR FIN'!$A$1:$O$85,15,0))</f>
        <v>0</v>
      </c>
      <c r="W104" s="6">
        <f>IF(ISERROR(VLOOKUP($T$104,'TAR FIN'!$A$1:$O$85,15,0)),0,VLOOKUP($T$104,'TAR FIN'!$A$1:$O$85,15,0))</f>
        <v>940.75</v>
      </c>
      <c r="X104" s="6">
        <f>IF(ISERROR(VLOOKUP($U$104,'TAR FIN'!$A$1:$O$85,15,0)),0,VLOOKUP($U$104,'TAR FIN'!$A$1:$O$85,15,0))</f>
        <v>373.71</v>
      </c>
      <c r="Y104" s="6"/>
      <c r="Z104" s="6">
        <f ca="1">('TUSD BE'!$AM$11+'TUSD BF_350'!$AM$11+'TUSD CVA'!$AM$11)*1</f>
        <v>966.5081601045739</v>
      </c>
      <c r="AA104" s="6">
        <f ca="1">('TE BE'!$AB$5+'TE BF_350'!$AB$5+'TE CVA'!$AB$5)*1</f>
        <v>347.98834052804079</v>
      </c>
      <c r="AB104" s="6">
        <f>$K$104*$V$104</f>
        <v>0</v>
      </c>
      <c r="AC104" s="6">
        <f>$M$104*$W$104</f>
        <v>14341.733749999999</v>
      </c>
      <c r="AD104" s="6">
        <f>$O$104*$X$104</f>
        <v>5697.2089499999993</v>
      </c>
      <c r="AE104" s="6">
        <f>$K$104*$Y$104</f>
        <v>0</v>
      </c>
      <c r="AF104" s="6">
        <f ca="1">$M$104*$Z$104</f>
        <v>14734.416900794229</v>
      </c>
      <c r="AG104" s="6">
        <f ca="1">$O$104*$AA$104</f>
        <v>5305.0822513499816</v>
      </c>
    </row>
    <row r="105" spans="1:33" ht="11.25" customHeight="1" x14ac:dyDescent="0.25">
      <c r="A105" s="4" t="s">
        <v>27</v>
      </c>
      <c r="B105" s="4" t="s">
        <v>34</v>
      </c>
      <c r="C105" s="4" t="s">
        <v>35</v>
      </c>
      <c r="D105" s="4" t="s">
        <v>38</v>
      </c>
      <c r="E105" s="4" t="s">
        <v>25</v>
      </c>
      <c r="F105" s="4" t="s">
        <v>25</v>
      </c>
      <c r="G105" s="4" t="s">
        <v>25</v>
      </c>
      <c r="H105" s="4" t="s">
        <v>36</v>
      </c>
      <c r="I105" s="5">
        <v>44652</v>
      </c>
      <c r="J105" s="6">
        <v>0</v>
      </c>
      <c r="K105" s="6">
        <v>0</v>
      </c>
      <c r="L105" s="6">
        <v>4.415</v>
      </c>
      <c r="M105" s="6">
        <v>4.415</v>
      </c>
      <c r="N105" s="6">
        <v>4.415</v>
      </c>
      <c r="O105" s="6">
        <v>4.415</v>
      </c>
      <c r="P105" s="6">
        <v>0</v>
      </c>
      <c r="Q105" s="4" t="s">
        <v>26</v>
      </c>
      <c r="R105" s="4">
        <v>0</v>
      </c>
      <c r="S105" s="6">
        <v>0</v>
      </c>
      <c r="T105" s="6">
        <v>15</v>
      </c>
      <c r="U105" s="6">
        <v>9</v>
      </c>
      <c r="V105" s="6">
        <f>IF(ISERROR(VLOOKUP($S$105,'TAR FIN'!$A$1:$O$85,15,0)),0,VLOOKUP($S$105,'TAR FIN'!$A$1:$O$85,15,0))</f>
        <v>0</v>
      </c>
      <c r="W105" s="6">
        <f>IF(ISERROR(VLOOKUP($T$105,'TAR FIN'!$A$1:$O$85,15,0)),0,VLOOKUP($T$105,'TAR FIN'!$A$1:$O$85,15,0))</f>
        <v>940.75</v>
      </c>
      <c r="X105" s="6">
        <f>IF(ISERROR(VLOOKUP($U$105,'TAR FIN'!$A$1:$O$85,15,0)),0,VLOOKUP($U$105,'TAR FIN'!$A$1:$O$85,15,0))</f>
        <v>373.71</v>
      </c>
      <c r="Y105" s="6"/>
      <c r="Z105" s="6">
        <f ca="1">('TUSD BE'!$AM$11+'TUSD BF_350'!$AM$11+'TUSD CVA'!$AM$11)*1</f>
        <v>966.5081601045739</v>
      </c>
      <c r="AA105" s="6">
        <f ca="1">('TE BE'!$AB$5+'TE BF_350'!$AB$5+'TE CVA'!$AB$5)*1</f>
        <v>347.98834052804079</v>
      </c>
      <c r="AB105" s="6">
        <f>$K$105*$V$105</f>
        <v>0</v>
      </c>
      <c r="AC105" s="6">
        <f>$M$105*$W$105</f>
        <v>4153.4112500000001</v>
      </c>
      <c r="AD105" s="6">
        <f>$O$105*$X$105</f>
        <v>1649.9296499999998</v>
      </c>
      <c r="AE105" s="6">
        <f>$K$105*$Y$105</f>
        <v>0</v>
      </c>
      <c r="AF105" s="6">
        <f ca="1">$M$105*$Z$105</f>
        <v>4267.133526861694</v>
      </c>
      <c r="AG105" s="6">
        <f ca="1">$O$105*$AA$105</f>
        <v>1536.3685234313002</v>
      </c>
    </row>
    <row r="106" spans="1:33" ht="11.25" customHeight="1" x14ac:dyDescent="0.25">
      <c r="A106" s="4" t="s">
        <v>21</v>
      </c>
      <c r="B106" s="4" t="s">
        <v>34</v>
      </c>
      <c r="C106" s="4" t="s">
        <v>35</v>
      </c>
      <c r="D106" s="4" t="s">
        <v>38</v>
      </c>
      <c r="E106" s="4" t="s">
        <v>25</v>
      </c>
      <c r="F106" s="4" t="s">
        <v>25</v>
      </c>
      <c r="G106" s="4" t="s">
        <v>25</v>
      </c>
      <c r="H106" s="4" t="s">
        <v>36</v>
      </c>
      <c r="I106" s="5">
        <v>44682</v>
      </c>
      <c r="J106" s="6">
        <v>0</v>
      </c>
      <c r="K106" s="6">
        <v>0</v>
      </c>
      <c r="L106" s="6">
        <v>16.850000000000001</v>
      </c>
      <c r="M106" s="6">
        <v>16.850000000000001</v>
      </c>
      <c r="N106" s="6">
        <v>16.850000000000001</v>
      </c>
      <c r="O106" s="6">
        <v>16.850000000000001</v>
      </c>
      <c r="P106" s="6">
        <v>0</v>
      </c>
      <c r="Q106" s="4" t="s">
        <v>26</v>
      </c>
      <c r="R106" s="4">
        <v>0</v>
      </c>
      <c r="S106" s="6">
        <v>0</v>
      </c>
      <c r="T106" s="6">
        <v>15</v>
      </c>
      <c r="U106" s="6">
        <v>9</v>
      </c>
      <c r="V106" s="6">
        <f>IF(ISERROR(VLOOKUP($S$106,'TAR FIN'!$A$1:$O$85,15,0)),0,VLOOKUP($S$106,'TAR FIN'!$A$1:$O$85,15,0))</f>
        <v>0</v>
      </c>
      <c r="W106" s="6">
        <f>IF(ISERROR(VLOOKUP($T$106,'TAR FIN'!$A$1:$O$85,15,0)),0,VLOOKUP($T$106,'TAR FIN'!$A$1:$O$85,15,0))</f>
        <v>940.75</v>
      </c>
      <c r="X106" s="6">
        <f>IF(ISERROR(VLOOKUP($U$106,'TAR FIN'!$A$1:$O$85,15,0)),0,VLOOKUP($U$106,'TAR FIN'!$A$1:$O$85,15,0))</f>
        <v>373.71</v>
      </c>
      <c r="Y106" s="6"/>
      <c r="Z106" s="6">
        <f ca="1">('TUSD BE'!$AM$11+'TUSD BF_350'!$AM$11+'TUSD CVA'!$AM$11)*1</f>
        <v>966.5081601045739</v>
      </c>
      <c r="AA106" s="6">
        <f ca="1">('TE BE'!$AB$5+'TE BF_350'!$AB$5+'TE CVA'!$AB$5)*1</f>
        <v>347.98834052804079</v>
      </c>
      <c r="AB106" s="6">
        <f>$K$106*$V$106</f>
        <v>0</v>
      </c>
      <c r="AC106" s="6">
        <f>$M$106*$W$106</f>
        <v>15851.637500000001</v>
      </c>
      <c r="AD106" s="6">
        <f>$O$106*$X$106</f>
        <v>6297.0135</v>
      </c>
      <c r="AE106" s="6">
        <f>$K$106*$Y$106</f>
        <v>0</v>
      </c>
      <c r="AF106" s="6">
        <f ca="1">$M$106*$Z$106</f>
        <v>16285.662497762072</v>
      </c>
      <c r="AG106" s="6">
        <f ca="1">$O$106*$AA$106</f>
        <v>5863.6035378974875</v>
      </c>
    </row>
    <row r="107" spans="1:33" ht="11.25" customHeight="1" x14ac:dyDescent="0.25">
      <c r="A107" s="4" t="s">
        <v>27</v>
      </c>
      <c r="B107" s="4" t="s">
        <v>34</v>
      </c>
      <c r="C107" s="4" t="s">
        <v>35</v>
      </c>
      <c r="D107" s="4" t="s">
        <v>38</v>
      </c>
      <c r="E107" s="4" t="s">
        <v>25</v>
      </c>
      <c r="F107" s="4" t="s">
        <v>25</v>
      </c>
      <c r="G107" s="4" t="s">
        <v>25</v>
      </c>
      <c r="H107" s="4" t="s">
        <v>36</v>
      </c>
      <c r="I107" s="5">
        <v>44682</v>
      </c>
      <c r="J107" s="6">
        <v>0</v>
      </c>
      <c r="K107" s="6">
        <v>0</v>
      </c>
      <c r="L107" s="6">
        <v>3.4889999999999999</v>
      </c>
      <c r="M107" s="6">
        <v>3.4889999999999999</v>
      </c>
      <c r="N107" s="6">
        <v>3.4889999999999999</v>
      </c>
      <c r="O107" s="6">
        <v>3.4889999999999999</v>
      </c>
      <c r="P107" s="6">
        <v>0</v>
      </c>
      <c r="Q107" s="4" t="s">
        <v>26</v>
      </c>
      <c r="R107" s="4">
        <v>0</v>
      </c>
      <c r="S107" s="6">
        <v>0</v>
      </c>
      <c r="T107" s="6">
        <v>15</v>
      </c>
      <c r="U107" s="6">
        <v>9</v>
      </c>
      <c r="V107" s="6">
        <f>IF(ISERROR(VLOOKUP($S$107,'TAR FIN'!$A$1:$O$85,15,0)),0,VLOOKUP($S$107,'TAR FIN'!$A$1:$O$85,15,0))</f>
        <v>0</v>
      </c>
      <c r="W107" s="6">
        <f>IF(ISERROR(VLOOKUP($T$107,'TAR FIN'!$A$1:$O$85,15,0)),0,VLOOKUP($T$107,'TAR FIN'!$A$1:$O$85,15,0))</f>
        <v>940.75</v>
      </c>
      <c r="X107" s="6">
        <f>IF(ISERROR(VLOOKUP($U$107,'TAR FIN'!$A$1:$O$85,15,0)),0,VLOOKUP($U$107,'TAR FIN'!$A$1:$O$85,15,0))</f>
        <v>373.71</v>
      </c>
      <c r="Y107" s="6"/>
      <c r="Z107" s="6">
        <f ca="1">('TUSD BE'!$AM$11+'TUSD BF_350'!$AM$11+'TUSD CVA'!$AM$11)*1</f>
        <v>966.5081601045739</v>
      </c>
      <c r="AA107" s="6">
        <f ca="1">('TE BE'!$AB$5+'TE BF_350'!$AB$5+'TE CVA'!$AB$5)*1</f>
        <v>347.98834052804079</v>
      </c>
      <c r="AB107" s="6">
        <f>$K$107*$V$107</f>
        <v>0</v>
      </c>
      <c r="AC107" s="6">
        <f>$M$107*$W$107</f>
        <v>3282.27675</v>
      </c>
      <c r="AD107" s="6">
        <f>$O$107*$X$107</f>
        <v>1303.8741899999998</v>
      </c>
      <c r="AE107" s="6">
        <f>$K$107*$Y$107</f>
        <v>0</v>
      </c>
      <c r="AF107" s="6">
        <f ca="1">$M$107*$Z$107</f>
        <v>3372.1469706048583</v>
      </c>
      <c r="AG107" s="6">
        <f ca="1">$O$107*$AA$107</f>
        <v>1214.1313201023343</v>
      </c>
    </row>
    <row r="108" spans="1:33" ht="11.25" customHeight="1" x14ac:dyDescent="0.25">
      <c r="A108" s="4" t="s">
        <v>21</v>
      </c>
      <c r="B108" s="4" t="s">
        <v>34</v>
      </c>
      <c r="C108" s="4" t="s">
        <v>35</v>
      </c>
      <c r="D108" s="4" t="s">
        <v>38</v>
      </c>
      <c r="E108" s="4" t="s">
        <v>25</v>
      </c>
      <c r="F108" s="4" t="s">
        <v>25</v>
      </c>
      <c r="G108" s="4" t="s">
        <v>25</v>
      </c>
      <c r="H108" s="4" t="s">
        <v>36</v>
      </c>
      <c r="I108" s="5">
        <v>44713</v>
      </c>
      <c r="J108" s="6">
        <v>0</v>
      </c>
      <c r="K108" s="6">
        <v>0</v>
      </c>
      <c r="L108" s="6">
        <v>16.263999999999999</v>
      </c>
      <c r="M108" s="6">
        <v>16.263999999999999</v>
      </c>
      <c r="N108" s="6">
        <v>16.263999999999999</v>
      </c>
      <c r="O108" s="6">
        <v>16.263999999999999</v>
      </c>
      <c r="P108" s="6">
        <v>0</v>
      </c>
      <c r="Q108" s="4" t="s">
        <v>26</v>
      </c>
      <c r="R108" s="4">
        <v>0</v>
      </c>
      <c r="S108" s="6">
        <v>0</v>
      </c>
      <c r="T108" s="6">
        <v>15</v>
      </c>
      <c r="U108" s="6">
        <v>9</v>
      </c>
      <c r="V108" s="6">
        <f>IF(ISERROR(VLOOKUP($S$108,'TAR FIN'!$A$1:$O$85,15,0)),0,VLOOKUP($S$108,'TAR FIN'!$A$1:$O$85,15,0))</f>
        <v>0</v>
      </c>
      <c r="W108" s="6">
        <f>IF(ISERROR(VLOOKUP($T$108,'TAR FIN'!$A$1:$O$85,15,0)),0,VLOOKUP($T$108,'TAR FIN'!$A$1:$O$85,15,0))</f>
        <v>940.75</v>
      </c>
      <c r="X108" s="6">
        <f>IF(ISERROR(VLOOKUP($U$108,'TAR FIN'!$A$1:$O$85,15,0)),0,VLOOKUP($U$108,'TAR FIN'!$A$1:$O$85,15,0))</f>
        <v>373.71</v>
      </c>
      <c r="Y108" s="6"/>
      <c r="Z108" s="6">
        <f ca="1">('TUSD BE'!$AM$11+'TUSD BF_350'!$AM$11+'TUSD CVA'!$AM$11)*1</f>
        <v>966.5081601045739</v>
      </c>
      <c r="AA108" s="6">
        <f ca="1">('TE BE'!$AB$5+'TE BF_350'!$AB$5+'TE CVA'!$AB$5)*1</f>
        <v>347.98834052804079</v>
      </c>
      <c r="AB108" s="6">
        <f>$K$108*$V$108</f>
        <v>0</v>
      </c>
      <c r="AC108" s="6">
        <f>$M$108*$W$108</f>
        <v>15300.358</v>
      </c>
      <c r="AD108" s="6">
        <f>$O$108*$X$108</f>
        <v>6078.0194399999991</v>
      </c>
      <c r="AE108" s="6">
        <f>$K$108*$Y$108</f>
        <v>0</v>
      </c>
      <c r="AF108" s="6">
        <f ca="1">$M$108*$Z$108</f>
        <v>15719.288715940789</v>
      </c>
      <c r="AG108" s="6">
        <f ca="1">$O$108*$AA$108</f>
        <v>5659.682370348055</v>
      </c>
    </row>
    <row r="109" spans="1:33" ht="11.25" customHeight="1" x14ac:dyDescent="0.25">
      <c r="A109" s="4" t="s">
        <v>27</v>
      </c>
      <c r="B109" s="4" t="s">
        <v>34</v>
      </c>
      <c r="C109" s="4" t="s">
        <v>35</v>
      </c>
      <c r="D109" s="4" t="s">
        <v>38</v>
      </c>
      <c r="E109" s="4" t="s">
        <v>25</v>
      </c>
      <c r="F109" s="4" t="s">
        <v>25</v>
      </c>
      <c r="G109" s="4" t="s">
        <v>25</v>
      </c>
      <c r="H109" s="4" t="s">
        <v>36</v>
      </c>
      <c r="I109" s="5">
        <v>44713</v>
      </c>
      <c r="J109" s="6">
        <v>0</v>
      </c>
      <c r="K109" s="6">
        <v>0</v>
      </c>
      <c r="L109" s="6">
        <v>1.599</v>
      </c>
      <c r="M109" s="6">
        <v>1.599</v>
      </c>
      <c r="N109" s="6">
        <v>1.599</v>
      </c>
      <c r="O109" s="6">
        <v>1.599</v>
      </c>
      <c r="P109" s="6">
        <v>0</v>
      </c>
      <c r="Q109" s="4" t="s">
        <v>26</v>
      </c>
      <c r="R109" s="4">
        <v>0</v>
      </c>
      <c r="S109" s="6">
        <v>0</v>
      </c>
      <c r="T109" s="6">
        <v>15</v>
      </c>
      <c r="U109" s="6">
        <v>9</v>
      </c>
      <c r="V109" s="6">
        <f>IF(ISERROR(VLOOKUP($S$109,'TAR FIN'!$A$1:$O$85,15,0)),0,VLOOKUP($S$109,'TAR FIN'!$A$1:$O$85,15,0))</f>
        <v>0</v>
      </c>
      <c r="W109" s="6">
        <f>IF(ISERROR(VLOOKUP($T$109,'TAR FIN'!$A$1:$O$85,15,0)),0,VLOOKUP($T$109,'TAR FIN'!$A$1:$O$85,15,0))</f>
        <v>940.75</v>
      </c>
      <c r="X109" s="6">
        <f>IF(ISERROR(VLOOKUP($U$109,'TAR FIN'!$A$1:$O$85,15,0)),0,VLOOKUP($U$109,'TAR FIN'!$A$1:$O$85,15,0))</f>
        <v>373.71</v>
      </c>
      <c r="Y109" s="6"/>
      <c r="Z109" s="6">
        <f ca="1">('TUSD BE'!$AM$11+'TUSD BF_350'!$AM$11+'TUSD CVA'!$AM$11)*1</f>
        <v>966.5081601045739</v>
      </c>
      <c r="AA109" s="6">
        <f ca="1">('TE BE'!$AB$5+'TE BF_350'!$AB$5+'TE CVA'!$AB$5)*1</f>
        <v>347.98834052804079</v>
      </c>
      <c r="AB109" s="6">
        <f>$K$109*$V$109</f>
        <v>0</v>
      </c>
      <c r="AC109" s="6">
        <f>$M$109*$W$109</f>
        <v>1504.2592500000001</v>
      </c>
      <c r="AD109" s="6">
        <f>$O$109*$X$109</f>
        <v>597.56228999999996</v>
      </c>
      <c r="AE109" s="6">
        <f>$K$109*$Y$109</f>
        <v>0</v>
      </c>
      <c r="AF109" s="6">
        <f ca="1">$M$109*$Z$109</f>
        <v>1545.4465480072136</v>
      </c>
      <c r="AG109" s="6">
        <f ca="1">$O$109*$AA$109</f>
        <v>556.43335650433721</v>
      </c>
    </row>
    <row r="110" spans="1:33" ht="11.25" customHeight="1" x14ac:dyDescent="0.25">
      <c r="A110" s="4" t="s">
        <v>21</v>
      </c>
      <c r="B110" s="4" t="s">
        <v>34</v>
      </c>
      <c r="C110" s="4" t="s">
        <v>35</v>
      </c>
      <c r="D110" s="4" t="s">
        <v>33</v>
      </c>
      <c r="E110" s="4" t="s">
        <v>25</v>
      </c>
      <c r="F110" s="4" t="s">
        <v>52</v>
      </c>
      <c r="G110" s="4" t="s">
        <v>25</v>
      </c>
      <c r="H110" s="4" t="s">
        <v>37</v>
      </c>
      <c r="I110" s="5">
        <v>44378</v>
      </c>
      <c r="J110" s="6">
        <v>0</v>
      </c>
      <c r="K110" s="6">
        <v>0</v>
      </c>
      <c r="L110" s="6">
        <v>203.71100000000001</v>
      </c>
      <c r="M110" s="6">
        <v>203.71100000000001</v>
      </c>
      <c r="N110" s="6">
        <v>0</v>
      </c>
      <c r="O110" s="6">
        <v>0</v>
      </c>
      <c r="P110" s="6">
        <v>0</v>
      </c>
      <c r="Q110" s="4" t="s">
        <v>53</v>
      </c>
      <c r="R110" s="4">
        <v>0</v>
      </c>
      <c r="S110" s="6">
        <v>0</v>
      </c>
      <c r="T110" s="6">
        <v>13</v>
      </c>
      <c r="U110" s="6">
        <v>0</v>
      </c>
      <c r="V110" s="6">
        <f>IF(ISERROR(VLOOKUP($S$110,'TAR FIN'!$A$1:$O$85,15,0)),0,VLOOKUP($S$110,'TAR FIN'!$A$1:$O$85,15,0))</f>
        <v>0</v>
      </c>
      <c r="W110" s="6">
        <f>IF(ISERROR(VLOOKUP($T$110,'TAR FIN'!$A$1:$O$85,15,0)),0,VLOOKUP($T$110,'TAR FIN'!$A$1:$O$85,15,0))</f>
        <v>78.650000000000006</v>
      </c>
      <c r="X110" s="6">
        <f>IF(ISERROR(VLOOKUP($U$110,'TAR FIN'!$A$1:$O$85,15,0)),0,VLOOKUP($U$110,'TAR FIN'!$A$1:$O$85,15,0))</f>
        <v>0</v>
      </c>
      <c r="Y110" s="6"/>
      <c r="Z110" s="6">
        <f ca="1">('TUSD BE'!$AM$12+'TUSD BF_350'!$AM$12+'TUSD CVA'!$AM$12)*1</f>
        <v>114.48039155571371</v>
      </c>
      <c r="AA110" s="6"/>
      <c r="AB110" s="6">
        <f>$K$110*$V$110</f>
        <v>0</v>
      </c>
      <c r="AC110" s="6">
        <f>$M$110*$W$110</f>
        <v>16021.870150000002</v>
      </c>
      <c r="AD110" s="6">
        <f>$O$110*$X$110</f>
        <v>0</v>
      </c>
      <c r="AE110" s="6">
        <f>$K$110*$Y$110</f>
        <v>0</v>
      </c>
      <c r="AF110" s="6">
        <f ca="1">$M$110*$Z$110</f>
        <v>23320.915044205998</v>
      </c>
      <c r="AG110" s="6">
        <f>$O$110*$AA$110</f>
        <v>0</v>
      </c>
    </row>
    <row r="111" spans="1:33" ht="11.25" customHeight="1" x14ac:dyDescent="0.25">
      <c r="A111" s="4" t="s">
        <v>21</v>
      </c>
      <c r="B111" s="4" t="s">
        <v>34</v>
      </c>
      <c r="C111" s="4" t="s">
        <v>35</v>
      </c>
      <c r="D111" s="4" t="s">
        <v>33</v>
      </c>
      <c r="E111" s="4" t="s">
        <v>25</v>
      </c>
      <c r="F111" s="4" t="s">
        <v>52</v>
      </c>
      <c r="G111" s="4" t="s">
        <v>25</v>
      </c>
      <c r="H111" s="4" t="s">
        <v>37</v>
      </c>
      <c r="I111" s="5">
        <v>44409</v>
      </c>
      <c r="J111" s="6">
        <v>0</v>
      </c>
      <c r="K111" s="6">
        <v>0</v>
      </c>
      <c r="L111" s="6">
        <v>190.25899999999999</v>
      </c>
      <c r="M111" s="6">
        <v>190.25899999999999</v>
      </c>
      <c r="N111" s="6">
        <v>0</v>
      </c>
      <c r="O111" s="6">
        <v>0</v>
      </c>
      <c r="P111" s="6">
        <v>0</v>
      </c>
      <c r="Q111" s="4" t="s">
        <v>53</v>
      </c>
      <c r="R111" s="4">
        <v>0</v>
      </c>
      <c r="S111" s="6">
        <v>0</v>
      </c>
      <c r="T111" s="6">
        <v>13</v>
      </c>
      <c r="U111" s="6">
        <v>0</v>
      </c>
      <c r="V111" s="6">
        <f>IF(ISERROR(VLOOKUP($S$111,'TAR FIN'!$A$1:$O$85,15,0)),0,VLOOKUP($S$111,'TAR FIN'!$A$1:$O$85,15,0))</f>
        <v>0</v>
      </c>
      <c r="W111" s="6">
        <f>IF(ISERROR(VLOOKUP($T$111,'TAR FIN'!$A$1:$O$85,15,0)),0,VLOOKUP($T$111,'TAR FIN'!$A$1:$O$85,15,0))</f>
        <v>78.650000000000006</v>
      </c>
      <c r="X111" s="6">
        <f>IF(ISERROR(VLOOKUP($U$111,'TAR FIN'!$A$1:$O$85,15,0)),0,VLOOKUP($U$111,'TAR FIN'!$A$1:$O$85,15,0))</f>
        <v>0</v>
      </c>
      <c r="Y111" s="6"/>
      <c r="Z111" s="6">
        <f ca="1">('TUSD BE'!$AM$12+'TUSD BF_350'!$AM$12+'TUSD CVA'!$AM$12)*1</f>
        <v>114.48039155571371</v>
      </c>
      <c r="AA111" s="6"/>
      <c r="AB111" s="6">
        <f>$K$111*$V$111</f>
        <v>0</v>
      </c>
      <c r="AC111" s="6">
        <f>$M$111*$W$111</f>
        <v>14963.870349999999</v>
      </c>
      <c r="AD111" s="6">
        <f>$O$111*$X$111</f>
        <v>0</v>
      </c>
      <c r="AE111" s="6">
        <f>$K$111*$Y$111</f>
        <v>0</v>
      </c>
      <c r="AF111" s="6">
        <f ca="1">$M$111*$Z$111</f>
        <v>21780.924816998533</v>
      </c>
      <c r="AG111" s="6">
        <f>$O$111*$AA$111</f>
        <v>0</v>
      </c>
    </row>
    <row r="112" spans="1:33" ht="11.25" customHeight="1" x14ac:dyDescent="0.25">
      <c r="A112" s="4" t="s">
        <v>21</v>
      </c>
      <c r="B112" s="4" t="s">
        <v>34</v>
      </c>
      <c r="C112" s="4" t="s">
        <v>35</v>
      </c>
      <c r="D112" s="4" t="s">
        <v>33</v>
      </c>
      <c r="E112" s="4" t="s">
        <v>25</v>
      </c>
      <c r="F112" s="4" t="s">
        <v>52</v>
      </c>
      <c r="G112" s="4" t="s">
        <v>25</v>
      </c>
      <c r="H112" s="4" t="s">
        <v>37</v>
      </c>
      <c r="I112" s="5">
        <v>44440</v>
      </c>
      <c r="J112" s="6">
        <v>0</v>
      </c>
      <c r="K112" s="6">
        <v>0</v>
      </c>
      <c r="L112" s="6">
        <v>195.62299999999999</v>
      </c>
      <c r="M112" s="6">
        <v>195.62299999999999</v>
      </c>
      <c r="N112" s="6">
        <v>0</v>
      </c>
      <c r="O112" s="6">
        <v>0</v>
      </c>
      <c r="P112" s="6">
        <v>0</v>
      </c>
      <c r="Q112" s="4" t="s">
        <v>53</v>
      </c>
      <c r="R112" s="4">
        <v>0</v>
      </c>
      <c r="S112" s="6">
        <v>0</v>
      </c>
      <c r="T112" s="6">
        <v>13</v>
      </c>
      <c r="U112" s="6">
        <v>0</v>
      </c>
      <c r="V112" s="6">
        <f>IF(ISERROR(VLOOKUP($S$112,'TAR FIN'!$A$1:$O$85,15,0)),0,VLOOKUP($S$112,'TAR FIN'!$A$1:$O$85,15,0))</f>
        <v>0</v>
      </c>
      <c r="W112" s="6">
        <f>IF(ISERROR(VLOOKUP($T$112,'TAR FIN'!$A$1:$O$85,15,0)),0,VLOOKUP($T$112,'TAR FIN'!$A$1:$O$85,15,0))</f>
        <v>78.650000000000006</v>
      </c>
      <c r="X112" s="6">
        <f>IF(ISERROR(VLOOKUP($U$112,'TAR FIN'!$A$1:$O$85,15,0)),0,VLOOKUP($U$112,'TAR FIN'!$A$1:$O$85,15,0))</f>
        <v>0</v>
      </c>
      <c r="Y112" s="6"/>
      <c r="Z112" s="6">
        <f ca="1">('TUSD BE'!$AM$12+'TUSD BF_350'!$AM$12+'TUSD CVA'!$AM$12)*1</f>
        <v>114.48039155571371</v>
      </c>
      <c r="AA112" s="6"/>
      <c r="AB112" s="6">
        <f>$K$112*$V$112</f>
        <v>0</v>
      </c>
      <c r="AC112" s="6">
        <f>$M$112*$W$112</f>
        <v>15385.748950000001</v>
      </c>
      <c r="AD112" s="6">
        <f>$O$112*$X$112</f>
        <v>0</v>
      </c>
      <c r="AE112" s="6">
        <f>$K$112*$Y$112</f>
        <v>0</v>
      </c>
      <c r="AF112" s="6">
        <f ca="1">$M$112*$Z$112</f>
        <v>22394.997637303382</v>
      </c>
      <c r="AG112" s="6">
        <f>$O$112*$AA$112</f>
        <v>0</v>
      </c>
    </row>
    <row r="113" spans="1:33" ht="11.25" customHeight="1" x14ac:dyDescent="0.25">
      <c r="A113" s="4" t="s">
        <v>21</v>
      </c>
      <c r="B113" s="4" t="s">
        <v>34</v>
      </c>
      <c r="C113" s="4" t="s">
        <v>35</v>
      </c>
      <c r="D113" s="4" t="s">
        <v>33</v>
      </c>
      <c r="E113" s="4" t="s">
        <v>25</v>
      </c>
      <c r="F113" s="4" t="s">
        <v>52</v>
      </c>
      <c r="G113" s="4" t="s">
        <v>25</v>
      </c>
      <c r="H113" s="4" t="s">
        <v>37</v>
      </c>
      <c r="I113" s="5">
        <v>44470</v>
      </c>
      <c r="J113" s="6">
        <v>0</v>
      </c>
      <c r="K113" s="6">
        <v>0</v>
      </c>
      <c r="L113" s="6">
        <v>207.36500000000001</v>
      </c>
      <c r="M113" s="6">
        <v>207.36500000000001</v>
      </c>
      <c r="N113" s="6">
        <v>0</v>
      </c>
      <c r="O113" s="6">
        <v>0</v>
      </c>
      <c r="P113" s="6">
        <v>0</v>
      </c>
      <c r="Q113" s="4" t="s">
        <v>53</v>
      </c>
      <c r="R113" s="4">
        <v>0</v>
      </c>
      <c r="S113" s="6">
        <v>0</v>
      </c>
      <c r="T113" s="6">
        <v>13</v>
      </c>
      <c r="U113" s="6">
        <v>0</v>
      </c>
      <c r="V113" s="6">
        <f>IF(ISERROR(VLOOKUP($S$113,'TAR FIN'!$A$1:$O$85,15,0)),0,VLOOKUP($S$113,'TAR FIN'!$A$1:$O$85,15,0))</f>
        <v>0</v>
      </c>
      <c r="W113" s="6">
        <f>IF(ISERROR(VLOOKUP($T$113,'TAR FIN'!$A$1:$O$85,15,0)),0,VLOOKUP($T$113,'TAR FIN'!$A$1:$O$85,15,0))</f>
        <v>78.650000000000006</v>
      </c>
      <c r="X113" s="6">
        <f>IF(ISERROR(VLOOKUP($U$113,'TAR FIN'!$A$1:$O$85,15,0)),0,VLOOKUP($U$113,'TAR FIN'!$A$1:$O$85,15,0))</f>
        <v>0</v>
      </c>
      <c r="Y113" s="6"/>
      <c r="Z113" s="6">
        <f ca="1">('TUSD BE'!$AM$12+'TUSD BF_350'!$AM$12+'TUSD CVA'!$AM$12)*1</f>
        <v>114.48039155571371</v>
      </c>
      <c r="AA113" s="6"/>
      <c r="AB113" s="6">
        <f>$K$113*$V$113</f>
        <v>0</v>
      </c>
      <c r="AC113" s="6">
        <f>$M$113*$W$113</f>
        <v>16309.257250000002</v>
      </c>
      <c r="AD113" s="6">
        <f>$O$113*$X$113</f>
        <v>0</v>
      </c>
      <c r="AE113" s="6">
        <f>$K$113*$Y$113</f>
        <v>0</v>
      </c>
      <c r="AF113" s="6">
        <f ca="1">$M$113*$Z$113</f>
        <v>23739.226394950576</v>
      </c>
      <c r="AG113" s="6">
        <f>$O$113*$AA$113</f>
        <v>0</v>
      </c>
    </row>
    <row r="114" spans="1:33" ht="11.25" customHeight="1" x14ac:dyDescent="0.25">
      <c r="A114" s="4" t="s">
        <v>21</v>
      </c>
      <c r="B114" s="4" t="s">
        <v>34</v>
      </c>
      <c r="C114" s="4" t="s">
        <v>35</v>
      </c>
      <c r="D114" s="4" t="s">
        <v>33</v>
      </c>
      <c r="E114" s="4" t="s">
        <v>25</v>
      </c>
      <c r="F114" s="4" t="s">
        <v>52</v>
      </c>
      <c r="G114" s="4" t="s">
        <v>25</v>
      </c>
      <c r="H114" s="4" t="s">
        <v>37</v>
      </c>
      <c r="I114" s="5">
        <v>44501</v>
      </c>
      <c r="J114" s="6">
        <v>0</v>
      </c>
      <c r="K114" s="6">
        <v>0</v>
      </c>
      <c r="L114" s="6">
        <v>204.29</v>
      </c>
      <c r="M114" s="6">
        <v>204.29</v>
      </c>
      <c r="N114" s="6">
        <v>0</v>
      </c>
      <c r="O114" s="6">
        <v>0</v>
      </c>
      <c r="P114" s="6">
        <v>0</v>
      </c>
      <c r="Q114" s="4" t="s">
        <v>53</v>
      </c>
      <c r="R114" s="4">
        <v>0</v>
      </c>
      <c r="S114" s="6">
        <v>0</v>
      </c>
      <c r="T114" s="6">
        <v>13</v>
      </c>
      <c r="U114" s="6">
        <v>0</v>
      </c>
      <c r="V114" s="6">
        <f>IF(ISERROR(VLOOKUP($S$114,'TAR FIN'!$A$1:$O$85,15,0)),0,VLOOKUP($S$114,'TAR FIN'!$A$1:$O$85,15,0))</f>
        <v>0</v>
      </c>
      <c r="W114" s="6">
        <f>IF(ISERROR(VLOOKUP($T$114,'TAR FIN'!$A$1:$O$85,15,0)),0,VLOOKUP($T$114,'TAR FIN'!$A$1:$O$85,15,0))</f>
        <v>78.650000000000006</v>
      </c>
      <c r="X114" s="6">
        <f>IF(ISERROR(VLOOKUP($U$114,'TAR FIN'!$A$1:$O$85,15,0)),0,VLOOKUP($U$114,'TAR FIN'!$A$1:$O$85,15,0))</f>
        <v>0</v>
      </c>
      <c r="Y114" s="6"/>
      <c r="Z114" s="6">
        <f ca="1">('TUSD BE'!$AM$12+'TUSD BF_350'!$AM$12+'TUSD CVA'!$AM$12)*1</f>
        <v>114.48039155571371</v>
      </c>
      <c r="AA114" s="6"/>
      <c r="AB114" s="6">
        <f>$K$114*$V$114</f>
        <v>0</v>
      </c>
      <c r="AC114" s="6">
        <f>$M$114*$W$114</f>
        <v>16067.408500000001</v>
      </c>
      <c r="AD114" s="6">
        <f>$O$114*$X$114</f>
        <v>0</v>
      </c>
      <c r="AE114" s="6">
        <f>$K$114*$Y$114</f>
        <v>0</v>
      </c>
      <c r="AF114" s="6">
        <f ca="1">$M$114*$Z$114</f>
        <v>23387.199190916752</v>
      </c>
      <c r="AG114" s="6">
        <f>$O$114*$AA$114</f>
        <v>0</v>
      </c>
    </row>
    <row r="115" spans="1:33" ht="11.25" customHeight="1" x14ac:dyDescent="0.25">
      <c r="A115" s="4" t="s">
        <v>21</v>
      </c>
      <c r="B115" s="4" t="s">
        <v>34</v>
      </c>
      <c r="C115" s="4" t="s">
        <v>35</v>
      </c>
      <c r="D115" s="4" t="s">
        <v>33</v>
      </c>
      <c r="E115" s="4" t="s">
        <v>25</v>
      </c>
      <c r="F115" s="4" t="s">
        <v>52</v>
      </c>
      <c r="G115" s="4" t="s">
        <v>25</v>
      </c>
      <c r="H115" s="4" t="s">
        <v>37</v>
      </c>
      <c r="I115" s="5">
        <v>44531</v>
      </c>
      <c r="J115" s="6">
        <v>0</v>
      </c>
      <c r="K115" s="6">
        <v>0</v>
      </c>
      <c r="L115" s="6">
        <v>141.66499999999999</v>
      </c>
      <c r="M115" s="6">
        <v>141.66499999999999</v>
      </c>
      <c r="N115" s="6">
        <v>0</v>
      </c>
      <c r="O115" s="6">
        <v>0</v>
      </c>
      <c r="P115" s="6">
        <v>0</v>
      </c>
      <c r="Q115" s="4" t="s">
        <v>53</v>
      </c>
      <c r="R115" s="4">
        <v>0</v>
      </c>
      <c r="S115" s="6">
        <v>0</v>
      </c>
      <c r="T115" s="6">
        <v>13</v>
      </c>
      <c r="U115" s="6">
        <v>0</v>
      </c>
      <c r="V115" s="6">
        <f>IF(ISERROR(VLOOKUP($S$115,'TAR FIN'!$A$1:$O$85,15,0)),0,VLOOKUP($S$115,'TAR FIN'!$A$1:$O$85,15,0))</f>
        <v>0</v>
      </c>
      <c r="W115" s="6">
        <f>IF(ISERROR(VLOOKUP($T$115,'TAR FIN'!$A$1:$O$85,15,0)),0,VLOOKUP($T$115,'TAR FIN'!$A$1:$O$85,15,0))</f>
        <v>78.650000000000006</v>
      </c>
      <c r="X115" s="6">
        <f>IF(ISERROR(VLOOKUP($U$115,'TAR FIN'!$A$1:$O$85,15,0)),0,VLOOKUP($U$115,'TAR FIN'!$A$1:$O$85,15,0))</f>
        <v>0</v>
      </c>
      <c r="Y115" s="6"/>
      <c r="Z115" s="6">
        <f ca="1">('TUSD BE'!$AM$12+'TUSD BF_350'!$AM$12+'TUSD CVA'!$AM$12)*1</f>
        <v>114.48039155571371</v>
      </c>
      <c r="AA115" s="6"/>
      <c r="AB115" s="6">
        <f>$K$115*$V$115</f>
        <v>0</v>
      </c>
      <c r="AC115" s="6">
        <f>$M$115*$W$115</f>
        <v>11141.95225</v>
      </c>
      <c r="AD115" s="6">
        <f>$O$115*$X$115</f>
        <v>0</v>
      </c>
      <c r="AE115" s="6">
        <f>$K$115*$Y$115</f>
        <v>0</v>
      </c>
      <c r="AF115" s="6">
        <f ca="1">$M$115*$Z$115</f>
        <v>16217.864669740182</v>
      </c>
      <c r="AG115" s="6">
        <f>$O$115*$AA$115</f>
        <v>0</v>
      </c>
    </row>
    <row r="116" spans="1:33" ht="11.25" customHeight="1" x14ac:dyDescent="0.25">
      <c r="A116" s="4" t="s">
        <v>21</v>
      </c>
      <c r="B116" s="4" t="s">
        <v>34</v>
      </c>
      <c r="C116" s="4" t="s">
        <v>35</v>
      </c>
      <c r="D116" s="4" t="s">
        <v>33</v>
      </c>
      <c r="E116" s="4" t="s">
        <v>25</v>
      </c>
      <c r="F116" s="4" t="s">
        <v>52</v>
      </c>
      <c r="G116" s="4" t="s">
        <v>25</v>
      </c>
      <c r="H116" s="4" t="s">
        <v>37</v>
      </c>
      <c r="I116" s="5">
        <v>44562</v>
      </c>
      <c r="J116" s="6">
        <v>0</v>
      </c>
      <c r="K116" s="6">
        <v>0</v>
      </c>
      <c r="L116" s="6">
        <v>332.79</v>
      </c>
      <c r="M116" s="6">
        <v>332.79</v>
      </c>
      <c r="N116" s="6">
        <v>0</v>
      </c>
      <c r="O116" s="6">
        <v>0</v>
      </c>
      <c r="P116" s="6">
        <v>0</v>
      </c>
      <c r="Q116" s="4" t="s">
        <v>53</v>
      </c>
      <c r="R116" s="4">
        <v>0</v>
      </c>
      <c r="S116" s="6">
        <v>0</v>
      </c>
      <c r="T116" s="6">
        <v>13</v>
      </c>
      <c r="U116" s="6">
        <v>0</v>
      </c>
      <c r="V116" s="6">
        <f>IF(ISERROR(VLOOKUP($S$116,'TAR FIN'!$A$1:$O$85,15,0)),0,VLOOKUP($S$116,'TAR FIN'!$A$1:$O$85,15,0))</f>
        <v>0</v>
      </c>
      <c r="W116" s="6">
        <f>IF(ISERROR(VLOOKUP($T$116,'TAR FIN'!$A$1:$O$85,15,0)),0,VLOOKUP($T$116,'TAR FIN'!$A$1:$O$85,15,0))</f>
        <v>78.650000000000006</v>
      </c>
      <c r="X116" s="6">
        <f>IF(ISERROR(VLOOKUP($U$116,'TAR FIN'!$A$1:$O$85,15,0)),0,VLOOKUP($U$116,'TAR FIN'!$A$1:$O$85,15,0))</f>
        <v>0</v>
      </c>
      <c r="Y116" s="6"/>
      <c r="Z116" s="6">
        <f ca="1">('TUSD BE'!$AM$12+'TUSD BF_350'!$AM$12+'TUSD CVA'!$AM$12)*1</f>
        <v>114.48039155571371</v>
      </c>
      <c r="AA116" s="6"/>
      <c r="AB116" s="6">
        <f>$K$116*$V$116</f>
        <v>0</v>
      </c>
      <c r="AC116" s="6">
        <f>$M$116*$W$116</f>
        <v>26173.933500000003</v>
      </c>
      <c r="AD116" s="6">
        <f>$O$116*$X$116</f>
        <v>0</v>
      </c>
      <c r="AE116" s="6">
        <f>$K$116*$Y$116</f>
        <v>0</v>
      </c>
      <c r="AF116" s="6">
        <f ca="1">$M$116*$Z$116</f>
        <v>38097.929505825967</v>
      </c>
      <c r="AG116" s="6">
        <f>$O$116*$AA$116</f>
        <v>0</v>
      </c>
    </row>
    <row r="117" spans="1:33" ht="11.25" customHeight="1" x14ac:dyDescent="0.25">
      <c r="A117" s="4" t="s">
        <v>21</v>
      </c>
      <c r="B117" s="4" t="s">
        <v>34</v>
      </c>
      <c r="C117" s="4" t="s">
        <v>35</v>
      </c>
      <c r="D117" s="4" t="s">
        <v>33</v>
      </c>
      <c r="E117" s="4" t="s">
        <v>25</v>
      </c>
      <c r="F117" s="4" t="s">
        <v>52</v>
      </c>
      <c r="G117" s="4" t="s">
        <v>25</v>
      </c>
      <c r="H117" s="4" t="s">
        <v>37</v>
      </c>
      <c r="I117" s="5">
        <v>44593</v>
      </c>
      <c r="J117" s="6">
        <v>0</v>
      </c>
      <c r="K117" s="6">
        <v>0</v>
      </c>
      <c r="L117" s="6">
        <v>302.23500000000001</v>
      </c>
      <c r="M117" s="6">
        <v>302.23500000000001</v>
      </c>
      <c r="N117" s="6">
        <v>0</v>
      </c>
      <c r="O117" s="6">
        <v>0</v>
      </c>
      <c r="P117" s="6">
        <v>0</v>
      </c>
      <c r="Q117" s="4" t="s">
        <v>53</v>
      </c>
      <c r="R117" s="4">
        <v>0</v>
      </c>
      <c r="S117" s="6">
        <v>0</v>
      </c>
      <c r="T117" s="6">
        <v>13</v>
      </c>
      <c r="U117" s="6">
        <v>0</v>
      </c>
      <c r="V117" s="6">
        <f>IF(ISERROR(VLOOKUP($S$117,'TAR FIN'!$A$1:$O$85,15,0)),0,VLOOKUP($S$117,'TAR FIN'!$A$1:$O$85,15,0))</f>
        <v>0</v>
      </c>
      <c r="W117" s="6">
        <f>IF(ISERROR(VLOOKUP($T$117,'TAR FIN'!$A$1:$O$85,15,0)),0,VLOOKUP($T$117,'TAR FIN'!$A$1:$O$85,15,0))</f>
        <v>78.650000000000006</v>
      </c>
      <c r="X117" s="6">
        <f>IF(ISERROR(VLOOKUP($U$117,'TAR FIN'!$A$1:$O$85,15,0)),0,VLOOKUP($U$117,'TAR FIN'!$A$1:$O$85,15,0))</f>
        <v>0</v>
      </c>
      <c r="Y117" s="6"/>
      <c r="Z117" s="6">
        <f ca="1">('TUSD BE'!$AM$12+'TUSD BF_350'!$AM$12+'TUSD CVA'!$AM$12)*1</f>
        <v>114.48039155571371</v>
      </c>
      <c r="AA117" s="6"/>
      <c r="AB117" s="6">
        <f>$K$117*$V$117</f>
        <v>0</v>
      </c>
      <c r="AC117" s="6">
        <f>$M$117*$W$117</f>
        <v>23770.782750000002</v>
      </c>
      <c r="AD117" s="6">
        <f>$O$117*$X$117</f>
        <v>0</v>
      </c>
      <c r="AE117" s="6">
        <f>$K$117*$Y$117</f>
        <v>0</v>
      </c>
      <c r="AF117" s="6">
        <f ca="1">$M$117*$Z$117</f>
        <v>34599.981141841134</v>
      </c>
      <c r="AG117" s="6">
        <f>$O$117*$AA$117</f>
        <v>0</v>
      </c>
    </row>
    <row r="118" spans="1:33" ht="11.25" customHeight="1" x14ac:dyDescent="0.25">
      <c r="A118" s="4" t="s">
        <v>21</v>
      </c>
      <c r="B118" s="4" t="s">
        <v>34</v>
      </c>
      <c r="C118" s="4" t="s">
        <v>35</v>
      </c>
      <c r="D118" s="4" t="s">
        <v>33</v>
      </c>
      <c r="E118" s="4" t="s">
        <v>25</v>
      </c>
      <c r="F118" s="4" t="s">
        <v>52</v>
      </c>
      <c r="G118" s="4" t="s">
        <v>25</v>
      </c>
      <c r="H118" s="4" t="s">
        <v>37</v>
      </c>
      <c r="I118" s="5">
        <v>44621</v>
      </c>
      <c r="J118" s="6">
        <v>0</v>
      </c>
      <c r="K118" s="6">
        <v>0</v>
      </c>
      <c r="L118" s="6">
        <v>346.10300000000001</v>
      </c>
      <c r="M118" s="6">
        <v>346.10300000000001</v>
      </c>
      <c r="N118" s="6">
        <v>0</v>
      </c>
      <c r="O118" s="6">
        <v>0</v>
      </c>
      <c r="P118" s="6">
        <v>0</v>
      </c>
      <c r="Q118" s="4" t="s">
        <v>53</v>
      </c>
      <c r="R118" s="4">
        <v>0</v>
      </c>
      <c r="S118" s="6">
        <v>0</v>
      </c>
      <c r="T118" s="6">
        <v>13</v>
      </c>
      <c r="U118" s="6">
        <v>0</v>
      </c>
      <c r="V118" s="6">
        <f>IF(ISERROR(VLOOKUP($S$118,'TAR FIN'!$A$1:$O$85,15,0)),0,VLOOKUP($S$118,'TAR FIN'!$A$1:$O$85,15,0))</f>
        <v>0</v>
      </c>
      <c r="W118" s="6">
        <f>IF(ISERROR(VLOOKUP($T$118,'TAR FIN'!$A$1:$O$85,15,0)),0,VLOOKUP($T$118,'TAR FIN'!$A$1:$O$85,15,0))</f>
        <v>78.650000000000006</v>
      </c>
      <c r="X118" s="6">
        <f>IF(ISERROR(VLOOKUP($U$118,'TAR FIN'!$A$1:$O$85,15,0)),0,VLOOKUP($U$118,'TAR FIN'!$A$1:$O$85,15,0))</f>
        <v>0</v>
      </c>
      <c r="Y118" s="6"/>
      <c r="Z118" s="6">
        <f ca="1">('TUSD BE'!$AM$12+'TUSD BF_350'!$AM$12+'TUSD CVA'!$AM$12)*1</f>
        <v>114.48039155571371</v>
      </c>
      <c r="AA118" s="6"/>
      <c r="AB118" s="6">
        <f>$K$118*$V$118</f>
        <v>0</v>
      </c>
      <c r="AC118" s="6">
        <f>$M$118*$W$118</f>
        <v>27221.000950000001</v>
      </c>
      <c r="AD118" s="6">
        <f>$O$118*$X$118</f>
        <v>0</v>
      </c>
      <c r="AE118" s="6">
        <f>$K$118*$Y$118</f>
        <v>0</v>
      </c>
      <c r="AF118" s="6">
        <f ca="1">$M$118*$Z$118</f>
        <v>39622.006958607184</v>
      </c>
      <c r="AG118" s="6">
        <f>$O$118*$AA$118</f>
        <v>0</v>
      </c>
    </row>
    <row r="119" spans="1:33" ht="11.25" customHeight="1" x14ac:dyDescent="0.25">
      <c r="A119" s="4" t="s">
        <v>21</v>
      </c>
      <c r="B119" s="4" t="s">
        <v>34</v>
      </c>
      <c r="C119" s="4" t="s">
        <v>35</v>
      </c>
      <c r="D119" s="4" t="s">
        <v>33</v>
      </c>
      <c r="E119" s="4" t="s">
        <v>25</v>
      </c>
      <c r="F119" s="4" t="s">
        <v>52</v>
      </c>
      <c r="G119" s="4" t="s">
        <v>25</v>
      </c>
      <c r="H119" s="4" t="s">
        <v>37</v>
      </c>
      <c r="I119" s="5">
        <v>44652</v>
      </c>
      <c r="J119" s="6">
        <v>0</v>
      </c>
      <c r="K119" s="6">
        <v>0</v>
      </c>
      <c r="L119" s="6">
        <v>285.63600000000002</v>
      </c>
      <c r="M119" s="6">
        <v>285.63600000000002</v>
      </c>
      <c r="N119" s="6">
        <v>0</v>
      </c>
      <c r="O119" s="6">
        <v>0</v>
      </c>
      <c r="P119" s="6">
        <v>0</v>
      </c>
      <c r="Q119" s="4" t="s">
        <v>53</v>
      </c>
      <c r="R119" s="4">
        <v>0</v>
      </c>
      <c r="S119" s="6">
        <v>0</v>
      </c>
      <c r="T119" s="6">
        <v>13</v>
      </c>
      <c r="U119" s="6">
        <v>0</v>
      </c>
      <c r="V119" s="6">
        <f>IF(ISERROR(VLOOKUP($S$119,'TAR FIN'!$A$1:$O$85,15,0)),0,VLOOKUP($S$119,'TAR FIN'!$A$1:$O$85,15,0))</f>
        <v>0</v>
      </c>
      <c r="W119" s="6">
        <f>IF(ISERROR(VLOOKUP($T$119,'TAR FIN'!$A$1:$O$85,15,0)),0,VLOOKUP($T$119,'TAR FIN'!$A$1:$O$85,15,0))</f>
        <v>78.650000000000006</v>
      </c>
      <c r="X119" s="6">
        <f>IF(ISERROR(VLOOKUP($U$119,'TAR FIN'!$A$1:$O$85,15,0)),0,VLOOKUP($U$119,'TAR FIN'!$A$1:$O$85,15,0))</f>
        <v>0</v>
      </c>
      <c r="Y119" s="6"/>
      <c r="Z119" s="6">
        <f ca="1">('TUSD BE'!$AM$12+'TUSD BF_350'!$AM$12+'TUSD CVA'!$AM$12)*1</f>
        <v>114.48039155571371</v>
      </c>
      <c r="AA119" s="6"/>
      <c r="AB119" s="6">
        <f>$K$119*$V$119</f>
        <v>0</v>
      </c>
      <c r="AC119" s="6">
        <f>$M$119*$W$119</f>
        <v>22465.271400000005</v>
      </c>
      <c r="AD119" s="6">
        <f>$O$119*$X$119</f>
        <v>0</v>
      </c>
      <c r="AE119" s="6">
        <f>$K$119*$Y$119</f>
        <v>0</v>
      </c>
      <c r="AF119" s="6">
        <f ca="1">$M$119*$Z$119</f>
        <v>32699.721122407842</v>
      </c>
      <c r="AG119" s="6">
        <f>$O$119*$AA$119</f>
        <v>0</v>
      </c>
    </row>
    <row r="120" spans="1:33" ht="11.25" customHeight="1" x14ac:dyDescent="0.25">
      <c r="A120" s="4" t="s">
        <v>21</v>
      </c>
      <c r="B120" s="4" t="s">
        <v>34</v>
      </c>
      <c r="C120" s="4" t="s">
        <v>35</v>
      </c>
      <c r="D120" s="4" t="s">
        <v>33</v>
      </c>
      <c r="E120" s="4" t="s">
        <v>25</v>
      </c>
      <c r="F120" s="4" t="s">
        <v>52</v>
      </c>
      <c r="G120" s="4" t="s">
        <v>25</v>
      </c>
      <c r="H120" s="4" t="s">
        <v>37</v>
      </c>
      <c r="I120" s="5">
        <v>44682</v>
      </c>
      <c r="J120" s="6">
        <v>0</v>
      </c>
      <c r="K120" s="6">
        <v>0</v>
      </c>
      <c r="L120" s="6">
        <v>303.78500000000003</v>
      </c>
      <c r="M120" s="6">
        <v>303.78500000000003</v>
      </c>
      <c r="N120" s="6">
        <v>0</v>
      </c>
      <c r="O120" s="6">
        <v>0</v>
      </c>
      <c r="P120" s="6">
        <v>0</v>
      </c>
      <c r="Q120" s="4" t="s">
        <v>53</v>
      </c>
      <c r="R120" s="4">
        <v>0</v>
      </c>
      <c r="S120" s="6">
        <v>0</v>
      </c>
      <c r="T120" s="6">
        <v>13</v>
      </c>
      <c r="U120" s="6">
        <v>0</v>
      </c>
      <c r="V120" s="6">
        <f>IF(ISERROR(VLOOKUP($S$120,'TAR FIN'!$A$1:$O$85,15,0)),0,VLOOKUP($S$120,'TAR FIN'!$A$1:$O$85,15,0))</f>
        <v>0</v>
      </c>
      <c r="W120" s="6">
        <f>IF(ISERROR(VLOOKUP($T$120,'TAR FIN'!$A$1:$O$85,15,0)),0,VLOOKUP($T$120,'TAR FIN'!$A$1:$O$85,15,0))</f>
        <v>78.650000000000006</v>
      </c>
      <c r="X120" s="6">
        <f>IF(ISERROR(VLOOKUP($U$120,'TAR FIN'!$A$1:$O$85,15,0)),0,VLOOKUP($U$120,'TAR FIN'!$A$1:$O$85,15,0))</f>
        <v>0</v>
      </c>
      <c r="Y120" s="6"/>
      <c r="Z120" s="6">
        <f ca="1">('TUSD BE'!$AM$12+'TUSD BF_350'!$AM$12+'TUSD CVA'!$AM$12)*1</f>
        <v>114.48039155571371</v>
      </c>
      <c r="AA120" s="6"/>
      <c r="AB120" s="6">
        <f>$K$120*$V$120</f>
        <v>0</v>
      </c>
      <c r="AC120" s="6">
        <f>$M$120*$W$120</f>
        <v>23892.690250000003</v>
      </c>
      <c r="AD120" s="6">
        <f>$O$120*$X$120</f>
        <v>0</v>
      </c>
      <c r="AE120" s="6">
        <f>$K$120*$Y$120</f>
        <v>0</v>
      </c>
      <c r="AF120" s="6">
        <f ca="1">$M$120*$Z$120</f>
        <v>34777.425748752488</v>
      </c>
      <c r="AG120" s="6">
        <f>$O$120*$AA$120</f>
        <v>0</v>
      </c>
    </row>
    <row r="121" spans="1:33" ht="11.25" customHeight="1" x14ac:dyDescent="0.25">
      <c r="A121" s="4" t="s">
        <v>21</v>
      </c>
      <c r="B121" s="4" t="s">
        <v>34</v>
      </c>
      <c r="C121" s="4" t="s">
        <v>35</v>
      </c>
      <c r="D121" s="4" t="s">
        <v>33</v>
      </c>
      <c r="E121" s="4" t="s">
        <v>25</v>
      </c>
      <c r="F121" s="4" t="s">
        <v>52</v>
      </c>
      <c r="G121" s="4" t="s">
        <v>25</v>
      </c>
      <c r="H121" s="4" t="s">
        <v>37</v>
      </c>
      <c r="I121" s="5">
        <v>44713</v>
      </c>
      <c r="J121" s="6">
        <v>0</v>
      </c>
      <c r="K121" s="6">
        <v>0</v>
      </c>
      <c r="L121" s="6">
        <v>301.58699999999999</v>
      </c>
      <c r="M121" s="6">
        <v>301.58699999999999</v>
      </c>
      <c r="N121" s="6">
        <v>0</v>
      </c>
      <c r="O121" s="6">
        <v>0</v>
      </c>
      <c r="P121" s="6">
        <v>0</v>
      </c>
      <c r="Q121" s="4" t="s">
        <v>53</v>
      </c>
      <c r="R121" s="4">
        <v>0</v>
      </c>
      <c r="S121" s="6">
        <v>0</v>
      </c>
      <c r="T121" s="6">
        <v>13</v>
      </c>
      <c r="U121" s="6">
        <v>0</v>
      </c>
      <c r="V121" s="6">
        <f>IF(ISERROR(VLOOKUP($S$121,'TAR FIN'!$A$1:$O$85,15,0)),0,VLOOKUP($S$121,'TAR FIN'!$A$1:$O$85,15,0))</f>
        <v>0</v>
      </c>
      <c r="W121" s="6">
        <f>IF(ISERROR(VLOOKUP($T$121,'TAR FIN'!$A$1:$O$85,15,0)),0,VLOOKUP($T$121,'TAR FIN'!$A$1:$O$85,15,0))</f>
        <v>78.650000000000006</v>
      </c>
      <c r="X121" s="6">
        <f>IF(ISERROR(VLOOKUP($U$121,'TAR FIN'!$A$1:$O$85,15,0)),0,VLOOKUP($U$121,'TAR FIN'!$A$1:$O$85,15,0))</f>
        <v>0</v>
      </c>
      <c r="Y121" s="6"/>
      <c r="Z121" s="6">
        <f ca="1">('TUSD BE'!$AM$12+'TUSD BF_350'!$AM$12+'TUSD CVA'!$AM$12)*1</f>
        <v>114.48039155571371</v>
      </c>
      <c r="AA121" s="6"/>
      <c r="AB121" s="6">
        <f>$K$121*$V$121</f>
        <v>0</v>
      </c>
      <c r="AC121" s="6">
        <f>$M$121*$W$121</f>
        <v>23719.81755</v>
      </c>
      <c r="AD121" s="6">
        <f>$O$121*$X$121</f>
        <v>0</v>
      </c>
      <c r="AE121" s="6">
        <f>$K$121*$Y$121</f>
        <v>0</v>
      </c>
      <c r="AF121" s="6">
        <f ca="1">$M$121*$Z$121</f>
        <v>34525.797848113027</v>
      </c>
      <c r="AG121" s="6">
        <f>$O$121*$AA$121</f>
        <v>0</v>
      </c>
    </row>
    <row r="122" spans="1:33" ht="11.25" customHeight="1" x14ac:dyDescent="0.25">
      <c r="A122" s="4" t="s">
        <v>21</v>
      </c>
      <c r="B122" s="4" t="s">
        <v>34</v>
      </c>
      <c r="C122" s="4" t="s">
        <v>35</v>
      </c>
      <c r="D122" s="4" t="s">
        <v>33</v>
      </c>
      <c r="E122" s="4" t="s">
        <v>25</v>
      </c>
      <c r="F122" s="4" t="s">
        <v>52</v>
      </c>
      <c r="G122" s="4" t="s">
        <v>25</v>
      </c>
      <c r="H122" s="4" t="s">
        <v>25</v>
      </c>
      <c r="I122" s="5">
        <v>44378</v>
      </c>
      <c r="J122" s="6">
        <v>750</v>
      </c>
      <c r="K122" s="6">
        <v>376.36172249999998</v>
      </c>
      <c r="L122" s="6">
        <v>0</v>
      </c>
      <c r="M122" s="6">
        <v>0</v>
      </c>
      <c r="N122" s="6">
        <v>0</v>
      </c>
      <c r="O122" s="6">
        <v>0</v>
      </c>
      <c r="P122" s="6">
        <v>1</v>
      </c>
      <c r="Q122" s="4" t="s">
        <v>53</v>
      </c>
      <c r="R122" s="4">
        <v>0</v>
      </c>
      <c r="S122" s="6">
        <v>36</v>
      </c>
      <c r="T122" s="6">
        <v>0</v>
      </c>
      <c r="U122" s="6">
        <v>0</v>
      </c>
      <c r="V122" s="6">
        <f>IF(ISERROR(VLOOKUP($S$122,'TAR FIN'!$A$1:$O$85,15,0)),0,VLOOKUP($S$122,'TAR FIN'!$A$1:$O$85,15,0))</f>
        <v>14.94</v>
      </c>
      <c r="W122" s="6">
        <f>IF(ISERROR(VLOOKUP($T$122,'TAR FIN'!$A$1:$O$85,15,0)),0,VLOOKUP($T$122,'TAR FIN'!$A$1:$O$85,15,0))</f>
        <v>0</v>
      </c>
      <c r="X122" s="6">
        <f>IF(ISERROR(VLOOKUP($U$122,'TAR FIN'!$A$1:$O$85,15,0)),0,VLOOKUP($U$122,'TAR FIN'!$A$1:$O$85,15,0))</f>
        <v>0</v>
      </c>
      <c r="Y122" s="6">
        <f ca="1">('TUSD BE'!$AM$10+'TUSD BF_350'!$AM$10+'TUSD CVA'!$AM$10)*1</f>
        <v>19.63429077280307</v>
      </c>
      <c r="Z122" s="6"/>
      <c r="AA122" s="6"/>
      <c r="AB122" s="6">
        <f>$K$122*$V$122</f>
        <v>5622.8441341499993</v>
      </c>
      <c r="AC122" s="6">
        <f>$M$122*$W$122</f>
        <v>0</v>
      </c>
      <c r="AD122" s="6">
        <f>$O$122*$X$122</f>
        <v>0</v>
      </c>
      <c r="AE122" s="6">
        <f ca="1">$K$122*$Y$122</f>
        <v>7389.5954953180189</v>
      </c>
      <c r="AF122" s="6">
        <f>$M$122*$Z$122</f>
        <v>0</v>
      </c>
      <c r="AG122" s="6">
        <f>$O$122*$AA$122</f>
        <v>0</v>
      </c>
    </row>
    <row r="123" spans="1:33" ht="11.25" customHeight="1" x14ac:dyDescent="0.25">
      <c r="A123" s="4" t="s">
        <v>21</v>
      </c>
      <c r="B123" s="4" t="s">
        <v>34</v>
      </c>
      <c r="C123" s="4" t="s">
        <v>35</v>
      </c>
      <c r="D123" s="4" t="s">
        <v>33</v>
      </c>
      <c r="E123" s="4" t="s">
        <v>25</v>
      </c>
      <c r="F123" s="4" t="s">
        <v>52</v>
      </c>
      <c r="G123" s="4" t="s">
        <v>25</v>
      </c>
      <c r="H123" s="4" t="s">
        <v>25</v>
      </c>
      <c r="I123" s="5">
        <v>44409</v>
      </c>
      <c r="J123" s="6">
        <v>750</v>
      </c>
      <c r="K123" s="6">
        <v>376.08338250000003</v>
      </c>
      <c r="L123" s="6">
        <v>0</v>
      </c>
      <c r="M123" s="6">
        <v>0</v>
      </c>
      <c r="N123" s="6">
        <v>0</v>
      </c>
      <c r="O123" s="6">
        <v>0</v>
      </c>
      <c r="P123" s="6">
        <v>1</v>
      </c>
      <c r="Q123" s="4" t="s">
        <v>53</v>
      </c>
      <c r="R123" s="4">
        <v>0</v>
      </c>
      <c r="S123" s="6">
        <v>36</v>
      </c>
      <c r="T123" s="6">
        <v>0</v>
      </c>
      <c r="U123" s="6">
        <v>0</v>
      </c>
      <c r="V123" s="6">
        <f>IF(ISERROR(VLOOKUP($S$123,'TAR FIN'!$A$1:$O$85,15,0)),0,VLOOKUP($S$123,'TAR FIN'!$A$1:$O$85,15,0))</f>
        <v>14.94</v>
      </c>
      <c r="W123" s="6">
        <f>IF(ISERROR(VLOOKUP($T$123,'TAR FIN'!$A$1:$O$85,15,0)),0,VLOOKUP($T$123,'TAR FIN'!$A$1:$O$85,15,0))</f>
        <v>0</v>
      </c>
      <c r="X123" s="6">
        <f>IF(ISERROR(VLOOKUP($U$123,'TAR FIN'!$A$1:$O$85,15,0)),0,VLOOKUP($U$123,'TAR FIN'!$A$1:$O$85,15,0))</f>
        <v>0</v>
      </c>
      <c r="Y123" s="6">
        <f ca="1">('TUSD BE'!$AM$10+'TUSD BF_350'!$AM$10+'TUSD CVA'!$AM$10)*1</f>
        <v>19.63429077280307</v>
      </c>
      <c r="Z123" s="6"/>
      <c r="AA123" s="6"/>
      <c r="AB123" s="6">
        <f>$K$123*$V$123</f>
        <v>5618.6857345500002</v>
      </c>
      <c r="AC123" s="6">
        <f>$M$123*$W$123</f>
        <v>0</v>
      </c>
      <c r="AD123" s="6">
        <f>$O$123*$X$123</f>
        <v>0</v>
      </c>
      <c r="AE123" s="6">
        <f ca="1">$K$123*$Y$123</f>
        <v>7384.1304868243178</v>
      </c>
      <c r="AF123" s="6">
        <f>$M$123*$Z$123</f>
        <v>0</v>
      </c>
      <c r="AG123" s="6">
        <f>$O$123*$AA$123</f>
        <v>0</v>
      </c>
    </row>
    <row r="124" spans="1:33" ht="11.25" customHeight="1" x14ac:dyDescent="0.25">
      <c r="A124" s="4" t="s">
        <v>21</v>
      </c>
      <c r="B124" s="4" t="s">
        <v>34</v>
      </c>
      <c r="C124" s="4" t="s">
        <v>35</v>
      </c>
      <c r="D124" s="4" t="s">
        <v>33</v>
      </c>
      <c r="E124" s="4" t="s">
        <v>25</v>
      </c>
      <c r="F124" s="4" t="s">
        <v>52</v>
      </c>
      <c r="G124" s="4" t="s">
        <v>25</v>
      </c>
      <c r="H124" s="4" t="s">
        <v>25</v>
      </c>
      <c r="I124" s="5">
        <v>44440</v>
      </c>
      <c r="J124" s="6">
        <v>700</v>
      </c>
      <c r="K124" s="6">
        <v>352.28124400000002</v>
      </c>
      <c r="L124" s="6">
        <v>0</v>
      </c>
      <c r="M124" s="6">
        <v>0</v>
      </c>
      <c r="N124" s="6">
        <v>0</v>
      </c>
      <c r="O124" s="6">
        <v>0</v>
      </c>
      <c r="P124" s="6">
        <v>1</v>
      </c>
      <c r="Q124" s="4" t="s">
        <v>53</v>
      </c>
      <c r="R124" s="4">
        <v>0</v>
      </c>
      <c r="S124" s="6">
        <v>36</v>
      </c>
      <c r="T124" s="6">
        <v>0</v>
      </c>
      <c r="U124" s="6">
        <v>0</v>
      </c>
      <c r="V124" s="6">
        <f>IF(ISERROR(VLOOKUP($S$124,'TAR FIN'!$A$1:$O$85,15,0)),0,VLOOKUP($S$124,'TAR FIN'!$A$1:$O$85,15,0))</f>
        <v>14.94</v>
      </c>
      <c r="W124" s="6">
        <f>IF(ISERROR(VLOOKUP($T$124,'TAR FIN'!$A$1:$O$85,15,0)),0,VLOOKUP($T$124,'TAR FIN'!$A$1:$O$85,15,0))</f>
        <v>0</v>
      </c>
      <c r="X124" s="6">
        <f>IF(ISERROR(VLOOKUP($U$124,'TAR FIN'!$A$1:$O$85,15,0)),0,VLOOKUP($U$124,'TAR FIN'!$A$1:$O$85,15,0))</f>
        <v>0</v>
      </c>
      <c r="Y124" s="6">
        <f ca="1">('TUSD BE'!$AM$10+'TUSD BF_350'!$AM$10+'TUSD CVA'!$AM$10)*1</f>
        <v>19.63429077280307</v>
      </c>
      <c r="Z124" s="6"/>
      <c r="AA124" s="6"/>
      <c r="AB124" s="6">
        <f>$K$124*$V$124</f>
        <v>5263.0817853600001</v>
      </c>
      <c r="AC124" s="6">
        <f>$M$124*$W$124</f>
        <v>0</v>
      </c>
      <c r="AD124" s="6">
        <f>$O$124*$X$124</f>
        <v>0</v>
      </c>
      <c r="AE124" s="6">
        <f ca="1">$K$124*$Y$124</f>
        <v>6916.792378500787</v>
      </c>
      <c r="AF124" s="6">
        <f>$M$124*$Z$124</f>
        <v>0</v>
      </c>
      <c r="AG124" s="6">
        <f>$O$124*$AA$124</f>
        <v>0</v>
      </c>
    </row>
    <row r="125" spans="1:33" ht="11.25" customHeight="1" x14ac:dyDescent="0.25">
      <c r="A125" s="4" t="s">
        <v>21</v>
      </c>
      <c r="B125" s="4" t="s">
        <v>34</v>
      </c>
      <c r="C125" s="4" t="s">
        <v>35</v>
      </c>
      <c r="D125" s="4" t="s">
        <v>33</v>
      </c>
      <c r="E125" s="4" t="s">
        <v>25</v>
      </c>
      <c r="F125" s="4" t="s">
        <v>52</v>
      </c>
      <c r="G125" s="4" t="s">
        <v>25</v>
      </c>
      <c r="H125" s="4" t="s">
        <v>25</v>
      </c>
      <c r="I125" s="5">
        <v>44470</v>
      </c>
      <c r="J125" s="6">
        <v>708</v>
      </c>
      <c r="K125" s="6">
        <v>355.96836036000002</v>
      </c>
      <c r="L125" s="6">
        <v>0</v>
      </c>
      <c r="M125" s="6">
        <v>0</v>
      </c>
      <c r="N125" s="6">
        <v>0</v>
      </c>
      <c r="O125" s="6">
        <v>0</v>
      </c>
      <c r="P125" s="6">
        <v>1</v>
      </c>
      <c r="Q125" s="4" t="s">
        <v>53</v>
      </c>
      <c r="R125" s="4">
        <v>0</v>
      </c>
      <c r="S125" s="6">
        <v>36</v>
      </c>
      <c r="T125" s="6">
        <v>0</v>
      </c>
      <c r="U125" s="6">
        <v>0</v>
      </c>
      <c r="V125" s="6">
        <f>IF(ISERROR(VLOOKUP($S$125,'TAR FIN'!$A$1:$O$85,15,0)),0,VLOOKUP($S$125,'TAR FIN'!$A$1:$O$85,15,0))</f>
        <v>14.94</v>
      </c>
      <c r="W125" s="6">
        <f>IF(ISERROR(VLOOKUP($T$125,'TAR FIN'!$A$1:$O$85,15,0)),0,VLOOKUP($T$125,'TAR FIN'!$A$1:$O$85,15,0))</f>
        <v>0</v>
      </c>
      <c r="X125" s="6">
        <f>IF(ISERROR(VLOOKUP($U$125,'TAR FIN'!$A$1:$O$85,15,0)),0,VLOOKUP($U$125,'TAR FIN'!$A$1:$O$85,15,0))</f>
        <v>0</v>
      </c>
      <c r="Y125" s="6">
        <f ca="1">('TUSD BE'!$AM$10+'TUSD BF_350'!$AM$10+'TUSD CVA'!$AM$10)*1</f>
        <v>19.63429077280307</v>
      </c>
      <c r="Z125" s="6"/>
      <c r="AA125" s="6"/>
      <c r="AB125" s="6">
        <f>$K$125*$V$125</f>
        <v>5318.1673037784003</v>
      </c>
      <c r="AC125" s="6">
        <f>$M$125*$W$125</f>
        <v>0</v>
      </c>
      <c r="AD125" s="6">
        <f>$O$125*$X$125</f>
        <v>0</v>
      </c>
      <c r="AE125" s="6">
        <f ca="1">$K$125*$Y$125</f>
        <v>6989.1862932261865</v>
      </c>
      <c r="AF125" s="6">
        <f>$M$125*$Z$125</f>
        <v>0</v>
      </c>
      <c r="AG125" s="6">
        <f>$O$125*$AA$125</f>
        <v>0</v>
      </c>
    </row>
    <row r="126" spans="1:33" ht="11.25" customHeight="1" x14ac:dyDescent="0.25">
      <c r="A126" s="4" t="s">
        <v>21</v>
      </c>
      <c r="B126" s="4" t="s">
        <v>34</v>
      </c>
      <c r="C126" s="4" t="s">
        <v>35</v>
      </c>
      <c r="D126" s="4" t="s">
        <v>33</v>
      </c>
      <c r="E126" s="4" t="s">
        <v>25</v>
      </c>
      <c r="F126" s="4" t="s">
        <v>52</v>
      </c>
      <c r="G126" s="4" t="s">
        <v>25</v>
      </c>
      <c r="H126" s="4" t="s">
        <v>25</v>
      </c>
      <c r="I126" s="5">
        <v>44501</v>
      </c>
      <c r="J126" s="6">
        <v>703</v>
      </c>
      <c r="K126" s="6">
        <v>382.22738482</v>
      </c>
      <c r="L126" s="6">
        <v>0</v>
      </c>
      <c r="M126" s="6">
        <v>0</v>
      </c>
      <c r="N126" s="6">
        <v>0</v>
      </c>
      <c r="O126" s="6">
        <v>0</v>
      </c>
      <c r="P126" s="6">
        <v>1</v>
      </c>
      <c r="Q126" s="4" t="s">
        <v>53</v>
      </c>
      <c r="R126" s="4">
        <v>0</v>
      </c>
      <c r="S126" s="6">
        <v>36</v>
      </c>
      <c r="T126" s="6">
        <v>0</v>
      </c>
      <c r="U126" s="6">
        <v>0</v>
      </c>
      <c r="V126" s="6">
        <f>IF(ISERROR(VLOOKUP($S$126,'TAR FIN'!$A$1:$O$85,15,0)),0,VLOOKUP($S$126,'TAR FIN'!$A$1:$O$85,15,0))</f>
        <v>14.94</v>
      </c>
      <c r="W126" s="6">
        <f>IF(ISERROR(VLOOKUP($T$126,'TAR FIN'!$A$1:$O$85,15,0)),0,VLOOKUP($T$126,'TAR FIN'!$A$1:$O$85,15,0))</f>
        <v>0</v>
      </c>
      <c r="X126" s="6">
        <f>IF(ISERROR(VLOOKUP($U$126,'TAR FIN'!$A$1:$O$85,15,0)),0,VLOOKUP($U$126,'TAR FIN'!$A$1:$O$85,15,0))</f>
        <v>0</v>
      </c>
      <c r="Y126" s="6">
        <f ca="1">('TUSD BE'!$AM$10+'TUSD BF_350'!$AM$10+'TUSD CVA'!$AM$10)*1</f>
        <v>19.63429077280307</v>
      </c>
      <c r="Z126" s="6"/>
      <c r="AA126" s="6"/>
      <c r="AB126" s="6">
        <f>$K$126*$V$126</f>
        <v>5710.4771292107998</v>
      </c>
      <c r="AC126" s="6">
        <f>$M$126*$W$126</f>
        <v>0</v>
      </c>
      <c r="AD126" s="6">
        <f>$O$126*$X$126</f>
        <v>0</v>
      </c>
      <c r="AE126" s="6">
        <f ca="1">$K$126*$Y$126</f>
        <v>7504.7636148839738</v>
      </c>
      <c r="AF126" s="6">
        <f>$M$126*$Z$126</f>
        <v>0</v>
      </c>
      <c r="AG126" s="6">
        <f>$O$126*$AA$126</f>
        <v>0</v>
      </c>
    </row>
    <row r="127" spans="1:33" ht="11.25" customHeight="1" x14ac:dyDescent="0.25">
      <c r="A127" s="4" t="s">
        <v>21</v>
      </c>
      <c r="B127" s="4" t="s">
        <v>34</v>
      </c>
      <c r="C127" s="4" t="s">
        <v>35</v>
      </c>
      <c r="D127" s="4" t="s">
        <v>33</v>
      </c>
      <c r="E127" s="4" t="s">
        <v>25</v>
      </c>
      <c r="F127" s="4" t="s">
        <v>52</v>
      </c>
      <c r="G127" s="4" t="s">
        <v>25</v>
      </c>
      <c r="H127" s="4" t="s">
        <v>25</v>
      </c>
      <c r="I127" s="5">
        <v>44531</v>
      </c>
      <c r="J127" s="6">
        <v>700</v>
      </c>
      <c r="K127" s="6">
        <v>350.86538200000001</v>
      </c>
      <c r="L127" s="6">
        <v>0</v>
      </c>
      <c r="M127" s="6">
        <v>0</v>
      </c>
      <c r="N127" s="6">
        <v>0</v>
      </c>
      <c r="O127" s="6">
        <v>0</v>
      </c>
      <c r="P127" s="6">
        <v>1</v>
      </c>
      <c r="Q127" s="4" t="s">
        <v>53</v>
      </c>
      <c r="R127" s="4">
        <v>0</v>
      </c>
      <c r="S127" s="6">
        <v>36</v>
      </c>
      <c r="T127" s="6">
        <v>0</v>
      </c>
      <c r="U127" s="6">
        <v>0</v>
      </c>
      <c r="V127" s="6">
        <f>IF(ISERROR(VLOOKUP($S$127,'TAR FIN'!$A$1:$O$85,15,0)),0,VLOOKUP($S$127,'TAR FIN'!$A$1:$O$85,15,0))</f>
        <v>14.94</v>
      </c>
      <c r="W127" s="6">
        <f>IF(ISERROR(VLOOKUP($T$127,'TAR FIN'!$A$1:$O$85,15,0)),0,VLOOKUP($T$127,'TAR FIN'!$A$1:$O$85,15,0))</f>
        <v>0</v>
      </c>
      <c r="X127" s="6">
        <f>IF(ISERROR(VLOOKUP($U$127,'TAR FIN'!$A$1:$O$85,15,0)),0,VLOOKUP($U$127,'TAR FIN'!$A$1:$O$85,15,0))</f>
        <v>0</v>
      </c>
      <c r="Y127" s="6">
        <f ca="1">('TUSD BE'!$AM$10+'TUSD BF_350'!$AM$10+'TUSD CVA'!$AM$10)*1</f>
        <v>19.63429077280307</v>
      </c>
      <c r="Z127" s="6"/>
      <c r="AA127" s="6"/>
      <c r="AB127" s="6">
        <f>$K$127*$V$127</f>
        <v>5241.9288070800003</v>
      </c>
      <c r="AC127" s="6">
        <f>$M$127*$W$127</f>
        <v>0</v>
      </c>
      <c r="AD127" s="6">
        <f>$O$127*$X$127</f>
        <v>0</v>
      </c>
      <c r="AE127" s="6">
        <f ca="1">$K$127*$Y$127</f>
        <v>6888.9929322986245</v>
      </c>
      <c r="AF127" s="6">
        <f>$M$127*$Z$127</f>
        <v>0</v>
      </c>
      <c r="AG127" s="6">
        <f>$O$127*$AA$127</f>
        <v>0</v>
      </c>
    </row>
    <row r="128" spans="1:33" ht="11.25" customHeight="1" x14ac:dyDescent="0.25">
      <c r="A128" s="4" t="s">
        <v>21</v>
      </c>
      <c r="B128" s="4" t="s">
        <v>34</v>
      </c>
      <c r="C128" s="4" t="s">
        <v>35</v>
      </c>
      <c r="D128" s="4" t="s">
        <v>33</v>
      </c>
      <c r="E128" s="4" t="s">
        <v>25</v>
      </c>
      <c r="F128" s="4" t="s">
        <v>52</v>
      </c>
      <c r="G128" s="4" t="s">
        <v>25</v>
      </c>
      <c r="H128" s="4" t="s">
        <v>25</v>
      </c>
      <c r="I128" s="5">
        <v>44562</v>
      </c>
      <c r="J128" s="6">
        <v>1160</v>
      </c>
      <c r="K128" s="6">
        <v>645.33774240000002</v>
      </c>
      <c r="L128" s="6">
        <v>0</v>
      </c>
      <c r="M128" s="6">
        <v>0</v>
      </c>
      <c r="N128" s="6">
        <v>0</v>
      </c>
      <c r="O128" s="6">
        <v>0</v>
      </c>
      <c r="P128" s="6">
        <v>2</v>
      </c>
      <c r="Q128" s="4" t="s">
        <v>53</v>
      </c>
      <c r="R128" s="4">
        <v>0</v>
      </c>
      <c r="S128" s="6">
        <v>36</v>
      </c>
      <c r="T128" s="6">
        <v>0</v>
      </c>
      <c r="U128" s="6">
        <v>0</v>
      </c>
      <c r="V128" s="6">
        <f>IF(ISERROR(VLOOKUP($S$128,'TAR FIN'!$A$1:$O$85,15,0)),0,VLOOKUP($S$128,'TAR FIN'!$A$1:$O$85,15,0))</f>
        <v>14.94</v>
      </c>
      <c r="W128" s="6">
        <f>IF(ISERROR(VLOOKUP($T$128,'TAR FIN'!$A$1:$O$85,15,0)),0,VLOOKUP($T$128,'TAR FIN'!$A$1:$O$85,15,0))</f>
        <v>0</v>
      </c>
      <c r="X128" s="6">
        <f>IF(ISERROR(VLOOKUP($U$128,'TAR FIN'!$A$1:$O$85,15,0)),0,VLOOKUP($U$128,'TAR FIN'!$A$1:$O$85,15,0))</f>
        <v>0</v>
      </c>
      <c r="Y128" s="6">
        <f ca="1">('TUSD BE'!$AM$10+'TUSD BF_350'!$AM$10+'TUSD CVA'!$AM$10)*1</f>
        <v>19.63429077280307</v>
      </c>
      <c r="Z128" s="6"/>
      <c r="AA128" s="6"/>
      <c r="AB128" s="6">
        <f>$K$128*$V$128</f>
        <v>9641.3458714560002</v>
      </c>
      <c r="AC128" s="6">
        <f>$M$128*$W$128</f>
        <v>0</v>
      </c>
      <c r="AD128" s="6">
        <f>$O$128*$X$128</f>
        <v>0</v>
      </c>
      <c r="AE128" s="6">
        <f ca="1">$K$128*$Y$128</f>
        <v>12670.748880945885</v>
      </c>
      <c r="AF128" s="6">
        <f>$M$128*$Z$128</f>
        <v>0</v>
      </c>
      <c r="AG128" s="6">
        <f>$O$128*$AA$128</f>
        <v>0</v>
      </c>
    </row>
    <row r="129" spans="1:33" ht="11.25" customHeight="1" x14ac:dyDescent="0.25">
      <c r="A129" s="4" t="s">
        <v>21</v>
      </c>
      <c r="B129" s="4" t="s">
        <v>34</v>
      </c>
      <c r="C129" s="4" t="s">
        <v>35</v>
      </c>
      <c r="D129" s="4" t="s">
        <v>33</v>
      </c>
      <c r="E129" s="4" t="s">
        <v>25</v>
      </c>
      <c r="F129" s="4" t="s">
        <v>52</v>
      </c>
      <c r="G129" s="4" t="s">
        <v>25</v>
      </c>
      <c r="H129" s="4" t="s">
        <v>25</v>
      </c>
      <c r="I129" s="5">
        <v>44593</v>
      </c>
      <c r="J129" s="6">
        <v>1191</v>
      </c>
      <c r="K129" s="6">
        <v>665.26108613999997</v>
      </c>
      <c r="L129" s="6">
        <v>0</v>
      </c>
      <c r="M129" s="6">
        <v>0</v>
      </c>
      <c r="N129" s="6">
        <v>0</v>
      </c>
      <c r="O129" s="6">
        <v>0</v>
      </c>
      <c r="P129" s="6">
        <v>2</v>
      </c>
      <c r="Q129" s="4" t="s">
        <v>53</v>
      </c>
      <c r="R129" s="4">
        <v>0</v>
      </c>
      <c r="S129" s="6">
        <v>36</v>
      </c>
      <c r="T129" s="6">
        <v>0</v>
      </c>
      <c r="U129" s="6">
        <v>0</v>
      </c>
      <c r="V129" s="6">
        <f>IF(ISERROR(VLOOKUP($S$129,'TAR FIN'!$A$1:$O$85,15,0)),0,VLOOKUP($S$129,'TAR FIN'!$A$1:$O$85,15,0))</f>
        <v>14.94</v>
      </c>
      <c r="W129" s="6">
        <f>IF(ISERROR(VLOOKUP($T$129,'TAR FIN'!$A$1:$O$85,15,0)),0,VLOOKUP($T$129,'TAR FIN'!$A$1:$O$85,15,0))</f>
        <v>0</v>
      </c>
      <c r="X129" s="6">
        <f>IF(ISERROR(VLOOKUP($U$129,'TAR FIN'!$A$1:$O$85,15,0)),0,VLOOKUP($U$129,'TAR FIN'!$A$1:$O$85,15,0))</f>
        <v>0</v>
      </c>
      <c r="Y129" s="6">
        <f ca="1">('TUSD BE'!$AM$10+'TUSD BF_350'!$AM$10+'TUSD CVA'!$AM$10)*1</f>
        <v>19.63429077280307</v>
      </c>
      <c r="Z129" s="6"/>
      <c r="AA129" s="6"/>
      <c r="AB129" s="6">
        <f>$K$129*$V$129</f>
        <v>9939.0006269316</v>
      </c>
      <c r="AC129" s="6">
        <f>$M$129*$W$129</f>
        <v>0</v>
      </c>
      <c r="AD129" s="6">
        <f>$O$129*$X$129</f>
        <v>0</v>
      </c>
      <c r="AE129" s="6">
        <f ca="1">$K$129*$Y$129</f>
        <v>13061.929605103549</v>
      </c>
      <c r="AF129" s="6">
        <f>$M$129*$Z$129</f>
        <v>0</v>
      </c>
      <c r="AG129" s="6">
        <f>$O$129*$AA$129</f>
        <v>0</v>
      </c>
    </row>
    <row r="130" spans="1:33" ht="11.25" customHeight="1" x14ac:dyDescent="0.25">
      <c r="A130" s="4" t="s">
        <v>21</v>
      </c>
      <c r="B130" s="4" t="s">
        <v>34</v>
      </c>
      <c r="C130" s="4" t="s">
        <v>35</v>
      </c>
      <c r="D130" s="4" t="s">
        <v>33</v>
      </c>
      <c r="E130" s="4" t="s">
        <v>25</v>
      </c>
      <c r="F130" s="4" t="s">
        <v>52</v>
      </c>
      <c r="G130" s="4" t="s">
        <v>25</v>
      </c>
      <c r="H130" s="4" t="s">
        <v>25</v>
      </c>
      <c r="I130" s="5">
        <v>44621</v>
      </c>
      <c r="J130" s="6">
        <v>1174</v>
      </c>
      <c r="K130" s="6">
        <v>623.45041070000002</v>
      </c>
      <c r="L130" s="6">
        <v>0</v>
      </c>
      <c r="M130" s="6">
        <v>0</v>
      </c>
      <c r="N130" s="6">
        <v>0</v>
      </c>
      <c r="O130" s="6">
        <v>0</v>
      </c>
      <c r="P130" s="6">
        <v>2</v>
      </c>
      <c r="Q130" s="4" t="s">
        <v>53</v>
      </c>
      <c r="R130" s="4">
        <v>0</v>
      </c>
      <c r="S130" s="6">
        <v>36</v>
      </c>
      <c r="T130" s="6">
        <v>0</v>
      </c>
      <c r="U130" s="6">
        <v>0</v>
      </c>
      <c r="V130" s="6">
        <f>IF(ISERROR(VLOOKUP($S$130,'TAR FIN'!$A$1:$O$85,15,0)),0,VLOOKUP($S$130,'TAR FIN'!$A$1:$O$85,15,0))</f>
        <v>14.94</v>
      </c>
      <c r="W130" s="6">
        <f>IF(ISERROR(VLOOKUP($T$130,'TAR FIN'!$A$1:$O$85,15,0)),0,VLOOKUP($T$130,'TAR FIN'!$A$1:$O$85,15,0))</f>
        <v>0</v>
      </c>
      <c r="X130" s="6">
        <f>IF(ISERROR(VLOOKUP($U$130,'TAR FIN'!$A$1:$O$85,15,0)),0,VLOOKUP($U$130,'TAR FIN'!$A$1:$O$85,15,0))</f>
        <v>0</v>
      </c>
      <c r="Y130" s="6">
        <f ca="1">('TUSD BE'!$AM$10+'TUSD BF_350'!$AM$10+'TUSD CVA'!$AM$10)*1</f>
        <v>19.63429077280307</v>
      </c>
      <c r="Z130" s="6"/>
      <c r="AA130" s="6"/>
      <c r="AB130" s="6">
        <f>$K$130*$V$130</f>
        <v>9314.3491358579995</v>
      </c>
      <c r="AC130" s="6">
        <f>$M$130*$W$130</f>
        <v>0</v>
      </c>
      <c r="AD130" s="6">
        <f>$O$130*$X$130</f>
        <v>0</v>
      </c>
      <c r="AE130" s="6">
        <f ca="1">$K$130*$Y$130</f>
        <v>12241.006646107295</v>
      </c>
      <c r="AF130" s="6">
        <f>$M$130*$Z$130</f>
        <v>0</v>
      </c>
      <c r="AG130" s="6">
        <f>$O$130*$AA$130</f>
        <v>0</v>
      </c>
    </row>
    <row r="131" spans="1:33" ht="11.25" customHeight="1" x14ac:dyDescent="0.25">
      <c r="A131" s="4" t="s">
        <v>21</v>
      </c>
      <c r="B131" s="4" t="s">
        <v>34</v>
      </c>
      <c r="C131" s="4" t="s">
        <v>35</v>
      </c>
      <c r="D131" s="4" t="s">
        <v>33</v>
      </c>
      <c r="E131" s="4" t="s">
        <v>25</v>
      </c>
      <c r="F131" s="4" t="s">
        <v>52</v>
      </c>
      <c r="G131" s="4" t="s">
        <v>25</v>
      </c>
      <c r="H131" s="4" t="s">
        <v>25</v>
      </c>
      <c r="I131" s="5">
        <v>44652</v>
      </c>
      <c r="J131" s="6">
        <v>1200</v>
      </c>
      <c r="K131" s="6">
        <v>618.96823199999994</v>
      </c>
      <c r="L131" s="6">
        <v>0</v>
      </c>
      <c r="M131" s="6">
        <v>0</v>
      </c>
      <c r="N131" s="6">
        <v>0</v>
      </c>
      <c r="O131" s="6">
        <v>0</v>
      </c>
      <c r="P131" s="6">
        <v>2</v>
      </c>
      <c r="Q131" s="4" t="s">
        <v>53</v>
      </c>
      <c r="R131" s="4">
        <v>0</v>
      </c>
      <c r="S131" s="6">
        <v>36</v>
      </c>
      <c r="T131" s="6">
        <v>0</v>
      </c>
      <c r="U131" s="6">
        <v>0</v>
      </c>
      <c r="V131" s="6">
        <f>IF(ISERROR(VLOOKUP($S$131,'TAR FIN'!$A$1:$O$85,15,0)),0,VLOOKUP($S$131,'TAR FIN'!$A$1:$O$85,15,0))</f>
        <v>14.94</v>
      </c>
      <c r="W131" s="6">
        <f>IF(ISERROR(VLOOKUP($T$131,'TAR FIN'!$A$1:$O$85,15,0)),0,VLOOKUP($T$131,'TAR FIN'!$A$1:$O$85,15,0))</f>
        <v>0</v>
      </c>
      <c r="X131" s="6">
        <f>IF(ISERROR(VLOOKUP($U$131,'TAR FIN'!$A$1:$O$85,15,0)),0,VLOOKUP($U$131,'TAR FIN'!$A$1:$O$85,15,0))</f>
        <v>0</v>
      </c>
      <c r="Y131" s="6">
        <f ca="1">('TUSD BE'!$AM$10+'TUSD BF_350'!$AM$10+'TUSD CVA'!$AM$10)*1</f>
        <v>19.63429077280307</v>
      </c>
      <c r="Z131" s="6"/>
      <c r="AA131" s="6"/>
      <c r="AB131" s="6">
        <f>$K$131*$V$131</f>
        <v>9247.3853860799991</v>
      </c>
      <c r="AC131" s="6">
        <f>$M$131*$W$131</f>
        <v>0</v>
      </c>
      <c r="AD131" s="6">
        <f>$O$131*$X$131</f>
        <v>0</v>
      </c>
      <c r="AE131" s="6">
        <f ca="1">$K$131*$Y$131</f>
        <v>12153.002246215829</v>
      </c>
      <c r="AF131" s="6">
        <f>$M$131*$Z$131</f>
        <v>0</v>
      </c>
      <c r="AG131" s="6">
        <f>$O$131*$AA$131</f>
        <v>0</v>
      </c>
    </row>
    <row r="132" spans="1:33" ht="11.25" customHeight="1" x14ac:dyDescent="0.25">
      <c r="A132" s="4" t="s">
        <v>21</v>
      </c>
      <c r="B132" s="4" t="s">
        <v>34</v>
      </c>
      <c r="C132" s="4" t="s">
        <v>35</v>
      </c>
      <c r="D132" s="4" t="s">
        <v>33</v>
      </c>
      <c r="E132" s="4" t="s">
        <v>25</v>
      </c>
      <c r="F132" s="4" t="s">
        <v>52</v>
      </c>
      <c r="G132" s="4" t="s">
        <v>25</v>
      </c>
      <c r="H132" s="4" t="s">
        <v>25</v>
      </c>
      <c r="I132" s="5">
        <v>44682</v>
      </c>
      <c r="J132" s="6">
        <v>1200</v>
      </c>
      <c r="K132" s="6">
        <v>660</v>
      </c>
      <c r="L132" s="6">
        <v>0</v>
      </c>
      <c r="M132" s="6">
        <v>0</v>
      </c>
      <c r="N132" s="6">
        <v>0</v>
      </c>
      <c r="O132" s="6">
        <v>0</v>
      </c>
      <c r="P132" s="6">
        <v>2</v>
      </c>
      <c r="Q132" s="4" t="s">
        <v>53</v>
      </c>
      <c r="R132" s="4">
        <v>0</v>
      </c>
      <c r="S132" s="6">
        <v>36</v>
      </c>
      <c r="T132" s="6">
        <v>0</v>
      </c>
      <c r="U132" s="6">
        <v>0</v>
      </c>
      <c r="V132" s="6">
        <f>IF(ISERROR(VLOOKUP($S$132,'TAR FIN'!$A$1:$O$85,15,0)),0,VLOOKUP($S$132,'TAR FIN'!$A$1:$O$85,15,0))</f>
        <v>14.94</v>
      </c>
      <c r="W132" s="6">
        <f>IF(ISERROR(VLOOKUP($T$132,'TAR FIN'!$A$1:$O$85,15,0)),0,VLOOKUP($T$132,'TAR FIN'!$A$1:$O$85,15,0))</f>
        <v>0</v>
      </c>
      <c r="X132" s="6">
        <f>IF(ISERROR(VLOOKUP($U$132,'TAR FIN'!$A$1:$O$85,15,0)),0,VLOOKUP($U$132,'TAR FIN'!$A$1:$O$85,15,0))</f>
        <v>0</v>
      </c>
      <c r="Y132" s="6">
        <f ca="1">('TUSD BE'!$AM$10+'TUSD BF_350'!$AM$10+'TUSD CVA'!$AM$10)*1</f>
        <v>19.63429077280307</v>
      </c>
      <c r="Z132" s="6"/>
      <c r="AA132" s="6"/>
      <c r="AB132" s="6">
        <f>$K$132*$V$132</f>
        <v>9860.4</v>
      </c>
      <c r="AC132" s="6">
        <f>$M$132*$W$132</f>
        <v>0</v>
      </c>
      <c r="AD132" s="6">
        <f>$O$132*$X$132</f>
        <v>0</v>
      </c>
      <c r="AE132" s="6">
        <f ca="1">$K$132*$Y$132</f>
        <v>12958.631910050026</v>
      </c>
      <c r="AF132" s="6">
        <f>$M$132*$Z$132</f>
        <v>0</v>
      </c>
      <c r="AG132" s="6">
        <f>$O$132*$AA$132</f>
        <v>0</v>
      </c>
    </row>
    <row r="133" spans="1:33" ht="11.25" customHeight="1" x14ac:dyDescent="0.25">
      <c r="A133" s="4" t="s">
        <v>21</v>
      </c>
      <c r="B133" s="4" t="s">
        <v>34</v>
      </c>
      <c r="C133" s="4" t="s">
        <v>35</v>
      </c>
      <c r="D133" s="4" t="s">
        <v>33</v>
      </c>
      <c r="E133" s="4" t="s">
        <v>25</v>
      </c>
      <c r="F133" s="4" t="s">
        <v>52</v>
      </c>
      <c r="G133" s="4" t="s">
        <v>25</v>
      </c>
      <c r="H133" s="4" t="s">
        <v>25</v>
      </c>
      <c r="I133" s="5">
        <v>44713</v>
      </c>
      <c r="J133" s="6">
        <v>1200</v>
      </c>
      <c r="K133" s="6">
        <v>660</v>
      </c>
      <c r="L133" s="6">
        <v>0</v>
      </c>
      <c r="M133" s="6">
        <v>0</v>
      </c>
      <c r="N133" s="6">
        <v>0</v>
      </c>
      <c r="O133" s="6">
        <v>0</v>
      </c>
      <c r="P133" s="6">
        <v>2</v>
      </c>
      <c r="Q133" s="4" t="s">
        <v>53</v>
      </c>
      <c r="R133" s="4">
        <v>0</v>
      </c>
      <c r="S133" s="6">
        <v>36</v>
      </c>
      <c r="T133" s="6">
        <v>0</v>
      </c>
      <c r="U133" s="6">
        <v>0</v>
      </c>
      <c r="V133" s="6">
        <f>IF(ISERROR(VLOOKUP($S$133,'TAR FIN'!$A$1:$O$85,15,0)),0,VLOOKUP($S$133,'TAR FIN'!$A$1:$O$85,15,0))</f>
        <v>14.94</v>
      </c>
      <c r="W133" s="6">
        <f>IF(ISERROR(VLOOKUP($T$133,'TAR FIN'!$A$1:$O$85,15,0)),0,VLOOKUP($T$133,'TAR FIN'!$A$1:$O$85,15,0))</f>
        <v>0</v>
      </c>
      <c r="X133" s="6">
        <f>IF(ISERROR(VLOOKUP($U$133,'TAR FIN'!$A$1:$O$85,15,0)),0,VLOOKUP($U$133,'TAR FIN'!$A$1:$O$85,15,0))</f>
        <v>0</v>
      </c>
      <c r="Y133" s="6">
        <f ca="1">('TUSD BE'!$AM$10+'TUSD BF_350'!$AM$10+'TUSD CVA'!$AM$10)*1</f>
        <v>19.63429077280307</v>
      </c>
      <c r="Z133" s="6"/>
      <c r="AA133" s="6"/>
      <c r="AB133" s="6">
        <f>$K$133*$V$133</f>
        <v>9860.4</v>
      </c>
      <c r="AC133" s="6">
        <f>$M$133*$W$133</f>
        <v>0</v>
      </c>
      <c r="AD133" s="6">
        <f>$O$133*$X$133</f>
        <v>0</v>
      </c>
      <c r="AE133" s="6">
        <f ca="1">$K$133*$Y$133</f>
        <v>12958.631910050026</v>
      </c>
      <c r="AF133" s="6">
        <f>$M$133*$Z$133</f>
        <v>0</v>
      </c>
      <c r="AG133" s="6">
        <f>$O$133*$AA$133</f>
        <v>0</v>
      </c>
    </row>
    <row r="134" spans="1:33" ht="11.25" customHeight="1" x14ac:dyDescent="0.25">
      <c r="A134" s="4" t="s">
        <v>21</v>
      </c>
      <c r="B134" s="4" t="s">
        <v>34</v>
      </c>
      <c r="C134" s="4" t="s">
        <v>35</v>
      </c>
      <c r="D134" s="4" t="s">
        <v>33</v>
      </c>
      <c r="E134" s="4" t="s">
        <v>25</v>
      </c>
      <c r="F134" s="4" t="s">
        <v>52</v>
      </c>
      <c r="G134" s="4" t="s">
        <v>25</v>
      </c>
      <c r="H134" s="4" t="s">
        <v>36</v>
      </c>
      <c r="I134" s="5">
        <v>44378</v>
      </c>
      <c r="J134" s="6">
        <v>0</v>
      </c>
      <c r="K134" s="6">
        <v>0</v>
      </c>
      <c r="L134" s="6">
        <v>27.850999999999999</v>
      </c>
      <c r="M134" s="6">
        <v>15.163322376949999</v>
      </c>
      <c r="N134" s="6">
        <v>0</v>
      </c>
      <c r="O134" s="6">
        <v>0</v>
      </c>
      <c r="P134" s="6">
        <v>0</v>
      </c>
      <c r="Q134" s="4" t="s">
        <v>53</v>
      </c>
      <c r="R134" s="4">
        <v>0</v>
      </c>
      <c r="S134" s="6">
        <v>0</v>
      </c>
      <c r="T134" s="6">
        <v>15</v>
      </c>
      <c r="U134" s="6">
        <v>0</v>
      </c>
      <c r="V134" s="6">
        <f>IF(ISERROR(VLOOKUP($S$134,'TAR FIN'!$A$1:$O$85,15,0)),0,VLOOKUP($S$134,'TAR FIN'!$A$1:$O$85,15,0))</f>
        <v>0</v>
      </c>
      <c r="W134" s="6">
        <f>IF(ISERROR(VLOOKUP($T$134,'TAR FIN'!$A$1:$O$85,15,0)),0,VLOOKUP($T$134,'TAR FIN'!$A$1:$O$85,15,0))</f>
        <v>940.75</v>
      </c>
      <c r="X134" s="6">
        <f>IF(ISERROR(VLOOKUP($U$134,'TAR FIN'!$A$1:$O$85,15,0)),0,VLOOKUP($U$134,'TAR FIN'!$A$1:$O$85,15,0))</f>
        <v>0</v>
      </c>
      <c r="Y134" s="6"/>
      <c r="Z134" s="6">
        <f ca="1">('TUSD BE'!$AM$11+'TUSD BF_350'!$AM$11+'TUSD CVA'!$AM$11)*1</f>
        <v>966.5081601045739</v>
      </c>
      <c r="AA134" s="6"/>
      <c r="AB134" s="6">
        <f>$K$134*$V$134</f>
        <v>0</v>
      </c>
      <c r="AC134" s="6">
        <f>$M$134*$W$134</f>
        <v>14264.895526115712</v>
      </c>
      <c r="AD134" s="6">
        <f>$O$134*$X$134</f>
        <v>0</v>
      </c>
      <c r="AE134" s="6">
        <f>$K$134*$Y$134</f>
        <v>0</v>
      </c>
      <c r="AF134" s="6">
        <f ca="1">$M$134*$Z$134</f>
        <v>14655.474811618458</v>
      </c>
      <c r="AG134" s="6">
        <f>$O$134*$AA$134</f>
        <v>0</v>
      </c>
    </row>
    <row r="135" spans="1:33" ht="11.25" customHeight="1" x14ac:dyDescent="0.25">
      <c r="A135" s="4" t="s">
        <v>21</v>
      </c>
      <c r="B135" s="4" t="s">
        <v>34</v>
      </c>
      <c r="C135" s="4" t="s">
        <v>35</v>
      </c>
      <c r="D135" s="4" t="s">
        <v>33</v>
      </c>
      <c r="E135" s="4" t="s">
        <v>25</v>
      </c>
      <c r="F135" s="4" t="s">
        <v>52</v>
      </c>
      <c r="G135" s="4" t="s">
        <v>25</v>
      </c>
      <c r="H135" s="4" t="s">
        <v>36</v>
      </c>
      <c r="I135" s="5">
        <v>44409</v>
      </c>
      <c r="J135" s="6">
        <v>0</v>
      </c>
      <c r="K135" s="6">
        <v>0</v>
      </c>
      <c r="L135" s="6">
        <v>26.913</v>
      </c>
      <c r="M135" s="6">
        <v>14.617136581500001</v>
      </c>
      <c r="N135" s="6">
        <v>0</v>
      </c>
      <c r="O135" s="6">
        <v>0</v>
      </c>
      <c r="P135" s="6">
        <v>0</v>
      </c>
      <c r="Q135" s="4" t="s">
        <v>53</v>
      </c>
      <c r="R135" s="4">
        <v>0</v>
      </c>
      <c r="S135" s="6">
        <v>0</v>
      </c>
      <c r="T135" s="6">
        <v>15</v>
      </c>
      <c r="U135" s="6">
        <v>0</v>
      </c>
      <c r="V135" s="6">
        <f>IF(ISERROR(VLOOKUP($S$135,'TAR FIN'!$A$1:$O$85,15,0)),0,VLOOKUP($S$135,'TAR FIN'!$A$1:$O$85,15,0))</f>
        <v>0</v>
      </c>
      <c r="W135" s="6">
        <f>IF(ISERROR(VLOOKUP($T$135,'TAR FIN'!$A$1:$O$85,15,0)),0,VLOOKUP($T$135,'TAR FIN'!$A$1:$O$85,15,0))</f>
        <v>940.75</v>
      </c>
      <c r="X135" s="6">
        <f>IF(ISERROR(VLOOKUP($U$135,'TAR FIN'!$A$1:$O$85,15,0)),0,VLOOKUP($U$135,'TAR FIN'!$A$1:$O$85,15,0))</f>
        <v>0</v>
      </c>
      <c r="Y135" s="6"/>
      <c r="Z135" s="6">
        <f ca="1">('TUSD BE'!$AM$11+'TUSD BF_350'!$AM$11+'TUSD CVA'!$AM$11)*1</f>
        <v>966.5081601045739</v>
      </c>
      <c r="AA135" s="6"/>
      <c r="AB135" s="6">
        <f>$K$135*$V$135</f>
        <v>0</v>
      </c>
      <c r="AC135" s="6">
        <f>$M$135*$W$135</f>
        <v>13751.071239046125</v>
      </c>
      <c r="AD135" s="6">
        <f>$O$135*$X$135</f>
        <v>0</v>
      </c>
      <c r="AE135" s="6">
        <f>$K$135*$Y$135</f>
        <v>0</v>
      </c>
      <c r="AF135" s="6">
        <f ca="1">$M$135*$Z$135</f>
        <v>14127.581783382826</v>
      </c>
      <c r="AG135" s="6">
        <f>$O$135*$AA$135</f>
        <v>0</v>
      </c>
    </row>
    <row r="136" spans="1:33" ht="11.25" customHeight="1" x14ac:dyDescent="0.25">
      <c r="A136" s="4" t="s">
        <v>21</v>
      </c>
      <c r="B136" s="4" t="s">
        <v>34</v>
      </c>
      <c r="C136" s="4" t="s">
        <v>35</v>
      </c>
      <c r="D136" s="4" t="s">
        <v>33</v>
      </c>
      <c r="E136" s="4" t="s">
        <v>25</v>
      </c>
      <c r="F136" s="4" t="s">
        <v>52</v>
      </c>
      <c r="G136" s="4" t="s">
        <v>25</v>
      </c>
      <c r="H136" s="4" t="s">
        <v>36</v>
      </c>
      <c r="I136" s="5">
        <v>44440</v>
      </c>
      <c r="J136" s="6">
        <v>0</v>
      </c>
      <c r="K136" s="6">
        <v>0</v>
      </c>
      <c r="L136" s="6">
        <v>27.526</v>
      </c>
      <c r="M136" s="6">
        <v>14.99584054372</v>
      </c>
      <c r="N136" s="6">
        <v>0</v>
      </c>
      <c r="O136" s="6">
        <v>0</v>
      </c>
      <c r="P136" s="6">
        <v>0</v>
      </c>
      <c r="Q136" s="4" t="s">
        <v>53</v>
      </c>
      <c r="R136" s="4">
        <v>0</v>
      </c>
      <c r="S136" s="6">
        <v>0</v>
      </c>
      <c r="T136" s="6">
        <v>15</v>
      </c>
      <c r="U136" s="6">
        <v>0</v>
      </c>
      <c r="V136" s="6">
        <f>IF(ISERROR(VLOOKUP($S$136,'TAR FIN'!$A$1:$O$85,15,0)),0,VLOOKUP($S$136,'TAR FIN'!$A$1:$O$85,15,0))</f>
        <v>0</v>
      </c>
      <c r="W136" s="6">
        <f>IF(ISERROR(VLOOKUP($T$136,'TAR FIN'!$A$1:$O$85,15,0)),0,VLOOKUP($T$136,'TAR FIN'!$A$1:$O$85,15,0))</f>
        <v>940.75</v>
      </c>
      <c r="X136" s="6">
        <f>IF(ISERROR(VLOOKUP($U$136,'TAR FIN'!$A$1:$O$85,15,0)),0,VLOOKUP($U$136,'TAR FIN'!$A$1:$O$85,15,0))</f>
        <v>0</v>
      </c>
      <c r="Y136" s="6"/>
      <c r="Z136" s="6">
        <f ca="1">('TUSD BE'!$AM$11+'TUSD BF_350'!$AM$11+'TUSD CVA'!$AM$11)*1</f>
        <v>966.5081601045739</v>
      </c>
      <c r="AA136" s="6"/>
      <c r="AB136" s="6">
        <f>$K$136*$V$136</f>
        <v>0</v>
      </c>
      <c r="AC136" s="6">
        <f>$M$136*$W$136</f>
        <v>14107.33699150459</v>
      </c>
      <c r="AD136" s="6">
        <f>$O$136*$X$136</f>
        <v>0</v>
      </c>
      <c r="AE136" s="6">
        <f>$K$136*$Y$136</f>
        <v>0</v>
      </c>
      <c r="AF136" s="6">
        <f ca="1">$M$136*$Z$136</f>
        <v>14493.602253132391</v>
      </c>
      <c r="AG136" s="6">
        <f>$O$136*$AA$136</f>
        <v>0</v>
      </c>
    </row>
    <row r="137" spans="1:33" ht="11.25" customHeight="1" x14ac:dyDescent="0.25">
      <c r="A137" s="4" t="s">
        <v>21</v>
      </c>
      <c r="B137" s="4" t="s">
        <v>34</v>
      </c>
      <c r="C137" s="4" t="s">
        <v>35</v>
      </c>
      <c r="D137" s="4" t="s">
        <v>33</v>
      </c>
      <c r="E137" s="4" t="s">
        <v>25</v>
      </c>
      <c r="F137" s="4" t="s">
        <v>52</v>
      </c>
      <c r="G137" s="4" t="s">
        <v>25</v>
      </c>
      <c r="H137" s="4" t="s">
        <v>36</v>
      </c>
      <c r="I137" s="5">
        <v>44470</v>
      </c>
      <c r="J137" s="6">
        <v>0</v>
      </c>
      <c r="K137" s="6">
        <v>0</v>
      </c>
      <c r="L137" s="6">
        <v>27.867999999999999</v>
      </c>
      <c r="M137" s="6">
        <v>15.169931587320001</v>
      </c>
      <c r="N137" s="6">
        <v>0</v>
      </c>
      <c r="O137" s="6">
        <v>0</v>
      </c>
      <c r="P137" s="6">
        <v>0</v>
      </c>
      <c r="Q137" s="4" t="s">
        <v>53</v>
      </c>
      <c r="R137" s="4">
        <v>0</v>
      </c>
      <c r="S137" s="6">
        <v>0</v>
      </c>
      <c r="T137" s="6">
        <v>15</v>
      </c>
      <c r="U137" s="6">
        <v>0</v>
      </c>
      <c r="V137" s="6">
        <f>IF(ISERROR(VLOOKUP($S$137,'TAR FIN'!$A$1:$O$85,15,0)),0,VLOOKUP($S$137,'TAR FIN'!$A$1:$O$85,15,0))</f>
        <v>0</v>
      </c>
      <c r="W137" s="6">
        <f>IF(ISERROR(VLOOKUP($T$137,'TAR FIN'!$A$1:$O$85,15,0)),0,VLOOKUP($T$137,'TAR FIN'!$A$1:$O$85,15,0))</f>
        <v>940.75</v>
      </c>
      <c r="X137" s="6">
        <f>IF(ISERROR(VLOOKUP($U$137,'TAR FIN'!$A$1:$O$85,15,0)),0,VLOOKUP($U$137,'TAR FIN'!$A$1:$O$85,15,0))</f>
        <v>0</v>
      </c>
      <c r="Y137" s="6"/>
      <c r="Z137" s="6">
        <f ca="1">('TUSD BE'!$AM$11+'TUSD BF_350'!$AM$11+'TUSD CVA'!$AM$11)*1</f>
        <v>966.5081601045739</v>
      </c>
      <c r="AA137" s="6"/>
      <c r="AB137" s="6">
        <f>$K$137*$V$137</f>
        <v>0</v>
      </c>
      <c r="AC137" s="6">
        <f>$M$137*$W$137</f>
        <v>14271.113140771291</v>
      </c>
      <c r="AD137" s="6">
        <f>$O$137*$X$137</f>
        <v>0</v>
      </c>
      <c r="AE137" s="6">
        <f>$K$137*$Y$137</f>
        <v>0</v>
      </c>
      <c r="AF137" s="6">
        <f ca="1">$M$137*$Z$137</f>
        <v>14661.862667372912</v>
      </c>
      <c r="AG137" s="6">
        <f>$O$137*$AA$137</f>
        <v>0</v>
      </c>
    </row>
    <row r="138" spans="1:33" ht="11.25" customHeight="1" x14ac:dyDescent="0.25">
      <c r="A138" s="4" t="s">
        <v>21</v>
      </c>
      <c r="B138" s="4" t="s">
        <v>34</v>
      </c>
      <c r="C138" s="4" t="s">
        <v>35</v>
      </c>
      <c r="D138" s="4" t="s">
        <v>33</v>
      </c>
      <c r="E138" s="4" t="s">
        <v>25</v>
      </c>
      <c r="F138" s="4" t="s">
        <v>52</v>
      </c>
      <c r="G138" s="4" t="s">
        <v>25</v>
      </c>
      <c r="H138" s="4" t="s">
        <v>36</v>
      </c>
      <c r="I138" s="5">
        <v>44501</v>
      </c>
      <c r="J138" s="6">
        <v>0</v>
      </c>
      <c r="K138" s="6">
        <v>0</v>
      </c>
      <c r="L138" s="6">
        <v>28.105</v>
      </c>
      <c r="M138" s="6">
        <v>14.110991563900001</v>
      </c>
      <c r="N138" s="6">
        <v>0</v>
      </c>
      <c r="O138" s="6">
        <v>0</v>
      </c>
      <c r="P138" s="6">
        <v>0</v>
      </c>
      <c r="Q138" s="4" t="s">
        <v>53</v>
      </c>
      <c r="R138" s="4">
        <v>0</v>
      </c>
      <c r="S138" s="6">
        <v>0</v>
      </c>
      <c r="T138" s="6">
        <v>15</v>
      </c>
      <c r="U138" s="6">
        <v>0</v>
      </c>
      <c r="V138" s="6">
        <f>IF(ISERROR(VLOOKUP($S$138,'TAR FIN'!$A$1:$O$85,15,0)),0,VLOOKUP($S$138,'TAR FIN'!$A$1:$O$85,15,0))</f>
        <v>0</v>
      </c>
      <c r="W138" s="6">
        <f>IF(ISERROR(VLOOKUP($T$138,'TAR FIN'!$A$1:$O$85,15,0)),0,VLOOKUP($T$138,'TAR FIN'!$A$1:$O$85,15,0))</f>
        <v>940.75</v>
      </c>
      <c r="X138" s="6">
        <f>IF(ISERROR(VLOOKUP($U$138,'TAR FIN'!$A$1:$O$85,15,0)),0,VLOOKUP($U$138,'TAR FIN'!$A$1:$O$85,15,0))</f>
        <v>0</v>
      </c>
      <c r="Y138" s="6"/>
      <c r="Z138" s="6">
        <f ca="1">('TUSD BE'!$AM$11+'TUSD BF_350'!$AM$11+'TUSD CVA'!$AM$11)*1</f>
        <v>966.5081601045739</v>
      </c>
      <c r="AA138" s="6"/>
      <c r="AB138" s="6">
        <f>$K$138*$V$138</f>
        <v>0</v>
      </c>
      <c r="AC138" s="6">
        <f>$M$138*$W$138</f>
        <v>13274.915313738926</v>
      </c>
      <c r="AD138" s="6">
        <f>$O$138*$X$138</f>
        <v>0</v>
      </c>
      <c r="AE138" s="6">
        <f>$K$138*$Y$138</f>
        <v>0</v>
      </c>
      <c r="AF138" s="6">
        <f ca="1">$M$138*$Z$138</f>
        <v>13638.388493676153</v>
      </c>
      <c r="AG138" s="6">
        <f>$O$138*$AA$138</f>
        <v>0</v>
      </c>
    </row>
    <row r="139" spans="1:33" ht="11.25" customHeight="1" x14ac:dyDescent="0.25">
      <c r="A139" s="4" t="s">
        <v>21</v>
      </c>
      <c r="B139" s="4" t="s">
        <v>34</v>
      </c>
      <c r="C139" s="4" t="s">
        <v>35</v>
      </c>
      <c r="D139" s="4" t="s">
        <v>33</v>
      </c>
      <c r="E139" s="4" t="s">
        <v>25</v>
      </c>
      <c r="F139" s="4" t="s">
        <v>52</v>
      </c>
      <c r="G139" s="4" t="s">
        <v>25</v>
      </c>
      <c r="H139" s="4" t="s">
        <v>36</v>
      </c>
      <c r="I139" s="5">
        <v>44531</v>
      </c>
      <c r="J139" s="6">
        <v>0</v>
      </c>
      <c r="K139" s="6">
        <v>0</v>
      </c>
      <c r="L139" s="6">
        <v>18.141999999999999</v>
      </c>
      <c r="M139" s="6">
        <v>9.8499206017199992</v>
      </c>
      <c r="N139" s="6">
        <v>0</v>
      </c>
      <c r="O139" s="6">
        <v>0</v>
      </c>
      <c r="P139" s="6">
        <v>0</v>
      </c>
      <c r="Q139" s="4" t="s">
        <v>53</v>
      </c>
      <c r="R139" s="4">
        <v>0</v>
      </c>
      <c r="S139" s="6">
        <v>0</v>
      </c>
      <c r="T139" s="6">
        <v>15</v>
      </c>
      <c r="U139" s="6">
        <v>0</v>
      </c>
      <c r="V139" s="6">
        <f>IF(ISERROR(VLOOKUP($S$139,'TAR FIN'!$A$1:$O$85,15,0)),0,VLOOKUP($S$139,'TAR FIN'!$A$1:$O$85,15,0))</f>
        <v>0</v>
      </c>
      <c r="W139" s="6">
        <f>IF(ISERROR(VLOOKUP($T$139,'TAR FIN'!$A$1:$O$85,15,0)),0,VLOOKUP($T$139,'TAR FIN'!$A$1:$O$85,15,0))</f>
        <v>940.75</v>
      </c>
      <c r="X139" s="6">
        <f>IF(ISERROR(VLOOKUP($U$139,'TAR FIN'!$A$1:$O$85,15,0)),0,VLOOKUP($U$139,'TAR FIN'!$A$1:$O$85,15,0))</f>
        <v>0</v>
      </c>
      <c r="Y139" s="6"/>
      <c r="Z139" s="6">
        <f ca="1">('TUSD BE'!$AM$11+'TUSD BF_350'!$AM$11+'TUSD CVA'!$AM$11)*1</f>
        <v>966.5081601045739</v>
      </c>
      <c r="AA139" s="6"/>
      <c r="AB139" s="6">
        <f>$K$139*$V$139</f>
        <v>0</v>
      </c>
      <c r="AC139" s="6">
        <f>$M$139*$W$139</f>
        <v>9266.3128060680883</v>
      </c>
      <c r="AD139" s="6">
        <f>$O$139*$X$139</f>
        <v>0</v>
      </c>
      <c r="AE139" s="6">
        <f>$K$139*$Y$139</f>
        <v>0</v>
      </c>
      <c r="AF139" s="6">
        <f ca="1">$M$139*$Z$139</f>
        <v>9520.0286379445333</v>
      </c>
      <c r="AG139" s="6">
        <f>$O$139*$AA$139</f>
        <v>0</v>
      </c>
    </row>
    <row r="140" spans="1:33" ht="11.25" customHeight="1" x14ac:dyDescent="0.25">
      <c r="A140" s="4" t="s">
        <v>21</v>
      </c>
      <c r="B140" s="4" t="s">
        <v>34</v>
      </c>
      <c r="C140" s="4" t="s">
        <v>35</v>
      </c>
      <c r="D140" s="4" t="s">
        <v>33</v>
      </c>
      <c r="E140" s="4" t="s">
        <v>25</v>
      </c>
      <c r="F140" s="4" t="s">
        <v>52</v>
      </c>
      <c r="G140" s="4" t="s">
        <v>25</v>
      </c>
      <c r="H140" s="4" t="s">
        <v>36</v>
      </c>
      <c r="I140" s="5">
        <v>44562</v>
      </c>
      <c r="J140" s="6">
        <v>0</v>
      </c>
      <c r="K140" s="6">
        <v>0</v>
      </c>
      <c r="L140" s="6">
        <v>46.316000000000003</v>
      </c>
      <c r="M140" s="6">
        <v>27.48476568808</v>
      </c>
      <c r="N140" s="6">
        <v>0</v>
      </c>
      <c r="O140" s="6">
        <v>0</v>
      </c>
      <c r="P140" s="6">
        <v>0</v>
      </c>
      <c r="Q140" s="4" t="s">
        <v>53</v>
      </c>
      <c r="R140" s="4">
        <v>0</v>
      </c>
      <c r="S140" s="6">
        <v>0</v>
      </c>
      <c r="T140" s="6">
        <v>15</v>
      </c>
      <c r="U140" s="6">
        <v>0</v>
      </c>
      <c r="V140" s="6">
        <f>IF(ISERROR(VLOOKUP($S$140,'TAR FIN'!$A$1:$O$85,15,0)),0,VLOOKUP($S$140,'TAR FIN'!$A$1:$O$85,15,0))</f>
        <v>0</v>
      </c>
      <c r="W140" s="6">
        <f>IF(ISERROR(VLOOKUP($T$140,'TAR FIN'!$A$1:$O$85,15,0)),0,VLOOKUP($T$140,'TAR FIN'!$A$1:$O$85,15,0))</f>
        <v>940.75</v>
      </c>
      <c r="X140" s="6">
        <f>IF(ISERROR(VLOOKUP($U$140,'TAR FIN'!$A$1:$O$85,15,0)),0,VLOOKUP($U$140,'TAR FIN'!$A$1:$O$85,15,0))</f>
        <v>0</v>
      </c>
      <c r="Y140" s="6"/>
      <c r="Z140" s="6">
        <f ca="1">('TUSD BE'!$AM$11+'TUSD BF_350'!$AM$11+'TUSD CVA'!$AM$11)*1</f>
        <v>966.5081601045739</v>
      </c>
      <c r="AA140" s="6"/>
      <c r="AB140" s="6">
        <f>$K$140*$V$140</f>
        <v>0</v>
      </c>
      <c r="AC140" s="6">
        <f>$M$140*$W$140</f>
        <v>25856.293321061261</v>
      </c>
      <c r="AD140" s="6">
        <f>$O$140*$X$140</f>
        <v>0</v>
      </c>
      <c r="AE140" s="6">
        <f>$K$140*$Y$140</f>
        <v>0</v>
      </c>
      <c r="AF140" s="6">
        <f ca="1">$M$140*$Z$140</f>
        <v>26564.250316091522</v>
      </c>
      <c r="AG140" s="6">
        <f>$O$140*$AA$140</f>
        <v>0</v>
      </c>
    </row>
    <row r="141" spans="1:33" ht="11.25" customHeight="1" x14ac:dyDescent="0.25">
      <c r="A141" s="4" t="s">
        <v>21</v>
      </c>
      <c r="B141" s="4" t="s">
        <v>34</v>
      </c>
      <c r="C141" s="4" t="s">
        <v>35</v>
      </c>
      <c r="D141" s="4" t="s">
        <v>33</v>
      </c>
      <c r="E141" s="4" t="s">
        <v>25</v>
      </c>
      <c r="F141" s="4" t="s">
        <v>52</v>
      </c>
      <c r="G141" s="4" t="s">
        <v>25</v>
      </c>
      <c r="H141" s="4" t="s">
        <v>36</v>
      </c>
      <c r="I141" s="5">
        <v>44593</v>
      </c>
      <c r="J141" s="6">
        <v>0</v>
      </c>
      <c r="K141" s="6">
        <v>0</v>
      </c>
      <c r="L141" s="6">
        <v>41.395000000000003</v>
      </c>
      <c r="M141" s="6">
        <v>24.649826298250002</v>
      </c>
      <c r="N141" s="6">
        <v>0</v>
      </c>
      <c r="O141" s="6">
        <v>0</v>
      </c>
      <c r="P141" s="6">
        <v>0</v>
      </c>
      <c r="Q141" s="4" t="s">
        <v>53</v>
      </c>
      <c r="R141" s="4">
        <v>0</v>
      </c>
      <c r="S141" s="6">
        <v>0</v>
      </c>
      <c r="T141" s="6">
        <v>15</v>
      </c>
      <c r="U141" s="6">
        <v>0</v>
      </c>
      <c r="V141" s="6">
        <f>IF(ISERROR(VLOOKUP($S$141,'TAR FIN'!$A$1:$O$85,15,0)),0,VLOOKUP($S$141,'TAR FIN'!$A$1:$O$85,15,0))</f>
        <v>0</v>
      </c>
      <c r="W141" s="6">
        <f>IF(ISERROR(VLOOKUP($T$141,'TAR FIN'!$A$1:$O$85,15,0)),0,VLOOKUP($T$141,'TAR FIN'!$A$1:$O$85,15,0))</f>
        <v>940.75</v>
      </c>
      <c r="X141" s="6">
        <f>IF(ISERROR(VLOOKUP($U$141,'TAR FIN'!$A$1:$O$85,15,0)),0,VLOOKUP($U$141,'TAR FIN'!$A$1:$O$85,15,0))</f>
        <v>0</v>
      </c>
      <c r="Y141" s="6"/>
      <c r="Z141" s="6">
        <f ca="1">('TUSD BE'!$AM$11+'TUSD BF_350'!$AM$11+'TUSD CVA'!$AM$11)*1</f>
        <v>966.5081601045739</v>
      </c>
      <c r="AA141" s="6"/>
      <c r="AB141" s="6">
        <f>$K$141*$V$141</f>
        <v>0</v>
      </c>
      <c r="AC141" s="6">
        <f>$M$141*$W$141</f>
        <v>23189.324090078688</v>
      </c>
      <c r="AD141" s="6">
        <f>$O$141*$X$141</f>
        <v>0</v>
      </c>
      <c r="AE141" s="6">
        <f>$K$141*$Y$141</f>
        <v>0</v>
      </c>
      <c r="AF141" s="6">
        <f ca="1">$M$141*$Z$141</f>
        <v>23824.258262418949</v>
      </c>
      <c r="AG141" s="6">
        <f>$O$141*$AA$141</f>
        <v>0</v>
      </c>
    </row>
    <row r="142" spans="1:33" ht="11.25" customHeight="1" x14ac:dyDescent="0.25">
      <c r="A142" s="4" t="s">
        <v>21</v>
      </c>
      <c r="B142" s="4" t="s">
        <v>34</v>
      </c>
      <c r="C142" s="4" t="s">
        <v>35</v>
      </c>
      <c r="D142" s="4" t="s">
        <v>33</v>
      </c>
      <c r="E142" s="4" t="s">
        <v>25</v>
      </c>
      <c r="F142" s="4" t="s">
        <v>52</v>
      </c>
      <c r="G142" s="4" t="s">
        <v>25</v>
      </c>
      <c r="H142" s="4" t="s">
        <v>36</v>
      </c>
      <c r="I142" s="5">
        <v>44621</v>
      </c>
      <c r="J142" s="6">
        <v>0</v>
      </c>
      <c r="K142" s="6">
        <v>0</v>
      </c>
      <c r="L142" s="6">
        <v>46.118000000000002</v>
      </c>
      <c r="M142" s="6">
        <v>26.298977661439999</v>
      </c>
      <c r="N142" s="6">
        <v>0</v>
      </c>
      <c r="O142" s="6">
        <v>0</v>
      </c>
      <c r="P142" s="6">
        <v>0</v>
      </c>
      <c r="Q142" s="4" t="s">
        <v>53</v>
      </c>
      <c r="R142" s="4">
        <v>0</v>
      </c>
      <c r="S142" s="6">
        <v>0</v>
      </c>
      <c r="T142" s="6">
        <v>15</v>
      </c>
      <c r="U142" s="6">
        <v>0</v>
      </c>
      <c r="V142" s="6">
        <f>IF(ISERROR(VLOOKUP($S$142,'TAR FIN'!$A$1:$O$85,15,0)),0,VLOOKUP($S$142,'TAR FIN'!$A$1:$O$85,15,0))</f>
        <v>0</v>
      </c>
      <c r="W142" s="6">
        <f>IF(ISERROR(VLOOKUP($T$142,'TAR FIN'!$A$1:$O$85,15,0)),0,VLOOKUP($T$142,'TAR FIN'!$A$1:$O$85,15,0))</f>
        <v>940.75</v>
      </c>
      <c r="X142" s="6">
        <f>IF(ISERROR(VLOOKUP($U$142,'TAR FIN'!$A$1:$O$85,15,0)),0,VLOOKUP($U$142,'TAR FIN'!$A$1:$O$85,15,0))</f>
        <v>0</v>
      </c>
      <c r="Y142" s="6"/>
      <c r="Z142" s="6">
        <f ca="1">('TUSD BE'!$AM$11+'TUSD BF_350'!$AM$11+'TUSD CVA'!$AM$11)*1</f>
        <v>966.5081601045739</v>
      </c>
      <c r="AA142" s="6"/>
      <c r="AB142" s="6">
        <f>$K$142*$V$142</f>
        <v>0</v>
      </c>
      <c r="AC142" s="6">
        <f>$M$142*$W$142</f>
        <v>24740.763234999678</v>
      </c>
      <c r="AD142" s="6">
        <f>$O$142*$X$142</f>
        <v>0</v>
      </c>
      <c r="AE142" s="6">
        <f>$K$142*$Y$142</f>
        <v>0</v>
      </c>
      <c r="AF142" s="6">
        <f ca="1">$M$142*$Z$142</f>
        <v>25418.176512189664</v>
      </c>
      <c r="AG142" s="6">
        <f>$O$142*$AA$142</f>
        <v>0</v>
      </c>
    </row>
    <row r="143" spans="1:33" ht="11.25" customHeight="1" x14ac:dyDescent="0.25">
      <c r="A143" s="4" t="s">
        <v>21</v>
      </c>
      <c r="B143" s="4" t="s">
        <v>34</v>
      </c>
      <c r="C143" s="4" t="s">
        <v>35</v>
      </c>
      <c r="D143" s="4" t="s">
        <v>33</v>
      </c>
      <c r="E143" s="4" t="s">
        <v>25</v>
      </c>
      <c r="F143" s="4" t="s">
        <v>52</v>
      </c>
      <c r="G143" s="4" t="s">
        <v>25</v>
      </c>
      <c r="H143" s="4" t="s">
        <v>36</v>
      </c>
      <c r="I143" s="5">
        <v>44652</v>
      </c>
      <c r="J143" s="6">
        <v>0</v>
      </c>
      <c r="K143" s="6">
        <v>0</v>
      </c>
      <c r="L143" s="6">
        <v>36.996000000000002</v>
      </c>
      <c r="M143" s="6">
        <v>20.580397551600001</v>
      </c>
      <c r="N143" s="6">
        <v>0</v>
      </c>
      <c r="O143" s="6">
        <v>0</v>
      </c>
      <c r="P143" s="6">
        <v>0</v>
      </c>
      <c r="Q143" s="4" t="s">
        <v>53</v>
      </c>
      <c r="R143" s="4">
        <v>0</v>
      </c>
      <c r="S143" s="6">
        <v>0</v>
      </c>
      <c r="T143" s="6">
        <v>15</v>
      </c>
      <c r="U143" s="6">
        <v>0</v>
      </c>
      <c r="V143" s="6">
        <f>IF(ISERROR(VLOOKUP($S$143,'TAR FIN'!$A$1:$O$85,15,0)),0,VLOOKUP($S$143,'TAR FIN'!$A$1:$O$85,15,0))</f>
        <v>0</v>
      </c>
      <c r="W143" s="6">
        <f>IF(ISERROR(VLOOKUP($T$143,'TAR FIN'!$A$1:$O$85,15,0)),0,VLOOKUP($T$143,'TAR FIN'!$A$1:$O$85,15,0))</f>
        <v>940.75</v>
      </c>
      <c r="X143" s="6">
        <f>IF(ISERROR(VLOOKUP($U$143,'TAR FIN'!$A$1:$O$85,15,0)),0,VLOOKUP($U$143,'TAR FIN'!$A$1:$O$85,15,0))</f>
        <v>0</v>
      </c>
      <c r="Y143" s="6"/>
      <c r="Z143" s="6">
        <f ca="1">('TUSD BE'!$AM$11+'TUSD BF_350'!$AM$11+'TUSD CVA'!$AM$11)*1</f>
        <v>966.5081601045739</v>
      </c>
      <c r="AA143" s="6"/>
      <c r="AB143" s="6">
        <f>$K$143*$V$143</f>
        <v>0</v>
      </c>
      <c r="AC143" s="6">
        <f>$M$143*$W$143</f>
        <v>19361.008996667701</v>
      </c>
      <c r="AD143" s="6">
        <f>$O$143*$X$143</f>
        <v>0</v>
      </c>
      <c r="AE143" s="6">
        <f>$K$143*$Y$143</f>
        <v>0</v>
      </c>
      <c r="AF143" s="6">
        <f ca="1">$M$143*$Z$143</f>
        <v>19891.122171817595</v>
      </c>
      <c r="AG143" s="6">
        <f>$O$143*$AA$143</f>
        <v>0</v>
      </c>
    </row>
    <row r="144" spans="1:33" ht="11.25" customHeight="1" x14ac:dyDescent="0.25">
      <c r="A144" s="4" t="s">
        <v>21</v>
      </c>
      <c r="B144" s="4" t="s">
        <v>34</v>
      </c>
      <c r="C144" s="4" t="s">
        <v>35</v>
      </c>
      <c r="D144" s="4" t="s">
        <v>33</v>
      </c>
      <c r="E144" s="4" t="s">
        <v>25</v>
      </c>
      <c r="F144" s="4" t="s">
        <v>52</v>
      </c>
      <c r="G144" s="4" t="s">
        <v>25</v>
      </c>
      <c r="H144" s="4" t="s">
        <v>36</v>
      </c>
      <c r="I144" s="5">
        <v>44682</v>
      </c>
      <c r="J144" s="6">
        <v>0</v>
      </c>
      <c r="K144" s="6">
        <v>0</v>
      </c>
      <c r="L144" s="6">
        <v>42.427</v>
      </c>
      <c r="M144" s="6">
        <v>24.931020774659999</v>
      </c>
      <c r="N144" s="6">
        <v>0</v>
      </c>
      <c r="O144" s="6">
        <v>0</v>
      </c>
      <c r="P144" s="6">
        <v>0</v>
      </c>
      <c r="Q144" s="4" t="s">
        <v>53</v>
      </c>
      <c r="R144" s="4">
        <v>0</v>
      </c>
      <c r="S144" s="6">
        <v>0</v>
      </c>
      <c r="T144" s="6">
        <v>15</v>
      </c>
      <c r="U144" s="6">
        <v>0</v>
      </c>
      <c r="V144" s="6">
        <f>IF(ISERROR(VLOOKUP($S$144,'TAR FIN'!$A$1:$O$85,15,0)),0,VLOOKUP($S$144,'TAR FIN'!$A$1:$O$85,15,0))</f>
        <v>0</v>
      </c>
      <c r="W144" s="6">
        <f>IF(ISERROR(VLOOKUP($T$144,'TAR FIN'!$A$1:$O$85,15,0)),0,VLOOKUP($T$144,'TAR FIN'!$A$1:$O$85,15,0))</f>
        <v>940.75</v>
      </c>
      <c r="X144" s="6">
        <f>IF(ISERROR(VLOOKUP($U$144,'TAR FIN'!$A$1:$O$85,15,0)),0,VLOOKUP($U$144,'TAR FIN'!$A$1:$O$85,15,0))</f>
        <v>0</v>
      </c>
      <c r="Y144" s="6"/>
      <c r="Z144" s="6">
        <f ca="1">('TUSD BE'!$AM$11+'TUSD BF_350'!$AM$11+'TUSD CVA'!$AM$11)*1</f>
        <v>966.5081601045739</v>
      </c>
      <c r="AA144" s="6"/>
      <c r="AB144" s="6">
        <f>$K$144*$V$144</f>
        <v>0</v>
      </c>
      <c r="AC144" s="6">
        <f>$M$144*$W$144</f>
        <v>23453.857793761395</v>
      </c>
      <c r="AD144" s="6">
        <f>$O$144*$X$144</f>
        <v>0</v>
      </c>
      <c r="AE144" s="6">
        <f>$K$144*$Y$144</f>
        <v>0</v>
      </c>
      <c r="AF144" s="6">
        <f ca="1">$M$144*$Z$144</f>
        <v>24096.035018445546</v>
      </c>
      <c r="AG144" s="6">
        <f>$O$144*$AA$144</f>
        <v>0</v>
      </c>
    </row>
    <row r="145" spans="1:33" ht="11.25" customHeight="1" x14ac:dyDescent="0.25">
      <c r="A145" s="4" t="s">
        <v>21</v>
      </c>
      <c r="B145" s="4" t="s">
        <v>34</v>
      </c>
      <c r="C145" s="4" t="s">
        <v>35</v>
      </c>
      <c r="D145" s="4" t="s">
        <v>33</v>
      </c>
      <c r="E145" s="4" t="s">
        <v>25</v>
      </c>
      <c r="F145" s="4" t="s">
        <v>52</v>
      </c>
      <c r="G145" s="4" t="s">
        <v>25</v>
      </c>
      <c r="H145" s="4" t="s">
        <v>36</v>
      </c>
      <c r="I145" s="5">
        <v>44713</v>
      </c>
      <c r="J145" s="6">
        <v>0</v>
      </c>
      <c r="K145" s="6">
        <v>0</v>
      </c>
      <c r="L145" s="6">
        <v>42.43</v>
      </c>
      <c r="M145" s="6">
        <v>24.9327836394</v>
      </c>
      <c r="N145" s="6">
        <v>0</v>
      </c>
      <c r="O145" s="6">
        <v>0</v>
      </c>
      <c r="P145" s="6">
        <v>0</v>
      </c>
      <c r="Q145" s="4" t="s">
        <v>53</v>
      </c>
      <c r="R145" s="4">
        <v>0</v>
      </c>
      <c r="S145" s="6">
        <v>0</v>
      </c>
      <c r="T145" s="6">
        <v>15</v>
      </c>
      <c r="U145" s="6">
        <v>0</v>
      </c>
      <c r="V145" s="6">
        <f>IF(ISERROR(VLOOKUP($S$145,'TAR FIN'!$A$1:$O$85,15,0)),0,VLOOKUP($S$145,'TAR FIN'!$A$1:$O$85,15,0))</f>
        <v>0</v>
      </c>
      <c r="W145" s="6">
        <f>IF(ISERROR(VLOOKUP($T$145,'TAR FIN'!$A$1:$O$85,15,0)),0,VLOOKUP($T$145,'TAR FIN'!$A$1:$O$85,15,0))</f>
        <v>940.75</v>
      </c>
      <c r="X145" s="6">
        <f>IF(ISERROR(VLOOKUP($U$145,'TAR FIN'!$A$1:$O$85,15,0)),0,VLOOKUP($U$145,'TAR FIN'!$A$1:$O$85,15,0))</f>
        <v>0</v>
      </c>
      <c r="Y145" s="6"/>
      <c r="Z145" s="6">
        <f ca="1">('TUSD BE'!$AM$11+'TUSD BF_350'!$AM$11+'TUSD CVA'!$AM$11)*1</f>
        <v>966.5081601045739</v>
      </c>
      <c r="AA145" s="6"/>
      <c r="AB145" s="6">
        <f>$K$145*$V$145</f>
        <v>0</v>
      </c>
      <c r="AC145" s="6">
        <f>$M$145*$W$145</f>
        <v>23455.516208765552</v>
      </c>
      <c r="AD145" s="6">
        <f>$O$145*$X$145</f>
        <v>0</v>
      </c>
      <c r="AE145" s="6">
        <f>$K$145*$Y$145</f>
        <v>0</v>
      </c>
      <c r="AF145" s="6">
        <f ca="1">$M$145*$Z$145</f>
        <v>24097.738841601917</v>
      </c>
      <c r="AG145" s="6">
        <f>$O$145*$AA$145</f>
        <v>0</v>
      </c>
    </row>
    <row r="146" spans="1:33" ht="11.25" customHeight="1" x14ac:dyDescent="0.25">
      <c r="A146" s="4" t="s">
        <v>21</v>
      </c>
      <c r="B146" s="4" t="s">
        <v>34</v>
      </c>
      <c r="C146" s="4" t="s">
        <v>35</v>
      </c>
      <c r="D146" s="4" t="s">
        <v>33</v>
      </c>
      <c r="E146" s="4" t="s">
        <v>25</v>
      </c>
      <c r="F146" s="4" t="s">
        <v>25</v>
      </c>
      <c r="G146" s="4" t="s">
        <v>25</v>
      </c>
      <c r="H146" s="4" t="s">
        <v>37</v>
      </c>
      <c r="I146" s="5">
        <v>44378</v>
      </c>
      <c r="J146" s="6">
        <v>0</v>
      </c>
      <c r="K146" s="6">
        <v>0</v>
      </c>
      <c r="L146" s="6">
        <v>1832.672</v>
      </c>
      <c r="M146" s="6">
        <v>1832.672</v>
      </c>
      <c r="N146" s="6">
        <v>1832.672</v>
      </c>
      <c r="O146" s="6">
        <v>1832.672</v>
      </c>
      <c r="P146" s="6">
        <v>0</v>
      </c>
      <c r="Q146" s="4" t="s">
        <v>26</v>
      </c>
      <c r="R146" s="4">
        <v>0</v>
      </c>
      <c r="S146" s="6">
        <v>0</v>
      </c>
      <c r="T146" s="6">
        <v>13</v>
      </c>
      <c r="U146" s="6">
        <v>16</v>
      </c>
      <c r="V146" s="6">
        <f>IF(ISERROR(VLOOKUP($S$146,'TAR FIN'!$A$1:$O$85,15,0)),0,VLOOKUP($S$146,'TAR FIN'!$A$1:$O$85,15,0))</f>
        <v>0</v>
      </c>
      <c r="W146" s="6">
        <f>IF(ISERROR(VLOOKUP($T$146,'TAR FIN'!$A$1:$O$85,15,0)),0,VLOOKUP($T$146,'TAR FIN'!$A$1:$O$85,15,0))</f>
        <v>78.650000000000006</v>
      </c>
      <c r="X146" s="6">
        <f>IF(ISERROR(VLOOKUP($U$146,'TAR FIN'!$A$1:$O$85,15,0)),0,VLOOKUP($U$146,'TAR FIN'!$A$1:$O$85,15,0))</f>
        <v>229.87</v>
      </c>
      <c r="Y146" s="6"/>
      <c r="Z146" s="6">
        <f ca="1">('TUSD BE'!$AM$12+'TUSD BF_350'!$AM$12+'TUSD CVA'!$AM$12)*1</f>
        <v>114.48039155571371</v>
      </c>
      <c r="AA146" s="6">
        <f ca="1">('TE BE'!$AB$6+'TE BF_350'!$AB$6+'TE CVA'!$AB$6)*1</f>
        <v>216.60171770542672</v>
      </c>
      <c r="AB146" s="6">
        <f>$K$146*$V$146</f>
        <v>0</v>
      </c>
      <c r="AC146" s="6">
        <f>$M$146*$W$146</f>
        <v>144139.65280000001</v>
      </c>
      <c r="AD146" s="6">
        <f>$O$146*$X$146</f>
        <v>421276.31264000002</v>
      </c>
      <c r="AE146" s="6">
        <f>$K$146*$Y$146</f>
        <v>0</v>
      </c>
      <c r="AF146" s="6">
        <f ca="1">$M$146*$Z$146</f>
        <v>209805.00815319296</v>
      </c>
      <c r="AG146" s="6">
        <f ca="1">$O$146*$AA$146</f>
        <v>396959.9031906398</v>
      </c>
    </row>
    <row r="147" spans="1:33" ht="11.25" customHeight="1" x14ac:dyDescent="0.25">
      <c r="A147" s="4" t="s">
        <v>21</v>
      </c>
      <c r="B147" s="4" t="s">
        <v>34</v>
      </c>
      <c r="C147" s="4" t="s">
        <v>35</v>
      </c>
      <c r="D147" s="4" t="s">
        <v>33</v>
      </c>
      <c r="E147" s="4" t="s">
        <v>25</v>
      </c>
      <c r="F147" s="4" t="s">
        <v>25</v>
      </c>
      <c r="G147" s="4" t="s">
        <v>25</v>
      </c>
      <c r="H147" s="4" t="s">
        <v>37</v>
      </c>
      <c r="I147" s="5">
        <v>44409</v>
      </c>
      <c r="J147" s="6">
        <v>0</v>
      </c>
      <c r="K147" s="6">
        <v>0</v>
      </c>
      <c r="L147" s="6">
        <v>1881.9169999999999</v>
      </c>
      <c r="M147" s="6">
        <v>1881.9169999999999</v>
      </c>
      <c r="N147" s="6">
        <v>1881.9169999999999</v>
      </c>
      <c r="O147" s="6">
        <v>1881.9169999999999</v>
      </c>
      <c r="P147" s="6">
        <v>0</v>
      </c>
      <c r="Q147" s="4" t="s">
        <v>26</v>
      </c>
      <c r="R147" s="4">
        <v>0</v>
      </c>
      <c r="S147" s="6">
        <v>0</v>
      </c>
      <c r="T147" s="6">
        <v>13</v>
      </c>
      <c r="U147" s="6">
        <v>16</v>
      </c>
      <c r="V147" s="6">
        <f>IF(ISERROR(VLOOKUP($S$147,'TAR FIN'!$A$1:$O$85,15,0)),0,VLOOKUP($S$147,'TAR FIN'!$A$1:$O$85,15,0))</f>
        <v>0</v>
      </c>
      <c r="W147" s="6">
        <f>IF(ISERROR(VLOOKUP($T$147,'TAR FIN'!$A$1:$O$85,15,0)),0,VLOOKUP($T$147,'TAR FIN'!$A$1:$O$85,15,0))</f>
        <v>78.650000000000006</v>
      </c>
      <c r="X147" s="6">
        <f>IF(ISERROR(VLOOKUP($U$147,'TAR FIN'!$A$1:$O$85,15,0)),0,VLOOKUP($U$147,'TAR FIN'!$A$1:$O$85,15,0))</f>
        <v>229.87</v>
      </c>
      <c r="Y147" s="6"/>
      <c r="Z147" s="6">
        <f ca="1">('TUSD BE'!$AM$12+'TUSD BF_350'!$AM$12+'TUSD CVA'!$AM$12)*1</f>
        <v>114.48039155571371</v>
      </c>
      <c r="AA147" s="6">
        <f ca="1">('TE BE'!$AB$6+'TE BF_350'!$AB$6+'TE CVA'!$AB$6)*1</f>
        <v>216.60171770542672</v>
      </c>
      <c r="AB147" s="6">
        <f>$K$147*$V$147</f>
        <v>0</v>
      </c>
      <c r="AC147" s="6">
        <f>$M$147*$W$147</f>
        <v>148012.77205</v>
      </c>
      <c r="AD147" s="6">
        <f>$O$147*$X$147</f>
        <v>432596.26078999997</v>
      </c>
      <c r="AE147" s="6">
        <f>$K$147*$Y$147</f>
        <v>0</v>
      </c>
      <c r="AF147" s="6">
        <f ca="1">$M$147*$Z$147</f>
        <v>215442.59503535405</v>
      </c>
      <c r="AG147" s="6">
        <f ca="1">$O$147*$AA$147</f>
        <v>407626.4547790435</v>
      </c>
    </row>
    <row r="148" spans="1:33" ht="11.25" customHeight="1" x14ac:dyDescent="0.25">
      <c r="A148" s="4" t="s">
        <v>21</v>
      </c>
      <c r="B148" s="4" t="s">
        <v>34</v>
      </c>
      <c r="C148" s="4" t="s">
        <v>35</v>
      </c>
      <c r="D148" s="4" t="s">
        <v>33</v>
      </c>
      <c r="E148" s="4" t="s">
        <v>25</v>
      </c>
      <c r="F148" s="4" t="s">
        <v>25</v>
      </c>
      <c r="G148" s="4" t="s">
        <v>25</v>
      </c>
      <c r="H148" s="4" t="s">
        <v>37</v>
      </c>
      <c r="I148" s="5">
        <v>44440</v>
      </c>
      <c r="J148" s="6">
        <v>0</v>
      </c>
      <c r="K148" s="6">
        <v>0</v>
      </c>
      <c r="L148" s="6">
        <v>1820.164</v>
      </c>
      <c r="M148" s="6">
        <v>1820.164</v>
      </c>
      <c r="N148" s="6">
        <v>1820.164</v>
      </c>
      <c r="O148" s="6">
        <v>1820.164</v>
      </c>
      <c r="P148" s="6">
        <v>0</v>
      </c>
      <c r="Q148" s="4" t="s">
        <v>26</v>
      </c>
      <c r="R148" s="4">
        <v>0</v>
      </c>
      <c r="S148" s="6">
        <v>0</v>
      </c>
      <c r="T148" s="6">
        <v>13</v>
      </c>
      <c r="U148" s="6">
        <v>16</v>
      </c>
      <c r="V148" s="6">
        <f>IF(ISERROR(VLOOKUP($S$148,'TAR FIN'!$A$1:$O$85,15,0)),0,VLOOKUP($S$148,'TAR FIN'!$A$1:$O$85,15,0))</f>
        <v>0</v>
      </c>
      <c r="W148" s="6">
        <f>IF(ISERROR(VLOOKUP($T$148,'TAR FIN'!$A$1:$O$85,15,0)),0,VLOOKUP($T$148,'TAR FIN'!$A$1:$O$85,15,0))</f>
        <v>78.650000000000006</v>
      </c>
      <c r="X148" s="6">
        <f>IF(ISERROR(VLOOKUP($U$148,'TAR FIN'!$A$1:$O$85,15,0)),0,VLOOKUP($U$148,'TAR FIN'!$A$1:$O$85,15,0))</f>
        <v>229.87</v>
      </c>
      <c r="Y148" s="6"/>
      <c r="Z148" s="6">
        <f ca="1">('TUSD BE'!$AM$12+'TUSD BF_350'!$AM$12+'TUSD CVA'!$AM$12)*1</f>
        <v>114.48039155571371</v>
      </c>
      <c r="AA148" s="6">
        <f ca="1">('TE BE'!$AB$6+'TE BF_350'!$AB$6+'TE CVA'!$AB$6)*1</f>
        <v>216.60171770542672</v>
      </c>
      <c r="AB148" s="6">
        <f>$K$148*$V$148</f>
        <v>0</v>
      </c>
      <c r="AC148" s="6">
        <f>$M$148*$W$148</f>
        <v>143155.89860000001</v>
      </c>
      <c r="AD148" s="6">
        <f>$O$148*$X$148</f>
        <v>418401.09868</v>
      </c>
      <c r="AE148" s="6">
        <f>$K$148*$Y$148</f>
        <v>0</v>
      </c>
      <c r="AF148" s="6">
        <f ca="1">$M$148*$Z$148</f>
        <v>208373.08741561408</v>
      </c>
      <c r="AG148" s="6">
        <f ca="1">$O$148*$AA$148</f>
        <v>394250.64890558034</v>
      </c>
    </row>
    <row r="149" spans="1:33" ht="11.25" customHeight="1" x14ac:dyDescent="0.25">
      <c r="A149" s="4" t="s">
        <v>21</v>
      </c>
      <c r="B149" s="4" t="s">
        <v>34</v>
      </c>
      <c r="C149" s="4" t="s">
        <v>35</v>
      </c>
      <c r="D149" s="4" t="s">
        <v>33</v>
      </c>
      <c r="E149" s="4" t="s">
        <v>25</v>
      </c>
      <c r="F149" s="4" t="s">
        <v>25</v>
      </c>
      <c r="G149" s="4" t="s">
        <v>25</v>
      </c>
      <c r="H149" s="4" t="s">
        <v>37</v>
      </c>
      <c r="I149" s="5">
        <v>44470</v>
      </c>
      <c r="J149" s="6">
        <v>0</v>
      </c>
      <c r="K149" s="6">
        <v>0</v>
      </c>
      <c r="L149" s="6">
        <v>1922.569</v>
      </c>
      <c r="M149" s="6">
        <v>1922.569</v>
      </c>
      <c r="N149" s="6">
        <v>1922.569</v>
      </c>
      <c r="O149" s="6">
        <v>1922.569</v>
      </c>
      <c r="P149" s="6">
        <v>0</v>
      </c>
      <c r="Q149" s="4" t="s">
        <v>26</v>
      </c>
      <c r="R149" s="4">
        <v>0</v>
      </c>
      <c r="S149" s="6">
        <v>0</v>
      </c>
      <c r="T149" s="6">
        <v>13</v>
      </c>
      <c r="U149" s="6">
        <v>16</v>
      </c>
      <c r="V149" s="6">
        <f>IF(ISERROR(VLOOKUP($S$149,'TAR FIN'!$A$1:$O$85,15,0)),0,VLOOKUP($S$149,'TAR FIN'!$A$1:$O$85,15,0))</f>
        <v>0</v>
      </c>
      <c r="W149" s="6">
        <f>IF(ISERROR(VLOOKUP($T$149,'TAR FIN'!$A$1:$O$85,15,0)),0,VLOOKUP($T$149,'TAR FIN'!$A$1:$O$85,15,0))</f>
        <v>78.650000000000006</v>
      </c>
      <c r="X149" s="6">
        <f>IF(ISERROR(VLOOKUP($U$149,'TAR FIN'!$A$1:$O$85,15,0)),0,VLOOKUP($U$149,'TAR FIN'!$A$1:$O$85,15,0))</f>
        <v>229.87</v>
      </c>
      <c r="Y149" s="6"/>
      <c r="Z149" s="6">
        <f ca="1">('TUSD BE'!$AM$12+'TUSD BF_350'!$AM$12+'TUSD CVA'!$AM$12)*1</f>
        <v>114.48039155571371</v>
      </c>
      <c r="AA149" s="6">
        <f ca="1">('TE BE'!$AB$6+'TE BF_350'!$AB$6+'TE CVA'!$AB$6)*1</f>
        <v>216.60171770542672</v>
      </c>
      <c r="AB149" s="6">
        <f>$K$149*$V$149</f>
        <v>0</v>
      </c>
      <c r="AC149" s="6">
        <f>$M$149*$W$149</f>
        <v>151210.05185000002</v>
      </c>
      <c r="AD149" s="6">
        <f>$O$149*$X$149</f>
        <v>441940.93602999998</v>
      </c>
      <c r="AE149" s="6">
        <f>$K$149*$Y$149</f>
        <v>0</v>
      </c>
      <c r="AF149" s="6">
        <f ca="1">$M$149*$Z$149</f>
        <v>220096.45191287695</v>
      </c>
      <c r="AG149" s="6">
        <f ca="1">$O$149*$AA$149</f>
        <v>416431.74780720455</v>
      </c>
    </row>
    <row r="150" spans="1:33" ht="11.25" customHeight="1" x14ac:dyDescent="0.25">
      <c r="A150" s="4" t="s">
        <v>21</v>
      </c>
      <c r="B150" s="4" t="s">
        <v>34</v>
      </c>
      <c r="C150" s="4" t="s">
        <v>35</v>
      </c>
      <c r="D150" s="4" t="s">
        <v>33</v>
      </c>
      <c r="E150" s="4" t="s">
        <v>25</v>
      </c>
      <c r="F150" s="4" t="s">
        <v>25</v>
      </c>
      <c r="G150" s="4" t="s">
        <v>25</v>
      </c>
      <c r="H150" s="4" t="s">
        <v>37</v>
      </c>
      <c r="I150" s="5">
        <v>44501</v>
      </c>
      <c r="J150" s="6">
        <v>0</v>
      </c>
      <c r="K150" s="6">
        <v>0</v>
      </c>
      <c r="L150" s="6">
        <v>1873.943</v>
      </c>
      <c r="M150" s="6">
        <v>1873.943</v>
      </c>
      <c r="N150" s="6">
        <v>1873.943</v>
      </c>
      <c r="O150" s="6">
        <v>1873.943</v>
      </c>
      <c r="P150" s="6">
        <v>0</v>
      </c>
      <c r="Q150" s="4" t="s">
        <v>26</v>
      </c>
      <c r="R150" s="4">
        <v>0</v>
      </c>
      <c r="S150" s="6">
        <v>0</v>
      </c>
      <c r="T150" s="6">
        <v>13</v>
      </c>
      <c r="U150" s="6">
        <v>16</v>
      </c>
      <c r="V150" s="6">
        <f>IF(ISERROR(VLOOKUP($S$150,'TAR FIN'!$A$1:$O$85,15,0)),0,VLOOKUP($S$150,'TAR FIN'!$A$1:$O$85,15,0))</f>
        <v>0</v>
      </c>
      <c r="W150" s="6">
        <f>IF(ISERROR(VLOOKUP($T$150,'TAR FIN'!$A$1:$O$85,15,0)),0,VLOOKUP($T$150,'TAR FIN'!$A$1:$O$85,15,0))</f>
        <v>78.650000000000006</v>
      </c>
      <c r="X150" s="6">
        <f>IF(ISERROR(VLOOKUP($U$150,'TAR FIN'!$A$1:$O$85,15,0)),0,VLOOKUP($U$150,'TAR FIN'!$A$1:$O$85,15,0))</f>
        <v>229.87</v>
      </c>
      <c r="Y150" s="6"/>
      <c r="Z150" s="6">
        <f ca="1">('TUSD BE'!$AM$12+'TUSD BF_350'!$AM$12+'TUSD CVA'!$AM$12)*1</f>
        <v>114.48039155571371</v>
      </c>
      <c r="AA150" s="6">
        <f ca="1">('TE BE'!$AB$6+'TE BF_350'!$AB$6+'TE CVA'!$AB$6)*1</f>
        <v>216.60171770542672</v>
      </c>
      <c r="AB150" s="6">
        <f>$K$150*$V$150</f>
        <v>0</v>
      </c>
      <c r="AC150" s="6">
        <f>$M$150*$W$150</f>
        <v>147385.61695</v>
      </c>
      <c r="AD150" s="6">
        <f>$O$150*$X$150</f>
        <v>430763.27740999998</v>
      </c>
      <c r="AE150" s="6">
        <f>$K$150*$Y$150</f>
        <v>0</v>
      </c>
      <c r="AF150" s="6">
        <f ca="1">$M$150*$Z$150</f>
        <v>214529.72839308882</v>
      </c>
      <c r="AG150" s="6">
        <f ca="1">$O$150*$AA$150</f>
        <v>405899.27268206049</v>
      </c>
    </row>
    <row r="151" spans="1:33" ht="11.25" customHeight="1" x14ac:dyDescent="0.25">
      <c r="A151" s="4" t="s">
        <v>21</v>
      </c>
      <c r="B151" s="4" t="s">
        <v>34</v>
      </c>
      <c r="C151" s="4" t="s">
        <v>35</v>
      </c>
      <c r="D151" s="4" t="s">
        <v>33</v>
      </c>
      <c r="E151" s="4" t="s">
        <v>25</v>
      </c>
      <c r="F151" s="4" t="s">
        <v>25</v>
      </c>
      <c r="G151" s="4" t="s">
        <v>25</v>
      </c>
      <c r="H151" s="4" t="s">
        <v>37</v>
      </c>
      <c r="I151" s="5">
        <v>44531</v>
      </c>
      <c r="J151" s="6">
        <v>0</v>
      </c>
      <c r="K151" s="6">
        <v>0</v>
      </c>
      <c r="L151" s="6">
        <v>1865.4459999999999</v>
      </c>
      <c r="M151" s="6">
        <v>1865.4459999999999</v>
      </c>
      <c r="N151" s="6">
        <v>1865.4459999999999</v>
      </c>
      <c r="O151" s="6">
        <v>1865.4459999999999</v>
      </c>
      <c r="P151" s="6">
        <v>0</v>
      </c>
      <c r="Q151" s="4" t="s">
        <v>26</v>
      </c>
      <c r="R151" s="4">
        <v>0</v>
      </c>
      <c r="S151" s="6">
        <v>0</v>
      </c>
      <c r="T151" s="6">
        <v>13</v>
      </c>
      <c r="U151" s="6">
        <v>16</v>
      </c>
      <c r="V151" s="6">
        <f>IF(ISERROR(VLOOKUP($S$151,'TAR FIN'!$A$1:$O$85,15,0)),0,VLOOKUP($S$151,'TAR FIN'!$A$1:$O$85,15,0))</f>
        <v>0</v>
      </c>
      <c r="W151" s="6">
        <f>IF(ISERROR(VLOOKUP($T$151,'TAR FIN'!$A$1:$O$85,15,0)),0,VLOOKUP($T$151,'TAR FIN'!$A$1:$O$85,15,0))</f>
        <v>78.650000000000006</v>
      </c>
      <c r="X151" s="6">
        <f>IF(ISERROR(VLOOKUP($U$151,'TAR FIN'!$A$1:$O$85,15,0)),0,VLOOKUP($U$151,'TAR FIN'!$A$1:$O$85,15,0))</f>
        <v>229.87</v>
      </c>
      <c r="Y151" s="6"/>
      <c r="Z151" s="6">
        <f ca="1">('TUSD BE'!$AM$12+'TUSD BF_350'!$AM$12+'TUSD CVA'!$AM$12)*1</f>
        <v>114.48039155571371</v>
      </c>
      <c r="AA151" s="6">
        <f ca="1">('TE BE'!$AB$6+'TE BF_350'!$AB$6+'TE CVA'!$AB$6)*1</f>
        <v>216.60171770542672</v>
      </c>
      <c r="AB151" s="6">
        <f>$K$151*$V$151</f>
        <v>0</v>
      </c>
      <c r="AC151" s="6">
        <f>$M$151*$W$151</f>
        <v>146717.3279</v>
      </c>
      <c r="AD151" s="6">
        <f>$O$151*$X$151</f>
        <v>428810.07201999996</v>
      </c>
      <c r="AE151" s="6">
        <f>$K$151*$Y$151</f>
        <v>0</v>
      </c>
      <c r="AF151" s="6">
        <f ca="1">$M$151*$Z$151</f>
        <v>213556.9885060399</v>
      </c>
      <c r="AG151" s="6">
        <f ca="1">$O$151*$AA$151</f>
        <v>404058.80788671743</v>
      </c>
    </row>
    <row r="152" spans="1:33" ht="11.25" customHeight="1" x14ac:dyDescent="0.25">
      <c r="A152" s="4" t="s">
        <v>21</v>
      </c>
      <c r="B152" s="4" t="s">
        <v>34</v>
      </c>
      <c r="C152" s="4" t="s">
        <v>35</v>
      </c>
      <c r="D152" s="4" t="s">
        <v>33</v>
      </c>
      <c r="E152" s="4" t="s">
        <v>25</v>
      </c>
      <c r="F152" s="4" t="s">
        <v>25</v>
      </c>
      <c r="G152" s="4" t="s">
        <v>25</v>
      </c>
      <c r="H152" s="4" t="s">
        <v>37</v>
      </c>
      <c r="I152" s="5">
        <v>44562</v>
      </c>
      <c r="J152" s="6">
        <v>0</v>
      </c>
      <c r="K152" s="6">
        <v>0</v>
      </c>
      <c r="L152" s="6">
        <v>1800.578</v>
      </c>
      <c r="M152" s="6">
        <v>1800.578</v>
      </c>
      <c r="N152" s="6">
        <v>1800.578</v>
      </c>
      <c r="O152" s="6">
        <v>1800.578</v>
      </c>
      <c r="P152" s="6">
        <v>0</v>
      </c>
      <c r="Q152" s="4" t="s">
        <v>26</v>
      </c>
      <c r="R152" s="4">
        <v>0</v>
      </c>
      <c r="S152" s="6">
        <v>0</v>
      </c>
      <c r="T152" s="6">
        <v>13</v>
      </c>
      <c r="U152" s="6">
        <v>16</v>
      </c>
      <c r="V152" s="6">
        <f>IF(ISERROR(VLOOKUP($S$152,'TAR FIN'!$A$1:$O$85,15,0)),0,VLOOKUP($S$152,'TAR FIN'!$A$1:$O$85,15,0))</f>
        <v>0</v>
      </c>
      <c r="W152" s="6">
        <f>IF(ISERROR(VLOOKUP($T$152,'TAR FIN'!$A$1:$O$85,15,0)),0,VLOOKUP($T$152,'TAR FIN'!$A$1:$O$85,15,0))</f>
        <v>78.650000000000006</v>
      </c>
      <c r="X152" s="6">
        <f>IF(ISERROR(VLOOKUP($U$152,'TAR FIN'!$A$1:$O$85,15,0)),0,VLOOKUP($U$152,'TAR FIN'!$A$1:$O$85,15,0))</f>
        <v>229.87</v>
      </c>
      <c r="Y152" s="6"/>
      <c r="Z152" s="6">
        <f ca="1">('TUSD BE'!$AM$12+'TUSD BF_350'!$AM$12+'TUSD CVA'!$AM$12)*1</f>
        <v>114.48039155571371</v>
      </c>
      <c r="AA152" s="6">
        <f ca="1">('TE BE'!$AB$6+'TE BF_350'!$AB$6+'TE CVA'!$AB$6)*1</f>
        <v>216.60171770542672</v>
      </c>
      <c r="AB152" s="6">
        <f>$K$152*$V$152</f>
        <v>0</v>
      </c>
      <c r="AC152" s="6">
        <f>$M$152*$W$152</f>
        <v>141615.45970000001</v>
      </c>
      <c r="AD152" s="6">
        <f>$O$152*$X$152</f>
        <v>413898.86486000003</v>
      </c>
      <c r="AE152" s="6">
        <f>$K$152*$Y$152</f>
        <v>0</v>
      </c>
      <c r="AF152" s="6">
        <f ca="1">$M$152*$Z$152</f>
        <v>206130.87446660388</v>
      </c>
      <c r="AG152" s="6">
        <f ca="1">$O$152*$AA$152</f>
        <v>390008.28766260186</v>
      </c>
    </row>
    <row r="153" spans="1:33" ht="11.25" customHeight="1" x14ac:dyDescent="0.25">
      <c r="A153" s="4" t="s">
        <v>21</v>
      </c>
      <c r="B153" s="4" t="s">
        <v>34</v>
      </c>
      <c r="C153" s="4" t="s">
        <v>35</v>
      </c>
      <c r="D153" s="4" t="s">
        <v>33</v>
      </c>
      <c r="E153" s="4" t="s">
        <v>25</v>
      </c>
      <c r="F153" s="4" t="s">
        <v>25</v>
      </c>
      <c r="G153" s="4" t="s">
        <v>25</v>
      </c>
      <c r="H153" s="4" t="s">
        <v>37</v>
      </c>
      <c r="I153" s="5">
        <v>44593</v>
      </c>
      <c r="J153" s="6">
        <v>0</v>
      </c>
      <c r="K153" s="6">
        <v>0</v>
      </c>
      <c r="L153" s="6">
        <v>1468.173</v>
      </c>
      <c r="M153" s="6">
        <v>1468.173</v>
      </c>
      <c r="N153" s="6">
        <v>1468.173</v>
      </c>
      <c r="O153" s="6">
        <v>1468.173</v>
      </c>
      <c r="P153" s="6">
        <v>0</v>
      </c>
      <c r="Q153" s="4" t="s">
        <v>26</v>
      </c>
      <c r="R153" s="4">
        <v>0</v>
      </c>
      <c r="S153" s="6">
        <v>0</v>
      </c>
      <c r="T153" s="6">
        <v>13</v>
      </c>
      <c r="U153" s="6">
        <v>16</v>
      </c>
      <c r="V153" s="6">
        <f>IF(ISERROR(VLOOKUP($S$153,'TAR FIN'!$A$1:$O$85,15,0)),0,VLOOKUP($S$153,'TAR FIN'!$A$1:$O$85,15,0))</f>
        <v>0</v>
      </c>
      <c r="W153" s="6">
        <f>IF(ISERROR(VLOOKUP($T$153,'TAR FIN'!$A$1:$O$85,15,0)),0,VLOOKUP($T$153,'TAR FIN'!$A$1:$O$85,15,0))</f>
        <v>78.650000000000006</v>
      </c>
      <c r="X153" s="6">
        <f>IF(ISERROR(VLOOKUP($U$153,'TAR FIN'!$A$1:$O$85,15,0)),0,VLOOKUP($U$153,'TAR FIN'!$A$1:$O$85,15,0))</f>
        <v>229.87</v>
      </c>
      <c r="Y153" s="6"/>
      <c r="Z153" s="6">
        <f ca="1">('TUSD BE'!$AM$12+'TUSD BF_350'!$AM$12+'TUSD CVA'!$AM$12)*1</f>
        <v>114.48039155571371</v>
      </c>
      <c r="AA153" s="6">
        <f ca="1">('TE BE'!$AB$6+'TE BF_350'!$AB$6+'TE CVA'!$AB$6)*1</f>
        <v>216.60171770542672</v>
      </c>
      <c r="AB153" s="6">
        <f>$K$153*$V$153</f>
        <v>0</v>
      </c>
      <c r="AC153" s="6">
        <f>$M$153*$W$153</f>
        <v>115471.80645</v>
      </c>
      <c r="AD153" s="6">
        <f>$O$153*$X$153</f>
        <v>337488.92751000001</v>
      </c>
      <c r="AE153" s="6">
        <f>$K$153*$Y$153</f>
        <v>0</v>
      </c>
      <c r="AF153" s="6">
        <f ca="1">$M$153*$Z$153</f>
        <v>168077.01991152688</v>
      </c>
      <c r="AG153" s="6">
        <f ca="1">$O$153*$AA$153</f>
        <v>318008.79368872946</v>
      </c>
    </row>
    <row r="154" spans="1:33" ht="11.25" customHeight="1" x14ac:dyDescent="0.25">
      <c r="A154" s="4" t="s">
        <v>21</v>
      </c>
      <c r="B154" s="4" t="s">
        <v>34</v>
      </c>
      <c r="C154" s="4" t="s">
        <v>35</v>
      </c>
      <c r="D154" s="4" t="s">
        <v>33</v>
      </c>
      <c r="E154" s="4" t="s">
        <v>25</v>
      </c>
      <c r="F154" s="4" t="s">
        <v>25</v>
      </c>
      <c r="G154" s="4" t="s">
        <v>25</v>
      </c>
      <c r="H154" s="4" t="s">
        <v>37</v>
      </c>
      <c r="I154" s="5">
        <v>44621</v>
      </c>
      <c r="J154" s="6">
        <v>0</v>
      </c>
      <c r="K154" s="6">
        <v>0</v>
      </c>
      <c r="L154" s="6">
        <v>1524.0909999999999</v>
      </c>
      <c r="M154" s="6">
        <v>1524.0909999999999</v>
      </c>
      <c r="N154" s="6">
        <v>1524.0909999999999</v>
      </c>
      <c r="O154" s="6">
        <v>1524.0909999999999</v>
      </c>
      <c r="P154" s="6">
        <v>0</v>
      </c>
      <c r="Q154" s="4" t="s">
        <v>26</v>
      </c>
      <c r="R154" s="4">
        <v>0</v>
      </c>
      <c r="S154" s="6">
        <v>0</v>
      </c>
      <c r="T154" s="6">
        <v>13</v>
      </c>
      <c r="U154" s="6">
        <v>16</v>
      </c>
      <c r="V154" s="6">
        <f>IF(ISERROR(VLOOKUP($S$154,'TAR FIN'!$A$1:$O$85,15,0)),0,VLOOKUP($S$154,'TAR FIN'!$A$1:$O$85,15,0))</f>
        <v>0</v>
      </c>
      <c r="W154" s="6">
        <f>IF(ISERROR(VLOOKUP($T$154,'TAR FIN'!$A$1:$O$85,15,0)),0,VLOOKUP($T$154,'TAR FIN'!$A$1:$O$85,15,0))</f>
        <v>78.650000000000006</v>
      </c>
      <c r="X154" s="6">
        <f>IF(ISERROR(VLOOKUP($U$154,'TAR FIN'!$A$1:$O$85,15,0)),0,VLOOKUP($U$154,'TAR FIN'!$A$1:$O$85,15,0))</f>
        <v>229.87</v>
      </c>
      <c r="Y154" s="6"/>
      <c r="Z154" s="6">
        <f ca="1">('TUSD BE'!$AM$12+'TUSD BF_350'!$AM$12+'TUSD CVA'!$AM$12)*1</f>
        <v>114.48039155571371</v>
      </c>
      <c r="AA154" s="6">
        <f ca="1">('TE BE'!$AB$6+'TE BF_350'!$AB$6+'TE CVA'!$AB$6)*1</f>
        <v>216.60171770542672</v>
      </c>
      <c r="AB154" s="6">
        <f>$K$154*$V$154</f>
        <v>0</v>
      </c>
      <c r="AC154" s="6">
        <f>$M$154*$W$154</f>
        <v>119869.75715</v>
      </c>
      <c r="AD154" s="6">
        <f>$O$154*$X$154</f>
        <v>350342.79816999997</v>
      </c>
      <c r="AE154" s="6">
        <f>$K$154*$Y$154</f>
        <v>0</v>
      </c>
      <c r="AF154" s="6">
        <f ca="1">$M$154*$Z$154</f>
        <v>174478.53444653924</v>
      </c>
      <c r="AG154" s="6">
        <f ca="1">$O$154*$AA$154</f>
        <v>330120.72853938147</v>
      </c>
    </row>
    <row r="155" spans="1:33" ht="11.25" customHeight="1" x14ac:dyDescent="0.25">
      <c r="A155" s="4" t="s">
        <v>21</v>
      </c>
      <c r="B155" s="4" t="s">
        <v>34</v>
      </c>
      <c r="C155" s="4" t="s">
        <v>35</v>
      </c>
      <c r="D155" s="4" t="s">
        <v>33</v>
      </c>
      <c r="E155" s="4" t="s">
        <v>25</v>
      </c>
      <c r="F155" s="4" t="s">
        <v>25</v>
      </c>
      <c r="G155" s="4" t="s">
        <v>25</v>
      </c>
      <c r="H155" s="4" t="s">
        <v>37</v>
      </c>
      <c r="I155" s="5">
        <v>44652</v>
      </c>
      <c r="J155" s="6">
        <v>0</v>
      </c>
      <c r="K155" s="6">
        <v>0</v>
      </c>
      <c r="L155" s="6">
        <v>1579.4380000000001</v>
      </c>
      <c r="M155" s="6">
        <v>1579.4380000000001</v>
      </c>
      <c r="N155" s="6">
        <v>1579.4380000000001</v>
      </c>
      <c r="O155" s="6">
        <v>1579.4380000000001</v>
      </c>
      <c r="P155" s="6">
        <v>0</v>
      </c>
      <c r="Q155" s="4" t="s">
        <v>26</v>
      </c>
      <c r="R155" s="4">
        <v>0</v>
      </c>
      <c r="S155" s="6">
        <v>0</v>
      </c>
      <c r="T155" s="6">
        <v>13</v>
      </c>
      <c r="U155" s="6">
        <v>16</v>
      </c>
      <c r="V155" s="6">
        <f>IF(ISERROR(VLOOKUP($S$155,'TAR FIN'!$A$1:$O$85,15,0)),0,VLOOKUP($S$155,'TAR FIN'!$A$1:$O$85,15,0))</f>
        <v>0</v>
      </c>
      <c r="W155" s="6">
        <f>IF(ISERROR(VLOOKUP($T$155,'TAR FIN'!$A$1:$O$85,15,0)),0,VLOOKUP($T$155,'TAR FIN'!$A$1:$O$85,15,0))</f>
        <v>78.650000000000006</v>
      </c>
      <c r="X155" s="6">
        <f>IF(ISERROR(VLOOKUP($U$155,'TAR FIN'!$A$1:$O$85,15,0)),0,VLOOKUP($U$155,'TAR FIN'!$A$1:$O$85,15,0))</f>
        <v>229.87</v>
      </c>
      <c r="Y155" s="6"/>
      <c r="Z155" s="6">
        <f ca="1">('TUSD BE'!$AM$12+'TUSD BF_350'!$AM$12+'TUSD CVA'!$AM$12)*1</f>
        <v>114.48039155571371</v>
      </c>
      <c r="AA155" s="6">
        <f ca="1">('TE BE'!$AB$6+'TE BF_350'!$AB$6+'TE CVA'!$AB$6)*1</f>
        <v>216.60171770542672</v>
      </c>
      <c r="AB155" s="6">
        <f>$K$155*$V$155</f>
        <v>0</v>
      </c>
      <c r="AC155" s="6">
        <f>$M$155*$W$155</f>
        <v>124222.79870000001</v>
      </c>
      <c r="AD155" s="6">
        <f>$O$155*$X$155</f>
        <v>363065.41306000005</v>
      </c>
      <c r="AE155" s="6">
        <f>$K$155*$Y$155</f>
        <v>0</v>
      </c>
      <c r="AF155" s="6">
        <f ca="1">$M$155*$Z$155</f>
        <v>180814.68067797337</v>
      </c>
      <c r="AG155" s="6">
        <f ca="1">$O$155*$AA$155</f>
        <v>342108.98380922381</v>
      </c>
    </row>
    <row r="156" spans="1:33" ht="11.25" customHeight="1" x14ac:dyDescent="0.25">
      <c r="A156" s="4" t="s">
        <v>21</v>
      </c>
      <c r="B156" s="4" t="s">
        <v>34</v>
      </c>
      <c r="C156" s="4" t="s">
        <v>35</v>
      </c>
      <c r="D156" s="4" t="s">
        <v>33</v>
      </c>
      <c r="E156" s="4" t="s">
        <v>25</v>
      </c>
      <c r="F156" s="4" t="s">
        <v>25</v>
      </c>
      <c r="G156" s="4" t="s">
        <v>25</v>
      </c>
      <c r="H156" s="4" t="s">
        <v>37</v>
      </c>
      <c r="I156" s="5">
        <v>44682</v>
      </c>
      <c r="J156" s="6">
        <v>0</v>
      </c>
      <c r="K156" s="6">
        <v>0</v>
      </c>
      <c r="L156" s="6">
        <v>1475.4010000000001</v>
      </c>
      <c r="M156" s="6">
        <v>1475.4010000000001</v>
      </c>
      <c r="N156" s="6">
        <v>1475.4010000000001</v>
      </c>
      <c r="O156" s="6">
        <v>1475.4010000000001</v>
      </c>
      <c r="P156" s="6">
        <v>0</v>
      </c>
      <c r="Q156" s="4" t="s">
        <v>26</v>
      </c>
      <c r="R156" s="4">
        <v>0</v>
      </c>
      <c r="S156" s="6">
        <v>0</v>
      </c>
      <c r="T156" s="6">
        <v>13</v>
      </c>
      <c r="U156" s="6">
        <v>16</v>
      </c>
      <c r="V156" s="6">
        <f>IF(ISERROR(VLOOKUP($S$156,'TAR FIN'!$A$1:$O$85,15,0)),0,VLOOKUP($S$156,'TAR FIN'!$A$1:$O$85,15,0))</f>
        <v>0</v>
      </c>
      <c r="W156" s="6">
        <f>IF(ISERROR(VLOOKUP($T$156,'TAR FIN'!$A$1:$O$85,15,0)),0,VLOOKUP($T$156,'TAR FIN'!$A$1:$O$85,15,0))</f>
        <v>78.650000000000006</v>
      </c>
      <c r="X156" s="6">
        <f>IF(ISERROR(VLOOKUP($U$156,'TAR FIN'!$A$1:$O$85,15,0)),0,VLOOKUP($U$156,'TAR FIN'!$A$1:$O$85,15,0))</f>
        <v>229.87</v>
      </c>
      <c r="Y156" s="6"/>
      <c r="Z156" s="6">
        <f ca="1">('TUSD BE'!$AM$12+'TUSD BF_350'!$AM$12+'TUSD CVA'!$AM$12)*1</f>
        <v>114.48039155571371</v>
      </c>
      <c r="AA156" s="6">
        <f ca="1">('TE BE'!$AB$6+'TE BF_350'!$AB$6+'TE CVA'!$AB$6)*1</f>
        <v>216.60171770542672</v>
      </c>
      <c r="AB156" s="6">
        <f>$K$156*$V$156</f>
        <v>0</v>
      </c>
      <c r="AC156" s="6">
        <f>$M$156*$W$156</f>
        <v>116040.28865000002</v>
      </c>
      <c r="AD156" s="6">
        <f>$O$156*$X$156</f>
        <v>339150.42787000001</v>
      </c>
      <c r="AE156" s="6">
        <f>$K$156*$Y$156</f>
        <v>0</v>
      </c>
      <c r="AF156" s="6">
        <f ca="1">$M$156*$Z$156</f>
        <v>168904.48418169157</v>
      </c>
      <c r="AG156" s="6">
        <f ca="1">$O$156*$AA$156</f>
        <v>319574.39090430428</v>
      </c>
    </row>
    <row r="157" spans="1:33" ht="11.25" customHeight="1" x14ac:dyDescent="0.25">
      <c r="A157" s="4" t="s">
        <v>21</v>
      </c>
      <c r="B157" s="4" t="s">
        <v>34</v>
      </c>
      <c r="C157" s="4" t="s">
        <v>35</v>
      </c>
      <c r="D157" s="4" t="s">
        <v>33</v>
      </c>
      <c r="E157" s="4" t="s">
        <v>25</v>
      </c>
      <c r="F157" s="4" t="s">
        <v>25</v>
      </c>
      <c r="G157" s="4" t="s">
        <v>25</v>
      </c>
      <c r="H157" s="4" t="s">
        <v>37</v>
      </c>
      <c r="I157" s="5">
        <v>44713</v>
      </c>
      <c r="J157" s="6">
        <v>0</v>
      </c>
      <c r="K157" s="6">
        <v>0</v>
      </c>
      <c r="L157" s="6">
        <v>1476.998</v>
      </c>
      <c r="M157" s="6">
        <v>1476.998</v>
      </c>
      <c r="N157" s="6">
        <v>1476.998</v>
      </c>
      <c r="O157" s="6">
        <v>1476.998</v>
      </c>
      <c r="P157" s="6">
        <v>0</v>
      </c>
      <c r="Q157" s="4" t="s">
        <v>26</v>
      </c>
      <c r="R157" s="4">
        <v>0</v>
      </c>
      <c r="S157" s="6">
        <v>0</v>
      </c>
      <c r="T157" s="6">
        <v>13</v>
      </c>
      <c r="U157" s="6">
        <v>16</v>
      </c>
      <c r="V157" s="6">
        <f>IF(ISERROR(VLOOKUP($S$157,'TAR FIN'!$A$1:$O$85,15,0)),0,VLOOKUP($S$157,'TAR FIN'!$A$1:$O$85,15,0))</f>
        <v>0</v>
      </c>
      <c r="W157" s="6">
        <f>IF(ISERROR(VLOOKUP($T$157,'TAR FIN'!$A$1:$O$85,15,0)),0,VLOOKUP($T$157,'TAR FIN'!$A$1:$O$85,15,0))</f>
        <v>78.650000000000006</v>
      </c>
      <c r="X157" s="6">
        <f>IF(ISERROR(VLOOKUP($U$157,'TAR FIN'!$A$1:$O$85,15,0)),0,VLOOKUP($U$157,'TAR FIN'!$A$1:$O$85,15,0))</f>
        <v>229.87</v>
      </c>
      <c r="Y157" s="6"/>
      <c r="Z157" s="6">
        <f ca="1">('TUSD BE'!$AM$12+'TUSD BF_350'!$AM$12+'TUSD CVA'!$AM$12)*1</f>
        <v>114.48039155571371</v>
      </c>
      <c r="AA157" s="6">
        <f ca="1">('TE BE'!$AB$6+'TE BF_350'!$AB$6+'TE CVA'!$AB$6)*1</f>
        <v>216.60171770542672</v>
      </c>
      <c r="AB157" s="6">
        <f>$K$157*$V$157</f>
        <v>0</v>
      </c>
      <c r="AC157" s="6">
        <f>$M$157*$W$157</f>
        <v>116165.89270000001</v>
      </c>
      <c r="AD157" s="6">
        <f>$O$157*$X$157</f>
        <v>339517.53026000003</v>
      </c>
      <c r="AE157" s="6">
        <f>$K$157*$Y$157</f>
        <v>0</v>
      </c>
      <c r="AF157" s="6">
        <f ca="1">$M$157*$Z$157</f>
        <v>169087.30936700603</v>
      </c>
      <c r="AG157" s="6">
        <f ca="1">$O$157*$AA$157</f>
        <v>319920.30384747987</v>
      </c>
    </row>
    <row r="158" spans="1:33" ht="11.25" customHeight="1" x14ac:dyDescent="0.25">
      <c r="A158" s="4" t="s">
        <v>21</v>
      </c>
      <c r="B158" s="4" t="s">
        <v>34</v>
      </c>
      <c r="C158" s="4" t="s">
        <v>35</v>
      </c>
      <c r="D158" s="4" t="s">
        <v>33</v>
      </c>
      <c r="E158" s="4" t="s">
        <v>25</v>
      </c>
      <c r="F158" s="4" t="s">
        <v>25</v>
      </c>
      <c r="G158" s="4" t="s">
        <v>25</v>
      </c>
      <c r="H158" s="4" t="s">
        <v>25</v>
      </c>
      <c r="I158" s="5">
        <v>44378</v>
      </c>
      <c r="J158" s="6">
        <v>4799</v>
      </c>
      <c r="K158" s="6">
        <v>4799</v>
      </c>
      <c r="L158" s="6">
        <v>0</v>
      </c>
      <c r="M158" s="6">
        <v>0</v>
      </c>
      <c r="N158" s="6">
        <v>0</v>
      </c>
      <c r="O158" s="6">
        <v>0</v>
      </c>
      <c r="P158" s="6">
        <v>13</v>
      </c>
      <c r="Q158" s="4" t="s">
        <v>26</v>
      </c>
      <c r="R158" s="4">
        <v>0</v>
      </c>
      <c r="S158" s="6">
        <v>36</v>
      </c>
      <c r="T158" s="6">
        <v>0</v>
      </c>
      <c r="U158" s="6">
        <v>0</v>
      </c>
      <c r="V158" s="6">
        <f>IF(ISERROR(VLOOKUP($S$158,'TAR FIN'!$A$1:$O$85,15,0)),0,VLOOKUP($S$158,'TAR FIN'!$A$1:$O$85,15,0))</f>
        <v>14.94</v>
      </c>
      <c r="W158" s="6">
        <f>IF(ISERROR(VLOOKUP($T$158,'TAR FIN'!$A$1:$O$85,15,0)),0,VLOOKUP($T$158,'TAR FIN'!$A$1:$O$85,15,0))</f>
        <v>0</v>
      </c>
      <c r="X158" s="6">
        <f>IF(ISERROR(VLOOKUP($U$158,'TAR FIN'!$A$1:$O$85,15,0)),0,VLOOKUP($U$158,'TAR FIN'!$A$1:$O$85,15,0))</f>
        <v>0</v>
      </c>
      <c r="Y158" s="6">
        <f ca="1">('TUSD BE'!$AM$10+'TUSD BF_350'!$AM$10+'TUSD CVA'!$AM$10)*1</f>
        <v>19.63429077280307</v>
      </c>
      <c r="Z158" s="6"/>
      <c r="AA158" s="6"/>
      <c r="AB158" s="6">
        <f>$K$158*$V$158</f>
        <v>71697.06</v>
      </c>
      <c r="AC158" s="6">
        <f>$M$158*$W$158</f>
        <v>0</v>
      </c>
      <c r="AD158" s="6">
        <f>$O$158*$X$158</f>
        <v>0</v>
      </c>
      <c r="AE158" s="6">
        <f ca="1">$K$158*$Y$158</f>
        <v>94224.961418681924</v>
      </c>
      <c r="AF158" s="6">
        <f>$M$158*$Z$158</f>
        <v>0</v>
      </c>
      <c r="AG158" s="6">
        <f>$O$158*$AA$158</f>
        <v>0</v>
      </c>
    </row>
    <row r="159" spans="1:33" ht="11.25" customHeight="1" x14ac:dyDescent="0.25">
      <c r="A159" s="4" t="s">
        <v>21</v>
      </c>
      <c r="B159" s="4" t="s">
        <v>34</v>
      </c>
      <c r="C159" s="4" t="s">
        <v>35</v>
      </c>
      <c r="D159" s="4" t="s">
        <v>33</v>
      </c>
      <c r="E159" s="4" t="s">
        <v>25</v>
      </c>
      <c r="F159" s="4" t="s">
        <v>25</v>
      </c>
      <c r="G159" s="4" t="s">
        <v>25</v>
      </c>
      <c r="H159" s="4" t="s">
        <v>25</v>
      </c>
      <c r="I159" s="5">
        <v>44409</v>
      </c>
      <c r="J159" s="6">
        <v>4673</v>
      </c>
      <c r="K159" s="6">
        <v>4673</v>
      </c>
      <c r="L159" s="6">
        <v>0</v>
      </c>
      <c r="M159" s="6">
        <v>0</v>
      </c>
      <c r="N159" s="6">
        <v>0</v>
      </c>
      <c r="O159" s="6">
        <v>0</v>
      </c>
      <c r="P159" s="6">
        <v>13</v>
      </c>
      <c r="Q159" s="4" t="s">
        <v>26</v>
      </c>
      <c r="R159" s="4">
        <v>0</v>
      </c>
      <c r="S159" s="6">
        <v>36</v>
      </c>
      <c r="T159" s="6">
        <v>0</v>
      </c>
      <c r="U159" s="6">
        <v>0</v>
      </c>
      <c r="V159" s="6">
        <f>IF(ISERROR(VLOOKUP($S$159,'TAR FIN'!$A$1:$O$85,15,0)),0,VLOOKUP($S$159,'TAR FIN'!$A$1:$O$85,15,0))</f>
        <v>14.94</v>
      </c>
      <c r="W159" s="6">
        <f>IF(ISERROR(VLOOKUP($T$159,'TAR FIN'!$A$1:$O$85,15,0)),0,VLOOKUP($T$159,'TAR FIN'!$A$1:$O$85,15,0))</f>
        <v>0</v>
      </c>
      <c r="X159" s="6">
        <f>IF(ISERROR(VLOOKUP($U$159,'TAR FIN'!$A$1:$O$85,15,0)),0,VLOOKUP($U$159,'TAR FIN'!$A$1:$O$85,15,0))</f>
        <v>0</v>
      </c>
      <c r="Y159" s="6">
        <f ca="1">('TUSD BE'!$AM$10+'TUSD BF_350'!$AM$10+'TUSD CVA'!$AM$10)*1</f>
        <v>19.63429077280307</v>
      </c>
      <c r="Z159" s="6"/>
      <c r="AA159" s="6"/>
      <c r="AB159" s="6">
        <f>$K$159*$V$159</f>
        <v>69814.62</v>
      </c>
      <c r="AC159" s="6">
        <f>$M$159*$W$159</f>
        <v>0</v>
      </c>
      <c r="AD159" s="6">
        <f>$O$159*$X$159</f>
        <v>0</v>
      </c>
      <c r="AE159" s="6">
        <f ca="1">$K$159*$Y$159</f>
        <v>91751.040781308751</v>
      </c>
      <c r="AF159" s="6">
        <f>$M$159*$Z$159</f>
        <v>0</v>
      </c>
      <c r="AG159" s="6">
        <f>$O$159*$AA$159</f>
        <v>0</v>
      </c>
    </row>
    <row r="160" spans="1:33" ht="11.25" customHeight="1" x14ac:dyDescent="0.25">
      <c r="A160" s="4" t="s">
        <v>21</v>
      </c>
      <c r="B160" s="4" t="s">
        <v>34</v>
      </c>
      <c r="C160" s="4" t="s">
        <v>35</v>
      </c>
      <c r="D160" s="4" t="s">
        <v>33</v>
      </c>
      <c r="E160" s="4" t="s">
        <v>25</v>
      </c>
      <c r="F160" s="4" t="s">
        <v>25</v>
      </c>
      <c r="G160" s="4" t="s">
        <v>25</v>
      </c>
      <c r="H160" s="4" t="s">
        <v>25</v>
      </c>
      <c r="I160" s="5">
        <v>44440</v>
      </c>
      <c r="J160" s="6">
        <v>4708</v>
      </c>
      <c r="K160" s="6">
        <v>4708</v>
      </c>
      <c r="L160" s="6">
        <v>0</v>
      </c>
      <c r="M160" s="6">
        <v>0</v>
      </c>
      <c r="N160" s="6">
        <v>0</v>
      </c>
      <c r="O160" s="6">
        <v>0</v>
      </c>
      <c r="P160" s="6">
        <v>13</v>
      </c>
      <c r="Q160" s="4" t="s">
        <v>26</v>
      </c>
      <c r="R160" s="4">
        <v>0</v>
      </c>
      <c r="S160" s="6">
        <v>36</v>
      </c>
      <c r="T160" s="6">
        <v>0</v>
      </c>
      <c r="U160" s="6">
        <v>0</v>
      </c>
      <c r="V160" s="6">
        <f>IF(ISERROR(VLOOKUP($S$160,'TAR FIN'!$A$1:$O$85,15,0)),0,VLOOKUP($S$160,'TAR FIN'!$A$1:$O$85,15,0))</f>
        <v>14.94</v>
      </c>
      <c r="W160" s="6">
        <f>IF(ISERROR(VLOOKUP($T$160,'TAR FIN'!$A$1:$O$85,15,0)),0,VLOOKUP($T$160,'TAR FIN'!$A$1:$O$85,15,0))</f>
        <v>0</v>
      </c>
      <c r="X160" s="6">
        <f>IF(ISERROR(VLOOKUP($U$160,'TAR FIN'!$A$1:$O$85,15,0)),0,VLOOKUP($U$160,'TAR FIN'!$A$1:$O$85,15,0))</f>
        <v>0</v>
      </c>
      <c r="Y160" s="6">
        <f ca="1">('TUSD BE'!$AM$10+'TUSD BF_350'!$AM$10+'TUSD CVA'!$AM$10)*1</f>
        <v>19.63429077280307</v>
      </c>
      <c r="Z160" s="6"/>
      <c r="AA160" s="6"/>
      <c r="AB160" s="6">
        <f>$K$160*$V$160</f>
        <v>70337.52</v>
      </c>
      <c r="AC160" s="6">
        <f>$M$160*$W$160</f>
        <v>0</v>
      </c>
      <c r="AD160" s="6">
        <f>$O$160*$X$160</f>
        <v>0</v>
      </c>
      <c r="AE160" s="6">
        <f ca="1">$K$160*$Y$160</f>
        <v>92438.240958356851</v>
      </c>
      <c r="AF160" s="6">
        <f>$M$160*$Z$160</f>
        <v>0</v>
      </c>
      <c r="AG160" s="6">
        <f>$O$160*$AA$160</f>
        <v>0</v>
      </c>
    </row>
    <row r="161" spans="1:33" ht="11.25" customHeight="1" x14ac:dyDescent="0.25">
      <c r="A161" s="4" t="s">
        <v>21</v>
      </c>
      <c r="B161" s="4" t="s">
        <v>34</v>
      </c>
      <c r="C161" s="4" t="s">
        <v>35</v>
      </c>
      <c r="D161" s="4" t="s">
        <v>33</v>
      </c>
      <c r="E161" s="4" t="s">
        <v>25</v>
      </c>
      <c r="F161" s="4" t="s">
        <v>25</v>
      </c>
      <c r="G161" s="4" t="s">
        <v>25</v>
      </c>
      <c r="H161" s="4" t="s">
        <v>25</v>
      </c>
      <c r="I161" s="5">
        <v>44470</v>
      </c>
      <c r="J161" s="6">
        <v>4705</v>
      </c>
      <c r="K161" s="6">
        <v>4705</v>
      </c>
      <c r="L161" s="6">
        <v>0</v>
      </c>
      <c r="M161" s="6">
        <v>0</v>
      </c>
      <c r="N161" s="6">
        <v>0</v>
      </c>
      <c r="O161" s="6">
        <v>0</v>
      </c>
      <c r="P161" s="6">
        <v>13</v>
      </c>
      <c r="Q161" s="4" t="s">
        <v>26</v>
      </c>
      <c r="R161" s="4">
        <v>0</v>
      </c>
      <c r="S161" s="6">
        <v>36</v>
      </c>
      <c r="T161" s="6">
        <v>0</v>
      </c>
      <c r="U161" s="6">
        <v>0</v>
      </c>
      <c r="V161" s="6">
        <f>IF(ISERROR(VLOOKUP($S$161,'TAR FIN'!$A$1:$O$85,15,0)),0,VLOOKUP($S$161,'TAR FIN'!$A$1:$O$85,15,0))</f>
        <v>14.94</v>
      </c>
      <c r="W161" s="6">
        <f>IF(ISERROR(VLOOKUP($T$161,'TAR FIN'!$A$1:$O$85,15,0)),0,VLOOKUP($T$161,'TAR FIN'!$A$1:$O$85,15,0))</f>
        <v>0</v>
      </c>
      <c r="X161" s="6">
        <f>IF(ISERROR(VLOOKUP($U$161,'TAR FIN'!$A$1:$O$85,15,0)),0,VLOOKUP($U$161,'TAR FIN'!$A$1:$O$85,15,0))</f>
        <v>0</v>
      </c>
      <c r="Y161" s="6">
        <f ca="1">('TUSD BE'!$AM$10+'TUSD BF_350'!$AM$10+'TUSD CVA'!$AM$10)*1</f>
        <v>19.63429077280307</v>
      </c>
      <c r="Z161" s="6"/>
      <c r="AA161" s="6"/>
      <c r="AB161" s="6">
        <f>$K$161*$V$161</f>
        <v>70292.7</v>
      </c>
      <c r="AC161" s="6">
        <f>$M$161*$W$161</f>
        <v>0</v>
      </c>
      <c r="AD161" s="6">
        <f>$O$161*$X$161</f>
        <v>0</v>
      </c>
      <c r="AE161" s="6">
        <f ca="1">$K$161*$Y$161</f>
        <v>92379.33808603845</v>
      </c>
      <c r="AF161" s="6">
        <f>$M$161*$Z$161</f>
        <v>0</v>
      </c>
      <c r="AG161" s="6">
        <f>$O$161*$AA$161</f>
        <v>0</v>
      </c>
    </row>
    <row r="162" spans="1:33" ht="11.25" customHeight="1" x14ac:dyDescent="0.25">
      <c r="A162" s="4" t="s">
        <v>21</v>
      </c>
      <c r="B162" s="4" t="s">
        <v>34</v>
      </c>
      <c r="C162" s="4" t="s">
        <v>35</v>
      </c>
      <c r="D162" s="4" t="s">
        <v>33</v>
      </c>
      <c r="E162" s="4" t="s">
        <v>25</v>
      </c>
      <c r="F162" s="4" t="s">
        <v>25</v>
      </c>
      <c r="G162" s="4" t="s">
        <v>25</v>
      </c>
      <c r="H162" s="4" t="s">
        <v>25</v>
      </c>
      <c r="I162" s="5">
        <v>44501</v>
      </c>
      <c r="J162" s="6">
        <v>4703</v>
      </c>
      <c r="K162" s="6">
        <v>4703</v>
      </c>
      <c r="L162" s="6">
        <v>0</v>
      </c>
      <c r="M162" s="6">
        <v>0</v>
      </c>
      <c r="N162" s="6">
        <v>0</v>
      </c>
      <c r="O162" s="6">
        <v>0</v>
      </c>
      <c r="P162" s="6">
        <v>13</v>
      </c>
      <c r="Q162" s="4" t="s">
        <v>26</v>
      </c>
      <c r="R162" s="4">
        <v>0</v>
      </c>
      <c r="S162" s="6">
        <v>36</v>
      </c>
      <c r="T162" s="6">
        <v>0</v>
      </c>
      <c r="U162" s="6">
        <v>0</v>
      </c>
      <c r="V162" s="6">
        <f>IF(ISERROR(VLOOKUP($S$162,'TAR FIN'!$A$1:$O$85,15,0)),0,VLOOKUP($S$162,'TAR FIN'!$A$1:$O$85,15,0))</f>
        <v>14.94</v>
      </c>
      <c r="W162" s="6">
        <f>IF(ISERROR(VLOOKUP($T$162,'TAR FIN'!$A$1:$O$85,15,0)),0,VLOOKUP($T$162,'TAR FIN'!$A$1:$O$85,15,0))</f>
        <v>0</v>
      </c>
      <c r="X162" s="6">
        <f>IF(ISERROR(VLOOKUP($U$162,'TAR FIN'!$A$1:$O$85,15,0)),0,VLOOKUP($U$162,'TAR FIN'!$A$1:$O$85,15,0))</f>
        <v>0</v>
      </c>
      <c r="Y162" s="6">
        <f ca="1">('TUSD BE'!$AM$10+'TUSD BF_350'!$AM$10+'TUSD CVA'!$AM$10)*1</f>
        <v>19.63429077280307</v>
      </c>
      <c r="Z162" s="6"/>
      <c r="AA162" s="6"/>
      <c r="AB162" s="6">
        <f>$K$162*$V$162</f>
        <v>70262.819999999992</v>
      </c>
      <c r="AC162" s="6">
        <f>$M$162*$W$162</f>
        <v>0</v>
      </c>
      <c r="AD162" s="6">
        <f>$O$162*$X$162</f>
        <v>0</v>
      </c>
      <c r="AE162" s="6">
        <f ca="1">$K$162*$Y$162</f>
        <v>92340.069504492829</v>
      </c>
      <c r="AF162" s="6">
        <f>$M$162*$Z$162</f>
        <v>0</v>
      </c>
      <c r="AG162" s="6">
        <f>$O$162*$AA$162</f>
        <v>0</v>
      </c>
    </row>
    <row r="163" spans="1:33" ht="11.25" customHeight="1" x14ac:dyDescent="0.25">
      <c r="A163" s="4" t="s">
        <v>21</v>
      </c>
      <c r="B163" s="4" t="s">
        <v>34</v>
      </c>
      <c r="C163" s="4" t="s">
        <v>35</v>
      </c>
      <c r="D163" s="4" t="s">
        <v>33</v>
      </c>
      <c r="E163" s="4" t="s">
        <v>25</v>
      </c>
      <c r="F163" s="4" t="s">
        <v>25</v>
      </c>
      <c r="G163" s="4" t="s">
        <v>25</v>
      </c>
      <c r="H163" s="4" t="s">
        <v>25</v>
      </c>
      <c r="I163" s="5">
        <v>44531</v>
      </c>
      <c r="J163" s="6">
        <v>4706</v>
      </c>
      <c r="K163" s="6">
        <v>4706</v>
      </c>
      <c r="L163" s="6">
        <v>0</v>
      </c>
      <c r="M163" s="6">
        <v>0</v>
      </c>
      <c r="N163" s="6">
        <v>0</v>
      </c>
      <c r="O163" s="6">
        <v>0</v>
      </c>
      <c r="P163" s="6">
        <v>13</v>
      </c>
      <c r="Q163" s="4" t="s">
        <v>26</v>
      </c>
      <c r="R163" s="4">
        <v>0</v>
      </c>
      <c r="S163" s="6">
        <v>36</v>
      </c>
      <c r="T163" s="6">
        <v>0</v>
      </c>
      <c r="U163" s="6">
        <v>0</v>
      </c>
      <c r="V163" s="6">
        <f>IF(ISERROR(VLOOKUP($S$163,'TAR FIN'!$A$1:$O$85,15,0)),0,VLOOKUP($S$163,'TAR FIN'!$A$1:$O$85,15,0))</f>
        <v>14.94</v>
      </c>
      <c r="W163" s="6">
        <f>IF(ISERROR(VLOOKUP($T$163,'TAR FIN'!$A$1:$O$85,15,0)),0,VLOOKUP($T$163,'TAR FIN'!$A$1:$O$85,15,0))</f>
        <v>0</v>
      </c>
      <c r="X163" s="6">
        <f>IF(ISERROR(VLOOKUP($U$163,'TAR FIN'!$A$1:$O$85,15,0)),0,VLOOKUP($U$163,'TAR FIN'!$A$1:$O$85,15,0))</f>
        <v>0</v>
      </c>
      <c r="Y163" s="6">
        <f ca="1">('TUSD BE'!$AM$10+'TUSD BF_350'!$AM$10+'TUSD CVA'!$AM$10)*1</f>
        <v>19.63429077280307</v>
      </c>
      <c r="Z163" s="6"/>
      <c r="AA163" s="6"/>
      <c r="AB163" s="6">
        <f>$K$163*$V$163</f>
        <v>70307.64</v>
      </c>
      <c r="AC163" s="6">
        <f>$M$163*$W$163</f>
        <v>0</v>
      </c>
      <c r="AD163" s="6">
        <f>$O$163*$X$163</f>
        <v>0</v>
      </c>
      <c r="AE163" s="6">
        <f ca="1">$K$163*$Y$163</f>
        <v>92398.972376811245</v>
      </c>
      <c r="AF163" s="6">
        <f>$M$163*$Z$163</f>
        <v>0</v>
      </c>
      <c r="AG163" s="6">
        <f>$O$163*$AA$163</f>
        <v>0</v>
      </c>
    </row>
    <row r="164" spans="1:33" ht="11.25" customHeight="1" x14ac:dyDescent="0.25">
      <c r="A164" s="4" t="s">
        <v>21</v>
      </c>
      <c r="B164" s="4" t="s">
        <v>34</v>
      </c>
      <c r="C164" s="4" t="s">
        <v>35</v>
      </c>
      <c r="D164" s="4" t="s">
        <v>33</v>
      </c>
      <c r="E164" s="4" t="s">
        <v>25</v>
      </c>
      <c r="F164" s="4" t="s">
        <v>25</v>
      </c>
      <c r="G164" s="4" t="s">
        <v>25</v>
      </c>
      <c r="H164" s="4" t="s">
        <v>25</v>
      </c>
      <c r="I164" s="5">
        <v>44562</v>
      </c>
      <c r="J164" s="6">
        <v>4259</v>
      </c>
      <c r="K164" s="6">
        <v>4259</v>
      </c>
      <c r="L164" s="6">
        <v>0</v>
      </c>
      <c r="M164" s="6">
        <v>0</v>
      </c>
      <c r="N164" s="6">
        <v>0</v>
      </c>
      <c r="O164" s="6">
        <v>0</v>
      </c>
      <c r="P164" s="6">
        <v>12</v>
      </c>
      <c r="Q164" s="4" t="s">
        <v>26</v>
      </c>
      <c r="R164" s="4">
        <v>0</v>
      </c>
      <c r="S164" s="6">
        <v>36</v>
      </c>
      <c r="T164" s="6">
        <v>0</v>
      </c>
      <c r="U164" s="6">
        <v>0</v>
      </c>
      <c r="V164" s="6">
        <f>IF(ISERROR(VLOOKUP($S$164,'TAR FIN'!$A$1:$O$85,15,0)),0,VLOOKUP($S$164,'TAR FIN'!$A$1:$O$85,15,0))</f>
        <v>14.94</v>
      </c>
      <c r="W164" s="6">
        <f>IF(ISERROR(VLOOKUP($T$164,'TAR FIN'!$A$1:$O$85,15,0)),0,VLOOKUP($T$164,'TAR FIN'!$A$1:$O$85,15,0))</f>
        <v>0</v>
      </c>
      <c r="X164" s="6">
        <f>IF(ISERROR(VLOOKUP($U$164,'TAR FIN'!$A$1:$O$85,15,0)),0,VLOOKUP($U$164,'TAR FIN'!$A$1:$O$85,15,0))</f>
        <v>0</v>
      </c>
      <c r="Y164" s="6">
        <f ca="1">('TUSD BE'!$AM$10+'TUSD BF_350'!$AM$10+'TUSD CVA'!$AM$10)*1</f>
        <v>19.63429077280307</v>
      </c>
      <c r="Z164" s="6"/>
      <c r="AA164" s="6"/>
      <c r="AB164" s="6">
        <f>$K$164*$V$164</f>
        <v>63629.46</v>
      </c>
      <c r="AC164" s="6">
        <f>$M$164*$W$164</f>
        <v>0</v>
      </c>
      <c r="AD164" s="6">
        <f>$O$164*$X$164</f>
        <v>0</v>
      </c>
      <c r="AE164" s="6">
        <f ca="1">$K$164*$Y$164</f>
        <v>83622.444401368266</v>
      </c>
      <c r="AF164" s="6">
        <f>$M$164*$Z$164</f>
        <v>0</v>
      </c>
      <c r="AG164" s="6">
        <f>$O$164*$AA$164</f>
        <v>0</v>
      </c>
    </row>
    <row r="165" spans="1:33" ht="11.25" customHeight="1" x14ac:dyDescent="0.25">
      <c r="A165" s="4" t="s">
        <v>21</v>
      </c>
      <c r="B165" s="4" t="s">
        <v>34</v>
      </c>
      <c r="C165" s="4" t="s">
        <v>35</v>
      </c>
      <c r="D165" s="4" t="s">
        <v>33</v>
      </c>
      <c r="E165" s="4" t="s">
        <v>25</v>
      </c>
      <c r="F165" s="4" t="s">
        <v>25</v>
      </c>
      <c r="G165" s="4" t="s">
        <v>25</v>
      </c>
      <c r="H165" s="4" t="s">
        <v>25</v>
      </c>
      <c r="I165" s="5">
        <v>44593</v>
      </c>
      <c r="J165" s="6">
        <v>4233</v>
      </c>
      <c r="K165" s="6">
        <v>4233</v>
      </c>
      <c r="L165" s="6">
        <v>0</v>
      </c>
      <c r="M165" s="6">
        <v>0</v>
      </c>
      <c r="N165" s="6">
        <v>0</v>
      </c>
      <c r="O165" s="6">
        <v>0</v>
      </c>
      <c r="P165" s="6">
        <v>12</v>
      </c>
      <c r="Q165" s="4" t="s">
        <v>26</v>
      </c>
      <c r="R165" s="4">
        <v>0</v>
      </c>
      <c r="S165" s="6">
        <v>36</v>
      </c>
      <c r="T165" s="6">
        <v>0</v>
      </c>
      <c r="U165" s="6">
        <v>0</v>
      </c>
      <c r="V165" s="6">
        <f>IF(ISERROR(VLOOKUP($S$165,'TAR FIN'!$A$1:$O$85,15,0)),0,VLOOKUP($S$165,'TAR FIN'!$A$1:$O$85,15,0))</f>
        <v>14.94</v>
      </c>
      <c r="W165" s="6">
        <f>IF(ISERROR(VLOOKUP($T$165,'TAR FIN'!$A$1:$O$85,15,0)),0,VLOOKUP($T$165,'TAR FIN'!$A$1:$O$85,15,0))</f>
        <v>0</v>
      </c>
      <c r="X165" s="6">
        <f>IF(ISERROR(VLOOKUP($U$165,'TAR FIN'!$A$1:$O$85,15,0)),0,VLOOKUP($U$165,'TAR FIN'!$A$1:$O$85,15,0))</f>
        <v>0</v>
      </c>
      <c r="Y165" s="6">
        <f ca="1">('TUSD BE'!$AM$10+'TUSD BF_350'!$AM$10+'TUSD CVA'!$AM$10)*1</f>
        <v>19.63429077280307</v>
      </c>
      <c r="Z165" s="6"/>
      <c r="AA165" s="6"/>
      <c r="AB165" s="6">
        <f>$K$165*$V$165</f>
        <v>63241.02</v>
      </c>
      <c r="AC165" s="6">
        <f>$M$165*$W$165</f>
        <v>0</v>
      </c>
      <c r="AD165" s="6">
        <f>$O$165*$X$165</f>
        <v>0</v>
      </c>
      <c r="AE165" s="6">
        <f ca="1">$K$165*$Y$165</f>
        <v>83111.952841275401</v>
      </c>
      <c r="AF165" s="6">
        <f>$M$165*$Z$165</f>
        <v>0</v>
      </c>
      <c r="AG165" s="6">
        <f>$O$165*$AA$165</f>
        <v>0</v>
      </c>
    </row>
    <row r="166" spans="1:33" ht="11.25" customHeight="1" x14ac:dyDescent="0.25">
      <c r="A166" s="4" t="s">
        <v>21</v>
      </c>
      <c r="B166" s="4" t="s">
        <v>34</v>
      </c>
      <c r="C166" s="4" t="s">
        <v>35</v>
      </c>
      <c r="D166" s="4" t="s">
        <v>33</v>
      </c>
      <c r="E166" s="4" t="s">
        <v>25</v>
      </c>
      <c r="F166" s="4" t="s">
        <v>25</v>
      </c>
      <c r="G166" s="4" t="s">
        <v>25</v>
      </c>
      <c r="H166" s="4" t="s">
        <v>25</v>
      </c>
      <c r="I166" s="5">
        <v>44621</v>
      </c>
      <c r="J166" s="6">
        <v>4232</v>
      </c>
      <c r="K166" s="6">
        <v>4232</v>
      </c>
      <c r="L166" s="6">
        <v>0</v>
      </c>
      <c r="M166" s="6">
        <v>0</v>
      </c>
      <c r="N166" s="6">
        <v>0</v>
      </c>
      <c r="O166" s="6">
        <v>0</v>
      </c>
      <c r="P166" s="6">
        <v>12</v>
      </c>
      <c r="Q166" s="4" t="s">
        <v>26</v>
      </c>
      <c r="R166" s="4">
        <v>0</v>
      </c>
      <c r="S166" s="6">
        <v>36</v>
      </c>
      <c r="T166" s="6">
        <v>0</v>
      </c>
      <c r="U166" s="6">
        <v>0</v>
      </c>
      <c r="V166" s="6">
        <f>IF(ISERROR(VLOOKUP($S$166,'TAR FIN'!$A$1:$O$85,15,0)),0,VLOOKUP($S$166,'TAR FIN'!$A$1:$O$85,15,0))</f>
        <v>14.94</v>
      </c>
      <c r="W166" s="6">
        <f>IF(ISERROR(VLOOKUP($T$166,'TAR FIN'!$A$1:$O$85,15,0)),0,VLOOKUP($T$166,'TAR FIN'!$A$1:$O$85,15,0))</f>
        <v>0</v>
      </c>
      <c r="X166" s="6">
        <f>IF(ISERROR(VLOOKUP($U$166,'TAR FIN'!$A$1:$O$85,15,0)),0,VLOOKUP($U$166,'TAR FIN'!$A$1:$O$85,15,0))</f>
        <v>0</v>
      </c>
      <c r="Y166" s="6">
        <f ca="1">('TUSD BE'!$AM$10+'TUSD BF_350'!$AM$10+'TUSD CVA'!$AM$10)*1</f>
        <v>19.63429077280307</v>
      </c>
      <c r="Z166" s="6"/>
      <c r="AA166" s="6"/>
      <c r="AB166" s="6">
        <f>$K$166*$V$166</f>
        <v>63226.079999999994</v>
      </c>
      <c r="AC166" s="6">
        <f>$M$166*$W$166</f>
        <v>0</v>
      </c>
      <c r="AD166" s="6">
        <f>$O$166*$X$166</f>
        <v>0</v>
      </c>
      <c r="AE166" s="6">
        <f ca="1">$K$166*$Y$166</f>
        <v>83092.31855050259</v>
      </c>
      <c r="AF166" s="6">
        <f>$M$166*$Z$166</f>
        <v>0</v>
      </c>
      <c r="AG166" s="6">
        <f>$O$166*$AA$166</f>
        <v>0</v>
      </c>
    </row>
    <row r="167" spans="1:33" ht="11.25" customHeight="1" x14ac:dyDescent="0.25">
      <c r="A167" s="4" t="s">
        <v>21</v>
      </c>
      <c r="B167" s="4" t="s">
        <v>34</v>
      </c>
      <c r="C167" s="4" t="s">
        <v>35</v>
      </c>
      <c r="D167" s="4" t="s">
        <v>33</v>
      </c>
      <c r="E167" s="4" t="s">
        <v>25</v>
      </c>
      <c r="F167" s="4" t="s">
        <v>25</v>
      </c>
      <c r="G167" s="4" t="s">
        <v>25</v>
      </c>
      <c r="H167" s="4" t="s">
        <v>25</v>
      </c>
      <c r="I167" s="5">
        <v>44652</v>
      </c>
      <c r="J167" s="6">
        <v>4288</v>
      </c>
      <c r="K167" s="6">
        <v>4288</v>
      </c>
      <c r="L167" s="6">
        <v>0</v>
      </c>
      <c r="M167" s="6">
        <v>0</v>
      </c>
      <c r="N167" s="6">
        <v>0</v>
      </c>
      <c r="O167" s="6">
        <v>0</v>
      </c>
      <c r="P167" s="6">
        <v>12</v>
      </c>
      <c r="Q167" s="4" t="s">
        <v>26</v>
      </c>
      <c r="R167" s="4">
        <v>0</v>
      </c>
      <c r="S167" s="6">
        <v>36</v>
      </c>
      <c r="T167" s="6">
        <v>0</v>
      </c>
      <c r="U167" s="6">
        <v>0</v>
      </c>
      <c r="V167" s="6">
        <f>IF(ISERROR(VLOOKUP($S$167,'TAR FIN'!$A$1:$O$85,15,0)),0,VLOOKUP($S$167,'TAR FIN'!$A$1:$O$85,15,0))</f>
        <v>14.94</v>
      </c>
      <c r="W167" s="6">
        <f>IF(ISERROR(VLOOKUP($T$167,'TAR FIN'!$A$1:$O$85,15,0)),0,VLOOKUP($T$167,'TAR FIN'!$A$1:$O$85,15,0))</f>
        <v>0</v>
      </c>
      <c r="X167" s="6">
        <f>IF(ISERROR(VLOOKUP($U$167,'TAR FIN'!$A$1:$O$85,15,0)),0,VLOOKUP($U$167,'TAR FIN'!$A$1:$O$85,15,0))</f>
        <v>0</v>
      </c>
      <c r="Y167" s="6">
        <f ca="1">('TUSD BE'!$AM$10+'TUSD BF_350'!$AM$10+'TUSD CVA'!$AM$10)*1</f>
        <v>19.63429077280307</v>
      </c>
      <c r="Z167" s="6"/>
      <c r="AA167" s="6"/>
      <c r="AB167" s="6">
        <f>$K$167*$V$167</f>
        <v>64062.720000000001</v>
      </c>
      <c r="AC167" s="6">
        <f>$M$167*$W$167</f>
        <v>0</v>
      </c>
      <c r="AD167" s="6">
        <f>$O$167*$X$167</f>
        <v>0</v>
      </c>
      <c r="AE167" s="6">
        <f ca="1">$K$167*$Y$167</f>
        <v>84191.838833779562</v>
      </c>
      <c r="AF167" s="6">
        <f>$M$167*$Z$167</f>
        <v>0</v>
      </c>
      <c r="AG167" s="6">
        <f>$O$167*$AA$167</f>
        <v>0</v>
      </c>
    </row>
    <row r="168" spans="1:33" ht="11.25" customHeight="1" x14ac:dyDescent="0.25">
      <c r="A168" s="4" t="s">
        <v>21</v>
      </c>
      <c r="B168" s="4" t="s">
        <v>34</v>
      </c>
      <c r="C168" s="4" t="s">
        <v>35</v>
      </c>
      <c r="D168" s="4" t="s">
        <v>33</v>
      </c>
      <c r="E168" s="4" t="s">
        <v>25</v>
      </c>
      <c r="F168" s="4" t="s">
        <v>25</v>
      </c>
      <c r="G168" s="4" t="s">
        <v>25</v>
      </c>
      <c r="H168" s="4" t="s">
        <v>25</v>
      </c>
      <c r="I168" s="5">
        <v>44682</v>
      </c>
      <c r="J168" s="6">
        <v>4222</v>
      </c>
      <c r="K168" s="6">
        <v>4222</v>
      </c>
      <c r="L168" s="6">
        <v>0</v>
      </c>
      <c r="M168" s="6">
        <v>0</v>
      </c>
      <c r="N168" s="6">
        <v>0</v>
      </c>
      <c r="O168" s="6">
        <v>0</v>
      </c>
      <c r="P168" s="6">
        <v>12</v>
      </c>
      <c r="Q168" s="4" t="s">
        <v>26</v>
      </c>
      <c r="R168" s="4">
        <v>0</v>
      </c>
      <c r="S168" s="6">
        <v>36</v>
      </c>
      <c r="T168" s="6">
        <v>0</v>
      </c>
      <c r="U168" s="6">
        <v>0</v>
      </c>
      <c r="V168" s="6">
        <f>IF(ISERROR(VLOOKUP($S$168,'TAR FIN'!$A$1:$O$85,15,0)),0,VLOOKUP($S$168,'TAR FIN'!$A$1:$O$85,15,0))</f>
        <v>14.94</v>
      </c>
      <c r="W168" s="6">
        <f>IF(ISERROR(VLOOKUP($T$168,'TAR FIN'!$A$1:$O$85,15,0)),0,VLOOKUP($T$168,'TAR FIN'!$A$1:$O$85,15,0))</f>
        <v>0</v>
      </c>
      <c r="X168" s="6">
        <f>IF(ISERROR(VLOOKUP($U$168,'TAR FIN'!$A$1:$O$85,15,0)),0,VLOOKUP($U$168,'TAR FIN'!$A$1:$O$85,15,0))</f>
        <v>0</v>
      </c>
      <c r="Y168" s="6">
        <f ca="1">('TUSD BE'!$AM$10+'TUSD BF_350'!$AM$10+'TUSD CVA'!$AM$10)*1</f>
        <v>19.63429077280307</v>
      </c>
      <c r="Z168" s="6"/>
      <c r="AA168" s="6"/>
      <c r="AB168" s="6">
        <f>$K$168*$V$168</f>
        <v>63076.68</v>
      </c>
      <c r="AC168" s="6">
        <f>$M$168*$W$168</f>
        <v>0</v>
      </c>
      <c r="AD168" s="6">
        <f>$O$168*$X$168</f>
        <v>0</v>
      </c>
      <c r="AE168" s="6">
        <f ca="1">$K$168*$Y$168</f>
        <v>82895.97564277456</v>
      </c>
      <c r="AF168" s="6">
        <f>$M$168*$Z$168</f>
        <v>0</v>
      </c>
      <c r="AG168" s="6">
        <f>$O$168*$AA$168</f>
        <v>0</v>
      </c>
    </row>
    <row r="169" spans="1:33" ht="11.25" customHeight="1" x14ac:dyDescent="0.25">
      <c r="A169" s="4" t="s">
        <v>21</v>
      </c>
      <c r="B169" s="4" t="s">
        <v>34</v>
      </c>
      <c r="C169" s="4" t="s">
        <v>35</v>
      </c>
      <c r="D169" s="4" t="s">
        <v>33</v>
      </c>
      <c r="E169" s="4" t="s">
        <v>25</v>
      </c>
      <c r="F169" s="4" t="s">
        <v>25</v>
      </c>
      <c r="G169" s="4" t="s">
        <v>25</v>
      </c>
      <c r="H169" s="4" t="s">
        <v>25</v>
      </c>
      <c r="I169" s="5">
        <v>44713</v>
      </c>
      <c r="J169" s="6">
        <v>4278</v>
      </c>
      <c r="K169" s="6">
        <v>4278</v>
      </c>
      <c r="L169" s="6">
        <v>0</v>
      </c>
      <c r="M169" s="6">
        <v>0</v>
      </c>
      <c r="N169" s="6">
        <v>0</v>
      </c>
      <c r="O169" s="6">
        <v>0</v>
      </c>
      <c r="P169" s="6">
        <v>12</v>
      </c>
      <c r="Q169" s="4" t="s">
        <v>26</v>
      </c>
      <c r="R169" s="4">
        <v>0</v>
      </c>
      <c r="S169" s="6">
        <v>36</v>
      </c>
      <c r="T169" s="6">
        <v>0</v>
      </c>
      <c r="U169" s="6">
        <v>0</v>
      </c>
      <c r="V169" s="6">
        <f>IF(ISERROR(VLOOKUP($S$169,'TAR FIN'!$A$1:$O$85,15,0)),0,VLOOKUP($S$169,'TAR FIN'!$A$1:$O$85,15,0))</f>
        <v>14.94</v>
      </c>
      <c r="W169" s="6">
        <f>IF(ISERROR(VLOOKUP($T$169,'TAR FIN'!$A$1:$O$85,15,0)),0,VLOOKUP($T$169,'TAR FIN'!$A$1:$O$85,15,0))</f>
        <v>0</v>
      </c>
      <c r="X169" s="6">
        <f>IF(ISERROR(VLOOKUP($U$169,'TAR FIN'!$A$1:$O$85,15,0)),0,VLOOKUP($U$169,'TAR FIN'!$A$1:$O$85,15,0))</f>
        <v>0</v>
      </c>
      <c r="Y169" s="6">
        <f ca="1">('TUSD BE'!$AM$10+'TUSD BF_350'!$AM$10+'TUSD CVA'!$AM$10)*1</f>
        <v>19.63429077280307</v>
      </c>
      <c r="Z169" s="6"/>
      <c r="AA169" s="6"/>
      <c r="AB169" s="6">
        <f>$K$169*$V$169</f>
        <v>63913.32</v>
      </c>
      <c r="AC169" s="6">
        <f>$M$169*$W$169</f>
        <v>0</v>
      </c>
      <c r="AD169" s="6">
        <f>$O$169*$X$169</f>
        <v>0</v>
      </c>
      <c r="AE169" s="6">
        <f ca="1">$K$169*$Y$169</f>
        <v>83995.495926051532</v>
      </c>
      <c r="AF169" s="6">
        <f>$M$169*$Z$169</f>
        <v>0</v>
      </c>
      <c r="AG169" s="6">
        <f>$O$169*$AA$169</f>
        <v>0</v>
      </c>
    </row>
    <row r="170" spans="1:33" ht="11.25" customHeight="1" x14ac:dyDescent="0.25">
      <c r="A170" s="4" t="s">
        <v>21</v>
      </c>
      <c r="B170" s="4" t="s">
        <v>34</v>
      </c>
      <c r="C170" s="4" t="s">
        <v>35</v>
      </c>
      <c r="D170" s="4" t="s">
        <v>33</v>
      </c>
      <c r="E170" s="4" t="s">
        <v>25</v>
      </c>
      <c r="F170" s="4" t="s">
        <v>25</v>
      </c>
      <c r="G170" s="4" t="s">
        <v>25</v>
      </c>
      <c r="H170" s="4" t="s">
        <v>36</v>
      </c>
      <c r="I170" s="5">
        <v>44378</v>
      </c>
      <c r="J170" s="6">
        <v>0</v>
      </c>
      <c r="K170" s="6">
        <v>0</v>
      </c>
      <c r="L170" s="6">
        <v>170.327</v>
      </c>
      <c r="M170" s="6">
        <v>170.327</v>
      </c>
      <c r="N170" s="6">
        <v>170.327</v>
      </c>
      <c r="O170" s="6">
        <v>170.327</v>
      </c>
      <c r="P170" s="6">
        <v>0</v>
      </c>
      <c r="Q170" s="4" t="s">
        <v>26</v>
      </c>
      <c r="R170" s="4">
        <v>0</v>
      </c>
      <c r="S170" s="6">
        <v>0</v>
      </c>
      <c r="T170" s="6">
        <v>15</v>
      </c>
      <c r="U170" s="6">
        <v>9</v>
      </c>
      <c r="V170" s="6">
        <f>IF(ISERROR(VLOOKUP($S$170,'TAR FIN'!$A$1:$O$85,15,0)),0,VLOOKUP($S$170,'TAR FIN'!$A$1:$O$85,15,0))</f>
        <v>0</v>
      </c>
      <c r="W170" s="6">
        <f>IF(ISERROR(VLOOKUP($T$170,'TAR FIN'!$A$1:$O$85,15,0)),0,VLOOKUP($T$170,'TAR FIN'!$A$1:$O$85,15,0))</f>
        <v>940.75</v>
      </c>
      <c r="X170" s="6">
        <f>IF(ISERROR(VLOOKUP($U$170,'TAR FIN'!$A$1:$O$85,15,0)),0,VLOOKUP($U$170,'TAR FIN'!$A$1:$O$85,15,0))</f>
        <v>373.71</v>
      </c>
      <c r="Y170" s="6"/>
      <c r="Z170" s="6">
        <f ca="1">('TUSD BE'!$AM$11+'TUSD BF_350'!$AM$11+'TUSD CVA'!$AM$11)*1</f>
        <v>966.5081601045739</v>
      </c>
      <c r="AA170" s="6">
        <f ca="1">('TE BE'!$AB$5+'TE BF_350'!$AB$5+'TE CVA'!$AB$5)*1</f>
        <v>347.98834052804079</v>
      </c>
      <c r="AB170" s="6">
        <f>$K$170*$V$170</f>
        <v>0</v>
      </c>
      <c r="AC170" s="6">
        <f>$M$170*$W$170</f>
        <v>160235.12525000001</v>
      </c>
      <c r="AD170" s="6">
        <f>$O$170*$X$170</f>
        <v>63652.903169999998</v>
      </c>
      <c r="AE170" s="6">
        <f>$K$170*$Y$170</f>
        <v>0</v>
      </c>
      <c r="AF170" s="6">
        <f ca="1">$M$170*$Z$170</f>
        <v>164622.43538613175</v>
      </c>
      <c r="AG170" s="6">
        <f ca="1">$O$170*$AA$170</f>
        <v>59271.810077119604</v>
      </c>
    </row>
    <row r="171" spans="1:33" ht="11.25" customHeight="1" x14ac:dyDescent="0.25">
      <c r="A171" s="4" t="s">
        <v>21</v>
      </c>
      <c r="B171" s="4" t="s">
        <v>34</v>
      </c>
      <c r="C171" s="4" t="s">
        <v>35</v>
      </c>
      <c r="D171" s="4" t="s">
        <v>33</v>
      </c>
      <c r="E171" s="4" t="s">
        <v>25</v>
      </c>
      <c r="F171" s="4" t="s">
        <v>25</v>
      </c>
      <c r="G171" s="4" t="s">
        <v>25</v>
      </c>
      <c r="H171" s="4" t="s">
        <v>36</v>
      </c>
      <c r="I171" s="5">
        <v>44409</v>
      </c>
      <c r="J171" s="6">
        <v>0</v>
      </c>
      <c r="K171" s="6">
        <v>0</v>
      </c>
      <c r="L171" s="6">
        <v>176.798</v>
      </c>
      <c r="M171" s="6">
        <v>176.798</v>
      </c>
      <c r="N171" s="6">
        <v>176.798</v>
      </c>
      <c r="O171" s="6">
        <v>176.798</v>
      </c>
      <c r="P171" s="6">
        <v>0</v>
      </c>
      <c r="Q171" s="4" t="s">
        <v>26</v>
      </c>
      <c r="R171" s="4">
        <v>0</v>
      </c>
      <c r="S171" s="6">
        <v>0</v>
      </c>
      <c r="T171" s="6">
        <v>15</v>
      </c>
      <c r="U171" s="6">
        <v>9</v>
      </c>
      <c r="V171" s="6">
        <f>IF(ISERROR(VLOOKUP($S$171,'TAR FIN'!$A$1:$O$85,15,0)),0,VLOOKUP($S$171,'TAR FIN'!$A$1:$O$85,15,0))</f>
        <v>0</v>
      </c>
      <c r="W171" s="6">
        <f>IF(ISERROR(VLOOKUP($T$171,'TAR FIN'!$A$1:$O$85,15,0)),0,VLOOKUP($T$171,'TAR FIN'!$A$1:$O$85,15,0))</f>
        <v>940.75</v>
      </c>
      <c r="X171" s="6">
        <f>IF(ISERROR(VLOOKUP($U$171,'TAR FIN'!$A$1:$O$85,15,0)),0,VLOOKUP($U$171,'TAR FIN'!$A$1:$O$85,15,0))</f>
        <v>373.71</v>
      </c>
      <c r="Y171" s="6"/>
      <c r="Z171" s="6">
        <f ca="1">('TUSD BE'!$AM$11+'TUSD BF_350'!$AM$11+'TUSD CVA'!$AM$11)*1</f>
        <v>966.5081601045739</v>
      </c>
      <c r="AA171" s="6">
        <f ca="1">('TE BE'!$AB$5+'TE BF_350'!$AB$5+'TE CVA'!$AB$5)*1</f>
        <v>347.98834052804079</v>
      </c>
      <c r="AB171" s="6">
        <f>$K$171*$V$171</f>
        <v>0</v>
      </c>
      <c r="AC171" s="6">
        <f>$M$171*$W$171</f>
        <v>166322.71849999999</v>
      </c>
      <c r="AD171" s="6">
        <f>$O$171*$X$171</f>
        <v>66071.18058</v>
      </c>
      <c r="AE171" s="6">
        <f>$K$171*$Y$171</f>
        <v>0</v>
      </c>
      <c r="AF171" s="6">
        <f ca="1">$M$171*$Z$171</f>
        <v>170876.70969016847</v>
      </c>
      <c r="AG171" s="6">
        <f ca="1">$O$171*$AA$171</f>
        <v>61523.642628676556</v>
      </c>
    </row>
    <row r="172" spans="1:33" ht="11.25" customHeight="1" x14ac:dyDescent="0.25">
      <c r="A172" s="4" t="s">
        <v>21</v>
      </c>
      <c r="B172" s="4" t="s">
        <v>34</v>
      </c>
      <c r="C172" s="4" t="s">
        <v>35</v>
      </c>
      <c r="D172" s="4" t="s">
        <v>33</v>
      </c>
      <c r="E172" s="4" t="s">
        <v>25</v>
      </c>
      <c r="F172" s="4" t="s">
        <v>25</v>
      </c>
      <c r="G172" s="4" t="s">
        <v>25</v>
      </c>
      <c r="H172" s="4" t="s">
        <v>36</v>
      </c>
      <c r="I172" s="5">
        <v>44440</v>
      </c>
      <c r="J172" s="6">
        <v>0</v>
      </c>
      <c r="K172" s="6">
        <v>0</v>
      </c>
      <c r="L172" s="6">
        <v>166.45699999999999</v>
      </c>
      <c r="M172" s="6">
        <v>166.45699999999999</v>
      </c>
      <c r="N172" s="6">
        <v>166.45699999999999</v>
      </c>
      <c r="O172" s="6">
        <v>166.45699999999999</v>
      </c>
      <c r="P172" s="6">
        <v>0</v>
      </c>
      <c r="Q172" s="4" t="s">
        <v>26</v>
      </c>
      <c r="R172" s="4">
        <v>0</v>
      </c>
      <c r="S172" s="6">
        <v>0</v>
      </c>
      <c r="T172" s="6">
        <v>15</v>
      </c>
      <c r="U172" s="6">
        <v>9</v>
      </c>
      <c r="V172" s="6">
        <f>IF(ISERROR(VLOOKUP($S$172,'TAR FIN'!$A$1:$O$85,15,0)),0,VLOOKUP($S$172,'TAR FIN'!$A$1:$O$85,15,0))</f>
        <v>0</v>
      </c>
      <c r="W172" s="6">
        <f>IF(ISERROR(VLOOKUP($T$172,'TAR FIN'!$A$1:$O$85,15,0)),0,VLOOKUP($T$172,'TAR FIN'!$A$1:$O$85,15,0))</f>
        <v>940.75</v>
      </c>
      <c r="X172" s="6">
        <f>IF(ISERROR(VLOOKUP($U$172,'TAR FIN'!$A$1:$O$85,15,0)),0,VLOOKUP($U$172,'TAR FIN'!$A$1:$O$85,15,0))</f>
        <v>373.71</v>
      </c>
      <c r="Y172" s="6"/>
      <c r="Z172" s="6">
        <f ca="1">('TUSD BE'!$AM$11+'TUSD BF_350'!$AM$11+'TUSD CVA'!$AM$11)*1</f>
        <v>966.5081601045739</v>
      </c>
      <c r="AA172" s="6">
        <f ca="1">('TE BE'!$AB$5+'TE BF_350'!$AB$5+'TE CVA'!$AB$5)*1</f>
        <v>347.98834052804079</v>
      </c>
      <c r="AB172" s="6">
        <f>$K$172*$V$172</f>
        <v>0</v>
      </c>
      <c r="AC172" s="6">
        <f>$M$172*$W$172</f>
        <v>156594.42275</v>
      </c>
      <c r="AD172" s="6">
        <f>$O$172*$X$172</f>
        <v>62206.645469999996</v>
      </c>
      <c r="AE172" s="6">
        <f>$K$172*$Y$172</f>
        <v>0</v>
      </c>
      <c r="AF172" s="6">
        <f ca="1">$M$172*$Z$172</f>
        <v>160882.04880652705</v>
      </c>
      <c r="AG172" s="6">
        <f ca="1">$O$172*$AA$172</f>
        <v>57925.095199276082</v>
      </c>
    </row>
    <row r="173" spans="1:33" ht="11.25" customHeight="1" x14ac:dyDescent="0.25">
      <c r="A173" s="4" t="s">
        <v>21</v>
      </c>
      <c r="B173" s="4" t="s">
        <v>34</v>
      </c>
      <c r="C173" s="4" t="s">
        <v>35</v>
      </c>
      <c r="D173" s="4" t="s">
        <v>33</v>
      </c>
      <c r="E173" s="4" t="s">
        <v>25</v>
      </c>
      <c r="F173" s="4" t="s">
        <v>25</v>
      </c>
      <c r="G173" s="4" t="s">
        <v>25</v>
      </c>
      <c r="H173" s="4" t="s">
        <v>36</v>
      </c>
      <c r="I173" s="5">
        <v>44470</v>
      </c>
      <c r="J173" s="6">
        <v>0</v>
      </c>
      <c r="K173" s="6">
        <v>0</v>
      </c>
      <c r="L173" s="6">
        <v>168.898</v>
      </c>
      <c r="M173" s="6">
        <v>168.898</v>
      </c>
      <c r="N173" s="6">
        <v>168.898</v>
      </c>
      <c r="O173" s="6">
        <v>168.898</v>
      </c>
      <c r="P173" s="6">
        <v>0</v>
      </c>
      <c r="Q173" s="4" t="s">
        <v>26</v>
      </c>
      <c r="R173" s="4">
        <v>0</v>
      </c>
      <c r="S173" s="6">
        <v>0</v>
      </c>
      <c r="T173" s="6">
        <v>15</v>
      </c>
      <c r="U173" s="6">
        <v>9</v>
      </c>
      <c r="V173" s="6">
        <f>IF(ISERROR(VLOOKUP($S$173,'TAR FIN'!$A$1:$O$85,15,0)),0,VLOOKUP($S$173,'TAR FIN'!$A$1:$O$85,15,0))</f>
        <v>0</v>
      </c>
      <c r="W173" s="6">
        <f>IF(ISERROR(VLOOKUP($T$173,'TAR FIN'!$A$1:$O$85,15,0)),0,VLOOKUP($T$173,'TAR FIN'!$A$1:$O$85,15,0))</f>
        <v>940.75</v>
      </c>
      <c r="X173" s="6">
        <f>IF(ISERROR(VLOOKUP($U$173,'TAR FIN'!$A$1:$O$85,15,0)),0,VLOOKUP($U$173,'TAR FIN'!$A$1:$O$85,15,0))</f>
        <v>373.71</v>
      </c>
      <c r="Y173" s="6"/>
      <c r="Z173" s="6">
        <f ca="1">('TUSD BE'!$AM$11+'TUSD BF_350'!$AM$11+'TUSD CVA'!$AM$11)*1</f>
        <v>966.5081601045739</v>
      </c>
      <c r="AA173" s="6">
        <f ca="1">('TE BE'!$AB$5+'TE BF_350'!$AB$5+'TE CVA'!$AB$5)*1</f>
        <v>347.98834052804079</v>
      </c>
      <c r="AB173" s="6">
        <f>$K$173*$V$173</f>
        <v>0</v>
      </c>
      <c r="AC173" s="6">
        <f>$M$173*$W$173</f>
        <v>158890.7935</v>
      </c>
      <c r="AD173" s="6">
        <f>$O$173*$X$173</f>
        <v>63118.871579999992</v>
      </c>
      <c r="AE173" s="6">
        <f>$K$173*$Y$173</f>
        <v>0</v>
      </c>
      <c r="AF173" s="6">
        <f ca="1">$M$173*$Z$173</f>
        <v>163241.29522534233</v>
      </c>
      <c r="AG173" s="6">
        <f ca="1">$O$173*$AA$173</f>
        <v>58774.534738505034</v>
      </c>
    </row>
    <row r="174" spans="1:33" ht="11.25" customHeight="1" x14ac:dyDescent="0.25">
      <c r="A174" s="4" t="s">
        <v>21</v>
      </c>
      <c r="B174" s="4" t="s">
        <v>34</v>
      </c>
      <c r="C174" s="4" t="s">
        <v>35</v>
      </c>
      <c r="D174" s="4" t="s">
        <v>33</v>
      </c>
      <c r="E174" s="4" t="s">
        <v>25</v>
      </c>
      <c r="F174" s="4" t="s">
        <v>25</v>
      </c>
      <c r="G174" s="4" t="s">
        <v>25</v>
      </c>
      <c r="H174" s="4" t="s">
        <v>36</v>
      </c>
      <c r="I174" s="5">
        <v>44501</v>
      </c>
      <c r="J174" s="6">
        <v>0</v>
      </c>
      <c r="K174" s="6">
        <v>0</v>
      </c>
      <c r="L174" s="6">
        <v>166.696</v>
      </c>
      <c r="M174" s="6">
        <v>166.696</v>
      </c>
      <c r="N174" s="6">
        <v>166.696</v>
      </c>
      <c r="O174" s="6">
        <v>166.696</v>
      </c>
      <c r="P174" s="6">
        <v>0</v>
      </c>
      <c r="Q174" s="4" t="s">
        <v>26</v>
      </c>
      <c r="R174" s="4">
        <v>0</v>
      </c>
      <c r="S174" s="6">
        <v>0</v>
      </c>
      <c r="T174" s="6">
        <v>15</v>
      </c>
      <c r="U174" s="6">
        <v>9</v>
      </c>
      <c r="V174" s="6">
        <f>IF(ISERROR(VLOOKUP($S$174,'TAR FIN'!$A$1:$O$85,15,0)),0,VLOOKUP($S$174,'TAR FIN'!$A$1:$O$85,15,0))</f>
        <v>0</v>
      </c>
      <c r="W174" s="6">
        <f>IF(ISERROR(VLOOKUP($T$174,'TAR FIN'!$A$1:$O$85,15,0)),0,VLOOKUP($T$174,'TAR FIN'!$A$1:$O$85,15,0))</f>
        <v>940.75</v>
      </c>
      <c r="X174" s="6">
        <f>IF(ISERROR(VLOOKUP($U$174,'TAR FIN'!$A$1:$O$85,15,0)),0,VLOOKUP($U$174,'TAR FIN'!$A$1:$O$85,15,0))</f>
        <v>373.71</v>
      </c>
      <c r="Y174" s="6"/>
      <c r="Z174" s="6">
        <f ca="1">('TUSD BE'!$AM$11+'TUSD BF_350'!$AM$11+'TUSD CVA'!$AM$11)*1</f>
        <v>966.5081601045739</v>
      </c>
      <c r="AA174" s="6">
        <f ca="1">('TE BE'!$AB$5+'TE BF_350'!$AB$5+'TE CVA'!$AB$5)*1</f>
        <v>347.98834052804079</v>
      </c>
      <c r="AB174" s="6">
        <f>$K$174*$V$174</f>
        <v>0</v>
      </c>
      <c r="AC174" s="6">
        <f>$M$174*$W$174</f>
        <v>156819.26199999999</v>
      </c>
      <c r="AD174" s="6">
        <f>$O$174*$X$174</f>
        <v>62295.962159999995</v>
      </c>
      <c r="AE174" s="6">
        <f>$K$174*$Y$174</f>
        <v>0</v>
      </c>
      <c r="AF174" s="6">
        <f ca="1">$M$174*$Z$174</f>
        <v>161113.04425679205</v>
      </c>
      <c r="AG174" s="6">
        <f ca="1">$O$174*$AA$174</f>
        <v>58008.264412662291</v>
      </c>
    </row>
    <row r="175" spans="1:33" ht="11.25" customHeight="1" x14ac:dyDescent="0.25">
      <c r="A175" s="4" t="s">
        <v>21</v>
      </c>
      <c r="B175" s="4" t="s">
        <v>34</v>
      </c>
      <c r="C175" s="4" t="s">
        <v>35</v>
      </c>
      <c r="D175" s="4" t="s">
        <v>33</v>
      </c>
      <c r="E175" s="4" t="s">
        <v>25</v>
      </c>
      <c r="F175" s="4" t="s">
        <v>25</v>
      </c>
      <c r="G175" s="4" t="s">
        <v>25</v>
      </c>
      <c r="H175" s="4" t="s">
        <v>36</v>
      </c>
      <c r="I175" s="5">
        <v>44531</v>
      </c>
      <c r="J175" s="6">
        <v>0</v>
      </c>
      <c r="K175" s="6">
        <v>0</v>
      </c>
      <c r="L175" s="6">
        <v>185.05600000000001</v>
      </c>
      <c r="M175" s="6">
        <v>185.05600000000001</v>
      </c>
      <c r="N175" s="6">
        <v>185.05600000000001</v>
      </c>
      <c r="O175" s="6">
        <v>185.05600000000001</v>
      </c>
      <c r="P175" s="6">
        <v>0</v>
      </c>
      <c r="Q175" s="4" t="s">
        <v>26</v>
      </c>
      <c r="R175" s="4">
        <v>0</v>
      </c>
      <c r="S175" s="6">
        <v>0</v>
      </c>
      <c r="T175" s="6">
        <v>15</v>
      </c>
      <c r="U175" s="6">
        <v>9</v>
      </c>
      <c r="V175" s="6">
        <f>IF(ISERROR(VLOOKUP($S$175,'TAR FIN'!$A$1:$O$85,15,0)),0,VLOOKUP($S$175,'TAR FIN'!$A$1:$O$85,15,0))</f>
        <v>0</v>
      </c>
      <c r="W175" s="6">
        <f>IF(ISERROR(VLOOKUP($T$175,'TAR FIN'!$A$1:$O$85,15,0)),0,VLOOKUP($T$175,'TAR FIN'!$A$1:$O$85,15,0))</f>
        <v>940.75</v>
      </c>
      <c r="X175" s="6">
        <f>IF(ISERROR(VLOOKUP($U$175,'TAR FIN'!$A$1:$O$85,15,0)),0,VLOOKUP($U$175,'TAR FIN'!$A$1:$O$85,15,0))</f>
        <v>373.71</v>
      </c>
      <c r="Y175" s="6"/>
      <c r="Z175" s="6">
        <f ca="1">('TUSD BE'!$AM$11+'TUSD BF_350'!$AM$11+'TUSD CVA'!$AM$11)*1</f>
        <v>966.5081601045739</v>
      </c>
      <c r="AA175" s="6">
        <f ca="1">('TE BE'!$AB$5+'TE BF_350'!$AB$5+'TE CVA'!$AB$5)*1</f>
        <v>347.98834052804079</v>
      </c>
      <c r="AB175" s="6">
        <f>$K$175*$V$175</f>
        <v>0</v>
      </c>
      <c r="AC175" s="6">
        <f>$M$175*$W$175</f>
        <v>174091.432</v>
      </c>
      <c r="AD175" s="6">
        <f>$O$175*$X$175</f>
        <v>69157.277759999997</v>
      </c>
      <c r="AE175" s="6">
        <f>$K$175*$Y$175</f>
        <v>0</v>
      </c>
      <c r="AF175" s="6">
        <f ca="1">$M$175*$Z$175</f>
        <v>178858.13407631204</v>
      </c>
      <c r="AG175" s="6">
        <f ca="1">$O$175*$AA$175</f>
        <v>64397.330344757123</v>
      </c>
    </row>
    <row r="176" spans="1:33" ht="11.25" customHeight="1" x14ac:dyDescent="0.25">
      <c r="A176" s="4" t="s">
        <v>21</v>
      </c>
      <c r="B176" s="4" t="s">
        <v>34</v>
      </c>
      <c r="C176" s="4" t="s">
        <v>35</v>
      </c>
      <c r="D176" s="4" t="s">
        <v>33</v>
      </c>
      <c r="E176" s="4" t="s">
        <v>25</v>
      </c>
      <c r="F176" s="4" t="s">
        <v>25</v>
      </c>
      <c r="G176" s="4" t="s">
        <v>25</v>
      </c>
      <c r="H176" s="4" t="s">
        <v>36</v>
      </c>
      <c r="I176" s="5">
        <v>44562</v>
      </c>
      <c r="J176" s="6">
        <v>0</v>
      </c>
      <c r="K176" s="6">
        <v>0</v>
      </c>
      <c r="L176" s="6">
        <v>165.161</v>
      </c>
      <c r="M176" s="6">
        <v>165.161</v>
      </c>
      <c r="N176" s="6">
        <v>165.161</v>
      </c>
      <c r="O176" s="6">
        <v>165.161</v>
      </c>
      <c r="P176" s="6">
        <v>0</v>
      </c>
      <c r="Q176" s="4" t="s">
        <v>26</v>
      </c>
      <c r="R176" s="4">
        <v>0</v>
      </c>
      <c r="S176" s="6">
        <v>0</v>
      </c>
      <c r="T176" s="6">
        <v>15</v>
      </c>
      <c r="U176" s="6">
        <v>9</v>
      </c>
      <c r="V176" s="6">
        <f>IF(ISERROR(VLOOKUP($S$176,'TAR FIN'!$A$1:$O$85,15,0)),0,VLOOKUP($S$176,'TAR FIN'!$A$1:$O$85,15,0))</f>
        <v>0</v>
      </c>
      <c r="W176" s="6">
        <f>IF(ISERROR(VLOOKUP($T$176,'TAR FIN'!$A$1:$O$85,15,0)),0,VLOOKUP($T$176,'TAR FIN'!$A$1:$O$85,15,0))</f>
        <v>940.75</v>
      </c>
      <c r="X176" s="6">
        <f>IF(ISERROR(VLOOKUP($U$176,'TAR FIN'!$A$1:$O$85,15,0)),0,VLOOKUP($U$176,'TAR FIN'!$A$1:$O$85,15,0))</f>
        <v>373.71</v>
      </c>
      <c r="Y176" s="6"/>
      <c r="Z176" s="6">
        <f ca="1">('TUSD BE'!$AM$11+'TUSD BF_350'!$AM$11+'TUSD CVA'!$AM$11)*1</f>
        <v>966.5081601045739</v>
      </c>
      <c r="AA176" s="6">
        <f ca="1">('TE BE'!$AB$5+'TE BF_350'!$AB$5+'TE CVA'!$AB$5)*1</f>
        <v>347.98834052804079</v>
      </c>
      <c r="AB176" s="6">
        <f>$K$176*$V$176</f>
        <v>0</v>
      </c>
      <c r="AC176" s="6">
        <f>$M$176*$W$176</f>
        <v>155375.21075</v>
      </c>
      <c r="AD176" s="6">
        <f>$O$176*$X$176</f>
        <v>61722.317309999999</v>
      </c>
      <c r="AE176" s="6">
        <f>$K$176*$Y$176</f>
        <v>0</v>
      </c>
      <c r="AF176" s="6">
        <f ca="1">$M$176*$Z$176</f>
        <v>159629.45423103153</v>
      </c>
      <c r="AG176" s="6">
        <f ca="1">$O$176*$AA$176</f>
        <v>57474.102309951748</v>
      </c>
    </row>
    <row r="177" spans="1:33" ht="11.25" customHeight="1" x14ac:dyDescent="0.25">
      <c r="A177" s="4" t="s">
        <v>21</v>
      </c>
      <c r="B177" s="4" t="s">
        <v>34</v>
      </c>
      <c r="C177" s="4" t="s">
        <v>35</v>
      </c>
      <c r="D177" s="4" t="s">
        <v>33</v>
      </c>
      <c r="E177" s="4" t="s">
        <v>25</v>
      </c>
      <c r="F177" s="4" t="s">
        <v>25</v>
      </c>
      <c r="G177" s="4" t="s">
        <v>25</v>
      </c>
      <c r="H177" s="4" t="s">
        <v>36</v>
      </c>
      <c r="I177" s="5">
        <v>44593</v>
      </c>
      <c r="J177" s="6">
        <v>0</v>
      </c>
      <c r="K177" s="6">
        <v>0</v>
      </c>
      <c r="L177" s="6">
        <v>144.17699999999999</v>
      </c>
      <c r="M177" s="6">
        <v>144.17699999999999</v>
      </c>
      <c r="N177" s="6">
        <v>144.17699999999999</v>
      </c>
      <c r="O177" s="6">
        <v>144.17699999999999</v>
      </c>
      <c r="P177" s="6">
        <v>0</v>
      </c>
      <c r="Q177" s="4" t="s">
        <v>26</v>
      </c>
      <c r="R177" s="4">
        <v>0</v>
      </c>
      <c r="S177" s="6">
        <v>0</v>
      </c>
      <c r="T177" s="6">
        <v>15</v>
      </c>
      <c r="U177" s="6">
        <v>9</v>
      </c>
      <c r="V177" s="6">
        <f>IF(ISERROR(VLOOKUP($S$177,'TAR FIN'!$A$1:$O$85,15,0)),0,VLOOKUP($S$177,'TAR FIN'!$A$1:$O$85,15,0))</f>
        <v>0</v>
      </c>
      <c r="W177" s="6">
        <f>IF(ISERROR(VLOOKUP($T$177,'TAR FIN'!$A$1:$O$85,15,0)),0,VLOOKUP($T$177,'TAR FIN'!$A$1:$O$85,15,0))</f>
        <v>940.75</v>
      </c>
      <c r="X177" s="6">
        <f>IF(ISERROR(VLOOKUP($U$177,'TAR FIN'!$A$1:$O$85,15,0)),0,VLOOKUP($U$177,'TAR FIN'!$A$1:$O$85,15,0))</f>
        <v>373.71</v>
      </c>
      <c r="Y177" s="6"/>
      <c r="Z177" s="6">
        <f ca="1">('TUSD BE'!$AM$11+'TUSD BF_350'!$AM$11+'TUSD CVA'!$AM$11)*1</f>
        <v>966.5081601045739</v>
      </c>
      <c r="AA177" s="6">
        <f ca="1">('TE BE'!$AB$5+'TE BF_350'!$AB$5+'TE CVA'!$AB$5)*1</f>
        <v>347.98834052804079</v>
      </c>
      <c r="AB177" s="6">
        <f>$K$177*$V$177</f>
        <v>0</v>
      </c>
      <c r="AC177" s="6">
        <f>$M$177*$W$177</f>
        <v>135634.51274999999</v>
      </c>
      <c r="AD177" s="6">
        <f>$O$177*$X$177</f>
        <v>53880.386669999993</v>
      </c>
      <c r="AE177" s="6">
        <f>$K$177*$Y$177</f>
        <v>0</v>
      </c>
      <c r="AF177" s="6">
        <f ca="1">$M$177*$Z$177</f>
        <v>139348.24699939715</v>
      </c>
      <c r="AG177" s="6">
        <f ca="1">$O$177*$AA$177</f>
        <v>50171.914972311337</v>
      </c>
    </row>
    <row r="178" spans="1:33" ht="11.25" customHeight="1" x14ac:dyDescent="0.25">
      <c r="A178" s="4" t="s">
        <v>21</v>
      </c>
      <c r="B178" s="4" t="s">
        <v>34</v>
      </c>
      <c r="C178" s="4" t="s">
        <v>35</v>
      </c>
      <c r="D178" s="4" t="s">
        <v>33</v>
      </c>
      <c r="E178" s="4" t="s">
        <v>25</v>
      </c>
      <c r="F178" s="4" t="s">
        <v>25</v>
      </c>
      <c r="G178" s="4" t="s">
        <v>25</v>
      </c>
      <c r="H178" s="4" t="s">
        <v>36</v>
      </c>
      <c r="I178" s="5">
        <v>44621</v>
      </c>
      <c r="J178" s="6">
        <v>0</v>
      </c>
      <c r="K178" s="6">
        <v>0</v>
      </c>
      <c r="L178" s="6">
        <v>145.80099999999999</v>
      </c>
      <c r="M178" s="6">
        <v>145.80099999999999</v>
      </c>
      <c r="N178" s="6">
        <v>145.80099999999999</v>
      </c>
      <c r="O178" s="6">
        <v>145.80099999999999</v>
      </c>
      <c r="P178" s="6">
        <v>0</v>
      </c>
      <c r="Q178" s="4" t="s">
        <v>26</v>
      </c>
      <c r="R178" s="4">
        <v>0</v>
      </c>
      <c r="S178" s="6">
        <v>0</v>
      </c>
      <c r="T178" s="6">
        <v>15</v>
      </c>
      <c r="U178" s="6">
        <v>9</v>
      </c>
      <c r="V178" s="6">
        <f>IF(ISERROR(VLOOKUP($S$178,'TAR FIN'!$A$1:$O$85,15,0)),0,VLOOKUP($S$178,'TAR FIN'!$A$1:$O$85,15,0))</f>
        <v>0</v>
      </c>
      <c r="W178" s="6">
        <f>IF(ISERROR(VLOOKUP($T$178,'TAR FIN'!$A$1:$O$85,15,0)),0,VLOOKUP($T$178,'TAR FIN'!$A$1:$O$85,15,0))</f>
        <v>940.75</v>
      </c>
      <c r="X178" s="6">
        <f>IF(ISERROR(VLOOKUP($U$178,'TAR FIN'!$A$1:$O$85,15,0)),0,VLOOKUP($U$178,'TAR FIN'!$A$1:$O$85,15,0))</f>
        <v>373.71</v>
      </c>
      <c r="Y178" s="6"/>
      <c r="Z178" s="6">
        <f ca="1">('TUSD BE'!$AM$11+'TUSD BF_350'!$AM$11+'TUSD CVA'!$AM$11)*1</f>
        <v>966.5081601045739</v>
      </c>
      <c r="AA178" s="6">
        <f ca="1">('TE BE'!$AB$5+'TE BF_350'!$AB$5+'TE CVA'!$AB$5)*1</f>
        <v>347.98834052804079</v>
      </c>
      <c r="AB178" s="6">
        <f>$K$178*$V$178</f>
        <v>0</v>
      </c>
      <c r="AC178" s="6">
        <f>$M$178*$W$178</f>
        <v>137162.29074999999</v>
      </c>
      <c r="AD178" s="6">
        <f>$O$178*$X$178</f>
        <v>54487.29170999999</v>
      </c>
      <c r="AE178" s="6">
        <f>$K$178*$Y$178</f>
        <v>0</v>
      </c>
      <c r="AF178" s="6">
        <f ca="1">$M$178*$Z$178</f>
        <v>140917.85625140698</v>
      </c>
      <c r="AG178" s="6">
        <f ca="1">$O$178*$AA$178</f>
        <v>50737.048037328874</v>
      </c>
    </row>
    <row r="179" spans="1:33" ht="11.25" customHeight="1" x14ac:dyDescent="0.25">
      <c r="A179" s="4" t="s">
        <v>21</v>
      </c>
      <c r="B179" s="4" t="s">
        <v>34</v>
      </c>
      <c r="C179" s="4" t="s">
        <v>35</v>
      </c>
      <c r="D179" s="4" t="s">
        <v>33</v>
      </c>
      <c r="E179" s="4" t="s">
        <v>25</v>
      </c>
      <c r="F179" s="4" t="s">
        <v>25</v>
      </c>
      <c r="G179" s="4" t="s">
        <v>25</v>
      </c>
      <c r="H179" s="4" t="s">
        <v>36</v>
      </c>
      <c r="I179" s="5">
        <v>44652</v>
      </c>
      <c r="J179" s="6">
        <v>0</v>
      </c>
      <c r="K179" s="6">
        <v>0</v>
      </c>
      <c r="L179" s="6">
        <v>136.58600000000001</v>
      </c>
      <c r="M179" s="6">
        <v>136.58600000000001</v>
      </c>
      <c r="N179" s="6">
        <v>136.58600000000001</v>
      </c>
      <c r="O179" s="6">
        <v>136.58600000000001</v>
      </c>
      <c r="P179" s="6">
        <v>0</v>
      </c>
      <c r="Q179" s="4" t="s">
        <v>26</v>
      </c>
      <c r="R179" s="4">
        <v>0</v>
      </c>
      <c r="S179" s="6">
        <v>0</v>
      </c>
      <c r="T179" s="6">
        <v>15</v>
      </c>
      <c r="U179" s="6">
        <v>9</v>
      </c>
      <c r="V179" s="6">
        <f>IF(ISERROR(VLOOKUP($S$179,'TAR FIN'!$A$1:$O$85,15,0)),0,VLOOKUP($S$179,'TAR FIN'!$A$1:$O$85,15,0))</f>
        <v>0</v>
      </c>
      <c r="W179" s="6">
        <f>IF(ISERROR(VLOOKUP($T$179,'TAR FIN'!$A$1:$O$85,15,0)),0,VLOOKUP($T$179,'TAR FIN'!$A$1:$O$85,15,0))</f>
        <v>940.75</v>
      </c>
      <c r="X179" s="6">
        <f>IF(ISERROR(VLOOKUP($U$179,'TAR FIN'!$A$1:$O$85,15,0)),0,VLOOKUP($U$179,'TAR FIN'!$A$1:$O$85,15,0))</f>
        <v>373.71</v>
      </c>
      <c r="Y179" s="6"/>
      <c r="Z179" s="6">
        <f ca="1">('TUSD BE'!$AM$11+'TUSD BF_350'!$AM$11+'TUSD CVA'!$AM$11)*1</f>
        <v>966.5081601045739</v>
      </c>
      <c r="AA179" s="6">
        <f ca="1">('TE BE'!$AB$5+'TE BF_350'!$AB$5+'TE CVA'!$AB$5)*1</f>
        <v>347.98834052804079</v>
      </c>
      <c r="AB179" s="6">
        <f>$K$179*$V$179</f>
        <v>0</v>
      </c>
      <c r="AC179" s="6">
        <f>$M$179*$W$179</f>
        <v>128493.27950000002</v>
      </c>
      <c r="AD179" s="6">
        <f>$O$179*$X$179</f>
        <v>51043.554060000002</v>
      </c>
      <c r="AE179" s="6">
        <f>$K$179*$Y$179</f>
        <v>0</v>
      </c>
      <c r="AF179" s="6">
        <f ca="1">$M$179*$Z$179</f>
        <v>132011.48355604336</v>
      </c>
      <c r="AG179" s="6">
        <f ca="1">$O$179*$AA$179</f>
        <v>47530.335479362984</v>
      </c>
    </row>
    <row r="180" spans="1:33" ht="11.25" customHeight="1" x14ac:dyDescent="0.25">
      <c r="A180" s="4" t="s">
        <v>21</v>
      </c>
      <c r="B180" s="4" t="s">
        <v>34</v>
      </c>
      <c r="C180" s="4" t="s">
        <v>35</v>
      </c>
      <c r="D180" s="4" t="s">
        <v>33</v>
      </c>
      <c r="E180" s="4" t="s">
        <v>25</v>
      </c>
      <c r="F180" s="4" t="s">
        <v>25</v>
      </c>
      <c r="G180" s="4" t="s">
        <v>25</v>
      </c>
      <c r="H180" s="4" t="s">
        <v>36</v>
      </c>
      <c r="I180" s="5">
        <v>44682</v>
      </c>
      <c r="J180" s="6">
        <v>0</v>
      </c>
      <c r="K180" s="6">
        <v>0</v>
      </c>
      <c r="L180" s="6">
        <v>141.852</v>
      </c>
      <c r="M180" s="6">
        <v>141.852</v>
      </c>
      <c r="N180" s="6">
        <v>141.852</v>
      </c>
      <c r="O180" s="6">
        <v>141.852</v>
      </c>
      <c r="P180" s="6">
        <v>0</v>
      </c>
      <c r="Q180" s="4" t="s">
        <v>26</v>
      </c>
      <c r="R180" s="4">
        <v>0</v>
      </c>
      <c r="S180" s="6">
        <v>0</v>
      </c>
      <c r="T180" s="6">
        <v>15</v>
      </c>
      <c r="U180" s="6">
        <v>9</v>
      </c>
      <c r="V180" s="6">
        <f>IF(ISERROR(VLOOKUP($S$180,'TAR FIN'!$A$1:$O$85,15,0)),0,VLOOKUP($S$180,'TAR FIN'!$A$1:$O$85,15,0))</f>
        <v>0</v>
      </c>
      <c r="W180" s="6">
        <f>IF(ISERROR(VLOOKUP($T$180,'TAR FIN'!$A$1:$O$85,15,0)),0,VLOOKUP($T$180,'TAR FIN'!$A$1:$O$85,15,0))</f>
        <v>940.75</v>
      </c>
      <c r="X180" s="6">
        <f>IF(ISERROR(VLOOKUP($U$180,'TAR FIN'!$A$1:$O$85,15,0)),0,VLOOKUP($U$180,'TAR FIN'!$A$1:$O$85,15,0))</f>
        <v>373.71</v>
      </c>
      <c r="Y180" s="6"/>
      <c r="Z180" s="6">
        <f ca="1">('TUSD BE'!$AM$11+'TUSD BF_350'!$AM$11+'TUSD CVA'!$AM$11)*1</f>
        <v>966.5081601045739</v>
      </c>
      <c r="AA180" s="6">
        <f ca="1">('TE BE'!$AB$5+'TE BF_350'!$AB$5+'TE CVA'!$AB$5)*1</f>
        <v>347.98834052804079</v>
      </c>
      <c r="AB180" s="6">
        <f>$K$180*$V$180</f>
        <v>0</v>
      </c>
      <c r="AC180" s="6">
        <f>$M$180*$W$180</f>
        <v>133447.269</v>
      </c>
      <c r="AD180" s="6">
        <f>$O$180*$X$180</f>
        <v>53011.510920000001</v>
      </c>
      <c r="AE180" s="6">
        <f>$K$180*$Y$180</f>
        <v>0</v>
      </c>
      <c r="AF180" s="6">
        <f ca="1">$M$180*$Z$180</f>
        <v>137101.11552715403</v>
      </c>
      <c r="AG180" s="6">
        <f ca="1">$O$180*$AA$180</f>
        <v>49362.842080583643</v>
      </c>
    </row>
    <row r="181" spans="1:33" ht="11.25" customHeight="1" x14ac:dyDescent="0.25">
      <c r="A181" s="4" t="s">
        <v>21</v>
      </c>
      <c r="B181" s="4" t="s">
        <v>34</v>
      </c>
      <c r="C181" s="4" t="s">
        <v>35</v>
      </c>
      <c r="D181" s="4" t="s">
        <v>33</v>
      </c>
      <c r="E181" s="4" t="s">
        <v>25</v>
      </c>
      <c r="F181" s="4" t="s">
        <v>25</v>
      </c>
      <c r="G181" s="4" t="s">
        <v>25</v>
      </c>
      <c r="H181" s="4" t="s">
        <v>36</v>
      </c>
      <c r="I181" s="5">
        <v>44713</v>
      </c>
      <c r="J181" s="6">
        <v>0</v>
      </c>
      <c r="K181" s="6">
        <v>0</v>
      </c>
      <c r="L181" s="6">
        <v>133.19300000000001</v>
      </c>
      <c r="M181" s="6">
        <v>133.19300000000001</v>
      </c>
      <c r="N181" s="6">
        <v>133.19300000000001</v>
      </c>
      <c r="O181" s="6">
        <v>133.19300000000001</v>
      </c>
      <c r="P181" s="6">
        <v>0</v>
      </c>
      <c r="Q181" s="4" t="s">
        <v>26</v>
      </c>
      <c r="R181" s="4">
        <v>0</v>
      </c>
      <c r="S181" s="6">
        <v>0</v>
      </c>
      <c r="T181" s="6">
        <v>15</v>
      </c>
      <c r="U181" s="6">
        <v>9</v>
      </c>
      <c r="V181" s="6">
        <f>IF(ISERROR(VLOOKUP($S$181,'TAR FIN'!$A$1:$O$85,15,0)),0,VLOOKUP($S$181,'TAR FIN'!$A$1:$O$85,15,0))</f>
        <v>0</v>
      </c>
      <c r="W181" s="6">
        <f>IF(ISERROR(VLOOKUP($T$181,'TAR FIN'!$A$1:$O$85,15,0)),0,VLOOKUP($T$181,'TAR FIN'!$A$1:$O$85,15,0))</f>
        <v>940.75</v>
      </c>
      <c r="X181" s="6">
        <f>IF(ISERROR(VLOOKUP($U$181,'TAR FIN'!$A$1:$O$85,15,0)),0,VLOOKUP($U$181,'TAR FIN'!$A$1:$O$85,15,0))</f>
        <v>373.71</v>
      </c>
      <c r="Y181" s="6"/>
      <c r="Z181" s="6">
        <f ca="1">('TUSD BE'!$AM$11+'TUSD BF_350'!$AM$11+'TUSD CVA'!$AM$11)*1</f>
        <v>966.5081601045739</v>
      </c>
      <c r="AA181" s="6">
        <f ca="1">('TE BE'!$AB$5+'TE BF_350'!$AB$5+'TE CVA'!$AB$5)*1</f>
        <v>347.98834052804079</v>
      </c>
      <c r="AB181" s="6">
        <f>$K$181*$V$181</f>
        <v>0</v>
      </c>
      <c r="AC181" s="6">
        <f>$M$181*$W$181</f>
        <v>125301.31475000001</v>
      </c>
      <c r="AD181" s="6">
        <f>$O$181*$X$181</f>
        <v>49775.55603</v>
      </c>
      <c r="AE181" s="6">
        <f>$K$181*$Y$181</f>
        <v>0</v>
      </c>
      <c r="AF181" s="6">
        <f ca="1">$M$181*$Z$181</f>
        <v>128732.12136880853</v>
      </c>
      <c r="AG181" s="6">
        <f ca="1">$O$181*$AA$181</f>
        <v>46349.611039951342</v>
      </c>
    </row>
    <row r="182" spans="1:33" ht="11.25" customHeight="1" x14ac:dyDescent="0.25">
      <c r="A182" s="4" t="s">
        <v>21</v>
      </c>
      <c r="B182" s="4" t="s">
        <v>34</v>
      </c>
      <c r="C182" s="4" t="s">
        <v>35</v>
      </c>
      <c r="D182" s="4" t="s">
        <v>41</v>
      </c>
      <c r="E182" s="4" t="s">
        <v>25</v>
      </c>
      <c r="F182" s="4" t="s">
        <v>25</v>
      </c>
      <c r="G182" s="4" t="s">
        <v>25</v>
      </c>
      <c r="H182" s="4" t="s">
        <v>37</v>
      </c>
      <c r="I182" s="5">
        <v>44378</v>
      </c>
      <c r="J182" s="6">
        <v>0</v>
      </c>
      <c r="K182" s="6">
        <v>0</v>
      </c>
      <c r="L182" s="6">
        <v>21.629000000000001</v>
      </c>
      <c r="M182" s="6">
        <v>21.629000000000001</v>
      </c>
      <c r="N182" s="6">
        <v>21.629000000000001</v>
      </c>
      <c r="O182" s="6">
        <v>21.629000000000001</v>
      </c>
      <c r="P182" s="6">
        <v>0</v>
      </c>
      <c r="Q182" s="4" t="s">
        <v>26</v>
      </c>
      <c r="R182" s="4">
        <v>0</v>
      </c>
      <c r="S182" s="6">
        <v>0</v>
      </c>
      <c r="T182" s="6">
        <v>13</v>
      </c>
      <c r="U182" s="6">
        <v>16</v>
      </c>
      <c r="V182" s="6">
        <f>IF(ISERROR(VLOOKUP($S$182,'TAR FIN'!$A$1:$O$85,15,0)),0,VLOOKUP($S$182,'TAR FIN'!$A$1:$O$85,15,0))</f>
        <v>0</v>
      </c>
      <c r="W182" s="6">
        <f>IF(ISERROR(VLOOKUP($T$182,'TAR FIN'!$A$1:$O$85,15,0)),0,VLOOKUP($T$182,'TAR FIN'!$A$1:$O$85,15,0))</f>
        <v>78.650000000000006</v>
      </c>
      <c r="X182" s="6">
        <f>IF(ISERROR(VLOOKUP($U$182,'TAR FIN'!$A$1:$O$85,15,0)),0,VLOOKUP($U$182,'TAR FIN'!$A$1:$O$85,15,0))</f>
        <v>229.87</v>
      </c>
      <c r="Y182" s="6"/>
      <c r="Z182" s="6">
        <f ca="1">('TUSD BE'!$AM$12+'TUSD BF_350'!$AM$12+'TUSD CVA'!$AM$12)*1</f>
        <v>114.48039155571371</v>
      </c>
      <c r="AA182" s="6">
        <f ca="1">('TE BE'!$AB$6+'TE BF_350'!$AB$6+'TE CVA'!$AB$6)*1</f>
        <v>216.60171770542672</v>
      </c>
      <c r="AB182" s="6">
        <f>$K$182*$V$182</f>
        <v>0</v>
      </c>
      <c r="AC182" s="6">
        <f>$M$182*$W$182</f>
        <v>1701.1208500000002</v>
      </c>
      <c r="AD182" s="6">
        <f>$O$182*$X$182</f>
        <v>4971.8582300000007</v>
      </c>
      <c r="AE182" s="6">
        <f>$K$182*$Y$182</f>
        <v>0</v>
      </c>
      <c r="AF182" s="6">
        <f ca="1">$M$182*$Z$182</f>
        <v>2476.0963889585319</v>
      </c>
      <c r="AG182" s="6">
        <f ca="1">$O$182*$AA$182</f>
        <v>4684.8785522506751</v>
      </c>
    </row>
    <row r="183" spans="1:33" ht="11.25" customHeight="1" x14ac:dyDescent="0.25">
      <c r="A183" s="4" t="s">
        <v>21</v>
      </c>
      <c r="B183" s="4" t="s">
        <v>34</v>
      </c>
      <c r="C183" s="4" t="s">
        <v>35</v>
      </c>
      <c r="D183" s="4" t="s">
        <v>41</v>
      </c>
      <c r="E183" s="4" t="s">
        <v>25</v>
      </c>
      <c r="F183" s="4" t="s">
        <v>25</v>
      </c>
      <c r="G183" s="4" t="s">
        <v>25</v>
      </c>
      <c r="H183" s="4" t="s">
        <v>37</v>
      </c>
      <c r="I183" s="5">
        <v>44409</v>
      </c>
      <c r="J183" s="6">
        <v>0</v>
      </c>
      <c r="K183" s="6">
        <v>0</v>
      </c>
      <c r="L183" s="6">
        <v>16.440000000000001</v>
      </c>
      <c r="M183" s="6">
        <v>16.440000000000001</v>
      </c>
      <c r="N183" s="6">
        <v>16.440000000000001</v>
      </c>
      <c r="O183" s="6">
        <v>16.440000000000001</v>
      </c>
      <c r="P183" s="6">
        <v>0</v>
      </c>
      <c r="Q183" s="4" t="s">
        <v>26</v>
      </c>
      <c r="R183" s="4">
        <v>0</v>
      </c>
      <c r="S183" s="6">
        <v>0</v>
      </c>
      <c r="T183" s="6">
        <v>13</v>
      </c>
      <c r="U183" s="6">
        <v>16</v>
      </c>
      <c r="V183" s="6">
        <f>IF(ISERROR(VLOOKUP($S$183,'TAR FIN'!$A$1:$O$85,15,0)),0,VLOOKUP($S$183,'TAR FIN'!$A$1:$O$85,15,0))</f>
        <v>0</v>
      </c>
      <c r="W183" s="6">
        <f>IF(ISERROR(VLOOKUP($T$183,'TAR FIN'!$A$1:$O$85,15,0)),0,VLOOKUP($T$183,'TAR FIN'!$A$1:$O$85,15,0))</f>
        <v>78.650000000000006</v>
      </c>
      <c r="X183" s="6">
        <f>IF(ISERROR(VLOOKUP($U$183,'TAR FIN'!$A$1:$O$85,15,0)),0,VLOOKUP($U$183,'TAR FIN'!$A$1:$O$85,15,0))</f>
        <v>229.87</v>
      </c>
      <c r="Y183" s="6"/>
      <c r="Z183" s="6">
        <f ca="1">('TUSD BE'!$AM$12+'TUSD BF_350'!$AM$12+'TUSD CVA'!$AM$12)*1</f>
        <v>114.48039155571371</v>
      </c>
      <c r="AA183" s="6">
        <f ca="1">('TE BE'!$AB$6+'TE BF_350'!$AB$6+'TE CVA'!$AB$6)*1</f>
        <v>216.60171770542672</v>
      </c>
      <c r="AB183" s="6">
        <f>$K$183*$V$183</f>
        <v>0</v>
      </c>
      <c r="AC183" s="6">
        <f>$M$183*$W$183</f>
        <v>1293.0060000000001</v>
      </c>
      <c r="AD183" s="6">
        <f>$O$183*$X$183</f>
        <v>3779.0628000000002</v>
      </c>
      <c r="AE183" s="6">
        <f>$K$183*$Y$183</f>
        <v>0</v>
      </c>
      <c r="AF183" s="6">
        <f ca="1">$M$183*$Z$183</f>
        <v>1882.0576371759335</v>
      </c>
      <c r="AG183" s="6">
        <f ca="1">$O$183*$AA$183</f>
        <v>3560.9322390772154</v>
      </c>
    </row>
    <row r="184" spans="1:33" ht="11.25" customHeight="1" x14ac:dyDescent="0.25">
      <c r="A184" s="4" t="s">
        <v>21</v>
      </c>
      <c r="B184" s="4" t="s">
        <v>34</v>
      </c>
      <c r="C184" s="4" t="s">
        <v>35</v>
      </c>
      <c r="D184" s="4" t="s">
        <v>41</v>
      </c>
      <c r="E184" s="4" t="s">
        <v>25</v>
      </c>
      <c r="F184" s="4" t="s">
        <v>25</v>
      </c>
      <c r="G184" s="4" t="s">
        <v>25</v>
      </c>
      <c r="H184" s="4" t="s">
        <v>37</v>
      </c>
      <c r="I184" s="5">
        <v>44440</v>
      </c>
      <c r="J184" s="6">
        <v>0</v>
      </c>
      <c r="K184" s="6">
        <v>0</v>
      </c>
      <c r="L184" s="6">
        <v>13.742000000000001</v>
      </c>
      <c r="M184" s="6">
        <v>13.742000000000001</v>
      </c>
      <c r="N184" s="6">
        <v>13.742000000000001</v>
      </c>
      <c r="O184" s="6">
        <v>13.742000000000001</v>
      </c>
      <c r="P184" s="6">
        <v>0</v>
      </c>
      <c r="Q184" s="4" t="s">
        <v>26</v>
      </c>
      <c r="R184" s="4">
        <v>0</v>
      </c>
      <c r="S184" s="6">
        <v>0</v>
      </c>
      <c r="T184" s="6">
        <v>13</v>
      </c>
      <c r="U184" s="6">
        <v>16</v>
      </c>
      <c r="V184" s="6">
        <f>IF(ISERROR(VLOOKUP($S$184,'TAR FIN'!$A$1:$O$85,15,0)),0,VLOOKUP($S$184,'TAR FIN'!$A$1:$O$85,15,0))</f>
        <v>0</v>
      </c>
      <c r="W184" s="6">
        <f>IF(ISERROR(VLOOKUP($T$184,'TAR FIN'!$A$1:$O$85,15,0)),0,VLOOKUP($T$184,'TAR FIN'!$A$1:$O$85,15,0))</f>
        <v>78.650000000000006</v>
      </c>
      <c r="X184" s="6">
        <f>IF(ISERROR(VLOOKUP($U$184,'TAR FIN'!$A$1:$O$85,15,0)),0,VLOOKUP($U$184,'TAR FIN'!$A$1:$O$85,15,0))</f>
        <v>229.87</v>
      </c>
      <c r="Y184" s="6"/>
      <c r="Z184" s="6">
        <f ca="1">('TUSD BE'!$AM$12+'TUSD BF_350'!$AM$12+'TUSD CVA'!$AM$12)*1</f>
        <v>114.48039155571371</v>
      </c>
      <c r="AA184" s="6">
        <f ca="1">('TE BE'!$AB$6+'TE BF_350'!$AB$6+'TE CVA'!$AB$6)*1</f>
        <v>216.60171770542672</v>
      </c>
      <c r="AB184" s="6">
        <f>$K$184*$V$184</f>
        <v>0</v>
      </c>
      <c r="AC184" s="6">
        <f>$M$184*$W$184</f>
        <v>1080.8083000000001</v>
      </c>
      <c r="AD184" s="6">
        <f>$O$184*$X$184</f>
        <v>3158.87354</v>
      </c>
      <c r="AE184" s="6">
        <f>$K$184*$Y$184</f>
        <v>0</v>
      </c>
      <c r="AF184" s="6">
        <f ca="1">$M$184*$Z$184</f>
        <v>1573.1895407586178</v>
      </c>
      <c r="AG184" s="6">
        <f ca="1">$O$184*$AA$184</f>
        <v>2976.5408047079741</v>
      </c>
    </row>
    <row r="185" spans="1:33" ht="11.25" customHeight="1" x14ac:dyDescent="0.25">
      <c r="A185" s="4" t="s">
        <v>21</v>
      </c>
      <c r="B185" s="4" t="s">
        <v>34</v>
      </c>
      <c r="C185" s="4" t="s">
        <v>35</v>
      </c>
      <c r="D185" s="4" t="s">
        <v>41</v>
      </c>
      <c r="E185" s="4" t="s">
        <v>25</v>
      </c>
      <c r="F185" s="4" t="s">
        <v>25</v>
      </c>
      <c r="G185" s="4" t="s">
        <v>25</v>
      </c>
      <c r="H185" s="4" t="s">
        <v>37</v>
      </c>
      <c r="I185" s="5">
        <v>44470</v>
      </c>
      <c r="J185" s="6">
        <v>0</v>
      </c>
      <c r="K185" s="6">
        <v>0</v>
      </c>
      <c r="L185" s="6">
        <v>13.641</v>
      </c>
      <c r="M185" s="6">
        <v>13.641</v>
      </c>
      <c r="N185" s="6">
        <v>13.641</v>
      </c>
      <c r="O185" s="6">
        <v>13.641</v>
      </c>
      <c r="P185" s="6">
        <v>0</v>
      </c>
      <c r="Q185" s="4" t="s">
        <v>26</v>
      </c>
      <c r="R185" s="4">
        <v>0</v>
      </c>
      <c r="S185" s="6">
        <v>0</v>
      </c>
      <c r="T185" s="6">
        <v>13</v>
      </c>
      <c r="U185" s="6">
        <v>16</v>
      </c>
      <c r="V185" s="6">
        <f>IF(ISERROR(VLOOKUP($S$185,'TAR FIN'!$A$1:$O$85,15,0)),0,VLOOKUP($S$185,'TAR FIN'!$A$1:$O$85,15,0))</f>
        <v>0</v>
      </c>
      <c r="W185" s="6">
        <f>IF(ISERROR(VLOOKUP($T$185,'TAR FIN'!$A$1:$O$85,15,0)),0,VLOOKUP($T$185,'TAR FIN'!$A$1:$O$85,15,0))</f>
        <v>78.650000000000006</v>
      </c>
      <c r="X185" s="6">
        <f>IF(ISERROR(VLOOKUP($U$185,'TAR FIN'!$A$1:$O$85,15,0)),0,VLOOKUP($U$185,'TAR FIN'!$A$1:$O$85,15,0))</f>
        <v>229.87</v>
      </c>
      <c r="Y185" s="6"/>
      <c r="Z185" s="6">
        <f ca="1">('TUSD BE'!$AM$12+'TUSD BF_350'!$AM$12+'TUSD CVA'!$AM$12)*1</f>
        <v>114.48039155571371</v>
      </c>
      <c r="AA185" s="6">
        <f ca="1">('TE BE'!$AB$6+'TE BF_350'!$AB$6+'TE CVA'!$AB$6)*1</f>
        <v>216.60171770542672</v>
      </c>
      <c r="AB185" s="6">
        <f>$K$185*$V$185</f>
        <v>0</v>
      </c>
      <c r="AC185" s="6">
        <f>$M$185*$W$185</f>
        <v>1072.86465</v>
      </c>
      <c r="AD185" s="6">
        <f>$O$185*$X$185</f>
        <v>3135.6566699999998</v>
      </c>
      <c r="AE185" s="6">
        <f>$K$185*$Y$185</f>
        <v>0</v>
      </c>
      <c r="AF185" s="6">
        <f ca="1">$M$185*$Z$185</f>
        <v>1561.6270212114907</v>
      </c>
      <c r="AG185" s="6">
        <f ca="1">$O$185*$AA$185</f>
        <v>2954.664031219726</v>
      </c>
    </row>
    <row r="186" spans="1:33" ht="11.25" customHeight="1" x14ac:dyDescent="0.25">
      <c r="A186" s="4" t="s">
        <v>21</v>
      </c>
      <c r="B186" s="4" t="s">
        <v>34</v>
      </c>
      <c r="C186" s="4" t="s">
        <v>35</v>
      </c>
      <c r="D186" s="4" t="s">
        <v>41</v>
      </c>
      <c r="E186" s="4" t="s">
        <v>25</v>
      </c>
      <c r="F186" s="4" t="s">
        <v>25</v>
      </c>
      <c r="G186" s="4" t="s">
        <v>25</v>
      </c>
      <c r="H186" s="4" t="s">
        <v>37</v>
      </c>
      <c r="I186" s="5">
        <v>44501</v>
      </c>
      <c r="J186" s="6">
        <v>0</v>
      </c>
      <c r="K186" s="6">
        <v>0</v>
      </c>
      <c r="L186" s="6">
        <v>19.138999999999999</v>
      </c>
      <c r="M186" s="6">
        <v>19.138999999999999</v>
      </c>
      <c r="N186" s="6">
        <v>19.138999999999999</v>
      </c>
      <c r="O186" s="6">
        <v>19.138999999999999</v>
      </c>
      <c r="P186" s="6">
        <v>0</v>
      </c>
      <c r="Q186" s="4" t="s">
        <v>26</v>
      </c>
      <c r="R186" s="4">
        <v>0</v>
      </c>
      <c r="S186" s="6">
        <v>0</v>
      </c>
      <c r="T186" s="6">
        <v>13</v>
      </c>
      <c r="U186" s="6">
        <v>16</v>
      </c>
      <c r="V186" s="6">
        <f>IF(ISERROR(VLOOKUP($S$186,'TAR FIN'!$A$1:$O$85,15,0)),0,VLOOKUP($S$186,'TAR FIN'!$A$1:$O$85,15,0))</f>
        <v>0</v>
      </c>
      <c r="W186" s="6">
        <f>IF(ISERROR(VLOOKUP($T$186,'TAR FIN'!$A$1:$O$85,15,0)),0,VLOOKUP($T$186,'TAR FIN'!$A$1:$O$85,15,0))</f>
        <v>78.650000000000006</v>
      </c>
      <c r="X186" s="6">
        <f>IF(ISERROR(VLOOKUP($U$186,'TAR FIN'!$A$1:$O$85,15,0)),0,VLOOKUP($U$186,'TAR FIN'!$A$1:$O$85,15,0))</f>
        <v>229.87</v>
      </c>
      <c r="Y186" s="6"/>
      <c r="Z186" s="6">
        <f ca="1">('TUSD BE'!$AM$12+'TUSD BF_350'!$AM$12+'TUSD CVA'!$AM$12)*1</f>
        <v>114.48039155571371</v>
      </c>
      <c r="AA186" s="6">
        <f ca="1">('TE BE'!$AB$6+'TE BF_350'!$AB$6+'TE CVA'!$AB$6)*1</f>
        <v>216.60171770542672</v>
      </c>
      <c r="AB186" s="6">
        <f>$K$186*$V$186</f>
        <v>0</v>
      </c>
      <c r="AC186" s="6">
        <f>$M$186*$W$186</f>
        <v>1505.28235</v>
      </c>
      <c r="AD186" s="6">
        <f>$O$186*$X$186</f>
        <v>4399.4819299999999</v>
      </c>
      <c r="AE186" s="6">
        <f>$K$186*$Y$186</f>
        <v>0</v>
      </c>
      <c r="AF186" s="6">
        <f ca="1">$M$186*$Z$186</f>
        <v>2191.0402139848047</v>
      </c>
      <c r="AG186" s="6">
        <f ca="1">$O$186*$AA$186</f>
        <v>4145.5402751641623</v>
      </c>
    </row>
    <row r="187" spans="1:33" ht="11.25" customHeight="1" x14ac:dyDescent="0.25">
      <c r="A187" s="4" t="s">
        <v>21</v>
      </c>
      <c r="B187" s="4" t="s">
        <v>34</v>
      </c>
      <c r="C187" s="4" t="s">
        <v>35</v>
      </c>
      <c r="D187" s="4" t="s">
        <v>41</v>
      </c>
      <c r="E187" s="4" t="s">
        <v>25</v>
      </c>
      <c r="F187" s="4" t="s">
        <v>25</v>
      </c>
      <c r="G187" s="4" t="s">
        <v>25</v>
      </c>
      <c r="H187" s="4" t="s">
        <v>37</v>
      </c>
      <c r="I187" s="5">
        <v>44531</v>
      </c>
      <c r="J187" s="6">
        <v>0</v>
      </c>
      <c r="K187" s="6">
        <v>0</v>
      </c>
      <c r="L187" s="6">
        <v>23.221</v>
      </c>
      <c r="M187" s="6">
        <v>23.221</v>
      </c>
      <c r="N187" s="6">
        <v>23.221</v>
      </c>
      <c r="O187" s="6">
        <v>23.221</v>
      </c>
      <c r="P187" s="6">
        <v>0</v>
      </c>
      <c r="Q187" s="4" t="s">
        <v>26</v>
      </c>
      <c r="R187" s="4">
        <v>0</v>
      </c>
      <c r="S187" s="6">
        <v>0</v>
      </c>
      <c r="T187" s="6">
        <v>13</v>
      </c>
      <c r="U187" s="6">
        <v>16</v>
      </c>
      <c r="V187" s="6">
        <f>IF(ISERROR(VLOOKUP($S$187,'TAR FIN'!$A$1:$O$85,15,0)),0,VLOOKUP($S$187,'TAR FIN'!$A$1:$O$85,15,0))</f>
        <v>0</v>
      </c>
      <c r="W187" s="6">
        <f>IF(ISERROR(VLOOKUP($T$187,'TAR FIN'!$A$1:$O$85,15,0)),0,VLOOKUP($T$187,'TAR FIN'!$A$1:$O$85,15,0))</f>
        <v>78.650000000000006</v>
      </c>
      <c r="X187" s="6">
        <f>IF(ISERROR(VLOOKUP($U$187,'TAR FIN'!$A$1:$O$85,15,0)),0,VLOOKUP($U$187,'TAR FIN'!$A$1:$O$85,15,0))</f>
        <v>229.87</v>
      </c>
      <c r="Y187" s="6"/>
      <c r="Z187" s="6">
        <f ca="1">('TUSD BE'!$AM$12+'TUSD BF_350'!$AM$12+'TUSD CVA'!$AM$12)*1</f>
        <v>114.48039155571371</v>
      </c>
      <c r="AA187" s="6">
        <f ca="1">('TE BE'!$AB$6+'TE BF_350'!$AB$6+'TE CVA'!$AB$6)*1</f>
        <v>216.60171770542672</v>
      </c>
      <c r="AB187" s="6">
        <f>$K$187*$V$187</f>
        <v>0</v>
      </c>
      <c r="AC187" s="6">
        <f>$M$187*$W$187</f>
        <v>1826.3316500000001</v>
      </c>
      <c r="AD187" s="6">
        <f>$O$187*$X$187</f>
        <v>5337.8112700000001</v>
      </c>
      <c r="AE187" s="6">
        <f>$K$187*$Y$187</f>
        <v>0</v>
      </c>
      <c r="AF187" s="6">
        <f ca="1">$M$187*$Z$187</f>
        <v>2658.3491723152279</v>
      </c>
      <c r="AG187" s="6">
        <f ca="1">$O$187*$AA$187</f>
        <v>5029.7084868377142</v>
      </c>
    </row>
    <row r="188" spans="1:33" ht="11.25" customHeight="1" x14ac:dyDescent="0.25">
      <c r="A188" s="4" t="s">
        <v>21</v>
      </c>
      <c r="B188" s="4" t="s">
        <v>34</v>
      </c>
      <c r="C188" s="4" t="s">
        <v>35</v>
      </c>
      <c r="D188" s="4" t="s">
        <v>41</v>
      </c>
      <c r="E188" s="4" t="s">
        <v>25</v>
      </c>
      <c r="F188" s="4" t="s">
        <v>25</v>
      </c>
      <c r="G188" s="4" t="s">
        <v>25</v>
      </c>
      <c r="H188" s="4" t="s">
        <v>37</v>
      </c>
      <c r="I188" s="5">
        <v>44562</v>
      </c>
      <c r="J188" s="6">
        <v>0</v>
      </c>
      <c r="K188" s="6">
        <v>0</v>
      </c>
      <c r="L188" s="6">
        <v>21.416</v>
      </c>
      <c r="M188" s="6">
        <v>21.416</v>
      </c>
      <c r="N188" s="6">
        <v>21.416</v>
      </c>
      <c r="O188" s="6">
        <v>21.416</v>
      </c>
      <c r="P188" s="6">
        <v>0</v>
      </c>
      <c r="Q188" s="4" t="s">
        <v>26</v>
      </c>
      <c r="R188" s="4">
        <v>0</v>
      </c>
      <c r="S188" s="6">
        <v>0</v>
      </c>
      <c r="T188" s="6">
        <v>13</v>
      </c>
      <c r="U188" s="6">
        <v>16</v>
      </c>
      <c r="V188" s="6">
        <f>IF(ISERROR(VLOOKUP($S$188,'TAR FIN'!$A$1:$O$85,15,0)),0,VLOOKUP($S$188,'TAR FIN'!$A$1:$O$85,15,0))</f>
        <v>0</v>
      </c>
      <c r="W188" s="6">
        <f>IF(ISERROR(VLOOKUP($T$188,'TAR FIN'!$A$1:$O$85,15,0)),0,VLOOKUP($T$188,'TAR FIN'!$A$1:$O$85,15,0))</f>
        <v>78.650000000000006</v>
      </c>
      <c r="X188" s="6">
        <f>IF(ISERROR(VLOOKUP($U$188,'TAR FIN'!$A$1:$O$85,15,0)),0,VLOOKUP($U$188,'TAR FIN'!$A$1:$O$85,15,0))</f>
        <v>229.87</v>
      </c>
      <c r="Y188" s="6"/>
      <c r="Z188" s="6">
        <f ca="1">('TUSD BE'!$AM$12+'TUSD BF_350'!$AM$12+'TUSD CVA'!$AM$12)*1</f>
        <v>114.48039155571371</v>
      </c>
      <c r="AA188" s="6">
        <f ca="1">('TE BE'!$AB$6+'TE BF_350'!$AB$6+'TE CVA'!$AB$6)*1</f>
        <v>216.60171770542672</v>
      </c>
      <c r="AB188" s="6">
        <f>$K$188*$V$188</f>
        <v>0</v>
      </c>
      <c r="AC188" s="6">
        <f>$M$188*$W$188</f>
        <v>1684.3684000000001</v>
      </c>
      <c r="AD188" s="6">
        <f>$O$188*$X$188</f>
        <v>4922.8959199999999</v>
      </c>
      <c r="AE188" s="6">
        <f>$K$188*$Y$188</f>
        <v>0</v>
      </c>
      <c r="AF188" s="6">
        <f ca="1">$M$188*$Z$188</f>
        <v>2451.7120655571648</v>
      </c>
      <c r="AG188" s="6">
        <f ca="1">$O$188*$AA$188</f>
        <v>4638.7423863794183</v>
      </c>
    </row>
    <row r="189" spans="1:33" ht="11.25" customHeight="1" x14ac:dyDescent="0.25">
      <c r="A189" s="4" t="s">
        <v>21</v>
      </c>
      <c r="B189" s="4" t="s">
        <v>34</v>
      </c>
      <c r="C189" s="4" t="s">
        <v>35</v>
      </c>
      <c r="D189" s="4" t="s">
        <v>41</v>
      </c>
      <c r="E189" s="4" t="s">
        <v>25</v>
      </c>
      <c r="F189" s="4" t="s">
        <v>25</v>
      </c>
      <c r="G189" s="4" t="s">
        <v>25</v>
      </c>
      <c r="H189" s="4" t="s">
        <v>37</v>
      </c>
      <c r="I189" s="5">
        <v>44593</v>
      </c>
      <c r="J189" s="6">
        <v>0</v>
      </c>
      <c r="K189" s="6">
        <v>0</v>
      </c>
      <c r="L189" s="6">
        <v>17.783000000000001</v>
      </c>
      <c r="M189" s="6">
        <v>17.783000000000001</v>
      </c>
      <c r="N189" s="6">
        <v>17.783000000000001</v>
      </c>
      <c r="O189" s="6">
        <v>17.783000000000001</v>
      </c>
      <c r="P189" s="6">
        <v>0</v>
      </c>
      <c r="Q189" s="4" t="s">
        <v>26</v>
      </c>
      <c r="R189" s="4">
        <v>0</v>
      </c>
      <c r="S189" s="6">
        <v>0</v>
      </c>
      <c r="T189" s="6">
        <v>13</v>
      </c>
      <c r="U189" s="6">
        <v>16</v>
      </c>
      <c r="V189" s="6">
        <f>IF(ISERROR(VLOOKUP($S$189,'TAR FIN'!$A$1:$O$85,15,0)),0,VLOOKUP($S$189,'TAR FIN'!$A$1:$O$85,15,0))</f>
        <v>0</v>
      </c>
      <c r="W189" s="6">
        <f>IF(ISERROR(VLOOKUP($T$189,'TAR FIN'!$A$1:$O$85,15,0)),0,VLOOKUP($T$189,'TAR FIN'!$A$1:$O$85,15,0))</f>
        <v>78.650000000000006</v>
      </c>
      <c r="X189" s="6">
        <f>IF(ISERROR(VLOOKUP($U$189,'TAR FIN'!$A$1:$O$85,15,0)),0,VLOOKUP($U$189,'TAR FIN'!$A$1:$O$85,15,0))</f>
        <v>229.87</v>
      </c>
      <c r="Y189" s="6"/>
      <c r="Z189" s="6">
        <f ca="1">('TUSD BE'!$AM$12+'TUSD BF_350'!$AM$12+'TUSD CVA'!$AM$12)*1</f>
        <v>114.48039155571371</v>
      </c>
      <c r="AA189" s="6">
        <f ca="1">('TE BE'!$AB$6+'TE BF_350'!$AB$6+'TE CVA'!$AB$6)*1</f>
        <v>216.60171770542672</v>
      </c>
      <c r="AB189" s="6">
        <f>$K$189*$V$189</f>
        <v>0</v>
      </c>
      <c r="AC189" s="6">
        <f>$M$189*$W$189</f>
        <v>1398.6329500000002</v>
      </c>
      <c r="AD189" s="6">
        <f>$O$189*$X$189</f>
        <v>4087.7782100000004</v>
      </c>
      <c r="AE189" s="6">
        <f>$K$189*$Y$189</f>
        <v>0</v>
      </c>
      <c r="AF189" s="6">
        <f ca="1">$M$189*$Z$189</f>
        <v>2035.804803035257</v>
      </c>
      <c r="AG189" s="6">
        <f ca="1">$O$189*$AA$189</f>
        <v>3851.8283459556037</v>
      </c>
    </row>
    <row r="190" spans="1:33" ht="11.25" customHeight="1" x14ac:dyDescent="0.25">
      <c r="A190" s="4" t="s">
        <v>21</v>
      </c>
      <c r="B190" s="4" t="s">
        <v>34</v>
      </c>
      <c r="C190" s="4" t="s">
        <v>35</v>
      </c>
      <c r="D190" s="4" t="s">
        <v>41</v>
      </c>
      <c r="E190" s="4" t="s">
        <v>25</v>
      </c>
      <c r="F190" s="4" t="s">
        <v>25</v>
      </c>
      <c r="G190" s="4" t="s">
        <v>25</v>
      </c>
      <c r="H190" s="4" t="s">
        <v>37</v>
      </c>
      <c r="I190" s="5">
        <v>44621</v>
      </c>
      <c r="J190" s="6">
        <v>0</v>
      </c>
      <c r="K190" s="6">
        <v>0</v>
      </c>
      <c r="L190" s="6">
        <v>21.353000000000002</v>
      </c>
      <c r="M190" s="6">
        <v>21.353000000000002</v>
      </c>
      <c r="N190" s="6">
        <v>21.353000000000002</v>
      </c>
      <c r="O190" s="6">
        <v>21.353000000000002</v>
      </c>
      <c r="P190" s="6">
        <v>0</v>
      </c>
      <c r="Q190" s="4" t="s">
        <v>26</v>
      </c>
      <c r="R190" s="4">
        <v>0</v>
      </c>
      <c r="S190" s="6">
        <v>0</v>
      </c>
      <c r="T190" s="6">
        <v>13</v>
      </c>
      <c r="U190" s="6">
        <v>16</v>
      </c>
      <c r="V190" s="6">
        <f>IF(ISERROR(VLOOKUP($S$190,'TAR FIN'!$A$1:$O$85,15,0)),0,VLOOKUP($S$190,'TAR FIN'!$A$1:$O$85,15,0))</f>
        <v>0</v>
      </c>
      <c r="W190" s="6">
        <f>IF(ISERROR(VLOOKUP($T$190,'TAR FIN'!$A$1:$O$85,15,0)),0,VLOOKUP($T$190,'TAR FIN'!$A$1:$O$85,15,0))</f>
        <v>78.650000000000006</v>
      </c>
      <c r="X190" s="6">
        <f>IF(ISERROR(VLOOKUP($U$190,'TAR FIN'!$A$1:$O$85,15,0)),0,VLOOKUP($U$190,'TAR FIN'!$A$1:$O$85,15,0))</f>
        <v>229.87</v>
      </c>
      <c r="Y190" s="6"/>
      <c r="Z190" s="6">
        <f ca="1">('TUSD BE'!$AM$12+'TUSD BF_350'!$AM$12+'TUSD CVA'!$AM$12)*1</f>
        <v>114.48039155571371</v>
      </c>
      <c r="AA190" s="6">
        <f ca="1">('TE BE'!$AB$6+'TE BF_350'!$AB$6+'TE CVA'!$AB$6)*1</f>
        <v>216.60171770542672</v>
      </c>
      <c r="AB190" s="6">
        <f>$K$190*$V$190</f>
        <v>0</v>
      </c>
      <c r="AC190" s="6">
        <f>$M$190*$W$190</f>
        <v>1679.4134500000002</v>
      </c>
      <c r="AD190" s="6">
        <f>$O$190*$X$190</f>
        <v>4908.4141100000006</v>
      </c>
      <c r="AE190" s="6">
        <f>$K$190*$Y$190</f>
        <v>0</v>
      </c>
      <c r="AF190" s="6">
        <f ca="1">$M$190*$Z$190</f>
        <v>2444.4998008891548</v>
      </c>
      <c r="AG190" s="6">
        <f ca="1">$O$190*$AA$190</f>
        <v>4625.0964781639768</v>
      </c>
    </row>
    <row r="191" spans="1:33" ht="11.25" customHeight="1" x14ac:dyDescent="0.25">
      <c r="A191" s="4" t="s">
        <v>21</v>
      </c>
      <c r="B191" s="4" t="s">
        <v>34</v>
      </c>
      <c r="C191" s="4" t="s">
        <v>35</v>
      </c>
      <c r="D191" s="4" t="s">
        <v>41</v>
      </c>
      <c r="E191" s="4" t="s">
        <v>25</v>
      </c>
      <c r="F191" s="4" t="s">
        <v>25</v>
      </c>
      <c r="G191" s="4" t="s">
        <v>25</v>
      </c>
      <c r="H191" s="4" t="s">
        <v>37</v>
      </c>
      <c r="I191" s="5">
        <v>44652</v>
      </c>
      <c r="J191" s="6">
        <v>0</v>
      </c>
      <c r="K191" s="6">
        <v>0</v>
      </c>
      <c r="L191" s="6">
        <v>13.961</v>
      </c>
      <c r="M191" s="6">
        <v>13.961</v>
      </c>
      <c r="N191" s="6">
        <v>13.961</v>
      </c>
      <c r="O191" s="6">
        <v>13.961</v>
      </c>
      <c r="P191" s="6">
        <v>0</v>
      </c>
      <c r="Q191" s="4" t="s">
        <v>26</v>
      </c>
      <c r="R191" s="4">
        <v>0</v>
      </c>
      <c r="S191" s="6">
        <v>0</v>
      </c>
      <c r="T191" s="6">
        <v>13</v>
      </c>
      <c r="U191" s="6">
        <v>16</v>
      </c>
      <c r="V191" s="6">
        <f>IF(ISERROR(VLOOKUP($S$191,'TAR FIN'!$A$1:$O$85,15,0)),0,VLOOKUP($S$191,'TAR FIN'!$A$1:$O$85,15,0))</f>
        <v>0</v>
      </c>
      <c r="W191" s="6">
        <f>IF(ISERROR(VLOOKUP($T$191,'TAR FIN'!$A$1:$O$85,15,0)),0,VLOOKUP($T$191,'TAR FIN'!$A$1:$O$85,15,0))</f>
        <v>78.650000000000006</v>
      </c>
      <c r="X191" s="6">
        <f>IF(ISERROR(VLOOKUP($U$191,'TAR FIN'!$A$1:$O$85,15,0)),0,VLOOKUP($U$191,'TAR FIN'!$A$1:$O$85,15,0))</f>
        <v>229.87</v>
      </c>
      <c r="Y191" s="6"/>
      <c r="Z191" s="6">
        <f ca="1">('TUSD BE'!$AM$12+'TUSD BF_350'!$AM$12+'TUSD CVA'!$AM$12)*1</f>
        <v>114.48039155571371</v>
      </c>
      <c r="AA191" s="6">
        <f ca="1">('TE BE'!$AB$6+'TE BF_350'!$AB$6+'TE CVA'!$AB$6)*1</f>
        <v>216.60171770542672</v>
      </c>
      <c r="AB191" s="6">
        <f>$K$191*$V$191</f>
        <v>0</v>
      </c>
      <c r="AC191" s="6">
        <f>$M$191*$W$191</f>
        <v>1098.0326500000001</v>
      </c>
      <c r="AD191" s="6">
        <f>$O$191*$X$191</f>
        <v>3209.2150700000002</v>
      </c>
      <c r="AE191" s="6">
        <f>$K$191*$Y$191</f>
        <v>0</v>
      </c>
      <c r="AF191" s="6">
        <f ca="1">$M$191*$Z$191</f>
        <v>1598.2607465093192</v>
      </c>
      <c r="AG191" s="6">
        <f ca="1">$O$191*$AA$191</f>
        <v>3023.9765808854627</v>
      </c>
    </row>
    <row r="192" spans="1:33" ht="11.25" customHeight="1" x14ac:dyDescent="0.25">
      <c r="A192" s="4" t="s">
        <v>21</v>
      </c>
      <c r="B192" s="4" t="s">
        <v>34</v>
      </c>
      <c r="C192" s="4" t="s">
        <v>35</v>
      </c>
      <c r="D192" s="4" t="s">
        <v>41</v>
      </c>
      <c r="E192" s="4" t="s">
        <v>25</v>
      </c>
      <c r="F192" s="4" t="s">
        <v>25</v>
      </c>
      <c r="G192" s="4" t="s">
        <v>25</v>
      </c>
      <c r="H192" s="4" t="s">
        <v>37</v>
      </c>
      <c r="I192" s="5">
        <v>44682</v>
      </c>
      <c r="J192" s="6">
        <v>0</v>
      </c>
      <c r="K192" s="6">
        <v>0</v>
      </c>
      <c r="L192" s="6">
        <v>19.73</v>
      </c>
      <c r="M192" s="6">
        <v>19.73</v>
      </c>
      <c r="N192" s="6">
        <v>19.73</v>
      </c>
      <c r="O192" s="6">
        <v>19.73</v>
      </c>
      <c r="P192" s="6">
        <v>0</v>
      </c>
      <c r="Q192" s="4" t="s">
        <v>26</v>
      </c>
      <c r="R192" s="4">
        <v>0</v>
      </c>
      <c r="S192" s="6">
        <v>0</v>
      </c>
      <c r="T192" s="6">
        <v>13</v>
      </c>
      <c r="U192" s="6">
        <v>16</v>
      </c>
      <c r="V192" s="6">
        <f>IF(ISERROR(VLOOKUP($S$192,'TAR FIN'!$A$1:$O$85,15,0)),0,VLOOKUP($S$192,'TAR FIN'!$A$1:$O$85,15,0))</f>
        <v>0</v>
      </c>
      <c r="W192" s="6">
        <f>IF(ISERROR(VLOOKUP($T$192,'TAR FIN'!$A$1:$O$85,15,0)),0,VLOOKUP($T$192,'TAR FIN'!$A$1:$O$85,15,0))</f>
        <v>78.650000000000006</v>
      </c>
      <c r="X192" s="6">
        <f>IF(ISERROR(VLOOKUP($U$192,'TAR FIN'!$A$1:$O$85,15,0)),0,VLOOKUP($U$192,'TAR FIN'!$A$1:$O$85,15,0))</f>
        <v>229.87</v>
      </c>
      <c r="Y192" s="6"/>
      <c r="Z192" s="6">
        <f ca="1">('TUSD BE'!$AM$12+'TUSD BF_350'!$AM$12+'TUSD CVA'!$AM$12)*1</f>
        <v>114.48039155571371</v>
      </c>
      <c r="AA192" s="6">
        <f ca="1">('TE BE'!$AB$6+'TE BF_350'!$AB$6+'TE CVA'!$AB$6)*1</f>
        <v>216.60171770542672</v>
      </c>
      <c r="AB192" s="6">
        <f>$K$192*$V$192</f>
        <v>0</v>
      </c>
      <c r="AC192" s="6">
        <f>$M$192*$W$192</f>
        <v>1551.7645000000002</v>
      </c>
      <c r="AD192" s="6">
        <f>$O$192*$X$192</f>
        <v>4535.3351000000002</v>
      </c>
      <c r="AE192" s="6">
        <f>$K$192*$Y$192</f>
        <v>0</v>
      </c>
      <c r="AF192" s="6">
        <f ca="1">$M$192*$Z$192</f>
        <v>2258.6981253942317</v>
      </c>
      <c r="AG192" s="6">
        <f ca="1">$O$192*$AA$192</f>
        <v>4273.551890328069</v>
      </c>
    </row>
    <row r="193" spans="1:33" ht="11.25" customHeight="1" x14ac:dyDescent="0.25">
      <c r="A193" s="4" t="s">
        <v>21</v>
      </c>
      <c r="B193" s="4" t="s">
        <v>34</v>
      </c>
      <c r="C193" s="4" t="s">
        <v>35</v>
      </c>
      <c r="D193" s="4" t="s">
        <v>41</v>
      </c>
      <c r="E193" s="4" t="s">
        <v>25</v>
      </c>
      <c r="F193" s="4" t="s">
        <v>25</v>
      </c>
      <c r="G193" s="4" t="s">
        <v>25</v>
      </c>
      <c r="H193" s="4" t="s">
        <v>37</v>
      </c>
      <c r="I193" s="5">
        <v>44713</v>
      </c>
      <c r="J193" s="6">
        <v>0</v>
      </c>
      <c r="K193" s="6">
        <v>0</v>
      </c>
      <c r="L193" s="6">
        <v>22.042999999999999</v>
      </c>
      <c r="M193" s="6">
        <v>22.042999999999999</v>
      </c>
      <c r="N193" s="6">
        <v>22.042999999999999</v>
      </c>
      <c r="O193" s="6">
        <v>22.042999999999999</v>
      </c>
      <c r="P193" s="6">
        <v>0</v>
      </c>
      <c r="Q193" s="4" t="s">
        <v>26</v>
      </c>
      <c r="R193" s="4">
        <v>0</v>
      </c>
      <c r="S193" s="6">
        <v>0</v>
      </c>
      <c r="T193" s="6">
        <v>13</v>
      </c>
      <c r="U193" s="6">
        <v>16</v>
      </c>
      <c r="V193" s="6">
        <f>IF(ISERROR(VLOOKUP($S$193,'TAR FIN'!$A$1:$O$85,15,0)),0,VLOOKUP($S$193,'TAR FIN'!$A$1:$O$85,15,0))</f>
        <v>0</v>
      </c>
      <c r="W193" s="6">
        <f>IF(ISERROR(VLOOKUP($T$193,'TAR FIN'!$A$1:$O$85,15,0)),0,VLOOKUP($T$193,'TAR FIN'!$A$1:$O$85,15,0))</f>
        <v>78.650000000000006</v>
      </c>
      <c r="X193" s="6">
        <f>IF(ISERROR(VLOOKUP($U$193,'TAR FIN'!$A$1:$O$85,15,0)),0,VLOOKUP($U$193,'TAR FIN'!$A$1:$O$85,15,0))</f>
        <v>229.87</v>
      </c>
      <c r="Y193" s="6"/>
      <c r="Z193" s="6">
        <f ca="1">('TUSD BE'!$AM$12+'TUSD BF_350'!$AM$12+'TUSD CVA'!$AM$12)*1</f>
        <v>114.48039155571371</v>
      </c>
      <c r="AA193" s="6">
        <f ca="1">('TE BE'!$AB$6+'TE BF_350'!$AB$6+'TE CVA'!$AB$6)*1</f>
        <v>216.60171770542672</v>
      </c>
      <c r="AB193" s="6">
        <f>$K$193*$V$193</f>
        <v>0</v>
      </c>
      <c r="AC193" s="6">
        <f>$M$193*$W$193</f>
        <v>1733.6819500000001</v>
      </c>
      <c r="AD193" s="6">
        <f>$O$193*$X$193</f>
        <v>5067.02441</v>
      </c>
      <c r="AE193" s="6">
        <f>$K$193*$Y$193</f>
        <v>0</v>
      </c>
      <c r="AF193" s="6">
        <f ca="1">$M$193*$Z$193</f>
        <v>2523.4912710625972</v>
      </c>
      <c r="AG193" s="6">
        <f ca="1">$O$193*$AA$193</f>
        <v>4774.551663380721</v>
      </c>
    </row>
    <row r="194" spans="1:33" ht="11.25" customHeight="1" x14ac:dyDescent="0.25">
      <c r="A194" s="4" t="s">
        <v>21</v>
      </c>
      <c r="B194" s="4" t="s">
        <v>34</v>
      </c>
      <c r="C194" s="4" t="s">
        <v>35</v>
      </c>
      <c r="D194" s="4" t="s">
        <v>41</v>
      </c>
      <c r="E194" s="4" t="s">
        <v>25</v>
      </c>
      <c r="F194" s="4" t="s">
        <v>25</v>
      </c>
      <c r="G194" s="4" t="s">
        <v>25</v>
      </c>
      <c r="H194" s="4" t="s">
        <v>25</v>
      </c>
      <c r="I194" s="5">
        <v>44378</v>
      </c>
      <c r="J194" s="6">
        <v>368</v>
      </c>
      <c r="K194" s="6">
        <v>368</v>
      </c>
      <c r="L194" s="6">
        <v>0</v>
      </c>
      <c r="M194" s="6">
        <v>0</v>
      </c>
      <c r="N194" s="6">
        <v>0</v>
      </c>
      <c r="O194" s="6">
        <v>0</v>
      </c>
      <c r="P194" s="6">
        <v>4</v>
      </c>
      <c r="Q194" s="4" t="s">
        <v>26</v>
      </c>
      <c r="R194" s="4">
        <v>0</v>
      </c>
      <c r="S194" s="6">
        <v>36</v>
      </c>
      <c r="T194" s="6">
        <v>0</v>
      </c>
      <c r="U194" s="6">
        <v>0</v>
      </c>
      <c r="V194" s="6">
        <f>IF(ISERROR(VLOOKUP($S$194,'TAR FIN'!$A$1:$O$85,15,0)),0,VLOOKUP($S$194,'TAR FIN'!$A$1:$O$85,15,0))</f>
        <v>14.94</v>
      </c>
      <c r="W194" s="6">
        <f>IF(ISERROR(VLOOKUP($T$194,'TAR FIN'!$A$1:$O$85,15,0)),0,VLOOKUP($T$194,'TAR FIN'!$A$1:$O$85,15,0))</f>
        <v>0</v>
      </c>
      <c r="X194" s="6">
        <f>IF(ISERROR(VLOOKUP($U$194,'TAR FIN'!$A$1:$O$85,15,0)),0,VLOOKUP($U$194,'TAR FIN'!$A$1:$O$85,15,0))</f>
        <v>0</v>
      </c>
      <c r="Y194" s="6">
        <f ca="1">('TUSD BE'!$AM$10+'TUSD BF_350'!$AM$10+'TUSD CVA'!$AM$10)*1</f>
        <v>19.63429077280307</v>
      </c>
      <c r="Z194" s="6"/>
      <c r="AA194" s="6"/>
      <c r="AB194" s="6">
        <f>$K$194*$V$194</f>
        <v>5497.92</v>
      </c>
      <c r="AC194" s="6">
        <f>$M$194*$W$194</f>
        <v>0</v>
      </c>
      <c r="AD194" s="6">
        <f>$O$194*$X$194</f>
        <v>0</v>
      </c>
      <c r="AE194" s="6">
        <f ca="1">$K$194*$Y$194</f>
        <v>7225.4190043915296</v>
      </c>
      <c r="AF194" s="6">
        <f>$M$194*$Z$194</f>
        <v>0</v>
      </c>
      <c r="AG194" s="6">
        <f>$O$194*$AA$194</f>
        <v>0</v>
      </c>
    </row>
    <row r="195" spans="1:33" ht="11.25" customHeight="1" x14ac:dyDescent="0.25">
      <c r="A195" s="4" t="s">
        <v>21</v>
      </c>
      <c r="B195" s="4" t="s">
        <v>34</v>
      </c>
      <c r="C195" s="4" t="s">
        <v>35</v>
      </c>
      <c r="D195" s="4" t="s">
        <v>41</v>
      </c>
      <c r="E195" s="4" t="s">
        <v>25</v>
      </c>
      <c r="F195" s="4" t="s">
        <v>25</v>
      </c>
      <c r="G195" s="4" t="s">
        <v>25</v>
      </c>
      <c r="H195" s="4" t="s">
        <v>25</v>
      </c>
      <c r="I195" s="5">
        <v>44409</v>
      </c>
      <c r="J195" s="6">
        <v>361</v>
      </c>
      <c r="K195" s="6">
        <v>361</v>
      </c>
      <c r="L195" s="6">
        <v>0</v>
      </c>
      <c r="M195" s="6">
        <v>0</v>
      </c>
      <c r="N195" s="6">
        <v>0</v>
      </c>
      <c r="O195" s="6">
        <v>0</v>
      </c>
      <c r="P195" s="6">
        <v>4</v>
      </c>
      <c r="Q195" s="4" t="s">
        <v>26</v>
      </c>
      <c r="R195" s="4">
        <v>0</v>
      </c>
      <c r="S195" s="6">
        <v>36</v>
      </c>
      <c r="T195" s="6">
        <v>0</v>
      </c>
      <c r="U195" s="6">
        <v>0</v>
      </c>
      <c r="V195" s="6">
        <f>IF(ISERROR(VLOOKUP($S$195,'TAR FIN'!$A$1:$O$85,15,0)),0,VLOOKUP($S$195,'TAR FIN'!$A$1:$O$85,15,0))</f>
        <v>14.94</v>
      </c>
      <c r="W195" s="6">
        <f>IF(ISERROR(VLOOKUP($T$195,'TAR FIN'!$A$1:$O$85,15,0)),0,VLOOKUP($T$195,'TAR FIN'!$A$1:$O$85,15,0))</f>
        <v>0</v>
      </c>
      <c r="X195" s="6">
        <f>IF(ISERROR(VLOOKUP($U$195,'TAR FIN'!$A$1:$O$85,15,0)),0,VLOOKUP($U$195,'TAR FIN'!$A$1:$O$85,15,0))</f>
        <v>0</v>
      </c>
      <c r="Y195" s="6">
        <f ca="1">('TUSD BE'!$AM$10+'TUSD BF_350'!$AM$10+'TUSD CVA'!$AM$10)*1</f>
        <v>19.63429077280307</v>
      </c>
      <c r="Z195" s="6"/>
      <c r="AA195" s="6"/>
      <c r="AB195" s="6">
        <f>$K$195*$V$195</f>
        <v>5393.34</v>
      </c>
      <c r="AC195" s="6">
        <f>$M$195*$W$195</f>
        <v>0</v>
      </c>
      <c r="AD195" s="6">
        <f>$O$195*$X$195</f>
        <v>0</v>
      </c>
      <c r="AE195" s="6">
        <f ca="1">$K$195*$Y$195</f>
        <v>7087.9789689819081</v>
      </c>
      <c r="AF195" s="6">
        <f>$M$195*$Z$195</f>
        <v>0</v>
      </c>
      <c r="AG195" s="6">
        <f>$O$195*$AA$195</f>
        <v>0</v>
      </c>
    </row>
    <row r="196" spans="1:33" ht="11.25" customHeight="1" x14ac:dyDescent="0.25">
      <c r="A196" s="4" t="s">
        <v>21</v>
      </c>
      <c r="B196" s="4" t="s">
        <v>34</v>
      </c>
      <c r="C196" s="4" t="s">
        <v>35</v>
      </c>
      <c r="D196" s="4" t="s">
        <v>41</v>
      </c>
      <c r="E196" s="4" t="s">
        <v>25</v>
      </c>
      <c r="F196" s="4" t="s">
        <v>25</v>
      </c>
      <c r="G196" s="4" t="s">
        <v>25</v>
      </c>
      <c r="H196" s="4" t="s">
        <v>25</v>
      </c>
      <c r="I196" s="5">
        <v>44440</v>
      </c>
      <c r="J196" s="6">
        <v>353</v>
      </c>
      <c r="K196" s="6">
        <v>353</v>
      </c>
      <c r="L196" s="6">
        <v>0</v>
      </c>
      <c r="M196" s="6">
        <v>0</v>
      </c>
      <c r="N196" s="6">
        <v>0</v>
      </c>
      <c r="O196" s="6">
        <v>0</v>
      </c>
      <c r="P196" s="6">
        <v>4</v>
      </c>
      <c r="Q196" s="4" t="s">
        <v>26</v>
      </c>
      <c r="R196" s="4">
        <v>0</v>
      </c>
      <c r="S196" s="6">
        <v>36</v>
      </c>
      <c r="T196" s="6">
        <v>0</v>
      </c>
      <c r="U196" s="6">
        <v>0</v>
      </c>
      <c r="V196" s="6">
        <f>IF(ISERROR(VLOOKUP($S$196,'TAR FIN'!$A$1:$O$85,15,0)),0,VLOOKUP($S$196,'TAR FIN'!$A$1:$O$85,15,0))</f>
        <v>14.94</v>
      </c>
      <c r="W196" s="6">
        <f>IF(ISERROR(VLOOKUP($T$196,'TAR FIN'!$A$1:$O$85,15,0)),0,VLOOKUP($T$196,'TAR FIN'!$A$1:$O$85,15,0))</f>
        <v>0</v>
      </c>
      <c r="X196" s="6">
        <f>IF(ISERROR(VLOOKUP($U$196,'TAR FIN'!$A$1:$O$85,15,0)),0,VLOOKUP($U$196,'TAR FIN'!$A$1:$O$85,15,0))</f>
        <v>0</v>
      </c>
      <c r="Y196" s="6">
        <f ca="1">('TUSD BE'!$AM$10+'TUSD BF_350'!$AM$10+'TUSD CVA'!$AM$10)*1</f>
        <v>19.63429077280307</v>
      </c>
      <c r="Z196" s="6"/>
      <c r="AA196" s="6"/>
      <c r="AB196" s="6">
        <f>$K$196*$V$196</f>
        <v>5273.82</v>
      </c>
      <c r="AC196" s="6">
        <f>$M$196*$W$196</f>
        <v>0</v>
      </c>
      <c r="AD196" s="6">
        <f>$O$196*$X$196</f>
        <v>0</v>
      </c>
      <c r="AE196" s="6">
        <f ca="1">$K$196*$Y$196</f>
        <v>6930.9046427994836</v>
      </c>
      <c r="AF196" s="6">
        <f>$M$196*$Z$196</f>
        <v>0</v>
      </c>
      <c r="AG196" s="6">
        <f>$O$196*$AA$196</f>
        <v>0</v>
      </c>
    </row>
    <row r="197" spans="1:33" ht="11.25" customHeight="1" x14ac:dyDescent="0.25">
      <c r="A197" s="4" t="s">
        <v>21</v>
      </c>
      <c r="B197" s="4" t="s">
        <v>34</v>
      </c>
      <c r="C197" s="4" t="s">
        <v>35</v>
      </c>
      <c r="D197" s="4" t="s">
        <v>41</v>
      </c>
      <c r="E197" s="4" t="s">
        <v>25</v>
      </c>
      <c r="F197" s="4" t="s">
        <v>25</v>
      </c>
      <c r="G197" s="4" t="s">
        <v>25</v>
      </c>
      <c r="H197" s="4" t="s">
        <v>25</v>
      </c>
      <c r="I197" s="5">
        <v>44470</v>
      </c>
      <c r="J197" s="6">
        <v>353</v>
      </c>
      <c r="K197" s="6">
        <v>353</v>
      </c>
      <c r="L197" s="6">
        <v>0</v>
      </c>
      <c r="M197" s="6">
        <v>0</v>
      </c>
      <c r="N197" s="6">
        <v>0</v>
      </c>
      <c r="O197" s="6">
        <v>0</v>
      </c>
      <c r="P197" s="6">
        <v>4</v>
      </c>
      <c r="Q197" s="4" t="s">
        <v>26</v>
      </c>
      <c r="R197" s="4">
        <v>0</v>
      </c>
      <c r="S197" s="6">
        <v>36</v>
      </c>
      <c r="T197" s="6">
        <v>0</v>
      </c>
      <c r="U197" s="6">
        <v>0</v>
      </c>
      <c r="V197" s="6">
        <f>IF(ISERROR(VLOOKUP($S$197,'TAR FIN'!$A$1:$O$85,15,0)),0,VLOOKUP($S$197,'TAR FIN'!$A$1:$O$85,15,0))</f>
        <v>14.94</v>
      </c>
      <c r="W197" s="6">
        <f>IF(ISERROR(VLOOKUP($T$197,'TAR FIN'!$A$1:$O$85,15,0)),0,VLOOKUP($T$197,'TAR FIN'!$A$1:$O$85,15,0))</f>
        <v>0</v>
      </c>
      <c r="X197" s="6">
        <f>IF(ISERROR(VLOOKUP($U$197,'TAR FIN'!$A$1:$O$85,15,0)),0,VLOOKUP($U$197,'TAR FIN'!$A$1:$O$85,15,0))</f>
        <v>0</v>
      </c>
      <c r="Y197" s="6">
        <f ca="1">('TUSD BE'!$AM$10+'TUSD BF_350'!$AM$10+'TUSD CVA'!$AM$10)*1</f>
        <v>19.63429077280307</v>
      </c>
      <c r="Z197" s="6"/>
      <c r="AA197" s="6"/>
      <c r="AB197" s="6">
        <f>$K$197*$V$197</f>
        <v>5273.82</v>
      </c>
      <c r="AC197" s="6">
        <f>$M$197*$W$197</f>
        <v>0</v>
      </c>
      <c r="AD197" s="6">
        <f>$O$197*$X$197</f>
        <v>0</v>
      </c>
      <c r="AE197" s="6">
        <f ca="1">$K$197*$Y$197</f>
        <v>6930.9046427994836</v>
      </c>
      <c r="AF197" s="6">
        <f>$M$197*$Z$197</f>
        <v>0</v>
      </c>
      <c r="AG197" s="6">
        <f>$O$197*$AA$197</f>
        <v>0</v>
      </c>
    </row>
    <row r="198" spans="1:33" ht="11.25" customHeight="1" x14ac:dyDescent="0.25">
      <c r="A198" s="4" t="s">
        <v>21</v>
      </c>
      <c r="B198" s="4" t="s">
        <v>34</v>
      </c>
      <c r="C198" s="4" t="s">
        <v>35</v>
      </c>
      <c r="D198" s="4" t="s">
        <v>41</v>
      </c>
      <c r="E198" s="4" t="s">
        <v>25</v>
      </c>
      <c r="F198" s="4" t="s">
        <v>25</v>
      </c>
      <c r="G198" s="4" t="s">
        <v>25</v>
      </c>
      <c r="H198" s="4" t="s">
        <v>25</v>
      </c>
      <c r="I198" s="5">
        <v>44501</v>
      </c>
      <c r="J198" s="6">
        <v>354</v>
      </c>
      <c r="K198" s="6">
        <v>354</v>
      </c>
      <c r="L198" s="6">
        <v>0</v>
      </c>
      <c r="M198" s="6">
        <v>0</v>
      </c>
      <c r="N198" s="6">
        <v>0</v>
      </c>
      <c r="O198" s="6">
        <v>0</v>
      </c>
      <c r="P198" s="6">
        <v>4</v>
      </c>
      <c r="Q198" s="4" t="s">
        <v>26</v>
      </c>
      <c r="R198" s="4">
        <v>0</v>
      </c>
      <c r="S198" s="6">
        <v>36</v>
      </c>
      <c r="T198" s="6">
        <v>0</v>
      </c>
      <c r="U198" s="6">
        <v>0</v>
      </c>
      <c r="V198" s="6">
        <f>IF(ISERROR(VLOOKUP($S$198,'TAR FIN'!$A$1:$O$85,15,0)),0,VLOOKUP($S$198,'TAR FIN'!$A$1:$O$85,15,0))</f>
        <v>14.94</v>
      </c>
      <c r="W198" s="6">
        <f>IF(ISERROR(VLOOKUP($T$198,'TAR FIN'!$A$1:$O$85,15,0)),0,VLOOKUP($T$198,'TAR FIN'!$A$1:$O$85,15,0))</f>
        <v>0</v>
      </c>
      <c r="X198" s="6">
        <f>IF(ISERROR(VLOOKUP($U$198,'TAR FIN'!$A$1:$O$85,15,0)),0,VLOOKUP($U$198,'TAR FIN'!$A$1:$O$85,15,0))</f>
        <v>0</v>
      </c>
      <c r="Y198" s="6">
        <f ca="1">('TUSD BE'!$AM$10+'TUSD BF_350'!$AM$10+'TUSD CVA'!$AM$10)*1</f>
        <v>19.63429077280307</v>
      </c>
      <c r="Z198" s="6"/>
      <c r="AA198" s="6"/>
      <c r="AB198" s="6">
        <f>$K$198*$V$198</f>
        <v>5288.76</v>
      </c>
      <c r="AC198" s="6">
        <f>$M$198*$W$198</f>
        <v>0</v>
      </c>
      <c r="AD198" s="6">
        <f>$O$198*$X$198</f>
        <v>0</v>
      </c>
      <c r="AE198" s="6">
        <f ca="1">$K$198*$Y$198</f>
        <v>6950.5389335722866</v>
      </c>
      <c r="AF198" s="6">
        <f>$M$198*$Z$198</f>
        <v>0</v>
      </c>
      <c r="AG198" s="6">
        <f>$O$198*$AA$198</f>
        <v>0</v>
      </c>
    </row>
    <row r="199" spans="1:33" ht="11.25" customHeight="1" x14ac:dyDescent="0.25">
      <c r="A199" s="4" t="s">
        <v>21</v>
      </c>
      <c r="B199" s="4" t="s">
        <v>34</v>
      </c>
      <c r="C199" s="4" t="s">
        <v>35</v>
      </c>
      <c r="D199" s="4" t="s">
        <v>41</v>
      </c>
      <c r="E199" s="4" t="s">
        <v>25</v>
      </c>
      <c r="F199" s="4" t="s">
        <v>25</v>
      </c>
      <c r="G199" s="4" t="s">
        <v>25</v>
      </c>
      <c r="H199" s="4" t="s">
        <v>25</v>
      </c>
      <c r="I199" s="5">
        <v>44531</v>
      </c>
      <c r="J199" s="6">
        <v>360</v>
      </c>
      <c r="K199" s="6">
        <v>360</v>
      </c>
      <c r="L199" s="6">
        <v>0</v>
      </c>
      <c r="M199" s="6">
        <v>0</v>
      </c>
      <c r="N199" s="6">
        <v>0</v>
      </c>
      <c r="O199" s="6">
        <v>0</v>
      </c>
      <c r="P199" s="6">
        <v>4</v>
      </c>
      <c r="Q199" s="4" t="s">
        <v>26</v>
      </c>
      <c r="R199" s="4">
        <v>0</v>
      </c>
      <c r="S199" s="6">
        <v>36</v>
      </c>
      <c r="T199" s="6">
        <v>0</v>
      </c>
      <c r="U199" s="6">
        <v>0</v>
      </c>
      <c r="V199" s="6">
        <f>IF(ISERROR(VLOOKUP($S$199,'TAR FIN'!$A$1:$O$85,15,0)),0,VLOOKUP($S$199,'TAR FIN'!$A$1:$O$85,15,0))</f>
        <v>14.94</v>
      </c>
      <c r="W199" s="6">
        <f>IF(ISERROR(VLOOKUP($T$199,'TAR FIN'!$A$1:$O$85,15,0)),0,VLOOKUP($T$199,'TAR FIN'!$A$1:$O$85,15,0))</f>
        <v>0</v>
      </c>
      <c r="X199" s="6">
        <f>IF(ISERROR(VLOOKUP($U$199,'TAR FIN'!$A$1:$O$85,15,0)),0,VLOOKUP($U$199,'TAR FIN'!$A$1:$O$85,15,0))</f>
        <v>0</v>
      </c>
      <c r="Y199" s="6">
        <f ca="1">('TUSD BE'!$AM$10+'TUSD BF_350'!$AM$10+'TUSD CVA'!$AM$10)*1</f>
        <v>19.63429077280307</v>
      </c>
      <c r="Z199" s="6"/>
      <c r="AA199" s="6"/>
      <c r="AB199" s="6">
        <f>$K$199*$V$199</f>
        <v>5378.4</v>
      </c>
      <c r="AC199" s="6">
        <f>$M$199*$W$199</f>
        <v>0</v>
      </c>
      <c r="AD199" s="6">
        <f>$O$199*$X$199</f>
        <v>0</v>
      </c>
      <c r="AE199" s="6">
        <f ca="1">$K$199*$Y$199</f>
        <v>7068.344678209105</v>
      </c>
      <c r="AF199" s="6">
        <f>$M$199*$Z$199</f>
        <v>0</v>
      </c>
      <c r="AG199" s="6">
        <f>$O$199*$AA$199</f>
        <v>0</v>
      </c>
    </row>
    <row r="200" spans="1:33" ht="11.25" customHeight="1" x14ac:dyDescent="0.25">
      <c r="A200" s="4" t="s">
        <v>21</v>
      </c>
      <c r="B200" s="4" t="s">
        <v>34</v>
      </c>
      <c r="C200" s="4" t="s">
        <v>35</v>
      </c>
      <c r="D200" s="4" t="s">
        <v>41</v>
      </c>
      <c r="E200" s="4" t="s">
        <v>25</v>
      </c>
      <c r="F200" s="4" t="s">
        <v>25</v>
      </c>
      <c r="G200" s="4" t="s">
        <v>25</v>
      </c>
      <c r="H200" s="4" t="s">
        <v>25</v>
      </c>
      <c r="I200" s="5">
        <v>44562</v>
      </c>
      <c r="J200" s="6">
        <v>364</v>
      </c>
      <c r="K200" s="6">
        <v>364</v>
      </c>
      <c r="L200" s="6">
        <v>0</v>
      </c>
      <c r="M200" s="6">
        <v>0</v>
      </c>
      <c r="N200" s="6">
        <v>0</v>
      </c>
      <c r="O200" s="6">
        <v>0</v>
      </c>
      <c r="P200" s="6">
        <v>4</v>
      </c>
      <c r="Q200" s="4" t="s">
        <v>26</v>
      </c>
      <c r="R200" s="4">
        <v>0</v>
      </c>
      <c r="S200" s="6">
        <v>36</v>
      </c>
      <c r="T200" s="6">
        <v>0</v>
      </c>
      <c r="U200" s="6">
        <v>0</v>
      </c>
      <c r="V200" s="6">
        <f>IF(ISERROR(VLOOKUP($S$200,'TAR FIN'!$A$1:$O$85,15,0)),0,VLOOKUP($S$200,'TAR FIN'!$A$1:$O$85,15,0))</f>
        <v>14.94</v>
      </c>
      <c r="W200" s="6">
        <f>IF(ISERROR(VLOOKUP($T$200,'TAR FIN'!$A$1:$O$85,15,0)),0,VLOOKUP($T$200,'TAR FIN'!$A$1:$O$85,15,0))</f>
        <v>0</v>
      </c>
      <c r="X200" s="6">
        <f>IF(ISERROR(VLOOKUP($U$200,'TAR FIN'!$A$1:$O$85,15,0)),0,VLOOKUP($U$200,'TAR FIN'!$A$1:$O$85,15,0))</f>
        <v>0</v>
      </c>
      <c r="Y200" s="6">
        <f ca="1">('TUSD BE'!$AM$10+'TUSD BF_350'!$AM$10+'TUSD CVA'!$AM$10)*1</f>
        <v>19.63429077280307</v>
      </c>
      <c r="Z200" s="6"/>
      <c r="AA200" s="6"/>
      <c r="AB200" s="6">
        <f>$K$200*$V$200</f>
        <v>5438.16</v>
      </c>
      <c r="AC200" s="6">
        <f>$M$200*$W$200</f>
        <v>0</v>
      </c>
      <c r="AD200" s="6">
        <f>$O$200*$X$200</f>
        <v>0</v>
      </c>
      <c r="AE200" s="6">
        <f ca="1">$K$200*$Y$200</f>
        <v>7146.8818413003173</v>
      </c>
      <c r="AF200" s="6">
        <f>$M$200*$Z$200</f>
        <v>0</v>
      </c>
      <c r="AG200" s="6">
        <f>$O$200*$AA$200</f>
        <v>0</v>
      </c>
    </row>
    <row r="201" spans="1:33" ht="11.25" customHeight="1" x14ac:dyDescent="0.25">
      <c r="A201" s="4" t="s">
        <v>21</v>
      </c>
      <c r="B201" s="4" t="s">
        <v>34</v>
      </c>
      <c r="C201" s="4" t="s">
        <v>35</v>
      </c>
      <c r="D201" s="4" t="s">
        <v>41</v>
      </c>
      <c r="E201" s="4" t="s">
        <v>25</v>
      </c>
      <c r="F201" s="4" t="s">
        <v>25</v>
      </c>
      <c r="G201" s="4" t="s">
        <v>25</v>
      </c>
      <c r="H201" s="4" t="s">
        <v>25</v>
      </c>
      <c r="I201" s="5">
        <v>44593</v>
      </c>
      <c r="J201" s="6">
        <v>353</v>
      </c>
      <c r="K201" s="6">
        <v>353</v>
      </c>
      <c r="L201" s="6">
        <v>0</v>
      </c>
      <c r="M201" s="6">
        <v>0</v>
      </c>
      <c r="N201" s="6">
        <v>0</v>
      </c>
      <c r="O201" s="6">
        <v>0</v>
      </c>
      <c r="P201" s="6">
        <v>4</v>
      </c>
      <c r="Q201" s="4" t="s">
        <v>26</v>
      </c>
      <c r="R201" s="4">
        <v>0</v>
      </c>
      <c r="S201" s="6">
        <v>36</v>
      </c>
      <c r="T201" s="6">
        <v>0</v>
      </c>
      <c r="U201" s="6">
        <v>0</v>
      </c>
      <c r="V201" s="6">
        <f>IF(ISERROR(VLOOKUP($S$201,'TAR FIN'!$A$1:$O$85,15,0)),0,VLOOKUP($S$201,'TAR FIN'!$A$1:$O$85,15,0))</f>
        <v>14.94</v>
      </c>
      <c r="W201" s="6">
        <f>IF(ISERROR(VLOOKUP($T$201,'TAR FIN'!$A$1:$O$85,15,0)),0,VLOOKUP($T$201,'TAR FIN'!$A$1:$O$85,15,0))</f>
        <v>0</v>
      </c>
      <c r="X201" s="6">
        <f>IF(ISERROR(VLOOKUP($U$201,'TAR FIN'!$A$1:$O$85,15,0)),0,VLOOKUP($U$201,'TAR FIN'!$A$1:$O$85,15,0))</f>
        <v>0</v>
      </c>
      <c r="Y201" s="6">
        <f ca="1">('TUSD BE'!$AM$10+'TUSD BF_350'!$AM$10+'TUSD CVA'!$AM$10)*1</f>
        <v>19.63429077280307</v>
      </c>
      <c r="Z201" s="6"/>
      <c r="AA201" s="6"/>
      <c r="AB201" s="6">
        <f>$K$201*$V$201</f>
        <v>5273.82</v>
      </c>
      <c r="AC201" s="6">
        <f>$M$201*$W$201</f>
        <v>0</v>
      </c>
      <c r="AD201" s="6">
        <f>$O$201*$X$201</f>
        <v>0</v>
      </c>
      <c r="AE201" s="6">
        <f ca="1">$K$201*$Y$201</f>
        <v>6930.9046427994836</v>
      </c>
      <c r="AF201" s="6">
        <f>$M$201*$Z$201</f>
        <v>0</v>
      </c>
      <c r="AG201" s="6">
        <f>$O$201*$AA$201</f>
        <v>0</v>
      </c>
    </row>
    <row r="202" spans="1:33" ht="11.25" customHeight="1" x14ac:dyDescent="0.25">
      <c r="A202" s="4" t="s">
        <v>21</v>
      </c>
      <c r="B202" s="4" t="s">
        <v>34</v>
      </c>
      <c r="C202" s="4" t="s">
        <v>35</v>
      </c>
      <c r="D202" s="4" t="s">
        <v>41</v>
      </c>
      <c r="E202" s="4" t="s">
        <v>25</v>
      </c>
      <c r="F202" s="4" t="s">
        <v>25</v>
      </c>
      <c r="G202" s="4" t="s">
        <v>25</v>
      </c>
      <c r="H202" s="4" t="s">
        <v>25</v>
      </c>
      <c r="I202" s="5">
        <v>44621</v>
      </c>
      <c r="J202" s="6">
        <v>356</v>
      </c>
      <c r="K202" s="6">
        <v>356</v>
      </c>
      <c r="L202" s="6">
        <v>0</v>
      </c>
      <c r="M202" s="6">
        <v>0</v>
      </c>
      <c r="N202" s="6">
        <v>0</v>
      </c>
      <c r="O202" s="6">
        <v>0</v>
      </c>
      <c r="P202" s="6">
        <v>4</v>
      </c>
      <c r="Q202" s="4" t="s">
        <v>26</v>
      </c>
      <c r="R202" s="4">
        <v>0</v>
      </c>
      <c r="S202" s="6">
        <v>36</v>
      </c>
      <c r="T202" s="6">
        <v>0</v>
      </c>
      <c r="U202" s="6">
        <v>0</v>
      </c>
      <c r="V202" s="6">
        <f>IF(ISERROR(VLOOKUP($S$202,'TAR FIN'!$A$1:$O$85,15,0)),0,VLOOKUP($S$202,'TAR FIN'!$A$1:$O$85,15,0))</f>
        <v>14.94</v>
      </c>
      <c r="W202" s="6">
        <f>IF(ISERROR(VLOOKUP($T$202,'TAR FIN'!$A$1:$O$85,15,0)),0,VLOOKUP($T$202,'TAR FIN'!$A$1:$O$85,15,0))</f>
        <v>0</v>
      </c>
      <c r="X202" s="6">
        <f>IF(ISERROR(VLOOKUP($U$202,'TAR FIN'!$A$1:$O$85,15,0)),0,VLOOKUP($U$202,'TAR FIN'!$A$1:$O$85,15,0))</f>
        <v>0</v>
      </c>
      <c r="Y202" s="6">
        <f ca="1">('TUSD BE'!$AM$10+'TUSD BF_350'!$AM$10+'TUSD CVA'!$AM$10)*1</f>
        <v>19.63429077280307</v>
      </c>
      <c r="Z202" s="6"/>
      <c r="AA202" s="6"/>
      <c r="AB202" s="6">
        <f>$K$202*$V$202</f>
        <v>5318.6399999999994</v>
      </c>
      <c r="AC202" s="6">
        <f>$M$202*$W$202</f>
        <v>0</v>
      </c>
      <c r="AD202" s="6">
        <f>$O$202*$X$202</f>
        <v>0</v>
      </c>
      <c r="AE202" s="6">
        <f ca="1">$K$202*$Y$202</f>
        <v>6989.8075151178928</v>
      </c>
      <c r="AF202" s="6">
        <f>$M$202*$Z$202</f>
        <v>0</v>
      </c>
      <c r="AG202" s="6">
        <f>$O$202*$AA$202</f>
        <v>0</v>
      </c>
    </row>
    <row r="203" spans="1:33" ht="11.25" customHeight="1" x14ac:dyDescent="0.25">
      <c r="A203" s="4" t="s">
        <v>21</v>
      </c>
      <c r="B203" s="4" t="s">
        <v>34</v>
      </c>
      <c r="C203" s="4" t="s">
        <v>35</v>
      </c>
      <c r="D203" s="4" t="s">
        <v>41</v>
      </c>
      <c r="E203" s="4" t="s">
        <v>25</v>
      </c>
      <c r="F203" s="4" t="s">
        <v>25</v>
      </c>
      <c r="G203" s="4" t="s">
        <v>25</v>
      </c>
      <c r="H203" s="4" t="s">
        <v>25</v>
      </c>
      <c r="I203" s="5">
        <v>44652</v>
      </c>
      <c r="J203" s="6">
        <v>353</v>
      </c>
      <c r="K203" s="6">
        <v>353</v>
      </c>
      <c r="L203" s="6">
        <v>0</v>
      </c>
      <c r="M203" s="6">
        <v>0</v>
      </c>
      <c r="N203" s="6">
        <v>0</v>
      </c>
      <c r="O203" s="6">
        <v>0</v>
      </c>
      <c r="P203" s="6">
        <v>4</v>
      </c>
      <c r="Q203" s="4" t="s">
        <v>26</v>
      </c>
      <c r="R203" s="4">
        <v>0</v>
      </c>
      <c r="S203" s="6">
        <v>36</v>
      </c>
      <c r="T203" s="6">
        <v>0</v>
      </c>
      <c r="U203" s="6">
        <v>0</v>
      </c>
      <c r="V203" s="6">
        <f>IF(ISERROR(VLOOKUP($S$203,'TAR FIN'!$A$1:$O$85,15,0)),0,VLOOKUP($S$203,'TAR FIN'!$A$1:$O$85,15,0))</f>
        <v>14.94</v>
      </c>
      <c r="W203" s="6">
        <f>IF(ISERROR(VLOOKUP($T$203,'TAR FIN'!$A$1:$O$85,15,0)),0,VLOOKUP($T$203,'TAR FIN'!$A$1:$O$85,15,0))</f>
        <v>0</v>
      </c>
      <c r="X203" s="6">
        <f>IF(ISERROR(VLOOKUP($U$203,'TAR FIN'!$A$1:$O$85,15,0)),0,VLOOKUP($U$203,'TAR FIN'!$A$1:$O$85,15,0))</f>
        <v>0</v>
      </c>
      <c r="Y203" s="6">
        <f ca="1">('TUSD BE'!$AM$10+'TUSD BF_350'!$AM$10+'TUSD CVA'!$AM$10)*1</f>
        <v>19.63429077280307</v>
      </c>
      <c r="Z203" s="6"/>
      <c r="AA203" s="6"/>
      <c r="AB203" s="6">
        <f>$K$203*$V$203</f>
        <v>5273.82</v>
      </c>
      <c r="AC203" s="6">
        <f>$M$203*$W$203</f>
        <v>0</v>
      </c>
      <c r="AD203" s="6">
        <f>$O$203*$X$203</f>
        <v>0</v>
      </c>
      <c r="AE203" s="6">
        <f ca="1">$K$203*$Y$203</f>
        <v>6930.9046427994836</v>
      </c>
      <c r="AF203" s="6">
        <f>$M$203*$Z$203</f>
        <v>0</v>
      </c>
      <c r="AG203" s="6">
        <f>$O$203*$AA$203</f>
        <v>0</v>
      </c>
    </row>
    <row r="204" spans="1:33" ht="11.25" customHeight="1" x14ac:dyDescent="0.25">
      <c r="A204" s="4" t="s">
        <v>21</v>
      </c>
      <c r="B204" s="4" t="s">
        <v>34</v>
      </c>
      <c r="C204" s="4" t="s">
        <v>35</v>
      </c>
      <c r="D204" s="4" t="s">
        <v>41</v>
      </c>
      <c r="E204" s="4" t="s">
        <v>25</v>
      </c>
      <c r="F204" s="4" t="s">
        <v>25</v>
      </c>
      <c r="G204" s="4" t="s">
        <v>25</v>
      </c>
      <c r="H204" s="4" t="s">
        <v>25</v>
      </c>
      <c r="I204" s="5">
        <v>44682</v>
      </c>
      <c r="J204" s="6">
        <v>354</v>
      </c>
      <c r="K204" s="6">
        <v>354</v>
      </c>
      <c r="L204" s="6">
        <v>0</v>
      </c>
      <c r="M204" s="6">
        <v>0</v>
      </c>
      <c r="N204" s="6">
        <v>0</v>
      </c>
      <c r="O204" s="6">
        <v>0</v>
      </c>
      <c r="P204" s="6">
        <v>4</v>
      </c>
      <c r="Q204" s="4" t="s">
        <v>26</v>
      </c>
      <c r="R204" s="4">
        <v>0</v>
      </c>
      <c r="S204" s="6">
        <v>36</v>
      </c>
      <c r="T204" s="6">
        <v>0</v>
      </c>
      <c r="U204" s="6">
        <v>0</v>
      </c>
      <c r="V204" s="6">
        <f>IF(ISERROR(VLOOKUP($S$204,'TAR FIN'!$A$1:$O$85,15,0)),0,VLOOKUP($S$204,'TAR FIN'!$A$1:$O$85,15,0))</f>
        <v>14.94</v>
      </c>
      <c r="W204" s="6">
        <f>IF(ISERROR(VLOOKUP($T$204,'TAR FIN'!$A$1:$O$85,15,0)),0,VLOOKUP($T$204,'TAR FIN'!$A$1:$O$85,15,0))</f>
        <v>0</v>
      </c>
      <c r="X204" s="6">
        <f>IF(ISERROR(VLOOKUP($U$204,'TAR FIN'!$A$1:$O$85,15,0)),0,VLOOKUP($U$204,'TAR FIN'!$A$1:$O$85,15,0))</f>
        <v>0</v>
      </c>
      <c r="Y204" s="6">
        <f ca="1">('TUSD BE'!$AM$10+'TUSD BF_350'!$AM$10+'TUSD CVA'!$AM$10)*1</f>
        <v>19.63429077280307</v>
      </c>
      <c r="Z204" s="6"/>
      <c r="AA204" s="6"/>
      <c r="AB204" s="6">
        <f>$K$204*$V$204</f>
        <v>5288.76</v>
      </c>
      <c r="AC204" s="6">
        <f>$M$204*$W$204</f>
        <v>0</v>
      </c>
      <c r="AD204" s="6">
        <f>$O$204*$X$204</f>
        <v>0</v>
      </c>
      <c r="AE204" s="6">
        <f ca="1">$K$204*$Y$204</f>
        <v>6950.5389335722866</v>
      </c>
      <c r="AF204" s="6">
        <f>$M$204*$Z$204</f>
        <v>0</v>
      </c>
      <c r="AG204" s="6">
        <f>$O$204*$AA$204</f>
        <v>0</v>
      </c>
    </row>
    <row r="205" spans="1:33" ht="11.25" customHeight="1" x14ac:dyDescent="0.25">
      <c r="A205" s="4" t="s">
        <v>21</v>
      </c>
      <c r="B205" s="4" t="s">
        <v>34</v>
      </c>
      <c r="C205" s="4" t="s">
        <v>35</v>
      </c>
      <c r="D205" s="4" t="s">
        <v>41</v>
      </c>
      <c r="E205" s="4" t="s">
        <v>25</v>
      </c>
      <c r="F205" s="4" t="s">
        <v>25</v>
      </c>
      <c r="G205" s="4" t="s">
        <v>25</v>
      </c>
      <c r="H205" s="4" t="s">
        <v>25</v>
      </c>
      <c r="I205" s="5">
        <v>44713</v>
      </c>
      <c r="J205" s="6">
        <v>361</v>
      </c>
      <c r="K205" s="6">
        <v>361</v>
      </c>
      <c r="L205" s="6">
        <v>0</v>
      </c>
      <c r="M205" s="6">
        <v>0</v>
      </c>
      <c r="N205" s="6">
        <v>0</v>
      </c>
      <c r="O205" s="6">
        <v>0</v>
      </c>
      <c r="P205" s="6">
        <v>4</v>
      </c>
      <c r="Q205" s="4" t="s">
        <v>26</v>
      </c>
      <c r="R205" s="4">
        <v>0</v>
      </c>
      <c r="S205" s="6">
        <v>36</v>
      </c>
      <c r="T205" s="6">
        <v>0</v>
      </c>
      <c r="U205" s="6">
        <v>0</v>
      </c>
      <c r="V205" s="6">
        <f>IF(ISERROR(VLOOKUP($S$205,'TAR FIN'!$A$1:$O$85,15,0)),0,VLOOKUP($S$205,'TAR FIN'!$A$1:$O$85,15,0))</f>
        <v>14.94</v>
      </c>
      <c r="W205" s="6">
        <f>IF(ISERROR(VLOOKUP($T$205,'TAR FIN'!$A$1:$O$85,15,0)),0,VLOOKUP($T$205,'TAR FIN'!$A$1:$O$85,15,0))</f>
        <v>0</v>
      </c>
      <c r="X205" s="6">
        <f>IF(ISERROR(VLOOKUP($U$205,'TAR FIN'!$A$1:$O$85,15,0)),0,VLOOKUP($U$205,'TAR FIN'!$A$1:$O$85,15,0))</f>
        <v>0</v>
      </c>
      <c r="Y205" s="6">
        <f ca="1">('TUSD BE'!$AM$10+'TUSD BF_350'!$AM$10+'TUSD CVA'!$AM$10)*1</f>
        <v>19.63429077280307</v>
      </c>
      <c r="Z205" s="6"/>
      <c r="AA205" s="6"/>
      <c r="AB205" s="6">
        <f>$K$205*$V$205</f>
        <v>5393.34</v>
      </c>
      <c r="AC205" s="6">
        <f>$M$205*$W$205</f>
        <v>0</v>
      </c>
      <c r="AD205" s="6">
        <f>$O$205*$X$205</f>
        <v>0</v>
      </c>
      <c r="AE205" s="6">
        <f ca="1">$K$205*$Y$205</f>
        <v>7087.9789689819081</v>
      </c>
      <c r="AF205" s="6">
        <f>$M$205*$Z$205</f>
        <v>0</v>
      </c>
      <c r="AG205" s="6">
        <f>$O$205*$AA$205</f>
        <v>0</v>
      </c>
    </row>
    <row r="206" spans="1:33" ht="11.25" customHeight="1" x14ac:dyDescent="0.25">
      <c r="A206" s="4" t="s">
        <v>21</v>
      </c>
      <c r="B206" s="4" t="s">
        <v>34</v>
      </c>
      <c r="C206" s="4" t="s">
        <v>35</v>
      </c>
      <c r="D206" s="4" t="s">
        <v>41</v>
      </c>
      <c r="E206" s="4" t="s">
        <v>25</v>
      </c>
      <c r="F206" s="4" t="s">
        <v>25</v>
      </c>
      <c r="G206" s="4" t="s">
        <v>25</v>
      </c>
      <c r="H206" s="4" t="s">
        <v>36</v>
      </c>
      <c r="I206" s="5">
        <v>44378</v>
      </c>
      <c r="J206" s="6">
        <v>0</v>
      </c>
      <c r="K206" s="6">
        <v>0</v>
      </c>
      <c r="L206" s="6">
        <v>0.93799999999999994</v>
      </c>
      <c r="M206" s="6">
        <v>0.93799999999999994</v>
      </c>
      <c r="N206" s="6">
        <v>0.93799999999999994</v>
      </c>
      <c r="O206" s="6">
        <v>0.93799999999999994</v>
      </c>
      <c r="P206" s="6">
        <v>0</v>
      </c>
      <c r="Q206" s="4" t="s">
        <v>26</v>
      </c>
      <c r="R206" s="4">
        <v>0</v>
      </c>
      <c r="S206" s="6">
        <v>0</v>
      </c>
      <c r="T206" s="6">
        <v>15</v>
      </c>
      <c r="U206" s="6">
        <v>9</v>
      </c>
      <c r="V206" s="6">
        <f>IF(ISERROR(VLOOKUP($S$206,'TAR FIN'!$A$1:$O$85,15,0)),0,VLOOKUP($S$206,'TAR FIN'!$A$1:$O$85,15,0))</f>
        <v>0</v>
      </c>
      <c r="W206" s="6">
        <f>IF(ISERROR(VLOOKUP($T$206,'TAR FIN'!$A$1:$O$85,15,0)),0,VLOOKUP($T$206,'TAR FIN'!$A$1:$O$85,15,0))</f>
        <v>940.75</v>
      </c>
      <c r="X206" s="6">
        <f>IF(ISERROR(VLOOKUP($U$206,'TAR FIN'!$A$1:$O$85,15,0)),0,VLOOKUP($U$206,'TAR FIN'!$A$1:$O$85,15,0))</f>
        <v>373.71</v>
      </c>
      <c r="Y206" s="6"/>
      <c r="Z206" s="6">
        <f ca="1">('TUSD BE'!$AM$11+'TUSD BF_350'!$AM$11+'TUSD CVA'!$AM$11)*1</f>
        <v>966.5081601045739</v>
      </c>
      <c r="AA206" s="6">
        <f ca="1">('TE BE'!$AB$5+'TE BF_350'!$AB$5+'TE CVA'!$AB$5)*1</f>
        <v>347.98834052804079</v>
      </c>
      <c r="AB206" s="6">
        <f>$K$206*$V$206</f>
        <v>0</v>
      </c>
      <c r="AC206" s="6">
        <f>$M$206*$W$206</f>
        <v>882.42349999999999</v>
      </c>
      <c r="AD206" s="6">
        <f>$O$206*$X$206</f>
        <v>350.53997999999996</v>
      </c>
      <c r="AE206" s="6">
        <f>$K$206*$Y$206</f>
        <v>0</v>
      </c>
      <c r="AF206" s="6">
        <f ca="1">$M$206*$Z$206</f>
        <v>906.58465417809032</v>
      </c>
      <c r="AG206" s="6">
        <f ca="1">$O$206*$AA$206</f>
        <v>326.41306341530225</v>
      </c>
    </row>
    <row r="207" spans="1:33" ht="11.25" customHeight="1" x14ac:dyDescent="0.25">
      <c r="A207" s="4" t="s">
        <v>21</v>
      </c>
      <c r="B207" s="4" t="s">
        <v>34</v>
      </c>
      <c r="C207" s="4" t="s">
        <v>35</v>
      </c>
      <c r="D207" s="4" t="s">
        <v>41</v>
      </c>
      <c r="E207" s="4" t="s">
        <v>25</v>
      </c>
      <c r="F207" s="4" t="s">
        <v>25</v>
      </c>
      <c r="G207" s="4" t="s">
        <v>25</v>
      </c>
      <c r="H207" s="4" t="s">
        <v>36</v>
      </c>
      <c r="I207" s="5">
        <v>44409</v>
      </c>
      <c r="J207" s="6">
        <v>0</v>
      </c>
      <c r="K207" s="6">
        <v>0</v>
      </c>
      <c r="L207" s="6">
        <v>0.749</v>
      </c>
      <c r="M207" s="6">
        <v>0.749</v>
      </c>
      <c r="N207" s="6">
        <v>0.749</v>
      </c>
      <c r="O207" s="6">
        <v>0.749</v>
      </c>
      <c r="P207" s="6">
        <v>0</v>
      </c>
      <c r="Q207" s="4" t="s">
        <v>26</v>
      </c>
      <c r="R207" s="4">
        <v>0</v>
      </c>
      <c r="S207" s="6">
        <v>0</v>
      </c>
      <c r="T207" s="6">
        <v>15</v>
      </c>
      <c r="U207" s="6">
        <v>9</v>
      </c>
      <c r="V207" s="6">
        <f>IF(ISERROR(VLOOKUP($S$207,'TAR FIN'!$A$1:$O$85,15,0)),0,VLOOKUP($S$207,'TAR FIN'!$A$1:$O$85,15,0))</f>
        <v>0</v>
      </c>
      <c r="W207" s="6">
        <f>IF(ISERROR(VLOOKUP($T$207,'TAR FIN'!$A$1:$O$85,15,0)),0,VLOOKUP($T$207,'TAR FIN'!$A$1:$O$85,15,0))</f>
        <v>940.75</v>
      </c>
      <c r="X207" s="6">
        <f>IF(ISERROR(VLOOKUP($U$207,'TAR FIN'!$A$1:$O$85,15,0)),0,VLOOKUP($U$207,'TAR FIN'!$A$1:$O$85,15,0))</f>
        <v>373.71</v>
      </c>
      <c r="Y207" s="6"/>
      <c r="Z207" s="6">
        <f ca="1">('TUSD BE'!$AM$11+'TUSD BF_350'!$AM$11+'TUSD CVA'!$AM$11)*1</f>
        <v>966.5081601045739</v>
      </c>
      <c r="AA207" s="6">
        <f ca="1">('TE BE'!$AB$5+'TE BF_350'!$AB$5+'TE CVA'!$AB$5)*1</f>
        <v>347.98834052804079</v>
      </c>
      <c r="AB207" s="6">
        <f>$K$207*$V$207</f>
        <v>0</v>
      </c>
      <c r="AC207" s="6">
        <f>$M$207*$W$207</f>
        <v>704.62175000000002</v>
      </c>
      <c r="AD207" s="6">
        <f>$O$207*$X$207</f>
        <v>279.90879000000001</v>
      </c>
      <c r="AE207" s="6">
        <f>$K$207*$Y$207</f>
        <v>0</v>
      </c>
      <c r="AF207" s="6">
        <f ca="1">$M$207*$Z$207</f>
        <v>723.91461191832582</v>
      </c>
      <c r="AG207" s="6">
        <f ca="1">$O$207*$AA$207</f>
        <v>260.64326705550258</v>
      </c>
    </row>
    <row r="208" spans="1:33" ht="11.25" customHeight="1" x14ac:dyDescent="0.25">
      <c r="A208" s="4" t="s">
        <v>21</v>
      </c>
      <c r="B208" s="4" t="s">
        <v>34</v>
      </c>
      <c r="C208" s="4" t="s">
        <v>35</v>
      </c>
      <c r="D208" s="4" t="s">
        <v>41</v>
      </c>
      <c r="E208" s="4" t="s">
        <v>25</v>
      </c>
      <c r="F208" s="4" t="s">
        <v>25</v>
      </c>
      <c r="G208" s="4" t="s">
        <v>25</v>
      </c>
      <c r="H208" s="4" t="s">
        <v>36</v>
      </c>
      <c r="I208" s="5">
        <v>44440</v>
      </c>
      <c r="J208" s="6">
        <v>0</v>
      </c>
      <c r="K208" s="6">
        <v>0</v>
      </c>
      <c r="L208" s="6">
        <v>0.73899999999999999</v>
      </c>
      <c r="M208" s="6">
        <v>0.73899999999999999</v>
      </c>
      <c r="N208" s="6">
        <v>0.73899999999999999</v>
      </c>
      <c r="O208" s="6">
        <v>0.73899999999999999</v>
      </c>
      <c r="P208" s="6">
        <v>0</v>
      </c>
      <c r="Q208" s="4" t="s">
        <v>26</v>
      </c>
      <c r="R208" s="4">
        <v>0</v>
      </c>
      <c r="S208" s="6">
        <v>0</v>
      </c>
      <c r="T208" s="6">
        <v>15</v>
      </c>
      <c r="U208" s="6">
        <v>9</v>
      </c>
      <c r="V208" s="6">
        <f>IF(ISERROR(VLOOKUP($S$208,'TAR FIN'!$A$1:$O$85,15,0)),0,VLOOKUP($S$208,'TAR FIN'!$A$1:$O$85,15,0))</f>
        <v>0</v>
      </c>
      <c r="W208" s="6">
        <f>IF(ISERROR(VLOOKUP($T$208,'TAR FIN'!$A$1:$O$85,15,0)),0,VLOOKUP($T$208,'TAR FIN'!$A$1:$O$85,15,0))</f>
        <v>940.75</v>
      </c>
      <c r="X208" s="6">
        <f>IF(ISERROR(VLOOKUP($U$208,'TAR FIN'!$A$1:$O$85,15,0)),0,VLOOKUP($U$208,'TAR FIN'!$A$1:$O$85,15,0))</f>
        <v>373.71</v>
      </c>
      <c r="Y208" s="6"/>
      <c r="Z208" s="6">
        <f ca="1">('TUSD BE'!$AM$11+'TUSD BF_350'!$AM$11+'TUSD CVA'!$AM$11)*1</f>
        <v>966.5081601045739</v>
      </c>
      <c r="AA208" s="6">
        <f ca="1">('TE BE'!$AB$5+'TE BF_350'!$AB$5+'TE CVA'!$AB$5)*1</f>
        <v>347.98834052804079</v>
      </c>
      <c r="AB208" s="6">
        <f>$K$208*$V$208</f>
        <v>0</v>
      </c>
      <c r="AC208" s="6">
        <f>$M$208*$W$208</f>
        <v>695.21424999999999</v>
      </c>
      <c r="AD208" s="6">
        <f>$O$208*$X$208</f>
        <v>276.17168999999996</v>
      </c>
      <c r="AE208" s="6">
        <f>$K$208*$Y$208</f>
        <v>0</v>
      </c>
      <c r="AF208" s="6">
        <f ca="1">$M$208*$Z$208</f>
        <v>714.24953031728012</v>
      </c>
      <c r="AG208" s="6">
        <f ca="1">$O$208*$AA$208</f>
        <v>257.16338365022216</v>
      </c>
    </row>
    <row r="209" spans="1:33" ht="11.25" customHeight="1" x14ac:dyDescent="0.25">
      <c r="A209" s="4" t="s">
        <v>21</v>
      </c>
      <c r="B209" s="4" t="s">
        <v>34</v>
      </c>
      <c r="C209" s="4" t="s">
        <v>35</v>
      </c>
      <c r="D209" s="4" t="s">
        <v>41</v>
      </c>
      <c r="E209" s="4" t="s">
        <v>25</v>
      </c>
      <c r="F209" s="4" t="s">
        <v>25</v>
      </c>
      <c r="G209" s="4" t="s">
        <v>25</v>
      </c>
      <c r="H209" s="4" t="s">
        <v>36</v>
      </c>
      <c r="I209" s="5">
        <v>44470</v>
      </c>
      <c r="J209" s="6">
        <v>0</v>
      </c>
      <c r="K209" s="6">
        <v>0</v>
      </c>
      <c r="L209" s="6">
        <v>0.70899999999999996</v>
      </c>
      <c r="M209" s="6">
        <v>0.70899999999999996</v>
      </c>
      <c r="N209" s="6">
        <v>0.70899999999999996</v>
      </c>
      <c r="O209" s="6">
        <v>0.70899999999999996</v>
      </c>
      <c r="P209" s="6">
        <v>0</v>
      </c>
      <c r="Q209" s="4" t="s">
        <v>26</v>
      </c>
      <c r="R209" s="4">
        <v>0</v>
      </c>
      <c r="S209" s="6">
        <v>0</v>
      </c>
      <c r="T209" s="6">
        <v>15</v>
      </c>
      <c r="U209" s="6">
        <v>9</v>
      </c>
      <c r="V209" s="6">
        <f>IF(ISERROR(VLOOKUP($S$209,'TAR FIN'!$A$1:$O$85,15,0)),0,VLOOKUP($S$209,'TAR FIN'!$A$1:$O$85,15,0))</f>
        <v>0</v>
      </c>
      <c r="W209" s="6">
        <f>IF(ISERROR(VLOOKUP($T$209,'TAR FIN'!$A$1:$O$85,15,0)),0,VLOOKUP($T$209,'TAR FIN'!$A$1:$O$85,15,0))</f>
        <v>940.75</v>
      </c>
      <c r="X209" s="6">
        <f>IF(ISERROR(VLOOKUP($U$209,'TAR FIN'!$A$1:$O$85,15,0)),0,VLOOKUP($U$209,'TAR FIN'!$A$1:$O$85,15,0))</f>
        <v>373.71</v>
      </c>
      <c r="Y209" s="6"/>
      <c r="Z209" s="6">
        <f ca="1">('TUSD BE'!$AM$11+'TUSD BF_350'!$AM$11+'TUSD CVA'!$AM$11)*1</f>
        <v>966.5081601045739</v>
      </c>
      <c r="AA209" s="6">
        <f ca="1">('TE BE'!$AB$5+'TE BF_350'!$AB$5+'TE CVA'!$AB$5)*1</f>
        <v>347.98834052804079</v>
      </c>
      <c r="AB209" s="6">
        <f>$K$209*$V$209</f>
        <v>0</v>
      </c>
      <c r="AC209" s="6">
        <f>$M$209*$W$209</f>
        <v>666.99174999999991</v>
      </c>
      <c r="AD209" s="6">
        <f>$O$209*$X$209</f>
        <v>264.96038999999996</v>
      </c>
      <c r="AE209" s="6">
        <f>$K$209*$Y$209</f>
        <v>0</v>
      </c>
      <c r="AF209" s="6">
        <f ca="1">$M$209*$Z$209</f>
        <v>685.25428551414291</v>
      </c>
      <c r="AG209" s="6">
        <f ca="1">$O$209*$AA$209</f>
        <v>246.7237334343809</v>
      </c>
    </row>
    <row r="210" spans="1:33" ht="11.25" customHeight="1" x14ac:dyDescent="0.25">
      <c r="A210" s="4" t="s">
        <v>21</v>
      </c>
      <c r="B210" s="4" t="s">
        <v>34</v>
      </c>
      <c r="C210" s="4" t="s">
        <v>35</v>
      </c>
      <c r="D210" s="4" t="s">
        <v>41</v>
      </c>
      <c r="E210" s="4" t="s">
        <v>25</v>
      </c>
      <c r="F210" s="4" t="s">
        <v>25</v>
      </c>
      <c r="G210" s="4" t="s">
        <v>25</v>
      </c>
      <c r="H210" s="4" t="s">
        <v>36</v>
      </c>
      <c r="I210" s="5">
        <v>44501</v>
      </c>
      <c r="J210" s="6">
        <v>0</v>
      </c>
      <c r="K210" s="6">
        <v>0</v>
      </c>
      <c r="L210" s="6">
        <v>0.81100000000000005</v>
      </c>
      <c r="M210" s="6">
        <v>0.81100000000000005</v>
      </c>
      <c r="N210" s="6">
        <v>0.81100000000000005</v>
      </c>
      <c r="O210" s="6">
        <v>0.81100000000000005</v>
      </c>
      <c r="P210" s="6">
        <v>0</v>
      </c>
      <c r="Q210" s="4" t="s">
        <v>26</v>
      </c>
      <c r="R210" s="4">
        <v>0</v>
      </c>
      <c r="S210" s="6">
        <v>0</v>
      </c>
      <c r="T210" s="6">
        <v>15</v>
      </c>
      <c r="U210" s="6">
        <v>9</v>
      </c>
      <c r="V210" s="6">
        <f>IF(ISERROR(VLOOKUP($S$210,'TAR FIN'!$A$1:$O$85,15,0)),0,VLOOKUP($S$210,'TAR FIN'!$A$1:$O$85,15,0))</f>
        <v>0</v>
      </c>
      <c r="W210" s="6">
        <f>IF(ISERROR(VLOOKUP($T$210,'TAR FIN'!$A$1:$O$85,15,0)),0,VLOOKUP($T$210,'TAR FIN'!$A$1:$O$85,15,0))</f>
        <v>940.75</v>
      </c>
      <c r="X210" s="6">
        <f>IF(ISERROR(VLOOKUP($U$210,'TAR FIN'!$A$1:$O$85,15,0)),0,VLOOKUP($U$210,'TAR FIN'!$A$1:$O$85,15,0))</f>
        <v>373.71</v>
      </c>
      <c r="Y210" s="6"/>
      <c r="Z210" s="6">
        <f ca="1">('TUSD BE'!$AM$11+'TUSD BF_350'!$AM$11+'TUSD CVA'!$AM$11)*1</f>
        <v>966.5081601045739</v>
      </c>
      <c r="AA210" s="6">
        <f ca="1">('TE BE'!$AB$5+'TE BF_350'!$AB$5+'TE CVA'!$AB$5)*1</f>
        <v>347.98834052804079</v>
      </c>
      <c r="AB210" s="6">
        <f>$K$210*$V$210</f>
        <v>0</v>
      </c>
      <c r="AC210" s="6">
        <f>$M$210*$W$210</f>
        <v>762.94825000000003</v>
      </c>
      <c r="AD210" s="6">
        <f>$O$210*$X$210</f>
        <v>303.07880999999998</v>
      </c>
      <c r="AE210" s="6">
        <f>$K$210*$Y$210</f>
        <v>0</v>
      </c>
      <c r="AF210" s="6">
        <f ca="1">$M$210*$Z$210</f>
        <v>783.83811784480952</v>
      </c>
      <c r="AG210" s="6">
        <f ca="1">$O$210*$AA$210</f>
        <v>282.21854416824112</v>
      </c>
    </row>
    <row r="211" spans="1:33" ht="11.25" customHeight="1" x14ac:dyDescent="0.25">
      <c r="A211" s="4" t="s">
        <v>21</v>
      </c>
      <c r="B211" s="4" t="s">
        <v>34</v>
      </c>
      <c r="C211" s="4" t="s">
        <v>35</v>
      </c>
      <c r="D211" s="4" t="s">
        <v>41</v>
      </c>
      <c r="E211" s="4" t="s">
        <v>25</v>
      </c>
      <c r="F211" s="4" t="s">
        <v>25</v>
      </c>
      <c r="G211" s="4" t="s">
        <v>25</v>
      </c>
      <c r="H211" s="4" t="s">
        <v>36</v>
      </c>
      <c r="I211" s="5">
        <v>44531</v>
      </c>
      <c r="J211" s="6">
        <v>0</v>
      </c>
      <c r="K211" s="6">
        <v>0</v>
      </c>
      <c r="L211" s="6">
        <v>0.92800000000000005</v>
      </c>
      <c r="M211" s="6">
        <v>0.92800000000000005</v>
      </c>
      <c r="N211" s="6">
        <v>0.92800000000000005</v>
      </c>
      <c r="O211" s="6">
        <v>0.92800000000000005</v>
      </c>
      <c r="P211" s="6">
        <v>0</v>
      </c>
      <c r="Q211" s="4" t="s">
        <v>26</v>
      </c>
      <c r="R211" s="4">
        <v>0</v>
      </c>
      <c r="S211" s="6">
        <v>0</v>
      </c>
      <c r="T211" s="6">
        <v>15</v>
      </c>
      <c r="U211" s="6">
        <v>9</v>
      </c>
      <c r="V211" s="6">
        <f>IF(ISERROR(VLOOKUP($S$211,'TAR FIN'!$A$1:$O$85,15,0)),0,VLOOKUP($S$211,'TAR FIN'!$A$1:$O$85,15,0))</f>
        <v>0</v>
      </c>
      <c r="W211" s="6">
        <f>IF(ISERROR(VLOOKUP($T$211,'TAR FIN'!$A$1:$O$85,15,0)),0,VLOOKUP($T$211,'TAR FIN'!$A$1:$O$85,15,0))</f>
        <v>940.75</v>
      </c>
      <c r="X211" s="6">
        <f>IF(ISERROR(VLOOKUP($U$211,'TAR FIN'!$A$1:$O$85,15,0)),0,VLOOKUP($U$211,'TAR FIN'!$A$1:$O$85,15,0))</f>
        <v>373.71</v>
      </c>
      <c r="Y211" s="6"/>
      <c r="Z211" s="6">
        <f ca="1">('TUSD BE'!$AM$11+'TUSD BF_350'!$AM$11+'TUSD CVA'!$AM$11)*1</f>
        <v>966.5081601045739</v>
      </c>
      <c r="AA211" s="6">
        <f ca="1">('TE BE'!$AB$5+'TE BF_350'!$AB$5+'TE CVA'!$AB$5)*1</f>
        <v>347.98834052804079</v>
      </c>
      <c r="AB211" s="6">
        <f>$K$211*$V$211</f>
        <v>0</v>
      </c>
      <c r="AC211" s="6">
        <f>$M$211*$W$211</f>
        <v>873.01600000000008</v>
      </c>
      <c r="AD211" s="6">
        <f>$O$211*$X$211</f>
        <v>346.80288000000002</v>
      </c>
      <c r="AE211" s="6">
        <f>$K$211*$Y$211</f>
        <v>0</v>
      </c>
      <c r="AF211" s="6">
        <f ca="1">$M$211*$Z$211</f>
        <v>896.91957257704462</v>
      </c>
      <c r="AG211" s="6">
        <f ca="1">$O$211*$AA$211</f>
        <v>322.93318001002189</v>
      </c>
    </row>
    <row r="212" spans="1:33" ht="11.25" customHeight="1" x14ac:dyDescent="0.25">
      <c r="A212" s="4" t="s">
        <v>21</v>
      </c>
      <c r="B212" s="4" t="s">
        <v>34</v>
      </c>
      <c r="C212" s="4" t="s">
        <v>35</v>
      </c>
      <c r="D212" s="4" t="s">
        <v>41</v>
      </c>
      <c r="E212" s="4" t="s">
        <v>25</v>
      </c>
      <c r="F212" s="4" t="s">
        <v>25</v>
      </c>
      <c r="G212" s="4" t="s">
        <v>25</v>
      </c>
      <c r="H212" s="4" t="s">
        <v>36</v>
      </c>
      <c r="I212" s="5">
        <v>44562</v>
      </c>
      <c r="J212" s="6">
        <v>0</v>
      </c>
      <c r="K212" s="6">
        <v>0</v>
      </c>
      <c r="L212" s="6">
        <v>0.92500000000000004</v>
      </c>
      <c r="M212" s="6">
        <v>0.92500000000000004</v>
      </c>
      <c r="N212" s="6">
        <v>0.92500000000000004</v>
      </c>
      <c r="O212" s="6">
        <v>0.92500000000000004</v>
      </c>
      <c r="P212" s="6">
        <v>0</v>
      </c>
      <c r="Q212" s="4" t="s">
        <v>26</v>
      </c>
      <c r="R212" s="4">
        <v>0</v>
      </c>
      <c r="S212" s="6">
        <v>0</v>
      </c>
      <c r="T212" s="6">
        <v>15</v>
      </c>
      <c r="U212" s="6">
        <v>9</v>
      </c>
      <c r="V212" s="6">
        <f>IF(ISERROR(VLOOKUP($S$212,'TAR FIN'!$A$1:$O$85,15,0)),0,VLOOKUP($S$212,'TAR FIN'!$A$1:$O$85,15,0))</f>
        <v>0</v>
      </c>
      <c r="W212" s="6">
        <f>IF(ISERROR(VLOOKUP($T$212,'TAR FIN'!$A$1:$O$85,15,0)),0,VLOOKUP($T$212,'TAR FIN'!$A$1:$O$85,15,0))</f>
        <v>940.75</v>
      </c>
      <c r="X212" s="6">
        <f>IF(ISERROR(VLOOKUP($U$212,'TAR FIN'!$A$1:$O$85,15,0)),0,VLOOKUP($U$212,'TAR FIN'!$A$1:$O$85,15,0))</f>
        <v>373.71</v>
      </c>
      <c r="Y212" s="6"/>
      <c r="Z212" s="6">
        <f ca="1">('TUSD BE'!$AM$11+'TUSD BF_350'!$AM$11+'TUSD CVA'!$AM$11)*1</f>
        <v>966.5081601045739</v>
      </c>
      <c r="AA212" s="6">
        <f ca="1">('TE BE'!$AB$5+'TE BF_350'!$AB$5+'TE CVA'!$AB$5)*1</f>
        <v>347.98834052804079</v>
      </c>
      <c r="AB212" s="6">
        <f>$K$212*$V$212</f>
        <v>0</v>
      </c>
      <c r="AC212" s="6">
        <f>$M$212*$W$212</f>
        <v>870.19375000000002</v>
      </c>
      <c r="AD212" s="6">
        <f>$O$212*$X$212</f>
        <v>345.68175000000002</v>
      </c>
      <c r="AE212" s="6">
        <f>$K$212*$Y$212</f>
        <v>0</v>
      </c>
      <c r="AF212" s="6">
        <f ca="1">$M$212*$Z$212</f>
        <v>894.02004809673087</v>
      </c>
      <c r="AG212" s="6">
        <f ca="1">$O$212*$AA$212</f>
        <v>321.88921498843774</v>
      </c>
    </row>
    <row r="213" spans="1:33" ht="11.25" customHeight="1" x14ac:dyDescent="0.25">
      <c r="A213" s="4" t="s">
        <v>21</v>
      </c>
      <c r="B213" s="4" t="s">
        <v>34</v>
      </c>
      <c r="C213" s="4" t="s">
        <v>35</v>
      </c>
      <c r="D213" s="4" t="s">
        <v>41</v>
      </c>
      <c r="E213" s="4" t="s">
        <v>25</v>
      </c>
      <c r="F213" s="4" t="s">
        <v>25</v>
      </c>
      <c r="G213" s="4" t="s">
        <v>25</v>
      </c>
      <c r="H213" s="4" t="s">
        <v>36</v>
      </c>
      <c r="I213" s="5">
        <v>44593</v>
      </c>
      <c r="J213" s="6">
        <v>0</v>
      </c>
      <c r="K213" s="6">
        <v>0</v>
      </c>
      <c r="L213" s="6">
        <v>0.86499999999999999</v>
      </c>
      <c r="M213" s="6">
        <v>0.86499999999999999</v>
      </c>
      <c r="N213" s="6">
        <v>0.86499999999999999</v>
      </c>
      <c r="O213" s="6">
        <v>0.86499999999999999</v>
      </c>
      <c r="P213" s="6">
        <v>0</v>
      </c>
      <c r="Q213" s="4" t="s">
        <v>26</v>
      </c>
      <c r="R213" s="4">
        <v>0</v>
      </c>
      <c r="S213" s="6">
        <v>0</v>
      </c>
      <c r="T213" s="6">
        <v>15</v>
      </c>
      <c r="U213" s="6">
        <v>9</v>
      </c>
      <c r="V213" s="6">
        <f>IF(ISERROR(VLOOKUP($S$213,'TAR FIN'!$A$1:$O$85,15,0)),0,VLOOKUP($S$213,'TAR FIN'!$A$1:$O$85,15,0))</f>
        <v>0</v>
      </c>
      <c r="W213" s="6">
        <f>IF(ISERROR(VLOOKUP($T$213,'TAR FIN'!$A$1:$O$85,15,0)),0,VLOOKUP($T$213,'TAR FIN'!$A$1:$O$85,15,0))</f>
        <v>940.75</v>
      </c>
      <c r="X213" s="6">
        <f>IF(ISERROR(VLOOKUP($U$213,'TAR FIN'!$A$1:$O$85,15,0)),0,VLOOKUP($U$213,'TAR FIN'!$A$1:$O$85,15,0))</f>
        <v>373.71</v>
      </c>
      <c r="Y213" s="6"/>
      <c r="Z213" s="6">
        <f ca="1">('TUSD BE'!$AM$11+'TUSD BF_350'!$AM$11+'TUSD CVA'!$AM$11)*1</f>
        <v>966.5081601045739</v>
      </c>
      <c r="AA213" s="6">
        <f ca="1">('TE BE'!$AB$5+'TE BF_350'!$AB$5+'TE CVA'!$AB$5)*1</f>
        <v>347.98834052804079</v>
      </c>
      <c r="AB213" s="6">
        <f>$K$213*$V$213</f>
        <v>0</v>
      </c>
      <c r="AC213" s="6">
        <f>$M$213*$W$213</f>
        <v>813.74874999999997</v>
      </c>
      <c r="AD213" s="6">
        <f>$O$213*$X$213</f>
        <v>323.25914999999998</v>
      </c>
      <c r="AE213" s="6">
        <f>$K$213*$Y$213</f>
        <v>0</v>
      </c>
      <c r="AF213" s="6">
        <f ca="1">$M$213*$Z$213</f>
        <v>836.02955849045645</v>
      </c>
      <c r="AG213" s="6">
        <f ca="1">$O$213*$AA$213</f>
        <v>301.00991455675529</v>
      </c>
    </row>
    <row r="214" spans="1:33" ht="11.25" customHeight="1" x14ac:dyDescent="0.25">
      <c r="A214" s="4" t="s">
        <v>21</v>
      </c>
      <c r="B214" s="4" t="s">
        <v>34</v>
      </c>
      <c r="C214" s="4" t="s">
        <v>35</v>
      </c>
      <c r="D214" s="4" t="s">
        <v>41</v>
      </c>
      <c r="E214" s="4" t="s">
        <v>25</v>
      </c>
      <c r="F214" s="4" t="s">
        <v>25</v>
      </c>
      <c r="G214" s="4" t="s">
        <v>25</v>
      </c>
      <c r="H214" s="4" t="s">
        <v>36</v>
      </c>
      <c r="I214" s="5">
        <v>44621</v>
      </c>
      <c r="J214" s="6">
        <v>0</v>
      </c>
      <c r="K214" s="6">
        <v>0</v>
      </c>
      <c r="L214" s="6">
        <v>0.878</v>
      </c>
      <c r="M214" s="6">
        <v>0.878</v>
      </c>
      <c r="N214" s="6">
        <v>0.878</v>
      </c>
      <c r="O214" s="6">
        <v>0.878</v>
      </c>
      <c r="P214" s="6">
        <v>0</v>
      </c>
      <c r="Q214" s="4" t="s">
        <v>26</v>
      </c>
      <c r="R214" s="4">
        <v>0</v>
      </c>
      <c r="S214" s="6">
        <v>0</v>
      </c>
      <c r="T214" s="6">
        <v>15</v>
      </c>
      <c r="U214" s="6">
        <v>9</v>
      </c>
      <c r="V214" s="6">
        <f>IF(ISERROR(VLOOKUP($S$214,'TAR FIN'!$A$1:$O$85,15,0)),0,VLOOKUP($S$214,'TAR FIN'!$A$1:$O$85,15,0))</f>
        <v>0</v>
      </c>
      <c r="W214" s="6">
        <f>IF(ISERROR(VLOOKUP($T$214,'TAR FIN'!$A$1:$O$85,15,0)),0,VLOOKUP($T$214,'TAR FIN'!$A$1:$O$85,15,0))</f>
        <v>940.75</v>
      </c>
      <c r="X214" s="6">
        <f>IF(ISERROR(VLOOKUP($U$214,'TAR FIN'!$A$1:$O$85,15,0)),0,VLOOKUP($U$214,'TAR FIN'!$A$1:$O$85,15,0))</f>
        <v>373.71</v>
      </c>
      <c r="Y214" s="6"/>
      <c r="Z214" s="6">
        <f ca="1">('TUSD BE'!$AM$11+'TUSD BF_350'!$AM$11+'TUSD CVA'!$AM$11)*1</f>
        <v>966.5081601045739</v>
      </c>
      <c r="AA214" s="6">
        <f ca="1">('TE BE'!$AB$5+'TE BF_350'!$AB$5+'TE CVA'!$AB$5)*1</f>
        <v>347.98834052804079</v>
      </c>
      <c r="AB214" s="6">
        <f>$K$214*$V$214</f>
        <v>0</v>
      </c>
      <c r="AC214" s="6">
        <f>$M$214*$W$214</f>
        <v>825.97850000000005</v>
      </c>
      <c r="AD214" s="6">
        <f>$O$214*$X$214</f>
        <v>328.11737999999997</v>
      </c>
      <c r="AE214" s="6">
        <f>$K$214*$Y$214</f>
        <v>0</v>
      </c>
      <c r="AF214" s="6">
        <f ca="1">$M$214*$Z$214</f>
        <v>848.5941645718159</v>
      </c>
      <c r="AG214" s="6">
        <f ca="1">$O$214*$AA$214</f>
        <v>305.53376298361979</v>
      </c>
    </row>
    <row r="215" spans="1:33" ht="11.25" customHeight="1" x14ac:dyDescent="0.25">
      <c r="A215" s="4" t="s">
        <v>21</v>
      </c>
      <c r="B215" s="4" t="s">
        <v>34</v>
      </c>
      <c r="C215" s="4" t="s">
        <v>35</v>
      </c>
      <c r="D215" s="4" t="s">
        <v>41</v>
      </c>
      <c r="E215" s="4" t="s">
        <v>25</v>
      </c>
      <c r="F215" s="4" t="s">
        <v>25</v>
      </c>
      <c r="G215" s="4" t="s">
        <v>25</v>
      </c>
      <c r="H215" s="4" t="s">
        <v>36</v>
      </c>
      <c r="I215" s="5">
        <v>44652</v>
      </c>
      <c r="J215" s="6">
        <v>0</v>
      </c>
      <c r="K215" s="6">
        <v>0</v>
      </c>
      <c r="L215" s="6">
        <v>0.67500000000000004</v>
      </c>
      <c r="M215" s="6">
        <v>0.67500000000000004</v>
      </c>
      <c r="N215" s="6">
        <v>0.67500000000000004</v>
      </c>
      <c r="O215" s="6">
        <v>0.67500000000000004</v>
      </c>
      <c r="P215" s="6">
        <v>0</v>
      </c>
      <c r="Q215" s="4" t="s">
        <v>26</v>
      </c>
      <c r="R215" s="4">
        <v>0</v>
      </c>
      <c r="S215" s="6">
        <v>0</v>
      </c>
      <c r="T215" s="6">
        <v>15</v>
      </c>
      <c r="U215" s="6">
        <v>9</v>
      </c>
      <c r="V215" s="6">
        <f>IF(ISERROR(VLOOKUP($S$215,'TAR FIN'!$A$1:$O$85,15,0)),0,VLOOKUP($S$215,'TAR FIN'!$A$1:$O$85,15,0))</f>
        <v>0</v>
      </c>
      <c r="W215" s="6">
        <f>IF(ISERROR(VLOOKUP($T$215,'TAR FIN'!$A$1:$O$85,15,0)),0,VLOOKUP($T$215,'TAR FIN'!$A$1:$O$85,15,0))</f>
        <v>940.75</v>
      </c>
      <c r="X215" s="6">
        <f>IF(ISERROR(VLOOKUP($U$215,'TAR FIN'!$A$1:$O$85,15,0)),0,VLOOKUP($U$215,'TAR FIN'!$A$1:$O$85,15,0))</f>
        <v>373.71</v>
      </c>
      <c r="Y215" s="6"/>
      <c r="Z215" s="6">
        <f ca="1">('TUSD BE'!$AM$11+'TUSD BF_350'!$AM$11+'TUSD CVA'!$AM$11)*1</f>
        <v>966.5081601045739</v>
      </c>
      <c r="AA215" s="6">
        <f ca="1">('TE BE'!$AB$5+'TE BF_350'!$AB$5+'TE CVA'!$AB$5)*1</f>
        <v>347.98834052804079</v>
      </c>
      <c r="AB215" s="6">
        <f>$K$215*$V$215</f>
        <v>0</v>
      </c>
      <c r="AC215" s="6">
        <f>$M$215*$W$215</f>
        <v>635.00625000000002</v>
      </c>
      <c r="AD215" s="6">
        <f>$O$215*$X$215</f>
        <v>252.25425000000001</v>
      </c>
      <c r="AE215" s="6">
        <f>$K$215*$Y$215</f>
        <v>0</v>
      </c>
      <c r="AF215" s="6">
        <f ca="1">$M$215*$Z$215</f>
        <v>652.39300807058748</v>
      </c>
      <c r="AG215" s="6">
        <f ca="1">$O$215*$AA$215</f>
        <v>234.89212985642754</v>
      </c>
    </row>
    <row r="216" spans="1:33" ht="11.25" customHeight="1" x14ac:dyDescent="0.25">
      <c r="A216" s="4" t="s">
        <v>21</v>
      </c>
      <c r="B216" s="4" t="s">
        <v>34</v>
      </c>
      <c r="C216" s="4" t="s">
        <v>35</v>
      </c>
      <c r="D216" s="4" t="s">
        <v>41</v>
      </c>
      <c r="E216" s="4" t="s">
        <v>25</v>
      </c>
      <c r="F216" s="4" t="s">
        <v>25</v>
      </c>
      <c r="G216" s="4" t="s">
        <v>25</v>
      </c>
      <c r="H216" s="4" t="s">
        <v>36</v>
      </c>
      <c r="I216" s="5">
        <v>44682</v>
      </c>
      <c r="J216" s="6">
        <v>0</v>
      </c>
      <c r="K216" s="6">
        <v>0</v>
      </c>
      <c r="L216" s="6">
        <v>0.82899999999999996</v>
      </c>
      <c r="M216" s="6">
        <v>0.82899999999999996</v>
      </c>
      <c r="N216" s="6">
        <v>0.82899999999999996</v>
      </c>
      <c r="O216" s="6">
        <v>0.82899999999999996</v>
      </c>
      <c r="P216" s="6">
        <v>0</v>
      </c>
      <c r="Q216" s="4" t="s">
        <v>26</v>
      </c>
      <c r="R216" s="4">
        <v>0</v>
      </c>
      <c r="S216" s="6">
        <v>0</v>
      </c>
      <c r="T216" s="6">
        <v>15</v>
      </c>
      <c r="U216" s="6">
        <v>9</v>
      </c>
      <c r="V216" s="6">
        <f>IF(ISERROR(VLOOKUP($S$216,'TAR FIN'!$A$1:$O$85,15,0)),0,VLOOKUP($S$216,'TAR FIN'!$A$1:$O$85,15,0))</f>
        <v>0</v>
      </c>
      <c r="W216" s="6">
        <f>IF(ISERROR(VLOOKUP($T$216,'TAR FIN'!$A$1:$O$85,15,0)),0,VLOOKUP($T$216,'TAR FIN'!$A$1:$O$85,15,0))</f>
        <v>940.75</v>
      </c>
      <c r="X216" s="6">
        <f>IF(ISERROR(VLOOKUP($U$216,'TAR FIN'!$A$1:$O$85,15,0)),0,VLOOKUP($U$216,'TAR FIN'!$A$1:$O$85,15,0))</f>
        <v>373.71</v>
      </c>
      <c r="Y216" s="6"/>
      <c r="Z216" s="6">
        <f ca="1">('TUSD BE'!$AM$11+'TUSD BF_350'!$AM$11+'TUSD CVA'!$AM$11)*1</f>
        <v>966.5081601045739</v>
      </c>
      <c r="AA216" s="6">
        <f ca="1">('TE BE'!$AB$5+'TE BF_350'!$AB$5+'TE CVA'!$AB$5)*1</f>
        <v>347.98834052804079</v>
      </c>
      <c r="AB216" s="6">
        <f>$K$216*$V$216</f>
        <v>0</v>
      </c>
      <c r="AC216" s="6">
        <f>$M$216*$W$216</f>
        <v>779.88175000000001</v>
      </c>
      <c r="AD216" s="6">
        <f>$O$216*$X$216</f>
        <v>309.80559</v>
      </c>
      <c r="AE216" s="6">
        <f>$K$216*$Y$216</f>
        <v>0</v>
      </c>
      <c r="AF216" s="6">
        <f ca="1">$M$216*$Z$216</f>
        <v>801.23526472669175</v>
      </c>
      <c r="AG216" s="6">
        <f ca="1">$O$216*$AA$216</f>
        <v>288.48233429774581</v>
      </c>
    </row>
    <row r="217" spans="1:33" ht="11.25" customHeight="1" x14ac:dyDescent="0.25">
      <c r="A217" s="4" t="s">
        <v>21</v>
      </c>
      <c r="B217" s="4" t="s">
        <v>34</v>
      </c>
      <c r="C217" s="4" t="s">
        <v>35</v>
      </c>
      <c r="D217" s="4" t="s">
        <v>41</v>
      </c>
      <c r="E217" s="4" t="s">
        <v>25</v>
      </c>
      <c r="F217" s="4" t="s">
        <v>25</v>
      </c>
      <c r="G217" s="4" t="s">
        <v>25</v>
      </c>
      <c r="H217" s="4" t="s">
        <v>36</v>
      </c>
      <c r="I217" s="5">
        <v>44713</v>
      </c>
      <c r="J217" s="6">
        <v>0</v>
      </c>
      <c r="K217" s="6">
        <v>0</v>
      </c>
      <c r="L217" s="6">
        <v>0.91500000000000004</v>
      </c>
      <c r="M217" s="6">
        <v>0.91500000000000004</v>
      </c>
      <c r="N217" s="6">
        <v>0.91500000000000004</v>
      </c>
      <c r="O217" s="6">
        <v>0.91500000000000004</v>
      </c>
      <c r="P217" s="6">
        <v>0</v>
      </c>
      <c r="Q217" s="4" t="s">
        <v>26</v>
      </c>
      <c r="R217" s="4">
        <v>0</v>
      </c>
      <c r="S217" s="6">
        <v>0</v>
      </c>
      <c r="T217" s="6">
        <v>15</v>
      </c>
      <c r="U217" s="6">
        <v>9</v>
      </c>
      <c r="V217" s="6">
        <f>IF(ISERROR(VLOOKUP($S$217,'TAR FIN'!$A$1:$O$85,15,0)),0,VLOOKUP($S$217,'TAR FIN'!$A$1:$O$85,15,0))</f>
        <v>0</v>
      </c>
      <c r="W217" s="6">
        <f>IF(ISERROR(VLOOKUP($T$217,'TAR FIN'!$A$1:$O$85,15,0)),0,VLOOKUP($T$217,'TAR FIN'!$A$1:$O$85,15,0))</f>
        <v>940.75</v>
      </c>
      <c r="X217" s="6">
        <f>IF(ISERROR(VLOOKUP($U$217,'TAR FIN'!$A$1:$O$85,15,0)),0,VLOOKUP($U$217,'TAR FIN'!$A$1:$O$85,15,0))</f>
        <v>373.71</v>
      </c>
      <c r="Y217" s="6"/>
      <c r="Z217" s="6">
        <f ca="1">('TUSD BE'!$AM$11+'TUSD BF_350'!$AM$11+'TUSD CVA'!$AM$11)*1</f>
        <v>966.5081601045739</v>
      </c>
      <c r="AA217" s="6">
        <f ca="1">('TE BE'!$AB$5+'TE BF_350'!$AB$5+'TE CVA'!$AB$5)*1</f>
        <v>347.98834052804079</v>
      </c>
      <c r="AB217" s="6">
        <f>$K$217*$V$217</f>
        <v>0</v>
      </c>
      <c r="AC217" s="6">
        <f>$M$217*$W$217</f>
        <v>860.78625</v>
      </c>
      <c r="AD217" s="6">
        <f>$O$217*$X$217</f>
        <v>341.94464999999997</v>
      </c>
      <c r="AE217" s="6">
        <f>$K$217*$Y$217</f>
        <v>0</v>
      </c>
      <c r="AF217" s="6">
        <f ca="1">$M$217*$Z$217</f>
        <v>884.35496649568518</v>
      </c>
      <c r="AG217" s="6">
        <f ca="1">$O$217*$AA$217</f>
        <v>318.40933158315732</v>
      </c>
    </row>
    <row r="218" spans="1:33" ht="11.25" customHeight="1" x14ac:dyDescent="0.25">
      <c r="A218" s="4" t="s">
        <v>27</v>
      </c>
      <c r="B218" s="4" t="s">
        <v>34</v>
      </c>
      <c r="C218" s="4" t="s">
        <v>35</v>
      </c>
      <c r="D218" s="4" t="s">
        <v>40</v>
      </c>
      <c r="E218" s="4" t="s">
        <v>25</v>
      </c>
      <c r="F218" s="4" t="s">
        <v>25</v>
      </c>
      <c r="G218" s="4" t="s">
        <v>25</v>
      </c>
      <c r="H218" s="4" t="s">
        <v>37</v>
      </c>
      <c r="I218" s="5">
        <v>44652</v>
      </c>
      <c r="J218" s="6">
        <v>0</v>
      </c>
      <c r="K218" s="65">
        <v>0</v>
      </c>
      <c r="L218" s="6">
        <v>10.224</v>
      </c>
      <c r="M218" s="65">
        <v>10.224</v>
      </c>
      <c r="N218" s="6">
        <v>10.224</v>
      </c>
      <c r="O218" s="65">
        <v>10.224</v>
      </c>
      <c r="P218" s="6">
        <v>0</v>
      </c>
      <c r="Q218" s="4" t="s">
        <v>26</v>
      </c>
      <c r="R218" s="4">
        <v>0</v>
      </c>
      <c r="S218" s="6">
        <v>0</v>
      </c>
      <c r="T218" s="6">
        <v>13</v>
      </c>
      <c r="U218" s="6">
        <v>16</v>
      </c>
      <c r="V218" s="65">
        <f>IF(ISERROR(VLOOKUP($S$218,'TAR FIN'!$A$1:$O$85,15,0)),0,VLOOKUP($S$218,'TAR FIN'!$A$1:$O$85,15,0))</f>
        <v>0</v>
      </c>
      <c r="W218" s="65">
        <f>IF(ISERROR(VLOOKUP($T$218,'TAR FIN'!$A$1:$O$85,15,0)),0,VLOOKUP($T$218,'TAR FIN'!$A$1:$O$85,15,0))*(1-0.04)</f>
        <v>75.504000000000005</v>
      </c>
      <c r="X218" s="65">
        <f>IF(ISERROR(VLOOKUP($U$218,'TAR FIN'!$A$1:$O$85,15,0)),0,VLOOKUP($U$218,'TAR FIN'!$A$1:$O$85,15,0))*(1-0.04)</f>
        <v>220.67519999999999</v>
      </c>
      <c r="Y218" s="65"/>
      <c r="Z218" s="65">
        <f ca="1">('TUSD BE'!$AM$12+'TUSD BF_350'!$AM$12+'TUSD CVA'!$AM$12)*1*(1-0.02)</f>
        <v>112.19078372459943</v>
      </c>
      <c r="AA218" s="65">
        <f ca="1">('TE BE'!$AB$6+'TE BF_350'!$AB$6+'TE CVA'!$AB$6)*1*(1-0.02)</f>
        <v>212.26968335131818</v>
      </c>
      <c r="AB218" s="6">
        <f>$K$218*$V$218</f>
        <v>0</v>
      </c>
      <c r="AC218" s="6">
        <f>$M$218*$W$218</f>
        <v>771.95289600000001</v>
      </c>
      <c r="AD218" s="6">
        <f>$O$218*$X$218</f>
        <v>2256.1832448</v>
      </c>
      <c r="AE218" s="6">
        <f>$K$218*$Y$218</f>
        <v>0</v>
      </c>
      <c r="AF218" s="6">
        <f ca="1">$M$218*$Z$218</f>
        <v>1147.0385728003046</v>
      </c>
      <c r="AG218" s="6">
        <f ca="1">$O$218*$AA$218</f>
        <v>2170.2452425838769</v>
      </c>
    </row>
    <row r="219" spans="1:33" ht="11.25" customHeight="1" x14ac:dyDescent="0.25">
      <c r="A219" s="4" t="s">
        <v>27</v>
      </c>
      <c r="B219" s="4" t="s">
        <v>34</v>
      </c>
      <c r="C219" s="4" t="s">
        <v>35</v>
      </c>
      <c r="D219" s="4" t="s">
        <v>40</v>
      </c>
      <c r="E219" s="4" t="s">
        <v>25</v>
      </c>
      <c r="F219" s="4" t="s">
        <v>25</v>
      </c>
      <c r="G219" s="4" t="s">
        <v>25</v>
      </c>
      <c r="H219" s="4" t="s">
        <v>37</v>
      </c>
      <c r="I219" s="5">
        <v>44682</v>
      </c>
      <c r="J219" s="6">
        <v>0</v>
      </c>
      <c r="K219" s="65">
        <v>0</v>
      </c>
      <c r="L219" s="6">
        <v>6.71</v>
      </c>
      <c r="M219" s="65">
        <v>6.71</v>
      </c>
      <c r="N219" s="6">
        <v>6.71</v>
      </c>
      <c r="O219" s="65">
        <v>6.71</v>
      </c>
      <c r="P219" s="6">
        <v>0</v>
      </c>
      <c r="Q219" s="4" t="s">
        <v>26</v>
      </c>
      <c r="R219" s="4">
        <v>0</v>
      </c>
      <c r="S219" s="6">
        <v>0</v>
      </c>
      <c r="T219" s="6">
        <v>13</v>
      </c>
      <c r="U219" s="6">
        <v>16</v>
      </c>
      <c r="V219" s="65">
        <f>IF(ISERROR(VLOOKUP($S$219,'TAR FIN'!$A$1:$O$85,15,0)),0,VLOOKUP($S$219,'TAR FIN'!$A$1:$O$85,15,0))</f>
        <v>0</v>
      </c>
      <c r="W219" s="65">
        <f>IF(ISERROR(VLOOKUP($T$219,'TAR FIN'!$A$1:$O$85,15,0)),0,VLOOKUP($T$219,'TAR FIN'!$A$1:$O$85,15,0))*(1-0.04)</f>
        <v>75.504000000000005</v>
      </c>
      <c r="X219" s="65">
        <f>IF(ISERROR(VLOOKUP($U$219,'TAR FIN'!$A$1:$O$85,15,0)),0,VLOOKUP($U$219,'TAR FIN'!$A$1:$O$85,15,0))*(1-0.04)</f>
        <v>220.67519999999999</v>
      </c>
      <c r="Y219" s="65"/>
      <c r="Z219" s="65">
        <f ca="1">('TUSD BE'!$AM$12+'TUSD BF_350'!$AM$12+'TUSD CVA'!$AM$12)*1*(1-0.02)</f>
        <v>112.19078372459943</v>
      </c>
      <c r="AA219" s="65">
        <f ca="1">('TE BE'!$AB$6+'TE BF_350'!$AB$6+'TE CVA'!$AB$6)*1*(1-0.02)</f>
        <v>212.26968335131818</v>
      </c>
      <c r="AB219" s="6">
        <f>$K$219*$V$219</f>
        <v>0</v>
      </c>
      <c r="AC219" s="6">
        <f>$M$219*$W$219</f>
        <v>506.63184000000001</v>
      </c>
      <c r="AD219" s="6">
        <f>$O$219*$X$219</f>
        <v>1480.7305919999999</v>
      </c>
      <c r="AE219" s="6">
        <f>$K$219*$Y$219</f>
        <v>0</v>
      </c>
      <c r="AF219" s="6">
        <f ca="1">$M$219*$Z$219</f>
        <v>752.80015879206212</v>
      </c>
      <c r="AG219" s="6">
        <f ca="1">$O$219*$AA$219</f>
        <v>1424.3295752873451</v>
      </c>
    </row>
    <row r="220" spans="1:33" ht="11.25" customHeight="1" x14ac:dyDescent="0.25">
      <c r="A220" s="4" t="s">
        <v>27</v>
      </c>
      <c r="B220" s="4" t="s">
        <v>34</v>
      </c>
      <c r="C220" s="4" t="s">
        <v>35</v>
      </c>
      <c r="D220" s="4" t="s">
        <v>40</v>
      </c>
      <c r="E220" s="4" t="s">
        <v>25</v>
      </c>
      <c r="F220" s="4" t="s">
        <v>25</v>
      </c>
      <c r="G220" s="4" t="s">
        <v>25</v>
      </c>
      <c r="H220" s="4" t="s">
        <v>37</v>
      </c>
      <c r="I220" s="5">
        <v>44713</v>
      </c>
      <c r="J220" s="6">
        <v>0</v>
      </c>
      <c r="K220" s="65">
        <v>0</v>
      </c>
      <c r="L220" s="6">
        <v>2.5089999999999999</v>
      </c>
      <c r="M220" s="65">
        <v>2.5089999999999999</v>
      </c>
      <c r="N220" s="6">
        <v>2.5089999999999999</v>
      </c>
      <c r="O220" s="65">
        <v>2.5089999999999999</v>
      </c>
      <c r="P220" s="6">
        <v>0</v>
      </c>
      <c r="Q220" s="4" t="s">
        <v>26</v>
      </c>
      <c r="R220" s="4">
        <v>0</v>
      </c>
      <c r="S220" s="6">
        <v>0</v>
      </c>
      <c r="T220" s="6">
        <v>13</v>
      </c>
      <c r="U220" s="6">
        <v>16</v>
      </c>
      <c r="V220" s="65">
        <f>IF(ISERROR(VLOOKUP($S$220,'TAR FIN'!$A$1:$O$85,15,0)),0,VLOOKUP($S$220,'TAR FIN'!$A$1:$O$85,15,0))</f>
        <v>0</v>
      </c>
      <c r="W220" s="65">
        <f>IF(ISERROR(VLOOKUP($T$220,'TAR FIN'!$A$1:$O$85,15,0)),0,VLOOKUP($T$220,'TAR FIN'!$A$1:$O$85,15,0))*(1-0.04)</f>
        <v>75.504000000000005</v>
      </c>
      <c r="X220" s="65">
        <f>IF(ISERROR(VLOOKUP($U$220,'TAR FIN'!$A$1:$O$85,15,0)),0,VLOOKUP($U$220,'TAR FIN'!$A$1:$O$85,15,0))*(1-0.04)</f>
        <v>220.67519999999999</v>
      </c>
      <c r="Y220" s="65"/>
      <c r="Z220" s="65">
        <f ca="1">('TUSD BE'!$AM$12+'TUSD BF_350'!$AM$12+'TUSD CVA'!$AM$12)*1*(1-0.02)</f>
        <v>112.19078372459943</v>
      </c>
      <c r="AA220" s="65">
        <f ca="1">('TE BE'!$AB$6+'TE BF_350'!$AB$6+'TE CVA'!$AB$6)*1*(1-0.02)</f>
        <v>212.26968335131818</v>
      </c>
      <c r="AB220" s="6">
        <f>$K$220*$V$220</f>
        <v>0</v>
      </c>
      <c r="AC220" s="6">
        <f>$M$220*$W$220</f>
        <v>189.439536</v>
      </c>
      <c r="AD220" s="6">
        <f>$O$220*$X$220</f>
        <v>553.67407679999997</v>
      </c>
      <c r="AE220" s="6">
        <f>$K$220*$Y$220</f>
        <v>0</v>
      </c>
      <c r="AF220" s="6">
        <f ca="1">$M$220*$Z$220</f>
        <v>281.48667636501995</v>
      </c>
      <c r="AG220" s="6">
        <f ca="1">$O$220*$AA$220</f>
        <v>532.58463552845728</v>
      </c>
    </row>
    <row r="221" spans="1:33" ht="11.25" customHeight="1" x14ac:dyDescent="0.25">
      <c r="A221" s="4" t="s">
        <v>27</v>
      </c>
      <c r="B221" s="4" t="s">
        <v>34</v>
      </c>
      <c r="C221" s="4" t="s">
        <v>35</v>
      </c>
      <c r="D221" s="4" t="s">
        <v>40</v>
      </c>
      <c r="E221" s="4" t="s">
        <v>25</v>
      </c>
      <c r="F221" s="4" t="s">
        <v>25</v>
      </c>
      <c r="G221" s="4" t="s">
        <v>25</v>
      </c>
      <c r="H221" s="4" t="s">
        <v>25</v>
      </c>
      <c r="I221" s="5">
        <v>44378</v>
      </c>
      <c r="J221" s="6">
        <v>100</v>
      </c>
      <c r="K221" s="65">
        <v>100</v>
      </c>
      <c r="L221" s="6">
        <v>0</v>
      </c>
      <c r="M221" s="65">
        <v>0</v>
      </c>
      <c r="N221" s="6">
        <v>0</v>
      </c>
      <c r="O221" s="65">
        <v>0</v>
      </c>
      <c r="P221" s="6">
        <v>1</v>
      </c>
      <c r="Q221" s="4" t="s">
        <v>26</v>
      </c>
      <c r="R221" s="4">
        <v>0</v>
      </c>
      <c r="S221" s="6">
        <v>36</v>
      </c>
      <c r="T221" s="6">
        <v>0</v>
      </c>
      <c r="U221" s="6">
        <v>0</v>
      </c>
      <c r="V221" s="65">
        <f>IF(ISERROR(VLOOKUP($S$221,'TAR FIN'!$A$1:$O$85,15,0)),0,VLOOKUP($S$221,'TAR FIN'!$A$1:$O$85,15,0))*(1-0.04)</f>
        <v>14.3424</v>
      </c>
      <c r="W221" s="65">
        <f>IF(ISERROR(VLOOKUP($T$221,'TAR FIN'!$A$1:$O$85,15,0)),0,VLOOKUP($T$221,'TAR FIN'!$A$1:$O$85,15,0))</f>
        <v>0</v>
      </c>
      <c r="X221" s="65">
        <f>IF(ISERROR(VLOOKUP($U$221,'TAR FIN'!$A$1:$O$85,15,0)),0,VLOOKUP($U$221,'TAR FIN'!$A$1:$O$85,15,0))</f>
        <v>0</v>
      </c>
      <c r="Y221" s="65">
        <f ca="1">('TUSD BE'!$AM$10+'TUSD BF_350'!$AM$10+'TUSD CVA'!$AM$10)*1*(1-0.02)</f>
        <v>19.241604957347008</v>
      </c>
      <c r="Z221" s="65"/>
      <c r="AA221" s="65"/>
      <c r="AB221" s="6">
        <f>$K$221*$V$221</f>
        <v>1434.24</v>
      </c>
      <c r="AC221" s="6">
        <f>$M$221*$W$221</f>
        <v>0</v>
      </c>
      <c r="AD221" s="6">
        <f>$O$221*$X$221</f>
        <v>0</v>
      </c>
      <c r="AE221" s="6">
        <f ca="1">$K$221*$Y$221</f>
        <v>1924.1604957347008</v>
      </c>
      <c r="AF221" s="6">
        <f>$M$221*$Z$221</f>
        <v>0</v>
      </c>
      <c r="AG221" s="6">
        <f>$O$221*$AA$221</f>
        <v>0</v>
      </c>
    </row>
    <row r="222" spans="1:33" ht="11.25" customHeight="1" x14ac:dyDescent="0.25">
      <c r="A222" s="4" t="s">
        <v>27</v>
      </c>
      <c r="B222" s="4" t="s">
        <v>34</v>
      </c>
      <c r="C222" s="4" t="s">
        <v>35</v>
      </c>
      <c r="D222" s="4" t="s">
        <v>40</v>
      </c>
      <c r="E222" s="4" t="s">
        <v>25</v>
      </c>
      <c r="F222" s="4" t="s">
        <v>25</v>
      </c>
      <c r="G222" s="4" t="s">
        <v>25</v>
      </c>
      <c r="H222" s="4" t="s">
        <v>25</v>
      </c>
      <c r="I222" s="5">
        <v>44409</v>
      </c>
      <c r="J222" s="6">
        <v>100</v>
      </c>
      <c r="K222" s="65">
        <v>100</v>
      </c>
      <c r="L222" s="6">
        <v>0</v>
      </c>
      <c r="M222" s="65">
        <v>0</v>
      </c>
      <c r="N222" s="6">
        <v>0</v>
      </c>
      <c r="O222" s="65">
        <v>0</v>
      </c>
      <c r="P222" s="6">
        <v>1</v>
      </c>
      <c r="Q222" s="4" t="s">
        <v>26</v>
      </c>
      <c r="R222" s="4">
        <v>0</v>
      </c>
      <c r="S222" s="6">
        <v>36</v>
      </c>
      <c r="T222" s="6">
        <v>0</v>
      </c>
      <c r="U222" s="6">
        <v>0</v>
      </c>
      <c r="V222" s="65">
        <f>IF(ISERROR(VLOOKUP($S$222,'TAR FIN'!$A$1:$O$85,15,0)),0,VLOOKUP($S$222,'TAR FIN'!$A$1:$O$85,15,0))*(1-0.04)</f>
        <v>14.3424</v>
      </c>
      <c r="W222" s="65">
        <f>IF(ISERROR(VLOOKUP($T$222,'TAR FIN'!$A$1:$O$85,15,0)),0,VLOOKUP($T$222,'TAR FIN'!$A$1:$O$85,15,0))</f>
        <v>0</v>
      </c>
      <c r="X222" s="65">
        <f>IF(ISERROR(VLOOKUP($U$222,'TAR FIN'!$A$1:$O$85,15,0)),0,VLOOKUP($U$222,'TAR FIN'!$A$1:$O$85,15,0))</f>
        <v>0</v>
      </c>
      <c r="Y222" s="65">
        <f ca="1">('TUSD BE'!$AM$10+'TUSD BF_350'!$AM$10+'TUSD CVA'!$AM$10)*1*(1-0.02)</f>
        <v>19.241604957347008</v>
      </c>
      <c r="Z222" s="65"/>
      <c r="AA222" s="65"/>
      <c r="AB222" s="6">
        <f>$K$222*$V$222</f>
        <v>1434.24</v>
      </c>
      <c r="AC222" s="6">
        <f>$M$222*$W$222</f>
        <v>0</v>
      </c>
      <c r="AD222" s="6">
        <f>$O$222*$X$222</f>
        <v>0</v>
      </c>
      <c r="AE222" s="6">
        <f ca="1">$K$222*$Y$222</f>
        <v>1924.1604957347008</v>
      </c>
      <c r="AF222" s="6">
        <f>$M$222*$Z$222</f>
        <v>0</v>
      </c>
      <c r="AG222" s="6">
        <f>$O$222*$AA$222</f>
        <v>0</v>
      </c>
    </row>
    <row r="223" spans="1:33" ht="11.25" customHeight="1" x14ac:dyDescent="0.25">
      <c r="A223" s="4" t="s">
        <v>27</v>
      </c>
      <c r="B223" s="4" t="s">
        <v>34</v>
      </c>
      <c r="C223" s="4" t="s">
        <v>35</v>
      </c>
      <c r="D223" s="4" t="s">
        <v>40</v>
      </c>
      <c r="E223" s="4" t="s">
        <v>25</v>
      </c>
      <c r="F223" s="4" t="s">
        <v>25</v>
      </c>
      <c r="G223" s="4" t="s">
        <v>25</v>
      </c>
      <c r="H223" s="4" t="s">
        <v>25</v>
      </c>
      <c r="I223" s="5">
        <v>44440</v>
      </c>
      <c r="J223" s="6">
        <v>100</v>
      </c>
      <c r="K223" s="65">
        <v>100</v>
      </c>
      <c r="L223" s="6">
        <v>0</v>
      </c>
      <c r="M223" s="65">
        <v>0</v>
      </c>
      <c r="N223" s="6">
        <v>0</v>
      </c>
      <c r="O223" s="65">
        <v>0</v>
      </c>
      <c r="P223" s="6">
        <v>1</v>
      </c>
      <c r="Q223" s="4" t="s">
        <v>26</v>
      </c>
      <c r="R223" s="4">
        <v>0</v>
      </c>
      <c r="S223" s="6">
        <v>36</v>
      </c>
      <c r="T223" s="6">
        <v>0</v>
      </c>
      <c r="U223" s="6">
        <v>0</v>
      </c>
      <c r="V223" s="65">
        <f>IF(ISERROR(VLOOKUP($S$223,'TAR FIN'!$A$1:$O$85,15,0)),0,VLOOKUP($S$223,'TAR FIN'!$A$1:$O$85,15,0))*(1-0.04)</f>
        <v>14.3424</v>
      </c>
      <c r="W223" s="65">
        <f>IF(ISERROR(VLOOKUP($T$223,'TAR FIN'!$A$1:$O$85,15,0)),0,VLOOKUP($T$223,'TAR FIN'!$A$1:$O$85,15,0))</f>
        <v>0</v>
      </c>
      <c r="X223" s="65">
        <f>IF(ISERROR(VLOOKUP($U$223,'TAR FIN'!$A$1:$O$85,15,0)),0,VLOOKUP($U$223,'TAR FIN'!$A$1:$O$85,15,0))</f>
        <v>0</v>
      </c>
      <c r="Y223" s="65">
        <f ca="1">('TUSD BE'!$AM$10+'TUSD BF_350'!$AM$10+'TUSD CVA'!$AM$10)*1*(1-0.02)</f>
        <v>19.241604957347008</v>
      </c>
      <c r="Z223" s="65"/>
      <c r="AA223" s="65"/>
      <c r="AB223" s="6">
        <f>$K$223*$V$223</f>
        <v>1434.24</v>
      </c>
      <c r="AC223" s="6">
        <f>$M$223*$W$223</f>
        <v>0</v>
      </c>
      <c r="AD223" s="6">
        <f>$O$223*$X$223</f>
        <v>0</v>
      </c>
      <c r="AE223" s="6">
        <f ca="1">$K$223*$Y$223</f>
        <v>1924.1604957347008</v>
      </c>
      <c r="AF223" s="6">
        <f>$M$223*$Z$223</f>
        <v>0</v>
      </c>
      <c r="AG223" s="6">
        <f>$O$223*$AA$223</f>
        <v>0</v>
      </c>
    </row>
    <row r="224" spans="1:33" ht="11.25" customHeight="1" x14ac:dyDescent="0.25">
      <c r="A224" s="4" t="s">
        <v>27</v>
      </c>
      <c r="B224" s="4" t="s">
        <v>34</v>
      </c>
      <c r="C224" s="4" t="s">
        <v>35</v>
      </c>
      <c r="D224" s="4" t="s">
        <v>40</v>
      </c>
      <c r="E224" s="4" t="s">
        <v>25</v>
      </c>
      <c r="F224" s="4" t="s">
        <v>25</v>
      </c>
      <c r="G224" s="4" t="s">
        <v>25</v>
      </c>
      <c r="H224" s="4" t="s">
        <v>25</v>
      </c>
      <c r="I224" s="5">
        <v>44470</v>
      </c>
      <c r="J224" s="6">
        <v>100</v>
      </c>
      <c r="K224" s="65">
        <v>100</v>
      </c>
      <c r="L224" s="6">
        <v>0</v>
      </c>
      <c r="M224" s="65">
        <v>0</v>
      </c>
      <c r="N224" s="6">
        <v>0</v>
      </c>
      <c r="O224" s="65">
        <v>0</v>
      </c>
      <c r="P224" s="6">
        <v>1</v>
      </c>
      <c r="Q224" s="4" t="s">
        <v>26</v>
      </c>
      <c r="R224" s="4">
        <v>0</v>
      </c>
      <c r="S224" s="6">
        <v>36</v>
      </c>
      <c r="T224" s="6">
        <v>0</v>
      </c>
      <c r="U224" s="6">
        <v>0</v>
      </c>
      <c r="V224" s="65">
        <f>IF(ISERROR(VLOOKUP($S$224,'TAR FIN'!$A$1:$O$85,15,0)),0,VLOOKUP($S$224,'TAR FIN'!$A$1:$O$85,15,0))*(1-0.04)</f>
        <v>14.3424</v>
      </c>
      <c r="W224" s="65">
        <f>IF(ISERROR(VLOOKUP($T$224,'TAR FIN'!$A$1:$O$85,15,0)),0,VLOOKUP($T$224,'TAR FIN'!$A$1:$O$85,15,0))</f>
        <v>0</v>
      </c>
      <c r="X224" s="65">
        <f>IF(ISERROR(VLOOKUP($U$224,'TAR FIN'!$A$1:$O$85,15,0)),0,VLOOKUP($U$224,'TAR FIN'!$A$1:$O$85,15,0))</f>
        <v>0</v>
      </c>
      <c r="Y224" s="65">
        <f ca="1">('TUSD BE'!$AM$10+'TUSD BF_350'!$AM$10+'TUSD CVA'!$AM$10)*1*(1-0.02)</f>
        <v>19.241604957347008</v>
      </c>
      <c r="Z224" s="65"/>
      <c r="AA224" s="65"/>
      <c r="AB224" s="6">
        <f>$K$224*$V$224</f>
        <v>1434.24</v>
      </c>
      <c r="AC224" s="6">
        <f>$M$224*$W$224</f>
        <v>0</v>
      </c>
      <c r="AD224" s="6">
        <f>$O$224*$X$224</f>
        <v>0</v>
      </c>
      <c r="AE224" s="6">
        <f ca="1">$K$224*$Y$224</f>
        <v>1924.1604957347008</v>
      </c>
      <c r="AF224" s="6">
        <f>$M$224*$Z$224</f>
        <v>0</v>
      </c>
      <c r="AG224" s="6">
        <f>$O$224*$AA$224</f>
        <v>0</v>
      </c>
    </row>
    <row r="225" spans="1:33" ht="11.25" customHeight="1" x14ac:dyDescent="0.25">
      <c r="A225" s="4" t="s">
        <v>27</v>
      </c>
      <c r="B225" s="4" t="s">
        <v>34</v>
      </c>
      <c r="C225" s="4" t="s">
        <v>35</v>
      </c>
      <c r="D225" s="4" t="s">
        <v>40</v>
      </c>
      <c r="E225" s="4" t="s">
        <v>25</v>
      </c>
      <c r="F225" s="4" t="s">
        <v>25</v>
      </c>
      <c r="G225" s="4" t="s">
        <v>25</v>
      </c>
      <c r="H225" s="4" t="s">
        <v>25</v>
      </c>
      <c r="I225" s="5">
        <v>44501</v>
      </c>
      <c r="J225" s="6">
        <v>100</v>
      </c>
      <c r="K225" s="65">
        <v>100</v>
      </c>
      <c r="L225" s="6">
        <v>0</v>
      </c>
      <c r="M225" s="65">
        <v>0</v>
      </c>
      <c r="N225" s="6">
        <v>0</v>
      </c>
      <c r="O225" s="65">
        <v>0</v>
      </c>
      <c r="P225" s="6">
        <v>1</v>
      </c>
      <c r="Q225" s="4" t="s">
        <v>26</v>
      </c>
      <c r="R225" s="4">
        <v>0</v>
      </c>
      <c r="S225" s="6">
        <v>36</v>
      </c>
      <c r="T225" s="6">
        <v>0</v>
      </c>
      <c r="U225" s="6">
        <v>0</v>
      </c>
      <c r="V225" s="65">
        <f>IF(ISERROR(VLOOKUP($S$225,'TAR FIN'!$A$1:$O$85,15,0)),0,VLOOKUP($S$225,'TAR FIN'!$A$1:$O$85,15,0))*(1-0.04)</f>
        <v>14.3424</v>
      </c>
      <c r="W225" s="65">
        <f>IF(ISERROR(VLOOKUP($T$225,'TAR FIN'!$A$1:$O$85,15,0)),0,VLOOKUP($T$225,'TAR FIN'!$A$1:$O$85,15,0))</f>
        <v>0</v>
      </c>
      <c r="X225" s="65">
        <f>IF(ISERROR(VLOOKUP($U$225,'TAR FIN'!$A$1:$O$85,15,0)),0,VLOOKUP($U$225,'TAR FIN'!$A$1:$O$85,15,0))</f>
        <v>0</v>
      </c>
      <c r="Y225" s="65">
        <f ca="1">('TUSD BE'!$AM$10+'TUSD BF_350'!$AM$10+'TUSD CVA'!$AM$10)*1*(1-0.02)</f>
        <v>19.241604957347008</v>
      </c>
      <c r="Z225" s="65"/>
      <c r="AA225" s="65"/>
      <c r="AB225" s="6">
        <f>$K$225*$V$225</f>
        <v>1434.24</v>
      </c>
      <c r="AC225" s="6">
        <f>$M$225*$W$225</f>
        <v>0</v>
      </c>
      <c r="AD225" s="6">
        <f>$O$225*$X$225</f>
        <v>0</v>
      </c>
      <c r="AE225" s="6">
        <f ca="1">$K$225*$Y$225</f>
        <v>1924.1604957347008</v>
      </c>
      <c r="AF225" s="6">
        <f>$M$225*$Z$225</f>
        <v>0</v>
      </c>
      <c r="AG225" s="6">
        <f>$O$225*$AA$225</f>
        <v>0</v>
      </c>
    </row>
    <row r="226" spans="1:33" ht="11.25" customHeight="1" x14ac:dyDescent="0.25">
      <c r="A226" s="4" t="s">
        <v>27</v>
      </c>
      <c r="B226" s="4" t="s">
        <v>34</v>
      </c>
      <c r="C226" s="4" t="s">
        <v>35</v>
      </c>
      <c r="D226" s="4" t="s">
        <v>40</v>
      </c>
      <c r="E226" s="4" t="s">
        <v>25</v>
      </c>
      <c r="F226" s="4" t="s">
        <v>25</v>
      </c>
      <c r="G226" s="4" t="s">
        <v>25</v>
      </c>
      <c r="H226" s="4" t="s">
        <v>25</v>
      </c>
      <c r="I226" s="5">
        <v>44531</v>
      </c>
      <c r="J226" s="6">
        <v>126</v>
      </c>
      <c r="K226" s="65">
        <v>126</v>
      </c>
      <c r="L226" s="6">
        <v>0</v>
      </c>
      <c r="M226" s="65">
        <v>0</v>
      </c>
      <c r="N226" s="6">
        <v>0</v>
      </c>
      <c r="O226" s="65">
        <v>0</v>
      </c>
      <c r="P226" s="6">
        <v>1</v>
      </c>
      <c r="Q226" s="4" t="s">
        <v>26</v>
      </c>
      <c r="R226" s="4">
        <v>0</v>
      </c>
      <c r="S226" s="6">
        <v>36</v>
      </c>
      <c r="T226" s="6">
        <v>0</v>
      </c>
      <c r="U226" s="6">
        <v>0</v>
      </c>
      <c r="V226" s="65">
        <f>IF(ISERROR(VLOOKUP($S$226,'TAR FIN'!$A$1:$O$85,15,0)),0,VLOOKUP($S$226,'TAR FIN'!$A$1:$O$85,15,0))*(1-0.04)</f>
        <v>14.3424</v>
      </c>
      <c r="W226" s="65">
        <f>IF(ISERROR(VLOOKUP($T$226,'TAR FIN'!$A$1:$O$85,15,0)),0,VLOOKUP($T$226,'TAR FIN'!$A$1:$O$85,15,0))</f>
        <v>0</v>
      </c>
      <c r="X226" s="65">
        <f>IF(ISERROR(VLOOKUP($U$226,'TAR FIN'!$A$1:$O$85,15,0)),0,VLOOKUP($U$226,'TAR FIN'!$A$1:$O$85,15,0))</f>
        <v>0</v>
      </c>
      <c r="Y226" s="65">
        <f ca="1">('TUSD BE'!$AM$10+'TUSD BF_350'!$AM$10+'TUSD CVA'!$AM$10)*1*(1-0.02)</f>
        <v>19.241604957347008</v>
      </c>
      <c r="Z226" s="65"/>
      <c r="AA226" s="65"/>
      <c r="AB226" s="6">
        <f>$K$226*$V$226</f>
        <v>1807.1424</v>
      </c>
      <c r="AC226" s="6">
        <f>$M$226*$W$226</f>
        <v>0</v>
      </c>
      <c r="AD226" s="6">
        <f>$O$226*$X$226</f>
        <v>0</v>
      </c>
      <c r="AE226" s="6">
        <f ca="1">$K$226*$Y$226</f>
        <v>2424.4422246257232</v>
      </c>
      <c r="AF226" s="6">
        <f>$M$226*$Z$226</f>
        <v>0</v>
      </c>
      <c r="AG226" s="6">
        <f>$O$226*$AA$226</f>
        <v>0</v>
      </c>
    </row>
    <row r="227" spans="1:33" ht="11.25" customHeight="1" x14ac:dyDescent="0.25">
      <c r="A227" s="4" t="s">
        <v>27</v>
      </c>
      <c r="B227" s="4" t="s">
        <v>34</v>
      </c>
      <c r="C227" s="4" t="s">
        <v>35</v>
      </c>
      <c r="D227" s="4" t="s">
        <v>40</v>
      </c>
      <c r="E227" s="4" t="s">
        <v>25</v>
      </c>
      <c r="F227" s="4" t="s">
        <v>25</v>
      </c>
      <c r="G227" s="4" t="s">
        <v>25</v>
      </c>
      <c r="H227" s="4" t="s">
        <v>25</v>
      </c>
      <c r="I227" s="5">
        <v>44562</v>
      </c>
      <c r="J227" s="6">
        <v>100</v>
      </c>
      <c r="K227" s="65">
        <v>100</v>
      </c>
      <c r="L227" s="6">
        <v>0</v>
      </c>
      <c r="M227" s="65">
        <v>0</v>
      </c>
      <c r="N227" s="6">
        <v>0</v>
      </c>
      <c r="O227" s="65">
        <v>0</v>
      </c>
      <c r="P227" s="6">
        <v>1</v>
      </c>
      <c r="Q227" s="4" t="s">
        <v>26</v>
      </c>
      <c r="R227" s="4">
        <v>0</v>
      </c>
      <c r="S227" s="6">
        <v>36</v>
      </c>
      <c r="T227" s="6">
        <v>0</v>
      </c>
      <c r="U227" s="6">
        <v>0</v>
      </c>
      <c r="V227" s="65">
        <f>IF(ISERROR(VLOOKUP($S$227,'TAR FIN'!$A$1:$O$85,15,0)),0,VLOOKUP($S$227,'TAR FIN'!$A$1:$O$85,15,0))*(1-0.04)</f>
        <v>14.3424</v>
      </c>
      <c r="W227" s="65">
        <f>IF(ISERROR(VLOOKUP($T$227,'TAR FIN'!$A$1:$O$85,15,0)),0,VLOOKUP($T$227,'TAR FIN'!$A$1:$O$85,15,0))</f>
        <v>0</v>
      </c>
      <c r="X227" s="65">
        <f>IF(ISERROR(VLOOKUP($U$227,'TAR FIN'!$A$1:$O$85,15,0)),0,VLOOKUP($U$227,'TAR FIN'!$A$1:$O$85,15,0))</f>
        <v>0</v>
      </c>
      <c r="Y227" s="65">
        <f ca="1">('TUSD BE'!$AM$10+'TUSD BF_350'!$AM$10+'TUSD CVA'!$AM$10)*1*(1-0.02)</f>
        <v>19.241604957347008</v>
      </c>
      <c r="Z227" s="65"/>
      <c r="AA227" s="65"/>
      <c r="AB227" s="6">
        <f>$K$227*$V$227</f>
        <v>1434.24</v>
      </c>
      <c r="AC227" s="6">
        <f>$M$227*$W$227</f>
        <v>0</v>
      </c>
      <c r="AD227" s="6">
        <f>$O$227*$X$227</f>
        <v>0</v>
      </c>
      <c r="AE227" s="6">
        <f ca="1">$K$227*$Y$227</f>
        <v>1924.1604957347008</v>
      </c>
      <c r="AF227" s="6">
        <f>$M$227*$Z$227</f>
        <v>0</v>
      </c>
      <c r="AG227" s="6">
        <f>$O$227*$AA$227</f>
        <v>0</v>
      </c>
    </row>
    <row r="228" spans="1:33" ht="11.25" customHeight="1" x14ac:dyDescent="0.25">
      <c r="A228" s="4" t="s">
        <v>27</v>
      </c>
      <c r="B228" s="4" t="s">
        <v>34</v>
      </c>
      <c r="C228" s="4" t="s">
        <v>35</v>
      </c>
      <c r="D228" s="4" t="s">
        <v>40</v>
      </c>
      <c r="E228" s="4" t="s">
        <v>25</v>
      </c>
      <c r="F228" s="4" t="s">
        <v>25</v>
      </c>
      <c r="G228" s="4" t="s">
        <v>25</v>
      </c>
      <c r="H228" s="4" t="s">
        <v>25</v>
      </c>
      <c r="I228" s="5">
        <v>44593</v>
      </c>
      <c r="J228" s="6">
        <v>139</v>
      </c>
      <c r="K228" s="65">
        <v>139</v>
      </c>
      <c r="L228" s="6">
        <v>0</v>
      </c>
      <c r="M228" s="65">
        <v>0</v>
      </c>
      <c r="N228" s="6">
        <v>0</v>
      </c>
      <c r="O228" s="65">
        <v>0</v>
      </c>
      <c r="P228" s="6">
        <v>1</v>
      </c>
      <c r="Q228" s="4" t="s">
        <v>26</v>
      </c>
      <c r="R228" s="4">
        <v>0</v>
      </c>
      <c r="S228" s="6">
        <v>36</v>
      </c>
      <c r="T228" s="6">
        <v>0</v>
      </c>
      <c r="U228" s="6">
        <v>0</v>
      </c>
      <c r="V228" s="65">
        <f>IF(ISERROR(VLOOKUP($S$228,'TAR FIN'!$A$1:$O$85,15,0)),0,VLOOKUP($S$228,'TAR FIN'!$A$1:$O$85,15,0))*(1-0.04)</f>
        <v>14.3424</v>
      </c>
      <c r="W228" s="65">
        <f>IF(ISERROR(VLOOKUP($T$228,'TAR FIN'!$A$1:$O$85,15,0)),0,VLOOKUP($T$228,'TAR FIN'!$A$1:$O$85,15,0))</f>
        <v>0</v>
      </c>
      <c r="X228" s="65">
        <f>IF(ISERROR(VLOOKUP($U$228,'TAR FIN'!$A$1:$O$85,15,0)),0,VLOOKUP($U$228,'TAR FIN'!$A$1:$O$85,15,0))</f>
        <v>0</v>
      </c>
      <c r="Y228" s="65">
        <f ca="1">('TUSD BE'!$AM$10+'TUSD BF_350'!$AM$10+'TUSD CVA'!$AM$10)*1*(1-0.02)</f>
        <v>19.241604957347008</v>
      </c>
      <c r="Z228" s="65"/>
      <c r="AA228" s="65"/>
      <c r="AB228" s="6">
        <f>$K$228*$V$228</f>
        <v>1993.5935999999999</v>
      </c>
      <c r="AC228" s="6">
        <f>$M$228*$W$228</f>
        <v>0</v>
      </c>
      <c r="AD228" s="6">
        <f>$O$228*$X$228</f>
        <v>0</v>
      </c>
      <c r="AE228" s="6">
        <f ca="1">$K$228*$Y$228</f>
        <v>2674.5830890712341</v>
      </c>
      <c r="AF228" s="6">
        <f>$M$228*$Z$228</f>
        <v>0</v>
      </c>
      <c r="AG228" s="6">
        <f>$O$228*$AA$228</f>
        <v>0</v>
      </c>
    </row>
    <row r="229" spans="1:33" ht="11.25" customHeight="1" x14ac:dyDescent="0.25">
      <c r="A229" s="4" t="s">
        <v>27</v>
      </c>
      <c r="B229" s="4" t="s">
        <v>34</v>
      </c>
      <c r="C229" s="4" t="s">
        <v>35</v>
      </c>
      <c r="D229" s="4" t="s">
        <v>40</v>
      </c>
      <c r="E229" s="4" t="s">
        <v>25</v>
      </c>
      <c r="F229" s="4" t="s">
        <v>25</v>
      </c>
      <c r="G229" s="4" t="s">
        <v>25</v>
      </c>
      <c r="H229" s="4" t="s">
        <v>25</v>
      </c>
      <c r="I229" s="5">
        <v>44621</v>
      </c>
      <c r="J229" s="6">
        <v>189</v>
      </c>
      <c r="K229" s="65">
        <v>189</v>
      </c>
      <c r="L229" s="6">
        <v>0</v>
      </c>
      <c r="M229" s="65">
        <v>0</v>
      </c>
      <c r="N229" s="6">
        <v>0</v>
      </c>
      <c r="O229" s="65">
        <v>0</v>
      </c>
      <c r="P229" s="6">
        <v>1</v>
      </c>
      <c r="Q229" s="4" t="s">
        <v>26</v>
      </c>
      <c r="R229" s="4">
        <v>0</v>
      </c>
      <c r="S229" s="6">
        <v>36</v>
      </c>
      <c r="T229" s="6">
        <v>0</v>
      </c>
      <c r="U229" s="6">
        <v>0</v>
      </c>
      <c r="V229" s="65">
        <f>IF(ISERROR(VLOOKUP($S$229,'TAR FIN'!$A$1:$O$85,15,0)),0,VLOOKUP($S$229,'TAR FIN'!$A$1:$O$85,15,0))*(1-0.04)</f>
        <v>14.3424</v>
      </c>
      <c r="W229" s="65">
        <f>IF(ISERROR(VLOOKUP($T$229,'TAR FIN'!$A$1:$O$85,15,0)),0,VLOOKUP($T$229,'TAR FIN'!$A$1:$O$85,15,0))</f>
        <v>0</v>
      </c>
      <c r="X229" s="65">
        <f>IF(ISERROR(VLOOKUP($U$229,'TAR FIN'!$A$1:$O$85,15,0)),0,VLOOKUP($U$229,'TAR FIN'!$A$1:$O$85,15,0))</f>
        <v>0</v>
      </c>
      <c r="Y229" s="65">
        <f ca="1">('TUSD BE'!$AM$10+'TUSD BF_350'!$AM$10+'TUSD CVA'!$AM$10)*1*(1-0.02)</f>
        <v>19.241604957347008</v>
      </c>
      <c r="Z229" s="65"/>
      <c r="AA229" s="65"/>
      <c r="AB229" s="6">
        <f>$K$229*$V$229</f>
        <v>2710.7136</v>
      </c>
      <c r="AC229" s="6">
        <f>$M$229*$W$229</f>
        <v>0</v>
      </c>
      <c r="AD229" s="6">
        <f>$O$229*$X$229</f>
        <v>0</v>
      </c>
      <c r="AE229" s="6">
        <f ca="1">$K$229*$Y$229</f>
        <v>3636.6633369385845</v>
      </c>
      <c r="AF229" s="6">
        <f>$M$229*$Z$229</f>
        <v>0</v>
      </c>
      <c r="AG229" s="6">
        <f>$O$229*$AA$229</f>
        <v>0</v>
      </c>
    </row>
    <row r="230" spans="1:33" ht="11.25" customHeight="1" x14ac:dyDescent="0.25">
      <c r="A230" s="4" t="s">
        <v>27</v>
      </c>
      <c r="B230" s="4" t="s">
        <v>34</v>
      </c>
      <c r="C230" s="4" t="s">
        <v>35</v>
      </c>
      <c r="D230" s="4" t="s">
        <v>40</v>
      </c>
      <c r="E230" s="4" t="s">
        <v>25</v>
      </c>
      <c r="F230" s="4" t="s">
        <v>25</v>
      </c>
      <c r="G230" s="4" t="s">
        <v>25</v>
      </c>
      <c r="H230" s="4" t="s">
        <v>25</v>
      </c>
      <c r="I230" s="5">
        <v>44652</v>
      </c>
      <c r="J230" s="6">
        <v>211</v>
      </c>
      <c r="K230" s="65">
        <v>211</v>
      </c>
      <c r="L230" s="6">
        <v>0</v>
      </c>
      <c r="M230" s="65">
        <v>0</v>
      </c>
      <c r="N230" s="6">
        <v>0</v>
      </c>
      <c r="O230" s="65">
        <v>0</v>
      </c>
      <c r="P230" s="6">
        <v>1</v>
      </c>
      <c r="Q230" s="4" t="s">
        <v>26</v>
      </c>
      <c r="R230" s="4">
        <v>0</v>
      </c>
      <c r="S230" s="6">
        <v>36</v>
      </c>
      <c r="T230" s="6">
        <v>0</v>
      </c>
      <c r="U230" s="6">
        <v>0</v>
      </c>
      <c r="V230" s="65">
        <f>IF(ISERROR(VLOOKUP($S$230,'TAR FIN'!$A$1:$O$85,15,0)),0,VLOOKUP($S$230,'TAR FIN'!$A$1:$O$85,15,0))*(1-0.04)</f>
        <v>14.3424</v>
      </c>
      <c r="W230" s="65">
        <f>IF(ISERROR(VLOOKUP($T$230,'TAR FIN'!$A$1:$O$85,15,0)),0,VLOOKUP($T$230,'TAR FIN'!$A$1:$O$85,15,0))</f>
        <v>0</v>
      </c>
      <c r="X230" s="65">
        <f>IF(ISERROR(VLOOKUP($U$230,'TAR FIN'!$A$1:$O$85,15,0)),0,VLOOKUP($U$230,'TAR FIN'!$A$1:$O$85,15,0))</f>
        <v>0</v>
      </c>
      <c r="Y230" s="65">
        <f ca="1">('TUSD BE'!$AM$10+'TUSD BF_350'!$AM$10+'TUSD CVA'!$AM$10)*1*(1-0.02)</f>
        <v>19.241604957347008</v>
      </c>
      <c r="Z230" s="65"/>
      <c r="AA230" s="65"/>
      <c r="AB230" s="6">
        <f>$K$230*$V$230</f>
        <v>3026.2464</v>
      </c>
      <c r="AC230" s="6">
        <f>$M$230*$W$230</f>
        <v>0</v>
      </c>
      <c r="AD230" s="6">
        <f>$O$230*$X$230</f>
        <v>0</v>
      </c>
      <c r="AE230" s="6">
        <f ca="1">$K$230*$Y$230</f>
        <v>4059.9786460002188</v>
      </c>
      <c r="AF230" s="6">
        <f>$M$230*$Z$230</f>
        <v>0</v>
      </c>
      <c r="AG230" s="6">
        <f>$O$230*$AA$230</f>
        <v>0</v>
      </c>
    </row>
    <row r="231" spans="1:33" ht="11.25" customHeight="1" x14ac:dyDescent="0.25">
      <c r="A231" s="4" t="s">
        <v>27</v>
      </c>
      <c r="B231" s="4" t="s">
        <v>34</v>
      </c>
      <c r="C231" s="4" t="s">
        <v>35</v>
      </c>
      <c r="D231" s="4" t="s">
        <v>40</v>
      </c>
      <c r="E231" s="4" t="s">
        <v>25</v>
      </c>
      <c r="F231" s="4" t="s">
        <v>25</v>
      </c>
      <c r="G231" s="4" t="s">
        <v>25</v>
      </c>
      <c r="H231" s="4" t="s">
        <v>25</v>
      </c>
      <c r="I231" s="5">
        <v>44682</v>
      </c>
      <c r="J231" s="6">
        <v>186</v>
      </c>
      <c r="K231" s="65">
        <v>186</v>
      </c>
      <c r="L231" s="6">
        <v>0</v>
      </c>
      <c r="M231" s="65">
        <v>0</v>
      </c>
      <c r="N231" s="6">
        <v>0</v>
      </c>
      <c r="O231" s="65">
        <v>0</v>
      </c>
      <c r="P231" s="6">
        <v>1</v>
      </c>
      <c r="Q231" s="4" t="s">
        <v>26</v>
      </c>
      <c r="R231" s="4">
        <v>0</v>
      </c>
      <c r="S231" s="6">
        <v>36</v>
      </c>
      <c r="T231" s="6">
        <v>0</v>
      </c>
      <c r="U231" s="6">
        <v>0</v>
      </c>
      <c r="V231" s="65">
        <f>IF(ISERROR(VLOOKUP($S$231,'TAR FIN'!$A$1:$O$85,15,0)),0,VLOOKUP($S$231,'TAR FIN'!$A$1:$O$85,15,0))*(1-0.04)</f>
        <v>14.3424</v>
      </c>
      <c r="W231" s="65">
        <f>IF(ISERROR(VLOOKUP($T$231,'TAR FIN'!$A$1:$O$85,15,0)),0,VLOOKUP($T$231,'TAR FIN'!$A$1:$O$85,15,0))</f>
        <v>0</v>
      </c>
      <c r="X231" s="65">
        <f>IF(ISERROR(VLOOKUP($U$231,'TAR FIN'!$A$1:$O$85,15,0)),0,VLOOKUP($U$231,'TAR FIN'!$A$1:$O$85,15,0))</f>
        <v>0</v>
      </c>
      <c r="Y231" s="65">
        <f ca="1">('TUSD BE'!$AM$10+'TUSD BF_350'!$AM$10+'TUSD CVA'!$AM$10)*1*(1-0.02)</f>
        <v>19.241604957347008</v>
      </c>
      <c r="Z231" s="65"/>
      <c r="AA231" s="65"/>
      <c r="AB231" s="6">
        <f>$K$231*$V$231</f>
        <v>2667.6864</v>
      </c>
      <c r="AC231" s="6">
        <f>$M$231*$W$231</f>
        <v>0</v>
      </c>
      <c r="AD231" s="6">
        <f>$O$231*$X$231</f>
        <v>0</v>
      </c>
      <c r="AE231" s="6">
        <f ca="1">$K$231*$Y$231</f>
        <v>3578.9385220665436</v>
      </c>
      <c r="AF231" s="6">
        <f>$M$231*$Z$231</f>
        <v>0</v>
      </c>
      <c r="AG231" s="6">
        <f>$O$231*$AA$231</f>
        <v>0</v>
      </c>
    </row>
    <row r="232" spans="1:33" ht="11.25" customHeight="1" x14ac:dyDescent="0.25">
      <c r="A232" s="4" t="s">
        <v>27</v>
      </c>
      <c r="B232" s="4" t="s">
        <v>34</v>
      </c>
      <c r="C232" s="4" t="s">
        <v>35</v>
      </c>
      <c r="D232" s="4" t="s">
        <v>40</v>
      </c>
      <c r="E232" s="4" t="s">
        <v>25</v>
      </c>
      <c r="F232" s="4" t="s">
        <v>25</v>
      </c>
      <c r="G232" s="4" t="s">
        <v>25</v>
      </c>
      <c r="H232" s="4" t="s">
        <v>25</v>
      </c>
      <c r="I232" s="5">
        <v>44713</v>
      </c>
      <c r="J232" s="6">
        <v>155</v>
      </c>
      <c r="K232" s="65">
        <v>155</v>
      </c>
      <c r="L232" s="6">
        <v>0</v>
      </c>
      <c r="M232" s="65">
        <v>0</v>
      </c>
      <c r="N232" s="6">
        <v>0</v>
      </c>
      <c r="O232" s="65">
        <v>0</v>
      </c>
      <c r="P232" s="6">
        <v>1</v>
      </c>
      <c r="Q232" s="4" t="s">
        <v>26</v>
      </c>
      <c r="R232" s="4">
        <v>0</v>
      </c>
      <c r="S232" s="6">
        <v>36</v>
      </c>
      <c r="T232" s="6">
        <v>0</v>
      </c>
      <c r="U232" s="6">
        <v>0</v>
      </c>
      <c r="V232" s="65">
        <f>IF(ISERROR(VLOOKUP($S$232,'TAR FIN'!$A$1:$O$85,15,0)),0,VLOOKUP($S$232,'TAR FIN'!$A$1:$O$85,15,0))*(1-0.04)</f>
        <v>14.3424</v>
      </c>
      <c r="W232" s="65">
        <f>IF(ISERROR(VLOOKUP($T$232,'TAR FIN'!$A$1:$O$85,15,0)),0,VLOOKUP($T$232,'TAR FIN'!$A$1:$O$85,15,0))</f>
        <v>0</v>
      </c>
      <c r="X232" s="65">
        <f>IF(ISERROR(VLOOKUP($U$232,'TAR FIN'!$A$1:$O$85,15,0)),0,VLOOKUP($U$232,'TAR FIN'!$A$1:$O$85,15,0))</f>
        <v>0</v>
      </c>
      <c r="Y232" s="65">
        <f ca="1">('TUSD BE'!$AM$10+'TUSD BF_350'!$AM$10+'TUSD CVA'!$AM$10)*1*(1-0.02)</f>
        <v>19.241604957347008</v>
      </c>
      <c r="Z232" s="65"/>
      <c r="AA232" s="65"/>
      <c r="AB232" s="6">
        <f>$K$232*$V$232</f>
        <v>2223.0720000000001</v>
      </c>
      <c r="AC232" s="6">
        <f>$M$232*$W$232</f>
        <v>0</v>
      </c>
      <c r="AD232" s="6">
        <f>$O$232*$X$232</f>
        <v>0</v>
      </c>
      <c r="AE232" s="6">
        <f ca="1">$K$232*$Y$232</f>
        <v>2982.448768388786</v>
      </c>
      <c r="AF232" s="6">
        <f>$M$232*$Z$232</f>
        <v>0</v>
      </c>
      <c r="AG232" s="6">
        <f>$O$232*$AA$232</f>
        <v>0</v>
      </c>
    </row>
    <row r="233" spans="1:33" ht="11.25" customHeight="1" x14ac:dyDescent="0.25">
      <c r="A233" s="4" t="s">
        <v>27</v>
      </c>
      <c r="B233" s="4" t="s">
        <v>34</v>
      </c>
      <c r="C233" s="4" t="s">
        <v>35</v>
      </c>
      <c r="D233" s="4" t="s">
        <v>40</v>
      </c>
      <c r="E233" s="4" t="s">
        <v>25</v>
      </c>
      <c r="F233" s="4" t="s">
        <v>25</v>
      </c>
      <c r="G233" s="4" t="s">
        <v>25</v>
      </c>
      <c r="H233" s="4" t="s">
        <v>36</v>
      </c>
      <c r="I233" s="5">
        <v>44652</v>
      </c>
      <c r="J233" s="6">
        <v>0</v>
      </c>
      <c r="K233" s="65">
        <v>0</v>
      </c>
      <c r="L233" s="6">
        <v>1.532</v>
      </c>
      <c r="M233" s="65">
        <v>1.532</v>
      </c>
      <c r="N233" s="6">
        <v>1.532</v>
      </c>
      <c r="O233" s="65">
        <v>1.532</v>
      </c>
      <c r="P233" s="6">
        <v>0</v>
      </c>
      <c r="Q233" s="4" t="s">
        <v>26</v>
      </c>
      <c r="R233" s="4">
        <v>0</v>
      </c>
      <c r="S233" s="6">
        <v>0</v>
      </c>
      <c r="T233" s="6">
        <v>15</v>
      </c>
      <c r="U233" s="6">
        <v>9</v>
      </c>
      <c r="V233" s="65">
        <f>IF(ISERROR(VLOOKUP($S$233,'TAR FIN'!$A$1:$O$85,15,0)),0,VLOOKUP($S$233,'TAR FIN'!$A$1:$O$85,15,0))</f>
        <v>0</v>
      </c>
      <c r="W233" s="65">
        <f>IF(ISERROR(VLOOKUP($T$233,'TAR FIN'!$A$1:$O$85,15,0)),0,VLOOKUP($T$233,'TAR FIN'!$A$1:$O$85,15,0))*(1-0.04)</f>
        <v>903.12</v>
      </c>
      <c r="X233" s="65">
        <f>IF(ISERROR(VLOOKUP($U$233,'TAR FIN'!$A$1:$O$85,15,0)),0,VLOOKUP($U$233,'TAR FIN'!$A$1:$O$85,15,0))*(1-0.04)</f>
        <v>358.76159999999999</v>
      </c>
      <c r="Y233" s="65"/>
      <c r="Z233" s="65">
        <f ca="1">('TUSD BE'!$AM$11+'TUSD BF_350'!$AM$11+'TUSD CVA'!$AM$11)*1*(1-0.02)</f>
        <v>947.17799690248239</v>
      </c>
      <c r="AA233" s="65">
        <f ca="1">('TE BE'!$AB$5+'TE BF_350'!$AB$5+'TE CVA'!$AB$5)*1*(1-0.02)</f>
        <v>341.02857371747996</v>
      </c>
      <c r="AB233" s="6">
        <f>$K$233*$V$233</f>
        <v>0</v>
      </c>
      <c r="AC233" s="6">
        <f>$M$233*$W$233</f>
        <v>1383.5798400000001</v>
      </c>
      <c r="AD233" s="6">
        <f>$O$233*$X$233</f>
        <v>549.62277119999999</v>
      </c>
      <c r="AE233" s="6">
        <f>$K$233*$Y$233</f>
        <v>0</v>
      </c>
      <c r="AF233" s="6">
        <f ca="1">$M$233*$Z$233</f>
        <v>1451.076691254603</v>
      </c>
      <c r="AG233" s="6">
        <f ca="1">$O$233*$AA$233</f>
        <v>522.45577493517931</v>
      </c>
    </row>
    <row r="234" spans="1:33" ht="11.25" customHeight="1" x14ac:dyDescent="0.25">
      <c r="A234" s="4" t="s">
        <v>27</v>
      </c>
      <c r="B234" s="4" t="s">
        <v>34</v>
      </c>
      <c r="C234" s="4" t="s">
        <v>35</v>
      </c>
      <c r="D234" s="4" t="s">
        <v>40</v>
      </c>
      <c r="E234" s="4" t="s">
        <v>25</v>
      </c>
      <c r="F234" s="4" t="s">
        <v>25</v>
      </c>
      <c r="G234" s="4" t="s">
        <v>25</v>
      </c>
      <c r="H234" s="4" t="s">
        <v>36</v>
      </c>
      <c r="I234" s="5">
        <v>44682</v>
      </c>
      <c r="J234" s="6">
        <v>0</v>
      </c>
      <c r="K234" s="65">
        <v>0</v>
      </c>
      <c r="L234" s="6">
        <v>0.49099999999999999</v>
      </c>
      <c r="M234" s="65">
        <v>0.49099999999999999</v>
      </c>
      <c r="N234" s="6">
        <v>0.49099999999999999</v>
      </c>
      <c r="O234" s="65">
        <v>0.49099999999999999</v>
      </c>
      <c r="P234" s="6">
        <v>0</v>
      </c>
      <c r="Q234" s="4" t="s">
        <v>26</v>
      </c>
      <c r="R234" s="4">
        <v>0</v>
      </c>
      <c r="S234" s="6">
        <v>0</v>
      </c>
      <c r="T234" s="6">
        <v>15</v>
      </c>
      <c r="U234" s="6">
        <v>9</v>
      </c>
      <c r="V234" s="65">
        <f>IF(ISERROR(VLOOKUP($S$234,'TAR FIN'!$A$1:$O$85,15,0)),0,VLOOKUP($S$234,'TAR FIN'!$A$1:$O$85,15,0))</f>
        <v>0</v>
      </c>
      <c r="W234" s="65">
        <f>IF(ISERROR(VLOOKUP($T$234,'TAR FIN'!$A$1:$O$85,15,0)),0,VLOOKUP($T$234,'TAR FIN'!$A$1:$O$85,15,0))*(1-0.04)</f>
        <v>903.12</v>
      </c>
      <c r="X234" s="65">
        <f>IF(ISERROR(VLOOKUP($U$234,'TAR FIN'!$A$1:$O$85,15,0)),0,VLOOKUP($U$234,'TAR FIN'!$A$1:$O$85,15,0))*(1-0.04)</f>
        <v>358.76159999999999</v>
      </c>
      <c r="Y234" s="65"/>
      <c r="Z234" s="65">
        <f ca="1">('TUSD BE'!$AM$11+'TUSD BF_350'!$AM$11+'TUSD CVA'!$AM$11)*1*(1-0.02)</f>
        <v>947.17799690248239</v>
      </c>
      <c r="AA234" s="65">
        <f ca="1">('TE BE'!$AB$5+'TE BF_350'!$AB$5+'TE CVA'!$AB$5)*1*(1-0.02)</f>
        <v>341.02857371747996</v>
      </c>
      <c r="AB234" s="6">
        <f>$K$234*$V$234</f>
        <v>0</v>
      </c>
      <c r="AC234" s="6">
        <f>$M$234*$W$234</f>
        <v>443.43191999999999</v>
      </c>
      <c r="AD234" s="6">
        <f>$O$234*$X$234</f>
        <v>176.1519456</v>
      </c>
      <c r="AE234" s="6">
        <f>$K$234*$Y$234</f>
        <v>0</v>
      </c>
      <c r="AF234" s="6">
        <f ca="1">$M$234*$Z$234</f>
        <v>465.06439647911884</v>
      </c>
      <c r="AG234" s="6">
        <f ca="1">$O$234*$AA$234</f>
        <v>167.44502969528267</v>
      </c>
    </row>
    <row r="235" spans="1:33" ht="11.25" customHeight="1" x14ac:dyDescent="0.25">
      <c r="A235" s="4" t="s">
        <v>27</v>
      </c>
      <c r="B235" s="4" t="s">
        <v>34</v>
      </c>
      <c r="C235" s="4" t="s">
        <v>35</v>
      </c>
      <c r="D235" s="4" t="s">
        <v>40</v>
      </c>
      <c r="E235" s="4" t="s">
        <v>25</v>
      </c>
      <c r="F235" s="4" t="s">
        <v>25</v>
      </c>
      <c r="G235" s="4" t="s">
        <v>25</v>
      </c>
      <c r="H235" s="4" t="s">
        <v>36</v>
      </c>
      <c r="I235" s="5">
        <v>44713</v>
      </c>
      <c r="J235" s="6">
        <v>0</v>
      </c>
      <c r="K235" s="65">
        <v>0</v>
      </c>
      <c r="L235" s="6">
        <v>0.42299999999999999</v>
      </c>
      <c r="M235" s="65">
        <v>0.42299999999999999</v>
      </c>
      <c r="N235" s="6">
        <v>0.42299999999999999</v>
      </c>
      <c r="O235" s="65">
        <v>0.42299999999999999</v>
      </c>
      <c r="P235" s="6">
        <v>0</v>
      </c>
      <c r="Q235" s="4" t="s">
        <v>26</v>
      </c>
      <c r="R235" s="4">
        <v>0</v>
      </c>
      <c r="S235" s="6">
        <v>0</v>
      </c>
      <c r="T235" s="6">
        <v>15</v>
      </c>
      <c r="U235" s="6">
        <v>9</v>
      </c>
      <c r="V235" s="65">
        <f>IF(ISERROR(VLOOKUP($S$235,'TAR FIN'!$A$1:$O$85,15,0)),0,VLOOKUP($S$235,'TAR FIN'!$A$1:$O$85,15,0))</f>
        <v>0</v>
      </c>
      <c r="W235" s="65">
        <f>IF(ISERROR(VLOOKUP($T$235,'TAR FIN'!$A$1:$O$85,15,0)),0,VLOOKUP($T$235,'TAR FIN'!$A$1:$O$85,15,0))*(1-0.04)</f>
        <v>903.12</v>
      </c>
      <c r="X235" s="65">
        <f>IF(ISERROR(VLOOKUP($U$235,'TAR FIN'!$A$1:$O$85,15,0)),0,VLOOKUP($U$235,'TAR FIN'!$A$1:$O$85,15,0))*(1-0.04)</f>
        <v>358.76159999999999</v>
      </c>
      <c r="Y235" s="65"/>
      <c r="Z235" s="65">
        <f ca="1">('TUSD BE'!$AM$11+'TUSD BF_350'!$AM$11+'TUSD CVA'!$AM$11)*1*(1-0.02)</f>
        <v>947.17799690248239</v>
      </c>
      <c r="AA235" s="65">
        <f ca="1">('TE BE'!$AB$5+'TE BF_350'!$AB$5+'TE CVA'!$AB$5)*1*(1-0.02)</f>
        <v>341.02857371747996</v>
      </c>
      <c r="AB235" s="6">
        <f>$K$235*$V$235</f>
        <v>0</v>
      </c>
      <c r="AC235" s="6">
        <f>$M$235*$W$235</f>
        <v>382.01975999999996</v>
      </c>
      <c r="AD235" s="6">
        <f>$O$235*$X$235</f>
        <v>151.75615679999999</v>
      </c>
      <c r="AE235" s="6">
        <f>$K$235*$Y$235</f>
        <v>0</v>
      </c>
      <c r="AF235" s="6">
        <f ca="1">$M$235*$Z$235</f>
        <v>400.65629268975005</v>
      </c>
      <c r="AG235" s="6">
        <f ca="1">$O$235*$AA$235</f>
        <v>144.25508668249401</v>
      </c>
    </row>
    <row r="236" spans="1:33" ht="11.25" customHeight="1" x14ac:dyDescent="0.25">
      <c r="A236" s="4" t="s">
        <v>21</v>
      </c>
      <c r="B236" s="4" t="s">
        <v>22</v>
      </c>
      <c r="C236" s="4" t="s">
        <v>23</v>
      </c>
      <c r="D236" s="4" t="s">
        <v>24</v>
      </c>
      <c r="E236" s="4" t="s">
        <v>24</v>
      </c>
      <c r="F236" s="4" t="s">
        <v>25</v>
      </c>
      <c r="G236" s="4" t="s">
        <v>25</v>
      </c>
      <c r="H236" s="4" t="s">
        <v>25</v>
      </c>
      <c r="I236" s="5">
        <v>44378</v>
      </c>
      <c r="J236" s="6">
        <v>0</v>
      </c>
      <c r="K236" s="6">
        <v>0</v>
      </c>
      <c r="L236" s="6">
        <v>1892.0740000000001</v>
      </c>
      <c r="M236" s="6">
        <v>1892.0740000000001</v>
      </c>
      <c r="N236" s="6">
        <v>1892.0740000000001</v>
      </c>
      <c r="O236" s="6">
        <v>1892.0740000000001</v>
      </c>
      <c r="P236" s="6">
        <v>9963</v>
      </c>
      <c r="Q236" s="4" t="s">
        <v>26</v>
      </c>
      <c r="R236" s="4">
        <v>0</v>
      </c>
      <c r="S236" s="6">
        <v>0</v>
      </c>
      <c r="T236" s="6">
        <v>21</v>
      </c>
      <c r="U236" s="6">
        <v>7</v>
      </c>
      <c r="V236" s="6">
        <f>IF(ISERROR(VLOOKUP($S$236,'TAR FIN'!$A$1:$O$85,15,0)),0,VLOOKUP($S$236,'TAR FIN'!$A$1:$O$85,15,0))</f>
        <v>0</v>
      </c>
      <c r="W236" s="6">
        <f>IF(ISERROR(VLOOKUP($T$236,'TAR FIN'!$A$1:$O$85,15,0)),0,VLOOKUP($T$236,'TAR FIN'!$A$1:$O$85,15,0))</f>
        <v>333.15</v>
      </c>
      <c r="X236" s="6">
        <f>IF(ISERROR(VLOOKUP($U$236,'TAR FIN'!$A$1:$O$85,15,0)),0,VLOOKUP($U$236,'TAR FIN'!$A$1:$O$85,15,0))</f>
        <v>241.85</v>
      </c>
      <c r="Y236" s="6"/>
      <c r="Z236" s="6">
        <f ca="1">('TUSD BE'!$AM$20+'TUSD BF_350'!$AM$20+'TUSD CVA'!$AM$20)*1</f>
        <v>376.13343594836397</v>
      </c>
      <c r="AA236" s="6">
        <f ca="1">('TE BE'!$AB$11+'TE BF_350'!$AB$11+'TE CVA'!$AB$11)*1</f>
        <v>227.55060294064452</v>
      </c>
      <c r="AB236" s="6">
        <f>$K$236*$V$236</f>
        <v>0</v>
      </c>
      <c r="AC236" s="6">
        <f>$M$236*$W$236</f>
        <v>630344.45309999993</v>
      </c>
      <c r="AD236" s="6">
        <f>$O$236*$X$236</f>
        <v>457598.0969</v>
      </c>
      <c r="AE236" s="6">
        <f>$K$236*$Y$236</f>
        <v>0</v>
      </c>
      <c r="AF236" s="6">
        <f ca="1">$M$236*$Z$236</f>
        <v>711672.29468856484</v>
      </c>
      <c r="AG236" s="6">
        <f ca="1">$O$236*$AA$236</f>
        <v>430542.57950831705</v>
      </c>
    </row>
    <row r="237" spans="1:33" ht="11.25" customHeight="1" x14ac:dyDescent="0.25">
      <c r="A237" s="4" t="s">
        <v>27</v>
      </c>
      <c r="B237" s="4" t="s">
        <v>22</v>
      </c>
      <c r="C237" s="4" t="s">
        <v>23</v>
      </c>
      <c r="D237" s="4" t="s">
        <v>24</v>
      </c>
      <c r="E237" s="4" t="s">
        <v>24</v>
      </c>
      <c r="F237" s="4" t="s">
        <v>25</v>
      </c>
      <c r="G237" s="4" t="s">
        <v>25</v>
      </c>
      <c r="H237" s="4" t="s">
        <v>25</v>
      </c>
      <c r="I237" s="5">
        <v>44378</v>
      </c>
      <c r="J237" s="6">
        <v>0</v>
      </c>
      <c r="K237" s="6">
        <v>0</v>
      </c>
      <c r="L237" s="6">
        <v>20.032</v>
      </c>
      <c r="M237" s="6">
        <v>20.032</v>
      </c>
      <c r="N237" s="6">
        <v>20.032</v>
      </c>
      <c r="O237" s="6">
        <v>20.032</v>
      </c>
      <c r="P237" s="6">
        <v>148</v>
      </c>
      <c r="Q237" s="4" t="s">
        <v>26</v>
      </c>
      <c r="R237" s="4">
        <v>0</v>
      </c>
      <c r="S237" s="6">
        <v>0</v>
      </c>
      <c r="T237" s="6">
        <v>21</v>
      </c>
      <c r="U237" s="6">
        <v>7</v>
      </c>
      <c r="V237" s="6">
        <f>IF(ISERROR(VLOOKUP($S$237,'TAR FIN'!$A$1:$O$85,15,0)),0,VLOOKUP($S$237,'TAR FIN'!$A$1:$O$85,15,0))</f>
        <v>0</v>
      </c>
      <c r="W237" s="6">
        <f>IF(ISERROR(VLOOKUP($T$237,'TAR FIN'!$A$1:$O$85,15,0)),0,VLOOKUP($T$237,'TAR FIN'!$A$1:$O$85,15,0))</f>
        <v>333.15</v>
      </c>
      <c r="X237" s="6">
        <f>IF(ISERROR(VLOOKUP($U$237,'TAR FIN'!$A$1:$O$85,15,0)),0,VLOOKUP($U$237,'TAR FIN'!$A$1:$O$85,15,0))</f>
        <v>241.85</v>
      </c>
      <c r="Y237" s="6"/>
      <c r="Z237" s="6">
        <f ca="1">('TUSD BE'!$AM$20+'TUSD BF_350'!$AM$20+'TUSD CVA'!$AM$20)*1</f>
        <v>376.13343594836397</v>
      </c>
      <c r="AA237" s="6">
        <f ca="1">('TE BE'!$AB$11+'TE BF_350'!$AB$11+'TE CVA'!$AB$11)*1</f>
        <v>227.55060294064452</v>
      </c>
      <c r="AB237" s="6">
        <f>$K$237*$V$237</f>
        <v>0</v>
      </c>
      <c r="AC237" s="6">
        <f>$M$237*$W$237</f>
        <v>6673.6607999999997</v>
      </c>
      <c r="AD237" s="6">
        <f>$O$237*$X$237</f>
        <v>4844.7392</v>
      </c>
      <c r="AE237" s="6">
        <f>$K$237*$Y$237</f>
        <v>0</v>
      </c>
      <c r="AF237" s="6">
        <f ca="1">$M$237*$Z$237</f>
        <v>7534.7049889176269</v>
      </c>
      <c r="AG237" s="6">
        <f ca="1">$O$237*$AA$237</f>
        <v>4558.2936781069911</v>
      </c>
    </row>
    <row r="238" spans="1:33" ht="11.25" customHeight="1" x14ac:dyDescent="0.25">
      <c r="A238" s="4" t="s">
        <v>21</v>
      </c>
      <c r="B238" s="4" t="s">
        <v>22</v>
      </c>
      <c r="C238" s="4" t="s">
        <v>23</v>
      </c>
      <c r="D238" s="4" t="s">
        <v>24</v>
      </c>
      <c r="E238" s="4" t="s">
        <v>24</v>
      </c>
      <c r="F238" s="4" t="s">
        <v>25</v>
      </c>
      <c r="G238" s="4" t="s">
        <v>25</v>
      </c>
      <c r="H238" s="4" t="s">
        <v>25</v>
      </c>
      <c r="I238" s="5">
        <v>44409</v>
      </c>
      <c r="J238" s="6">
        <v>0</v>
      </c>
      <c r="K238" s="6">
        <v>0</v>
      </c>
      <c r="L238" s="6">
        <v>1795.481</v>
      </c>
      <c r="M238" s="6">
        <v>1795.481</v>
      </c>
      <c r="N238" s="6">
        <v>1795.481</v>
      </c>
      <c r="O238" s="6">
        <v>1795.481</v>
      </c>
      <c r="P238" s="6">
        <v>9953</v>
      </c>
      <c r="Q238" s="4" t="s">
        <v>26</v>
      </c>
      <c r="R238" s="4">
        <v>0</v>
      </c>
      <c r="S238" s="6">
        <v>0</v>
      </c>
      <c r="T238" s="6">
        <v>21</v>
      </c>
      <c r="U238" s="6">
        <v>7</v>
      </c>
      <c r="V238" s="6">
        <f>IF(ISERROR(VLOOKUP($S$238,'TAR FIN'!$A$1:$O$85,15,0)),0,VLOOKUP($S$238,'TAR FIN'!$A$1:$O$85,15,0))</f>
        <v>0</v>
      </c>
      <c r="W238" s="6">
        <f>IF(ISERROR(VLOOKUP($T$238,'TAR FIN'!$A$1:$O$85,15,0)),0,VLOOKUP($T$238,'TAR FIN'!$A$1:$O$85,15,0))</f>
        <v>333.15</v>
      </c>
      <c r="X238" s="6">
        <f>IF(ISERROR(VLOOKUP($U$238,'TAR FIN'!$A$1:$O$85,15,0)),0,VLOOKUP($U$238,'TAR FIN'!$A$1:$O$85,15,0))</f>
        <v>241.85</v>
      </c>
      <c r="Y238" s="6"/>
      <c r="Z238" s="6">
        <f ca="1">('TUSD BE'!$AM$20+'TUSD BF_350'!$AM$20+'TUSD CVA'!$AM$20)*1</f>
        <v>376.13343594836397</v>
      </c>
      <c r="AA238" s="6">
        <f ca="1">('TE BE'!$AB$11+'TE BF_350'!$AB$11+'TE CVA'!$AB$11)*1</f>
        <v>227.55060294064452</v>
      </c>
      <c r="AB238" s="6">
        <f>$K$238*$V$238</f>
        <v>0</v>
      </c>
      <c r="AC238" s="6">
        <f>$M$238*$W$238</f>
        <v>598164.49514999997</v>
      </c>
      <c r="AD238" s="6">
        <f>$O$238*$X$238</f>
        <v>434237.07984999998</v>
      </c>
      <c r="AE238" s="6">
        <f>$K$238*$Y$238</f>
        <v>0</v>
      </c>
      <c r="AF238" s="6">
        <f ca="1">$M$238*$Z$238</f>
        <v>675340.43771000451</v>
      </c>
      <c r="AG238" s="6">
        <f ca="1">$O$238*$AA$238</f>
        <v>408562.78411847138</v>
      </c>
    </row>
    <row r="239" spans="1:33" ht="11.25" customHeight="1" x14ac:dyDescent="0.25">
      <c r="A239" s="4" t="s">
        <v>27</v>
      </c>
      <c r="B239" s="4" t="s">
        <v>22</v>
      </c>
      <c r="C239" s="4" t="s">
        <v>23</v>
      </c>
      <c r="D239" s="4" t="s">
        <v>24</v>
      </c>
      <c r="E239" s="4" t="s">
        <v>24</v>
      </c>
      <c r="F239" s="4" t="s">
        <v>25</v>
      </c>
      <c r="G239" s="4" t="s">
        <v>25</v>
      </c>
      <c r="H239" s="4" t="s">
        <v>25</v>
      </c>
      <c r="I239" s="5">
        <v>44409</v>
      </c>
      <c r="J239" s="6">
        <v>0</v>
      </c>
      <c r="K239" s="6">
        <v>0</v>
      </c>
      <c r="L239" s="6">
        <v>17.588000000000001</v>
      </c>
      <c r="M239" s="6">
        <v>17.588000000000001</v>
      </c>
      <c r="N239" s="6">
        <v>17.588000000000001</v>
      </c>
      <c r="O239" s="6">
        <v>17.588000000000001</v>
      </c>
      <c r="P239" s="6">
        <v>156</v>
      </c>
      <c r="Q239" s="4" t="s">
        <v>26</v>
      </c>
      <c r="R239" s="4">
        <v>0</v>
      </c>
      <c r="S239" s="6">
        <v>0</v>
      </c>
      <c r="T239" s="6">
        <v>21</v>
      </c>
      <c r="U239" s="6">
        <v>7</v>
      </c>
      <c r="V239" s="6">
        <f>IF(ISERROR(VLOOKUP($S$239,'TAR FIN'!$A$1:$O$85,15,0)),0,VLOOKUP($S$239,'TAR FIN'!$A$1:$O$85,15,0))</f>
        <v>0</v>
      </c>
      <c r="W239" s="6">
        <f>IF(ISERROR(VLOOKUP($T$239,'TAR FIN'!$A$1:$O$85,15,0)),0,VLOOKUP($T$239,'TAR FIN'!$A$1:$O$85,15,0))</f>
        <v>333.15</v>
      </c>
      <c r="X239" s="6">
        <f>IF(ISERROR(VLOOKUP($U$239,'TAR FIN'!$A$1:$O$85,15,0)),0,VLOOKUP($U$239,'TAR FIN'!$A$1:$O$85,15,0))</f>
        <v>241.85</v>
      </c>
      <c r="Y239" s="6"/>
      <c r="Z239" s="6">
        <f ca="1">('TUSD BE'!$AM$20+'TUSD BF_350'!$AM$20+'TUSD CVA'!$AM$20)*1</f>
        <v>376.13343594836397</v>
      </c>
      <c r="AA239" s="6">
        <f ca="1">('TE BE'!$AB$11+'TE BF_350'!$AB$11+'TE CVA'!$AB$11)*1</f>
        <v>227.55060294064452</v>
      </c>
      <c r="AB239" s="6">
        <f>$K$239*$V$239</f>
        <v>0</v>
      </c>
      <c r="AC239" s="6">
        <f>$M$239*$W$239</f>
        <v>5859.4421999999995</v>
      </c>
      <c r="AD239" s="6">
        <f>$O$239*$X$239</f>
        <v>4253.6578</v>
      </c>
      <c r="AE239" s="6">
        <f>$K$239*$Y$239</f>
        <v>0</v>
      </c>
      <c r="AF239" s="6">
        <f ca="1">$M$239*$Z$239</f>
        <v>6615.4348714598254</v>
      </c>
      <c r="AG239" s="6">
        <f ca="1">$O$239*$AA$239</f>
        <v>4002.1600045200562</v>
      </c>
    </row>
    <row r="240" spans="1:33" ht="11.25" customHeight="1" x14ac:dyDescent="0.25">
      <c r="A240" s="4" t="s">
        <v>21</v>
      </c>
      <c r="B240" s="4" t="s">
        <v>22</v>
      </c>
      <c r="C240" s="4" t="s">
        <v>23</v>
      </c>
      <c r="D240" s="4" t="s">
        <v>24</v>
      </c>
      <c r="E240" s="4" t="s">
        <v>24</v>
      </c>
      <c r="F240" s="4" t="s">
        <v>25</v>
      </c>
      <c r="G240" s="4" t="s">
        <v>25</v>
      </c>
      <c r="H240" s="4" t="s">
        <v>25</v>
      </c>
      <c r="I240" s="5">
        <v>44440</v>
      </c>
      <c r="J240" s="6">
        <v>0</v>
      </c>
      <c r="K240" s="6">
        <v>0</v>
      </c>
      <c r="L240" s="6">
        <v>1605.943</v>
      </c>
      <c r="M240" s="6">
        <v>1605.943</v>
      </c>
      <c r="N240" s="6">
        <v>1605.943</v>
      </c>
      <c r="O240" s="6">
        <v>1605.943</v>
      </c>
      <c r="P240" s="6">
        <v>9943</v>
      </c>
      <c r="Q240" s="4" t="s">
        <v>26</v>
      </c>
      <c r="R240" s="4">
        <v>0</v>
      </c>
      <c r="S240" s="6">
        <v>0</v>
      </c>
      <c r="T240" s="6">
        <v>21</v>
      </c>
      <c r="U240" s="6">
        <v>7</v>
      </c>
      <c r="V240" s="6">
        <f>IF(ISERROR(VLOOKUP($S$240,'TAR FIN'!$A$1:$O$85,15,0)),0,VLOOKUP($S$240,'TAR FIN'!$A$1:$O$85,15,0))</f>
        <v>0</v>
      </c>
      <c r="W240" s="6">
        <f>IF(ISERROR(VLOOKUP($T$240,'TAR FIN'!$A$1:$O$85,15,0)),0,VLOOKUP($T$240,'TAR FIN'!$A$1:$O$85,15,0))</f>
        <v>333.15</v>
      </c>
      <c r="X240" s="6">
        <f>IF(ISERROR(VLOOKUP($U$240,'TAR FIN'!$A$1:$O$85,15,0)),0,VLOOKUP($U$240,'TAR FIN'!$A$1:$O$85,15,0))</f>
        <v>241.85</v>
      </c>
      <c r="Y240" s="6"/>
      <c r="Z240" s="6">
        <f ca="1">('TUSD BE'!$AM$20+'TUSD BF_350'!$AM$20+'TUSD CVA'!$AM$20)*1</f>
        <v>376.13343594836397</v>
      </c>
      <c r="AA240" s="6">
        <f ca="1">('TE BE'!$AB$11+'TE BF_350'!$AB$11+'TE CVA'!$AB$11)*1</f>
        <v>227.55060294064452</v>
      </c>
      <c r="AB240" s="6">
        <f>$K$240*$V$240</f>
        <v>0</v>
      </c>
      <c r="AC240" s="6">
        <f>$M$240*$W$240</f>
        <v>535019.91044999997</v>
      </c>
      <c r="AD240" s="6">
        <f>$O$240*$X$240</f>
        <v>388397.31455000001</v>
      </c>
      <c r="AE240" s="6">
        <f>$K$240*$Y$240</f>
        <v>0</v>
      </c>
      <c r="AF240" s="6">
        <f ca="1">$M$240*$Z$240</f>
        <v>604048.85852722346</v>
      </c>
      <c r="AG240" s="6">
        <f ca="1">$O$240*$AA$240</f>
        <v>365433.29793830746</v>
      </c>
    </row>
    <row r="241" spans="1:33" ht="11.25" customHeight="1" x14ac:dyDescent="0.25">
      <c r="A241" s="4" t="s">
        <v>27</v>
      </c>
      <c r="B241" s="4" t="s">
        <v>22</v>
      </c>
      <c r="C241" s="4" t="s">
        <v>23</v>
      </c>
      <c r="D241" s="4" t="s">
        <v>24</v>
      </c>
      <c r="E241" s="4" t="s">
        <v>24</v>
      </c>
      <c r="F241" s="4" t="s">
        <v>25</v>
      </c>
      <c r="G241" s="4" t="s">
        <v>25</v>
      </c>
      <c r="H241" s="4" t="s">
        <v>25</v>
      </c>
      <c r="I241" s="5">
        <v>44440</v>
      </c>
      <c r="J241" s="6">
        <v>0</v>
      </c>
      <c r="K241" s="6">
        <v>0</v>
      </c>
      <c r="L241" s="6">
        <v>17.021999999999998</v>
      </c>
      <c r="M241" s="6">
        <v>17.021999999999998</v>
      </c>
      <c r="N241" s="6">
        <v>17.021999999999998</v>
      </c>
      <c r="O241" s="6">
        <v>17.021999999999998</v>
      </c>
      <c r="P241" s="6">
        <v>178</v>
      </c>
      <c r="Q241" s="4" t="s">
        <v>26</v>
      </c>
      <c r="R241" s="4">
        <v>0</v>
      </c>
      <c r="S241" s="6">
        <v>0</v>
      </c>
      <c r="T241" s="6">
        <v>21</v>
      </c>
      <c r="U241" s="6">
        <v>7</v>
      </c>
      <c r="V241" s="6">
        <f>IF(ISERROR(VLOOKUP($S$241,'TAR FIN'!$A$1:$O$85,15,0)),0,VLOOKUP($S$241,'TAR FIN'!$A$1:$O$85,15,0))</f>
        <v>0</v>
      </c>
      <c r="W241" s="6">
        <f>IF(ISERROR(VLOOKUP($T$241,'TAR FIN'!$A$1:$O$85,15,0)),0,VLOOKUP($T$241,'TAR FIN'!$A$1:$O$85,15,0))</f>
        <v>333.15</v>
      </c>
      <c r="X241" s="6">
        <f>IF(ISERROR(VLOOKUP($U$241,'TAR FIN'!$A$1:$O$85,15,0)),0,VLOOKUP($U$241,'TAR FIN'!$A$1:$O$85,15,0))</f>
        <v>241.85</v>
      </c>
      <c r="Y241" s="6"/>
      <c r="Z241" s="6">
        <f ca="1">('TUSD BE'!$AM$20+'TUSD BF_350'!$AM$20+'TUSD CVA'!$AM$20)*1</f>
        <v>376.13343594836397</v>
      </c>
      <c r="AA241" s="6">
        <f ca="1">('TE BE'!$AB$11+'TE BF_350'!$AB$11+'TE CVA'!$AB$11)*1</f>
        <v>227.55060294064452</v>
      </c>
      <c r="AB241" s="6">
        <f>$K$241*$V$241</f>
        <v>0</v>
      </c>
      <c r="AC241" s="6">
        <f>$M$241*$W$241</f>
        <v>5670.8792999999987</v>
      </c>
      <c r="AD241" s="6">
        <f>$O$241*$X$241</f>
        <v>4116.7706999999991</v>
      </c>
      <c r="AE241" s="6">
        <f>$K$241*$Y$241</f>
        <v>0</v>
      </c>
      <c r="AF241" s="6">
        <f ca="1">$M$241*$Z$241</f>
        <v>6402.5433467130506</v>
      </c>
      <c r="AG241" s="6">
        <f ca="1">$O$241*$AA$241</f>
        <v>3873.3663632556509</v>
      </c>
    </row>
    <row r="242" spans="1:33" ht="11.25" customHeight="1" x14ac:dyDescent="0.25">
      <c r="A242" s="4" t="s">
        <v>21</v>
      </c>
      <c r="B242" s="4" t="s">
        <v>22</v>
      </c>
      <c r="C242" s="4" t="s">
        <v>23</v>
      </c>
      <c r="D242" s="4" t="s">
        <v>24</v>
      </c>
      <c r="E242" s="4" t="s">
        <v>24</v>
      </c>
      <c r="F242" s="4" t="s">
        <v>25</v>
      </c>
      <c r="G242" s="4" t="s">
        <v>25</v>
      </c>
      <c r="H242" s="4" t="s">
        <v>25</v>
      </c>
      <c r="I242" s="5">
        <v>44470</v>
      </c>
      <c r="J242" s="6">
        <v>0</v>
      </c>
      <c r="K242" s="6">
        <v>0</v>
      </c>
      <c r="L242" s="6">
        <v>1543.865</v>
      </c>
      <c r="M242" s="6">
        <v>1543.865</v>
      </c>
      <c r="N242" s="6">
        <v>1543.865</v>
      </c>
      <c r="O242" s="6">
        <v>1543.865</v>
      </c>
      <c r="P242" s="6">
        <v>9932</v>
      </c>
      <c r="Q242" s="4" t="s">
        <v>26</v>
      </c>
      <c r="R242" s="4">
        <v>0</v>
      </c>
      <c r="S242" s="6">
        <v>0</v>
      </c>
      <c r="T242" s="6">
        <v>21</v>
      </c>
      <c r="U242" s="6">
        <v>7</v>
      </c>
      <c r="V242" s="6">
        <f>IF(ISERROR(VLOOKUP($S$242,'TAR FIN'!$A$1:$O$85,15,0)),0,VLOOKUP($S$242,'TAR FIN'!$A$1:$O$85,15,0))</f>
        <v>0</v>
      </c>
      <c r="W242" s="6">
        <f>IF(ISERROR(VLOOKUP($T$242,'TAR FIN'!$A$1:$O$85,15,0)),0,VLOOKUP($T$242,'TAR FIN'!$A$1:$O$85,15,0))</f>
        <v>333.15</v>
      </c>
      <c r="X242" s="6">
        <f>IF(ISERROR(VLOOKUP($U$242,'TAR FIN'!$A$1:$O$85,15,0)),0,VLOOKUP($U$242,'TAR FIN'!$A$1:$O$85,15,0))</f>
        <v>241.85</v>
      </c>
      <c r="Y242" s="6"/>
      <c r="Z242" s="6">
        <f ca="1">('TUSD BE'!$AM$20+'TUSD BF_350'!$AM$20+'TUSD CVA'!$AM$20)*1</f>
        <v>376.13343594836397</v>
      </c>
      <c r="AA242" s="6">
        <f ca="1">('TE BE'!$AB$11+'TE BF_350'!$AB$11+'TE CVA'!$AB$11)*1</f>
        <v>227.55060294064452</v>
      </c>
      <c r="AB242" s="6">
        <f>$K$242*$V$242</f>
        <v>0</v>
      </c>
      <c r="AC242" s="6">
        <f>$M$242*$W$242</f>
        <v>514338.62474999996</v>
      </c>
      <c r="AD242" s="6">
        <f>$O$242*$X$242</f>
        <v>373383.75024999998</v>
      </c>
      <c r="AE242" s="6">
        <f>$K$242*$Y$242</f>
        <v>0</v>
      </c>
      <c r="AF242" s="6">
        <f ca="1">$M$242*$Z$242</f>
        <v>580699.24709042092</v>
      </c>
      <c r="AG242" s="6">
        <f ca="1">$O$242*$AA$242</f>
        <v>351307.41160895815</v>
      </c>
    </row>
    <row r="243" spans="1:33" ht="11.25" customHeight="1" x14ac:dyDescent="0.25">
      <c r="A243" s="4" t="s">
        <v>27</v>
      </c>
      <c r="B243" s="4" t="s">
        <v>22</v>
      </c>
      <c r="C243" s="4" t="s">
        <v>23</v>
      </c>
      <c r="D243" s="4" t="s">
        <v>24</v>
      </c>
      <c r="E243" s="4" t="s">
        <v>24</v>
      </c>
      <c r="F243" s="4" t="s">
        <v>25</v>
      </c>
      <c r="G243" s="4" t="s">
        <v>25</v>
      </c>
      <c r="H243" s="4" t="s">
        <v>25</v>
      </c>
      <c r="I243" s="5">
        <v>44470</v>
      </c>
      <c r="J243" s="6">
        <v>0</v>
      </c>
      <c r="K243" s="6">
        <v>0</v>
      </c>
      <c r="L243" s="6">
        <v>16.579999999999998</v>
      </c>
      <c r="M243" s="6">
        <v>16.579999999999998</v>
      </c>
      <c r="N243" s="6">
        <v>16.579999999999998</v>
      </c>
      <c r="O243" s="6">
        <v>16.579999999999998</v>
      </c>
      <c r="P243" s="6">
        <v>198</v>
      </c>
      <c r="Q243" s="4" t="s">
        <v>26</v>
      </c>
      <c r="R243" s="4">
        <v>0</v>
      </c>
      <c r="S243" s="6">
        <v>0</v>
      </c>
      <c r="T243" s="6">
        <v>21</v>
      </c>
      <c r="U243" s="6">
        <v>7</v>
      </c>
      <c r="V243" s="6">
        <f>IF(ISERROR(VLOOKUP($S$243,'TAR FIN'!$A$1:$O$85,15,0)),0,VLOOKUP($S$243,'TAR FIN'!$A$1:$O$85,15,0))</f>
        <v>0</v>
      </c>
      <c r="W243" s="6">
        <f>IF(ISERROR(VLOOKUP($T$243,'TAR FIN'!$A$1:$O$85,15,0)),0,VLOOKUP($T$243,'TAR FIN'!$A$1:$O$85,15,0))</f>
        <v>333.15</v>
      </c>
      <c r="X243" s="6">
        <f>IF(ISERROR(VLOOKUP($U$243,'TAR FIN'!$A$1:$O$85,15,0)),0,VLOOKUP($U$243,'TAR FIN'!$A$1:$O$85,15,0))</f>
        <v>241.85</v>
      </c>
      <c r="Y243" s="6"/>
      <c r="Z243" s="6">
        <f ca="1">('TUSD BE'!$AM$20+'TUSD BF_350'!$AM$20+'TUSD CVA'!$AM$20)*1</f>
        <v>376.13343594836397</v>
      </c>
      <c r="AA243" s="6">
        <f ca="1">('TE BE'!$AB$11+'TE BF_350'!$AB$11+'TE CVA'!$AB$11)*1</f>
        <v>227.55060294064452</v>
      </c>
      <c r="AB243" s="6">
        <f>$K$243*$V$243</f>
        <v>0</v>
      </c>
      <c r="AC243" s="6">
        <f>$M$243*$W$243</f>
        <v>5523.6269999999995</v>
      </c>
      <c r="AD243" s="6">
        <f>$O$243*$X$243</f>
        <v>4009.8729999999996</v>
      </c>
      <c r="AE243" s="6">
        <f>$K$243*$Y$243</f>
        <v>0</v>
      </c>
      <c r="AF243" s="6">
        <f ca="1">$M$243*$Z$243</f>
        <v>6236.2923680238737</v>
      </c>
      <c r="AG243" s="6">
        <f ca="1">$O$243*$AA$243</f>
        <v>3772.7889967558858</v>
      </c>
    </row>
    <row r="244" spans="1:33" ht="11.25" customHeight="1" x14ac:dyDescent="0.25">
      <c r="A244" s="4" t="s">
        <v>21</v>
      </c>
      <c r="B244" s="4" t="s">
        <v>22</v>
      </c>
      <c r="C244" s="4" t="s">
        <v>23</v>
      </c>
      <c r="D244" s="4" t="s">
        <v>24</v>
      </c>
      <c r="E244" s="4" t="s">
        <v>24</v>
      </c>
      <c r="F244" s="4" t="s">
        <v>25</v>
      </c>
      <c r="G244" s="4" t="s">
        <v>25</v>
      </c>
      <c r="H244" s="4" t="s">
        <v>25</v>
      </c>
      <c r="I244" s="5">
        <v>44501</v>
      </c>
      <c r="J244" s="6">
        <v>0</v>
      </c>
      <c r="K244" s="6">
        <v>0</v>
      </c>
      <c r="L244" s="6">
        <v>1639.9559999999999</v>
      </c>
      <c r="M244" s="6">
        <v>1639.9559999999999</v>
      </c>
      <c r="N244" s="6">
        <v>1639.9559999999999</v>
      </c>
      <c r="O244" s="6">
        <v>1639.9559999999999</v>
      </c>
      <c r="P244" s="6">
        <v>9935</v>
      </c>
      <c r="Q244" s="4" t="s">
        <v>26</v>
      </c>
      <c r="R244" s="4">
        <v>0</v>
      </c>
      <c r="S244" s="6">
        <v>0</v>
      </c>
      <c r="T244" s="6">
        <v>21</v>
      </c>
      <c r="U244" s="6">
        <v>7</v>
      </c>
      <c r="V244" s="6">
        <f>IF(ISERROR(VLOOKUP($S$244,'TAR FIN'!$A$1:$O$85,15,0)),0,VLOOKUP($S$244,'TAR FIN'!$A$1:$O$85,15,0))</f>
        <v>0</v>
      </c>
      <c r="W244" s="6">
        <f>IF(ISERROR(VLOOKUP($T$244,'TAR FIN'!$A$1:$O$85,15,0)),0,VLOOKUP($T$244,'TAR FIN'!$A$1:$O$85,15,0))</f>
        <v>333.15</v>
      </c>
      <c r="X244" s="6">
        <f>IF(ISERROR(VLOOKUP($U$244,'TAR FIN'!$A$1:$O$85,15,0)),0,VLOOKUP($U$244,'TAR FIN'!$A$1:$O$85,15,0))</f>
        <v>241.85</v>
      </c>
      <c r="Y244" s="6"/>
      <c r="Z244" s="6">
        <f ca="1">('TUSD BE'!$AM$20+'TUSD BF_350'!$AM$20+'TUSD CVA'!$AM$20)*1</f>
        <v>376.13343594836397</v>
      </c>
      <c r="AA244" s="6">
        <f ca="1">('TE BE'!$AB$11+'TE BF_350'!$AB$11+'TE CVA'!$AB$11)*1</f>
        <v>227.55060294064452</v>
      </c>
      <c r="AB244" s="6">
        <f>$K$244*$V$244</f>
        <v>0</v>
      </c>
      <c r="AC244" s="6">
        <f>$M$244*$W$244</f>
        <v>546351.34139999992</v>
      </c>
      <c r="AD244" s="6">
        <f>$O$244*$X$244</f>
        <v>396623.35859999998</v>
      </c>
      <c r="AE244" s="6">
        <f>$K$244*$Y$244</f>
        <v>0</v>
      </c>
      <c r="AF244" s="6">
        <f ca="1">$M$244*$Z$244</f>
        <v>616842.28508413513</v>
      </c>
      <c r="AG244" s="6">
        <f ca="1">$O$244*$AA$244</f>
        <v>373172.97659612761</v>
      </c>
    </row>
    <row r="245" spans="1:33" ht="11.25" customHeight="1" x14ac:dyDescent="0.25">
      <c r="A245" s="4" t="s">
        <v>48</v>
      </c>
      <c r="B245" s="4" t="s">
        <v>22</v>
      </c>
      <c r="C245" s="4" t="s">
        <v>23</v>
      </c>
      <c r="D245" s="4" t="s">
        <v>24</v>
      </c>
      <c r="E245" s="4" t="s">
        <v>24</v>
      </c>
      <c r="F245" s="4" t="s">
        <v>25</v>
      </c>
      <c r="G245" s="4" t="s">
        <v>25</v>
      </c>
      <c r="H245" s="4" t="s">
        <v>25</v>
      </c>
      <c r="I245" s="5">
        <v>44501</v>
      </c>
      <c r="J245" s="6">
        <v>0</v>
      </c>
      <c r="K245" s="6">
        <v>0</v>
      </c>
      <c r="L245" s="6">
        <v>-0.16700000000000001</v>
      </c>
      <c r="M245" s="6">
        <v>-0.16700000000000001</v>
      </c>
      <c r="N245" s="6">
        <v>-0.16700000000000001</v>
      </c>
      <c r="O245" s="6">
        <v>-0.16700000000000001</v>
      </c>
      <c r="P245" s="6">
        <v>0</v>
      </c>
      <c r="Q245" s="4" t="s">
        <v>26</v>
      </c>
      <c r="R245" s="4">
        <v>0</v>
      </c>
      <c r="S245" s="6">
        <v>0</v>
      </c>
      <c r="T245" s="6">
        <v>21</v>
      </c>
      <c r="U245" s="6">
        <v>7</v>
      </c>
      <c r="V245" s="6">
        <f>IF(ISERROR(VLOOKUP($S$245,'TAR FIN'!$A$1:$O$85,15,0)),0,VLOOKUP($S$245,'TAR FIN'!$A$1:$O$85,15,0))</f>
        <v>0</v>
      </c>
      <c r="W245" s="6">
        <f>IF(ISERROR(VLOOKUP($T$245,'TAR FIN'!$A$1:$O$85,15,0)),0,VLOOKUP($T$245,'TAR FIN'!$A$1:$O$85,15,0))</f>
        <v>333.15</v>
      </c>
      <c r="X245" s="6">
        <f>IF(ISERROR(VLOOKUP($U$245,'TAR FIN'!$A$1:$O$85,15,0)),0,VLOOKUP($U$245,'TAR FIN'!$A$1:$O$85,15,0))</f>
        <v>241.85</v>
      </c>
      <c r="Y245" s="6"/>
      <c r="Z245" s="6">
        <f ca="1">('TUSD BE'!$AM$20+'TUSD BF_350'!$AM$20+'TUSD CVA'!$AM$20)*1</f>
        <v>376.13343594836397</v>
      </c>
      <c r="AA245" s="6">
        <f ca="1">('TE BE'!$AB$11+'TE BF_350'!$AB$11+'TE CVA'!$AB$11)*1</f>
        <v>227.55060294064452</v>
      </c>
      <c r="AB245" s="6">
        <f>$K$245*$V$245</f>
        <v>0</v>
      </c>
      <c r="AC245" s="6">
        <f>$M$245*$W$245</f>
        <v>-55.636049999999997</v>
      </c>
      <c r="AD245" s="6">
        <f>$O$245*$X$245</f>
        <v>-40.388950000000001</v>
      </c>
      <c r="AE245" s="6">
        <f>$K$245*$Y$245</f>
        <v>0</v>
      </c>
      <c r="AF245" s="6">
        <f ca="1">$M$245*$Z$245</f>
        <v>-62.814283803376789</v>
      </c>
      <c r="AG245" s="6">
        <f ca="1">$O$245*$AA$245</f>
        <v>-38.000950691087638</v>
      </c>
    </row>
    <row r="246" spans="1:33" ht="11.25" customHeight="1" x14ac:dyDescent="0.25">
      <c r="A246" s="4" t="s">
        <v>27</v>
      </c>
      <c r="B246" s="4" t="s">
        <v>22</v>
      </c>
      <c r="C246" s="4" t="s">
        <v>23</v>
      </c>
      <c r="D246" s="4" t="s">
        <v>24</v>
      </c>
      <c r="E246" s="4" t="s">
        <v>24</v>
      </c>
      <c r="F246" s="4" t="s">
        <v>25</v>
      </c>
      <c r="G246" s="4" t="s">
        <v>25</v>
      </c>
      <c r="H246" s="4" t="s">
        <v>25</v>
      </c>
      <c r="I246" s="5">
        <v>44501</v>
      </c>
      <c r="J246" s="6">
        <v>0</v>
      </c>
      <c r="K246" s="6">
        <v>0</v>
      </c>
      <c r="L246" s="6">
        <v>13.473000000000001</v>
      </c>
      <c r="M246" s="6">
        <v>13.473000000000001</v>
      </c>
      <c r="N246" s="6">
        <v>13.473000000000001</v>
      </c>
      <c r="O246" s="6">
        <v>13.473000000000001</v>
      </c>
      <c r="P246" s="6">
        <v>218</v>
      </c>
      <c r="Q246" s="4" t="s">
        <v>26</v>
      </c>
      <c r="R246" s="4">
        <v>0</v>
      </c>
      <c r="S246" s="6">
        <v>0</v>
      </c>
      <c r="T246" s="6">
        <v>21</v>
      </c>
      <c r="U246" s="6">
        <v>7</v>
      </c>
      <c r="V246" s="6">
        <f>IF(ISERROR(VLOOKUP($S$246,'TAR FIN'!$A$1:$O$85,15,0)),0,VLOOKUP($S$246,'TAR FIN'!$A$1:$O$85,15,0))</f>
        <v>0</v>
      </c>
      <c r="W246" s="6">
        <f>IF(ISERROR(VLOOKUP($T$246,'TAR FIN'!$A$1:$O$85,15,0)),0,VLOOKUP($T$246,'TAR FIN'!$A$1:$O$85,15,0))</f>
        <v>333.15</v>
      </c>
      <c r="X246" s="6">
        <f>IF(ISERROR(VLOOKUP($U$246,'TAR FIN'!$A$1:$O$85,15,0)),0,VLOOKUP($U$246,'TAR FIN'!$A$1:$O$85,15,0))</f>
        <v>241.85</v>
      </c>
      <c r="Y246" s="6"/>
      <c r="Z246" s="6">
        <f ca="1">('TUSD BE'!$AM$20+'TUSD BF_350'!$AM$20+'TUSD CVA'!$AM$20)*1</f>
        <v>376.13343594836397</v>
      </c>
      <c r="AA246" s="6">
        <f ca="1">('TE BE'!$AB$11+'TE BF_350'!$AB$11+'TE CVA'!$AB$11)*1</f>
        <v>227.55060294064452</v>
      </c>
      <c r="AB246" s="6">
        <f>$K$246*$V$246</f>
        <v>0</v>
      </c>
      <c r="AC246" s="6">
        <f>$M$246*$W$246</f>
        <v>4488.5299500000001</v>
      </c>
      <c r="AD246" s="6">
        <f>$O$246*$X$246</f>
        <v>3258.4450500000003</v>
      </c>
      <c r="AE246" s="6">
        <f>$K$246*$Y$246</f>
        <v>0</v>
      </c>
      <c r="AF246" s="6">
        <f ca="1">$M$246*$Z$246</f>
        <v>5067.6457825323077</v>
      </c>
      <c r="AG246" s="6">
        <f ca="1">$O$246*$AA$246</f>
        <v>3065.7892734193038</v>
      </c>
    </row>
    <row r="247" spans="1:33" ht="11.25" customHeight="1" x14ac:dyDescent="0.25">
      <c r="A247" s="4" t="s">
        <v>27</v>
      </c>
      <c r="B247" s="4" t="s">
        <v>22</v>
      </c>
      <c r="C247" s="4" t="s">
        <v>23</v>
      </c>
      <c r="D247" s="4" t="s">
        <v>24</v>
      </c>
      <c r="E247" s="4" t="s">
        <v>24</v>
      </c>
      <c r="F247" s="4" t="s">
        <v>25</v>
      </c>
      <c r="G247" s="4" t="s">
        <v>25</v>
      </c>
      <c r="H247" s="4" t="s">
        <v>25</v>
      </c>
      <c r="I247" s="5">
        <v>44501</v>
      </c>
      <c r="J247" s="6">
        <v>0</v>
      </c>
      <c r="K247" s="6">
        <v>0</v>
      </c>
      <c r="L247" s="6">
        <v>0.11700000000000001</v>
      </c>
      <c r="M247" s="6">
        <v>0.11700000000000001</v>
      </c>
      <c r="N247" s="6">
        <v>0.11700000000000001</v>
      </c>
      <c r="O247" s="6">
        <v>0.11700000000000001</v>
      </c>
      <c r="P247" s="6">
        <v>1</v>
      </c>
      <c r="Q247" s="4" t="s">
        <v>26</v>
      </c>
      <c r="R247" s="4">
        <v>0</v>
      </c>
      <c r="S247" s="6">
        <v>0</v>
      </c>
      <c r="T247" s="6">
        <v>21</v>
      </c>
      <c r="U247" s="6">
        <v>7</v>
      </c>
      <c r="V247" s="6">
        <f>IF(ISERROR(VLOOKUP($S$247,'TAR FIN'!$A$1:$O$85,15,0)),0,VLOOKUP($S$247,'TAR FIN'!$A$1:$O$85,15,0))</f>
        <v>0</v>
      </c>
      <c r="W247" s="6">
        <f>IF(ISERROR(VLOOKUP($T$247,'TAR FIN'!$A$1:$O$85,15,0)),0,VLOOKUP($T$247,'TAR FIN'!$A$1:$O$85,15,0))</f>
        <v>333.15</v>
      </c>
      <c r="X247" s="6">
        <f>IF(ISERROR(VLOOKUP($U$247,'TAR FIN'!$A$1:$O$85,15,0)),0,VLOOKUP($U$247,'TAR FIN'!$A$1:$O$85,15,0))</f>
        <v>241.85</v>
      </c>
      <c r="Y247" s="6"/>
      <c r="Z247" s="6">
        <f ca="1">('TUSD BE'!$AM$20+'TUSD BF_350'!$AM$20+'TUSD CVA'!$AM$20)*1</f>
        <v>376.13343594836397</v>
      </c>
      <c r="AA247" s="6">
        <f ca="1">('TE BE'!$AB$11+'TE BF_350'!$AB$11+'TE CVA'!$AB$11)*1</f>
        <v>227.55060294064452</v>
      </c>
      <c r="AB247" s="6">
        <f>$K$247*$V$247</f>
        <v>0</v>
      </c>
      <c r="AC247" s="6">
        <f>$M$247*$W$247</f>
        <v>38.978549999999998</v>
      </c>
      <c r="AD247" s="6">
        <f>$O$247*$X$247</f>
        <v>28.29645</v>
      </c>
      <c r="AE247" s="6">
        <f>$K$247*$Y$247</f>
        <v>0</v>
      </c>
      <c r="AF247" s="6">
        <f ca="1">$M$247*$Z$247</f>
        <v>44.007612005958585</v>
      </c>
      <c r="AG247" s="6">
        <f ca="1">$O$247*$AA$247</f>
        <v>26.62342054405541</v>
      </c>
    </row>
    <row r="248" spans="1:33" ht="11.25" customHeight="1" x14ac:dyDescent="0.25">
      <c r="A248" s="4" t="s">
        <v>21</v>
      </c>
      <c r="B248" s="4" t="s">
        <v>22</v>
      </c>
      <c r="C248" s="4" t="s">
        <v>23</v>
      </c>
      <c r="D248" s="4" t="s">
        <v>24</v>
      </c>
      <c r="E248" s="4" t="s">
        <v>24</v>
      </c>
      <c r="F248" s="4" t="s">
        <v>25</v>
      </c>
      <c r="G248" s="4" t="s">
        <v>25</v>
      </c>
      <c r="H248" s="4" t="s">
        <v>25</v>
      </c>
      <c r="I248" s="5">
        <v>44531</v>
      </c>
      <c r="J248" s="6">
        <v>0</v>
      </c>
      <c r="K248" s="6">
        <v>0</v>
      </c>
      <c r="L248" s="6">
        <v>1644.258</v>
      </c>
      <c r="M248" s="6">
        <v>1644.258</v>
      </c>
      <c r="N248" s="6">
        <v>1644.258</v>
      </c>
      <c r="O248" s="6">
        <v>1644.258</v>
      </c>
      <c r="P248" s="6">
        <v>9827</v>
      </c>
      <c r="Q248" s="4" t="s">
        <v>26</v>
      </c>
      <c r="R248" s="4">
        <v>0</v>
      </c>
      <c r="S248" s="6">
        <v>0</v>
      </c>
      <c r="T248" s="6">
        <v>21</v>
      </c>
      <c r="U248" s="6">
        <v>7</v>
      </c>
      <c r="V248" s="6">
        <f>IF(ISERROR(VLOOKUP($S$248,'TAR FIN'!$A$1:$O$85,15,0)),0,VLOOKUP($S$248,'TAR FIN'!$A$1:$O$85,15,0))</f>
        <v>0</v>
      </c>
      <c r="W248" s="6">
        <f>IF(ISERROR(VLOOKUP($T$248,'TAR FIN'!$A$1:$O$85,15,0)),0,VLOOKUP($T$248,'TAR FIN'!$A$1:$O$85,15,0))</f>
        <v>333.15</v>
      </c>
      <c r="X248" s="6">
        <f>IF(ISERROR(VLOOKUP($U$248,'TAR FIN'!$A$1:$O$85,15,0)),0,VLOOKUP($U$248,'TAR FIN'!$A$1:$O$85,15,0))</f>
        <v>241.85</v>
      </c>
      <c r="Y248" s="6"/>
      <c r="Z248" s="6">
        <f ca="1">('TUSD BE'!$AM$20+'TUSD BF_350'!$AM$20+'TUSD CVA'!$AM$20)*1</f>
        <v>376.13343594836397</v>
      </c>
      <c r="AA248" s="6">
        <f ca="1">('TE BE'!$AB$11+'TE BF_350'!$AB$11+'TE CVA'!$AB$11)*1</f>
        <v>227.55060294064452</v>
      </c>
      <c r="AB248" s="6">
        <f>$K$248*$V$248</f>
        <v>0</v>
      </c>
      <c r="AC248" s="6">
        <f>$M$248*$W$248</f>
        <v>547784.5527</v>
      </c>
      <c r="AD248" s="6">
        <f>$O$248*$X$248</f>
        <v>397663.79729999998</v>
      </c>
      <c r="AE248" s="6">
        <f>$K$248*$Y$248</f>
        <v>0</v>
      </c>
      <c r="AF248" s="6">
        <f ca="1">$M$248*$Z$248</f>
        <v>618460.41112558509</v>
      </c>
      <c r="AG248" s="6">
        <f ca="1">$O$248*$AA$248</f>
        <v>374151.89928997832</v>
      </c>
    </row>
    <row r="249" spans="1:33" ht="11.25" customHeight="1" x14ac:dyDescent="0.25">
      <c r="A249" s="4" t="s">
        <v>27</v>
      </c>
      <c r="B249" s="4" t="s">
        <v>22</v>
      </c>
      <c r="C249" s="4" t="s">
        <v>23</v>
      </c>
      <c r="D249" s="4" t="s">
        <v>24</v>
      </c>
      <c r="E249" s="4" t="s">
        <v>24</v>
      </c>
      <c r="F249" s="4" t="s">
        <v>25</v>
      </c>
      <c r="G249" s="4" t="s">
        <v>25</v>
      </c>
      <c r="H249" s="4" t="s">
        <v>25</v>
      </c>
      <c r="I249" s="5">
        <v>44531</v>
      </c>
      <c r="J249" s="6">
        <v>0</v>
      </c>
      <c r="K249" s="6">
        <v>0</v>
      </c>
      <c r="L249" s="6">
        <v>16.202999999999999</v>
      </c>
      <c r="M249" s="6">
        <v>16.202999999999999</v>
      </c>
      <c r="N249" s="6">
        <v>16.202999999999999</v>
      </c>
      <c r="O249" s="6">
        <v>16.202999999999999</v>
      </c>
      <c r="P249" s="6">
        <v>236</v>
      </c>
      <c r="Q249" s="4" t="s">
        <v>26</v>
      </c>
      <c r="R249" s="4">
        <v>0</v>
      </c>
      <c r="S249" s="6">
        <v>0</v>
      </c>
      <c r="T249" s="6">
        <v>21</v>
      </c>
      <c r="U249" s="6">
        <v>7</v>
      </c>
      <c r="V249" s="6">
        <f>IF(ISERROR(VLOOKUP($S$249,'TAR FIN'!$A$1:$O$85,15,0)),0,VLOOKUP($S$249,'TAR FIN'!$A$1:$O$85,15,0))</f>
        <v>0</v>
      </c>
      <c r="W249" s="6">
        <f>IF(ISERROR(VLOOKUP($T$249,'TAR FIN'!$A$1:$O$85,15,0)),0,VLOOKUP($T$249,'TAR FIN'!$A$1:$O$85,15,0))</f>
        <v>333.15</v>
      </c>
      <c r="X249" s="6">
        <f>IF(ISERROR(VLOOKUP($U$249,'TAR FIN'!$A$1:$O$85,15,0)),0,VLOOKUP($U$249,'TAR FIN'!$A$1:$O$85,15,0))</f>
        <v>241.85</v>
      </c>
      <c r="Y249" s="6"/>
      <c r="Z249" s="6">
        <f ca="1">('TUSD BE'!$AM$20+'TUSD BF_350'!$AM$20+'TUSD CVA'!$AM$20)*1</f>
        <v>376.13343594836397</v>
      </c>
      <c r="AA249" s="6">
        <f ca="1">('TE BE'!$AB$11+'TE BF_350'!$AB$11+'TE CVA'!$AB$11)*1</f>
        <v>227.55060294064452</v>
      </c>
      <c r="AB249" s="6">
        <f>$K$249*$V$249</f>
        <v>0</v>
      </c>
      <c r="AC249" s="6">
        <f>$M$249*$W$249</f>
        <v>5398.0294499999991</v>
      </c>
      <c r="AD249" s="6">
        <f>$O$249*$X$249</f>
        <v>3918.6955499999999</v>
      </c>
      <c r="AE249" s="6">
        <f>$K$249*$Y$249</f>
        <v>0</v>
      </c>
      <c r="AF249" s="6">
        <f ca="1">$M$249*$Z$249</f>
        <v>6094.4900626713415</v>
      </c>
      <c r="AG249" s="6">
        <f ca="1">$O$249*$AA$249</f>
        <v>3687.002419447263</v>
      </c>
    </row>
    <row r="250" spans="1:33" ht="11.25" customHeight="1" x14ac:dyDescent="0.25">
      <c r="A250" s="4" t="s">
        <v>21</v>
      </c>
      <c r="B250" s="4" t="s">
        <v>22</v>
      </c>
      <c r="C250" s="4" t="s">
        <v>23</v>
      </c>
      <c r="D250" s="4" t="s">
        <v>24</v>
      </c>
      <c r="E250" s="4" t="s">
        <v>24</v>
      </c>
      <c r="F250" s="4" t="s">
        <v>25</v>
      </c>
      <c r="G250" s="4" t="s">
        <v>25</v>
      </c>
      <c r="H250" s="4" t="s">
        <v>25</v>
      </c>
      <c r="I250" s="5">
        <v>44562</v>
      </c>
      <c r="J250" s="6">
        <v>0</v>
      </c>
      <c r="K250" s="6">
        <v>0</v>
      </c>
      <c r="L250" s="6">
        <v>1832.442</v>
      </c>
      <c r="M250" s="6">
        <v>1832.442</v>
      </c>
      <c r="N250" s="6">
        <v>1832.442</v>
      </c>
      <c r="O250" s="6">
        <v>1832.442</v>
      </c>
      <c r="P250" s="6">
        <v>9725</v>
      </c>
      <c r="Q250" s="4" t="s">
        <v>26</v>
      </c>
      <c r="R250" s="4">
        <v>0</v>
      </c>
      <c r="S250" s="6">
        <v>0</v>
      </c>
      <c r="T250" s="6">
        <v>21</v>
      </c>
      <c r="U250" s="6">
        <v>7</v>
      </c>
      <c r="V250" s="6">
        <f>IF(ISERROR(VLOOKUP($S$250,'TAR FIN'!$A$1:$O$85,15,0)),0,VLOOKUP($S$250,'TAR FIN'!$A$1:$O$85,15,0))</f>
        <v>0</v>
      </c>
      <c r="W250" s="6">
        <f>IF(ISERROR(VLOOKUP($T$250,'TAR FIN'!$A$1:$O$85,15,0)),0,VLOOKUP($T$250,'TAR FIN'!$A$1:$O$85,15,0))</f>
        <v>333.15</v>
      </c>
      <c r="X250" s="6">
        <f>IF(ISERROR(VLOOKUP($U$250,'TAR FIN'!$A$1:$O$85,15,0)),0,VLOOKUP($U$250,'TAR FIN'!$A$1:$O$85,15,0))</f>
        <v>241.85</v>
      </c>
      <c r="Y250" s="6"/>
      <c r="Z250" s="6">
        <f ca="1">('TUSD BE'!$AM$20+'TUSD BF_350'!$AM$20+'TUSD CVA'!$AM$20)*1</f>
        <v>376.13343594836397</v>
      </c>
      <c r="AA250" s="6">
        <f ca="1">('TE BE'!$AB$11+'TE BF_350'!$AB$11+'TE CVA'!$AB$11)*1</f>
        <v>227.55060294064452</v>
      </c>
      <c r="AB250" s="6">
        <f>$K$250*$V$250</f>
        <v>0</v>
      </c>
      <c r="AC250" s="6">
        <f>$M$250*$W$250</f>
        <v>610478.05229999998</v>
      </c>
      <c r="AD250" s="6">
        <f>$O$250*$X$250</f>
        <v>443176.09769999998</v>
      </c>
      <c r="AE250" s="6">
        <f>$K$250*$Y$250</f>
        <v>0</v>
      </c>
      <c r="AF250" s="6">
        <f ca="1">$M$250*$Z$250</f>
        <v>689242.705636092</v>
      </c>
      <c r="AG250" s="6">
        <f ca="1">$O$250*$AA$250</f>
        <v>416973.28195376054</v>
      </c>
    </row>
    <row r="251" spans="1:33" ht="11.25" customHeight="1" x14ac:dyDescent="0.25">
      <c r="A251" s="4" t="s">
        <v>27</v>
      </c>
      <c r="B251" s="4" t="s">
        <v>22</v>
      </c>
      <c r="C251" s="4" t="s">
        <v>23</v>
      </c>
      <c r="D251" s="4" t="s">
        <v>24</v>
      </c>
      <c r="E251" s="4" t="s">
        <v>24</v>
      </c>
      <c r="F251" s="4" t="s">
        <v>25</v>
      </c>
      <c r="G251" s="4" t="s">
        <v>25</v>
      </c>
      <c r="H251" s="4" t="s">
        <v>25</v>
      </c>
      <c r="I251" s="5">
        <v>44562</v>
      </c>
      <c r="J251" s="6">
        <v>0</v>
      </c>
      <c r="K251" s="6">
        <v>0</v>
      </c>
      <c r="L251" s="6">
        <v>21.170999999999999</v>
      </c>
      <c r="M251" s="6">
        <v>21.170999999999999</v>
      </c>
      <c r="N251" s="6">
        <v>21.170999999999999</v>
      </c>
      <c r="O251" s="6">
        <v>21.170999999999999</v>
      </c>
      <c r="P251" s="6">
        <v>265</v>
      </c>
      <c r="Q251" s="4" t="s">
        <v>26</v>
      </c>
      <c r="R251" s="4">
        <v>0</v>
      </c>
      <c r="S251" s="6">
        <v>0</v>
      </c>
      <c r="T251" s="6">
        <v>21</v>
      </c>
      <c r="U251" s="6">
        <v>7</v>
      </c>
      <c r="V251" s="6">
        <f>IF(ISERROR(VLOOKUP($S$251,'TAR FIN'!$A$1:$O$85,15,0)),0,VLOOKUP($S$251,'TAR FIN'!$A$1:$O$85,15,0))</f>
        <v>0</v>
      </c>
      <c r="W251" s="6">
        <f>IF(ISERROR(VLOOKUP($T$251,'TAR FIN'!$A$1:$O$85,15,0)),0,VLOOKUP($T$251,'TAR FIN'!$A$1:$O$85,15,0))</f>
        <v>333.15</v>
      </c>
      <c r="X251" s="6">
        <f>IF(ISERROR(VLOOKUP($U$251,'TAR FIN'!$A$1:$O$85,15,0)),0,VLOOKUP($U$251,'TAR FIN'!$A$1:$O$85,15,0))</f>
        <v>241.85</v>
      </c>
      <c r="Y251" s="6"/>
      <c r="Z251" s="6">
        <f ca="1">('TUSD BE'!$AM$20+'TUSD BF_350'!$AM$20+'TUSD CVA'!$AM$20)*1</f>
        <v>376.13343594836397</v>
      </c>
      <c r="AA251" s="6">
        <f ca="1">('TE BE'!$AB$11+'TE BF_350'!$AB$11+'TE CVA'!$AB$11)*1</f>
        <v>227.55060294064452</v>
      </c>
      <c r="AB251" s="6">
        <f>$K$251*$V$251</f>
        <v>0</v>
      </c>
      <c r="AC251" s="6">
        <f>$M$251*$W$251</f>
        <v>7053.1186499999994</v>
      </c>
      <c r="AD251" s="6">
        <f>$O$251*$X$251</f>
        <v>5120.2063499999995</v>
      </c>
      <c r="AE251" s="6">
        <f>$K$251*$Y$251</f>
        <v>0</v>
      </c>
      <c r="AF251" s="6">
        <f ca="1">$M$251*$Z$251</f>
        <v>7963.1209724628134</v>
      </c>
      <c r="AG251" s="6">
        <f ca="1">$O$251*$AA$251</f>
        <v>4817.4738148563847</v>
      </c>
    </row>
    <row r="252" spans="1:33" ht="11.25" customHeight="1" x14ac:dyDescent="0.25">
      <c r="A252" s="4" t="s">
        <v>27</v>
      </c>
      <c r="B252" s="4" t="s">
        <v>22</v>
      </c>
      <c r="C252" s="4" t="s">
        <v>23</v>
      </c>
      <c r="D252" s="4" t="s">
        <v>24</v>
      </c>
      <c r="E252" s="4" t="s">
        <v>24</v>
      </c>
      <c r="F252" s="4" t="s">
        <v>25</v>
      </c>
      <c r="G252" s="4" t="s">
        <v>25</v>
      </c>
      <c r="H252" s="4" t="s">
        <v>25</v>
      </c>
      <c r="I252" s="5">
        <v>44562</v>
      </c>
      <c r="J252" s="6">
        <v>0</v>
      </c>
      <c r="K252" s="6">
        <v>0</v>
      </c>
      <c r="L252" s="6">
        <v>-0.2</v>
      </c>
      <c r="M252" s="6">
        <v>-0.2</v>
      </c>
      <c r="N252" s="6">
        <v>-0.2</v>
      </c>
      <c r="O252" s="6">
        <v>-0.2</v>
      </c>
      <c r="P252" s="6">
        <v>2</v>
      </c>
      <c r="Q252" s="4" t="s">
        <v>26</v>
      </c>
      <c r="R252" s="4">
        <v>0</v>
      </c>
      <c r="S252" s="6">
        <v>0</v>
      </c>
      <c r="T252" s="6">
        <v>21</v>
      </c>
      <c r="U252" s="6">
        <v>7</v>
      </c>
      <c r="V252" s="6">
        <f>IF(ISERROR(VLOOKUP($S$252,'TAR FIN'!$A$1:$O$85,15,0)),0,VLOOKUP($S$252,'TAR FIN'!$A$1:$O$85,15,0))</f>
        <v>0</v>
      </c>
      <c r="W252" s="6">
        <f>IF(ISERROR(VLOOKUP($T$252,'TAR FIN'!$A$1:$O$85,15,0)),0,VLOOKUP($T$252,'TAR FIN'!$A$1:$O$85,15,0))</f>
        <v>333.15</v>
      </c>
      <c r="X252" s="6">
        <f>IF(ISERROR(VLOOKUP($U$252,'TAR FIN'!$A$1:$O$85,15,0)),0,VLOOKUP($U$252,'TAR FIN'!$A$1:$O$85,15,0))</f>
        <v>241.85</v>
      </c>
      <c r="Y252" s="6"/>
      <c r="Z252" s="6">
        <f ca="1">('TUSD BE'!$AM$20+'TUSD BF_350'!$AM$20+'TUSD CVA'!$AM$20)*1</f>
        <v>376.13343594836397</v>
      </c>
      <c r="AA252" s="6">
        <f ca="1">('TE BE'!$AB$11+'TE BF_350'!$AB$11+'TE CVA'!$AB$11)*1</f>
        <v>227.55060294064452</v>
      </c>
      <c r="AB252" s="6">
        <f>$K$252*$V$252</f>
        <v>0</v>
      </c>
      <c r="AC252" s="6">
        <f>$M$252*$W$252</f>
        <v>-66.63</v>
      </c>
      <c r="AD252" s="6">
        <f>$O$252*$X$252</f>
        <v>-48.370000000000005</v>
      </c>
      <c r="AE252" s="6">
        <f>$K$252*$Y$252</f>
        <v>0</v>
      </c>
      <c r="AF252" s="6">
        <f ca="1">$M$252*$Z$252</f>
        <v>-75.226687189672802</v>
      </c>
      <c r="AG252" s="6">
        <f ca="1">$O$252*$AA$252</f>
        <v>-45.510120588128906</v>
      </c>
    </row>
    <row r="253" spans="1:33" ht="11.25" customHeight="1" x14ac:dyDescent="0.25">
      <c r="A253" s="4" t="s">
        <v>21</v>
      </c>
      <c r="B253" s="4" t="s">
        <v>22</v>
      </c>
      <c r="C253" s="4" t="s">
        <v>23</v>
      </c>
      <c r="D253" s="4" t="s">
        <v>24</v>
      </c>
      <c r="E253" s="4" t="s">
        <v>24</v>
      </c>
      <c r="F253" s="4" t="s">
        <v>25</v>
      </c>
      <c r="G253" s="4" t="s">
        <v>25</v>
      </c>
      <c r="H253" s="4" t="s">
        <v>25</v>
      </c>
      <c r="I253" s="5">
        <v>44593</v>
      </c>
      <c r="J253" s="6">
        <v>0</v>
      </c>
      <c r="K253" s="6">
        <v>0</v>
      </c>
      <c r="L253" s="6">
        <v>1819.846</v>
      </c>
      <c r="M253" s="6">
        <v>1819.846</v>
      </c>
      <c r="N253" s="6">
        <v>1819.846</v>
      </c>
      <c r="O253" s="6">
        <v>1819.846</v>
      </c>
      <c r="P253" s="6">
        <v>9665</v>
      </c>
      <c r="Q253" s="4" t="s">
        <v>26</v>
      </c>
      <c r="R253" s="4">
        <v>0</v>
      </c>
      <c r="S253" s="6">
        <v>0</v>
      </c>
      <c r="T253" s="6">
        <v>21</v>
      </c>
      <c r="U253" s="6">
        <v>7</v>
      </c>
      <c r="V253" s="6">
        <f>IF(ISERROR(VLOOKUP($S$253,'TAR FIN'!$A$1:$O$85,15,0)),0,VLOOKUP($S$253,'TAR FIN'!$A$1:$O$85,15,0))</f>
        <v>0</v>
      </c>
      <c r="W253" s="6">
        <f>IF(ISERROR(VLOOKUP($T$253,'TAR FIN'!$A$1:$O$85,15,0)),0,VLOOKUP($T$253,'TAR FIN'!$A$1:$O$85,15,0))</f>
        <v>333.15</v>
      </c>
      <c r="X253" s="6">
        <f>IF(ISERROR(VLOOKUP($U$253,'TAR FIN'!$A$1:$O$85,15,0)),0,VLOOKUP($U$253,'TAR FIN'!$A$1:$O$85,15,0))</f>
        <v>241.85</v>
      </c>
      <c r="Y253" s="6"/>
      <c r="Z253" s="6">
        <f ca="1">('TUSD BE'!$AM$20+'TUSD BF_350'!$AM$20+'TUSD CVA'!$AM$20)*1</f>
        <v>376.13343594836397</v>
      </c>
      <c r="AA253" s="6">
        <f ca="1">('TE BE'!$AB$11+'TE BF_350'!$AB$11+'TE CVA'!$AB$11)*1</f>
        <v>227.55060294064452</v>
      </c>
      <c r="AB253" s="6">
        <f>$K$253*$V$253</f>
        <v>0</v>
      </c>
      <c r="AC253" s="6">
        <f>$M$253*$W$253</f>
        <v>606281.6949</v>
      </c>
      <c r="AD253" s="6">
        <f>$O$253*$X$253</f>
        <v>440129.75510000001</v>
      </c>
      <c r="AE253" s="6">
        <f>$K$253*$Y$253</f>
        <v>0</v>
      </c>
      <c r="AF253" s="6">
        <f ca="1">$M$253*$Z$253</f>
        <v>684504.92887688638</v>
      </c>
      <c r="AG253" s="6">
        <f ca="1">$O$253*$AA$253</f>
        <v>414107.05455912015</v>
      </c>
    </row>
    <row r="254" spans="1:33" ht="11.25" customHeight="1" x14ac:dyDescent="0.25">
      <c r="A254" s="4" t="s">
        <v>27</v>
      </c>
      <c r="B254" s="4" t="s">
        <v>22</v>
      </c>
      <c r="C254" s="4" t="s">
        <v>23</v>
      </c>
      <c r="D254" s="4" t="s">
        <v>24</v>
      </c>
      <c r="E254" s="4" t="s">
        <v>24</v>
      </c>
      <c r="F254" s="4" t="s">
        <v>25</v>
      </c>
      <c r="G254" s="4" t="s">
        <v>25</v>
      </c>
      <c r="H254" s="4" t="s">
        <v>25</v>
      </c>
      <c r="I254" s="5">
        <v>44593</v>
      </c>
      <c r="J254" s="6">
        <v>0</v>
      </c>
      <c r="K254" s="6">
        <v>0</v>
      </c>
      <c r="L254" s="6">
        <v>19.988</v>
      </c>
      <c r="M254" s="6">
        <v>19.988</v>
      </c>
      <c r="N254" s="6">
        <v>19.988</v>
      </c>
      <c r="O254" s="6">
        <v>19.988</v>
      </c>
      <c r="P254" s="6">
        <v>288</v>
      </c>
      <c r="Q254" s="4" t="s">
        <v>26</v>
      </c>
      <c r="R254" s="4">
        <v>0</v>
      </c>
      <c r="S254" s="6">
        <v>0</v>
      </c>
      <c r="T254" s="6">
        <v>21</v>
      </c>
      <c r="U254" s="6">
        <v>7</v>
      </c>
      <c r="V254" s="6">
        <f>IF(ISERROR(VLOOKUP($S$254,'TAR FIN'!$A$1:$O$85,15,0)),0,VLOOKUP($S$254,'TAR FIN'!$A$1:$O$85,15,0))</f>
        <v>0</v>
      </c>
      <c r="W254" s="6">
        <f>IF(ISERROR(VLOOKUP($T$254,'TAR FIN'!$A$1:$O$85,15,0)),0,VLOOKUP($T$254,'TAR FIN'!$A$1:$O$85,15,0))</f>
        <v>333.15</v>
      </c>
      <c r="X254" s="6">
        <f>IF(ISERROR(VLOOKUP($U$254,'TAR FIN'!$A$1:$O$85,15,0)),0,VLOOKUP($U$254,'TAR FIN'!$A$1:$O$85,15,0))</f>
        <v>241.85</v>
      </c>
      <c r="Y254" s="6"/>
      <c r="Z254" s="6">
        <f ca="1">('TUSD BE'!$AM$20+'TUSD BF_350'!$AM$20+'TUSD CVA'!$AM$20)*1</f>
        <v>376.13343594836397</v>
      </c>
      <c r="AA254" s="6">
        <f ca="1">('TE BE'!$AB$11+'TE BF_350'!$AB$11+'TE CVA'!$AB$11)*1</f>
        <v>227.55060294064452</v>
      </c>
      <c r="AB254" s="6">
        <f>$K$254*$V$254</f>
        <v>0</v>
      </c>
      <c r="AC254" s="6">
        <f>$M$254*$W$254</f>
        <v>6659.002199999999</v>
      </c>
      <c r="AD254" s="6">
        <f>$O$254*$X$254</f>
        <v>4834.0977999999996</v>
      </c>
      <c r="AE254" s="6">
        <f>$K$254*$Y$254</f>
        <v>0</v>
      </c>
      <c r="AF254" s="6">
        <f ca="1">$M$254*$Z$254</f>
        <v>7518.1551177358988</v>
      </c>
      <c r="AG254" s="6">
        <f ca="1">$O$254*$AA$254</f>
        <v>4548.2814515776026</v>
      </c>
    </row>
    <row r="255" spans="1:33" ht="11.25" customHeight="1" x14ac:dyDescent="0.25">
      <c r="A255" s="4" t="s">
        <v>21</v>
      </c>
      <c r="B255" s="4" t="s">
        <v>22</v>
      </c>
      <c r="C255" s="4" t="s">
        <v>23</v>
      </c>
      <c r="D255" s="4" t="s">
        <v>24</v>
      </c>
      <c r="E255" s="4" t="s">
        <v>24</v>
      </c>
      <c r="F255" s="4" t="s">
        <v>25</v>
      </c>
      <c r="G255" s="4" t="s">
        <v>25</v>
      </c>
      <c r="H255" s="4" t="s">
        <v>25</v>
      </c>
      <c r="I255" s="5">
        <v>44621</v>
      </c>
      <c r="J255" s="6">
        <v>0</v>
      </c>
      <c r="K255" s="6">
        <v>0</v>
      </c>
      <c r="L255" s="6">
        <v>1630.7280000000001</v>
      </c>
      <c r="M255" s="6">
        <v>1630.7280000000001</v>
      </c>
      <c r="N255" s="6">
        <v>1630.7280000000001</v>
      </c>
      <c r="O255" s="6">
        <v>1630.7280000000001</v>
      </c>
      <c r="P255" s="6">
        <v>9614</v>
      </c>
      <c r="Q255" s="4" t="s">
        <v>26</v>
      </c>
      <c r="R255" s="4">
        <v>0</v>
      </c>
      <c r="S255" s="6">
        <v>0</v>
      </c>
      <c r="T255" s="6">
        <v>21</v>
      </c>
      <c r="U255" s="6">
        <v>7</v>
      </c>
      <c r="V255" s="6">
        <f>IF(ISERROR(VLOOKUP($S$255,'TAR FIN'!$A$1:$O$85,15,0)),0,VLOOKUP($S$255,'TAR FIN'!$A$1:$O$85,15,0))</f>
        <v>0</v>
      </c>
      <c r="W255" s="6">
        <f>IF(ISERROR(VLOOKUP($T$255,'TAR FIN'!$A$1:$O$85,15,0)),0,VLOOKUP($T$255,'TAR FIN'!$A$1:$O$85,15,0))</f>
        <v>333.15</v>
      </c>
      <c r="X255" s="6">
        <f>IF(ISERROR(VLOOKUP($U$255,'TAR FIN'!$A$1:$O$85,15,0)),0,VLOOKUP($U$255,'TAR FIN'!$A$1:$O$85,15,0))</f>
        <v>241.85</v>
      </c>
      <c r="Y255" s="6"/>
      <c r="Z255" s="6">
        <f ca="1">('TUSD BE'!$AM$20+'TUSD BF_350'!$AM$20+'TUSD CVA'!$AM$20)*1</f>
        <v>376.13343594836397</v>
      </c>
      <c r="AA255" s="6">
        <f ca="1">('TE BE'!$AB$11+'TE BF_350'!$AB$11+'TE CVA'!$AB$11)*1</f>
        <v>227.55060294064452</v>
      </c>
      <c r="AB255" s="6">
        <f>$K$255*$V$255</f>
        <v>0</v>
      </c>
      <c r="AC255" s="6">
        <f>$M$255*$W$255</f>
        <v>543277.03319999995</v>
      </c>
      <c r="AD255" s="6">
        <f>$O$255*$X$255</f>
        <v>394391.56680000003</v>
      </c>
      <c r="AE255" s="6">
        <f>$K$255*$Y$255</f>
        <v>0</v>
      </c>
      <c r="AF255" s="6">
        <f ca="1">$M$255*$Z$255</f>
        <v>613371.3257372037</v>
      </c>
      <c r="AG255" s="6">
        <f ca="1">$O$255*$AA$255</f>
        <v>371073.13963219139</v>
      </c>
    </row>
    <row r="256" spans="1:33" ht="11.25" customHeight="1" x14ac:dyDescent="0.25">
      <c r="A256" s="4" t="s">
        <v>48</v>
      </c>
      <c r="B256" s="4" t="s">
        <v>22</v>
      </c>
      <c r="C256" s="4" t="s">
        <v>23</v>
      </c>
      <c r="D256" s="4" t="s">
        <v>24</v>
      </c>
      <c r="E256" s="4" t="s">
        <v>24</v>
      </c>
      <c r="F256" s="4" t="s">
        <v>25</v>
      </c>
      <c r="G256" s="4" t="s">
        <v>25</v>
      </c>
      <c r="H256" s="4" t="s">
        <v>25</v>
      </c>
      <c r="I256" s="5">
        <v>44621</v>
      </c>
      <c r="J256" s="6">
        <v>0</v>
      </c>
      <c r="K256" s="6">
        <v>0</v>
      </c>
      <c r="L256" s="6">
        <v>-1.526</v>
      </c>
      <c r="M256" s="6">
        <v>-1.526</v>
      </c>
      <c r="N256" s="6">
        <v>-1.526</v>
      </c>
      <c r="O256" s="6">
        <v>-1.526</v>
      </c>
      <c r="P256" s="6">
        <v>0</v>
      </c>
      <c r="Q256" s="4" t="s">
        <v>26</v>
      </c>
      <c r="R256" s="4">
        <v>0</v>
      </c>
      <c r="S256" s="6">
        <v>0</v>
      </c>
      <c r="T256" s="6">
        <v>21</v>
      </c>
      <c r="U256" s="6">
        <v>7</v>
      </c>
      <c r="V256" s="6">
        <f>IF(ISERROR(VLOOKUP($S$256,'TAR FIN'!$A$1:$O$85,15,0)),0,VLOOKUP($S$256,'TAR FIN'!$A$1:$O$85,15,0))</f>
        <v>0</v>
      </c>
      <c r="W256" s="6">
        <f>IF(ISERROR(VLOOKUP($T$256,'TAR FIN'!$A$1:$O$85,15,0)),0,VLOOKUP($T$256,'TAR FIN'!$A$1:$O$85,15,0))</f>
        <v>333.15</v>
      </c>
      <c r="X256" s="6">
        <f>IF(ISERROR(VLOOKUP($U$256,'TAR FIN'!$A$1:$O$85,15,0)),0,VLOOKUP($U$256,'TAR FIN'!$A$1:$O$85,15,0))</f>
        <v>241.85</v>
      </c>
      <c r="Y256" s="6"/>
      <c r="Z256" s="6">
        <f ca="1">('TUSD BE'!$AM$20+'TUSD BF_350'!$AM$20+'TUSD CVA'!$AM$20)*1</f>
        <v>376.13343594836397</v>
      </c>
      <c r="AA256" s="6">
        <f ca="1">('TE BE'!$AB$11+'TE BF_350'!$AB$11+'TE CVA'!$AB$11)*1</f>
        <v>227.55060294064452</v>
      </c>
      <c r="AB256" s="6">
        <f>$K$256*$V$256</f>
        <v>0</v>
      </c>
      <c r="AC256" s="6">
        <f>$M$256*$W$256</f>
        <v>-508.38689999999997</v>
      </c>
      <c r="AD256" s="6">
        <f>$O$256*$X$256</f>
        <v>-369.06310000000002</v>
      </c>
      <c r="AE256" s="6">
        <f>$K$256*$Y$256</f>
        <v>0</v>
      </c>
      <c r="AF256" s="6">
        <f ca="1">$M$256*$Z$256</f>
        <v>-573.97962325720346</v>
      </c>
      <c r="AG256" s="6">
        <f ca="1">$O$256*$AA$256</f>
        <v>-347.24222008742356</v>
      </c>
    </row>
    <row r="257" spans="1:33" ht="11.25" customHeight="1" x14ac:dyDescent="0.25">
      <c r="A257" s="4" t="s">
        <v>27</v>
      </c>
      <c r="B257" s="4" t="s">
        <v>22</v>
      </c>
      <c r="C257" s="4" t="s">
        <v>23</v>
      </c>
      <c r="D257" s="4" t="s">
        <v>24</v>
      </c>
      <c r="E257" s="4" t="s">
        <v>24</v>
      </c>
      <c r="F257" s="4" t="s">
        <v>25</v>
      </c>
      <c r="G257" s="4" t="s">
        <v>25</v>
      </c>
      <c r="H257" s="4" t="s">
        <v>25</v>
      </c>
      <c r="I257" s="5">
        <v>44621</v>
      </c>
      <c r="J257" s="6">
        <v>0</v>
      </c>
      <c r="K257" s="6">
        <v>0</v>
      </c>
      <c r="L257" s="6">
        <v>23.715</v>
      </c>
      <c r="M257" s="6">
        <v>23.715</v>
      </c>
      <c r="N257" s="6">
        <v>23.715</v>
      </c>
      <c r="O257" s="6">
        <v>23.715</v>
      </c>
      <c r="P257" s="6">
        <v>323</v>
      </c>
      <c r="Q257" s="4" t="s">
        <v>26</v>
      </c>
      <c r="R257" s="4">
        <v>0</v>
      </c>
      <c r="S257" s="6">
        <v>0</v>
      </c>
      <c r="T257" s="6">
        <v>21</v>
      </c>
      <c r="U257" s="6">
        <v>7</v>
      </c>
      <c r="V257" s="6">
        <f>IF(ISERROR(VLOOKUP($S$257,'TAR FIN'!$A$1:$O$85,15,0)),0,VLOOKUP($S$257,'TAR FIN'!$A$1:$O$85,15,0))</f>
        <v>0</v>
      </c>
      <c r="W257" s="6">
        <f>IF(ISERROR(VLOOKUP($T$257,'TAR FIN'!$A$1:$O$85,15,0)),0,VLOOKUP($T$257,'TAR FIN'!$A$1:$O$85,15,0))</f>
        <v>333.15</v>
      </c>
      <c r="X257" s="6">
        <f>IF(ISERROR(VLOOKUP($U$257,'TAR FIN'!$A$1:$O$85,15,0)),0,VLOOKUP($U$257,'TAR FIN'!$A$1:$O$85,15,0))</f>
        <v>241.85</v>
      </c>
      <c r="Y257" s="6"/>
      <c r="Z257" s="6">
        <f ca="1">('TUSD BE'!$AM$20+'TUSD BF_350'!$AM$20+'TUSD CVA'!$AM$20)*1</f>
        <v>376.13343594836397</v>
      </c>
      <c r="AA257" s="6">
        <f ca="1">('TE BE'!$AB$11+'TE BF_350'!$AB$11+'TE CVA'!$AB$11)*1</f>
        <v>227.55060294064452</v>
      </c>
      <c r="AB257" s="6">
        <f>$K$257*$V$257</f>
        <v>0</v>
      </c>
      <c r="AC257" s="6">
        <f>$M$257*$W$257</f>
        <v>7900.6522499999992</v>
      </c>
      <c r="AD257" s="6">
        <f>$O$257*$X$257</f>
        <v>5735.4727499999999</v>
      </c>
      <c r="AE257" s="6">
        <f>$K$257*$Y$257</f>
        <v>0</v>
      </c>
      <c r="AF257" s="6">
        <f ca="1">$M$257*$Z$257</f>
        <v>8920.0044335154507</v>
      </c>
      <c r="AG257" s="6">
        <f ca="1">$O$257*$AA$257</f>
        <v>5396.3625487373847</v>
      </c>
    </row>
    <row r="258" spans="1:33" ht="11.25" customHeight="1" x14ac:dyDescent="0.25">
      <c r="A258" s="4" t="s">
        <v>21</v>
      </c>
      <c r="B258" s="4" t="s">
        <v>22</v>
      </c>
      <c r="C258" s="4" t="s">
        <v>23</v>
      </c>
      <c r="D258" s="4" t="s">
        <v>24</v>
      </c>
      <c r="E258" s="4" t="s">
        <v>24</v>
      </c>
      <c r="F258" s="4" t="s">
        <v>25</v>
      </c>
      <c r="G258" s="4" t="s">
        <v>25</v>
      </c>
      <c r="H258" s="4" t="s">
        <v>25</v>
      </c>
      <c r="I258" s="5">
        <v>44652</v>
      </c>
      <c r="J258" s="6">
        <v>0</v>
      </c>
      <c r="K258" s="6">
        <v>0</v>
      </c>
      <c r="L258" s="6">
        <v>1510.454</v>
      </c>
      <c r="M258" s="6">
        <v>1510.454</v>
      </c>
      <c r="N258" s="6">
        <v>1510.454</v>
      </c>
      <c r="O258" s="6">
        <v>1510.454</v>
      </c>
      <c r="P258" s="6">
        <v>9551</v>
      </c>
      <c r="Q258" s="4" t="s">
        <v>26</v>
      </c>
      <c r="R258" s="4">
        <v>0</v>
      </c>
      <c r="S258" s="6">
        <v>0</v>
      </c>
      <c r="T258" s="6">
        <v>21</v>
      </c>
      <c r="U258" s="6">
        <v>7</v>
      </c>
      <c r="V258" s="6">
        <f>IF(ISERROR(VLOOKUP($S$258,'TAR FIN'!$A$1:$O$85,15,0)),0,VLOOKUP($S$258,'TAR FIN'!$A$1:$O$85,15,0))</f>
        <v>0</v>
      </c>
      <c r="W258" s="6">
        <f>IF(ISERROR(VLOOKUP($T$258,'TAR FIN'!$A$1:$O$85,15,0)),0,VLOOKUP($T$258,'TAR FIN'!$A$1:$O$85,15,0))</f>
        <v>333.15</v>
      </c>
      <c r="X258" s="6">
        <f>IF(ISERROR(VLOOKUP($U$258,'TAR FIN'!$A$1:$O$85,15,0)),0,VLOOKUP($U$258,'TAR FIN'!$A$1:$O$85,15,0))</f>
        <v>241.85</v>
      </c>
      <c r="Y258" s="6"/>
      <c r="Z258" s="6">
        <f ca="1">('TUSD BE'!$AM$20+'TUSD BF_350'!$AM$20+'TUSD CVA'!$AM$20)*1</f>
        <v>376.13343594836397</v>
      </c>
      <c r="AA258" s="6">
        <f ca="1">('TE BE'!$AB$11+'TE BF_350'!$AB$11+'TE CVA'!$AB$11)*1</f>
        <v>227.55060294064452</v>
      </c>
      <c r="AB258" s="6">
        <f>$K$258*$V$258</f>
        <v>0</v>
      </c>
      <c r="AC258" s="6">
        <f>$M$258*$W$258</f>
        <v>503207.75009999995</v>
      </c>
      <c r="AD258" s="6">
        <f>$O$258*$X$258</f>
        <v>365303.29989999998</v>
      </c>
      <c r="AE258" s="6">
        <f>$K$258*$Y$258</f>
        <v>0</v>
      </c>
      <c r="AF258" s="6">
        <f ca="1">$M$258*$Z$258</f>
        <v>568132.25286195008</v>
      </c>
      <c r="AG258" s="6">
        <f ca="1">$O$258*$AA$258</f>
        <v>343704.71841410827</v>
      </c>
    </row>
    <row r="259" spans="1:33" ht="11.25" customHeight="1" x14ac:dyDescent="0.25">
      <c r="A259" s="4" t="s">
        <v>27</v>
      </c>
      <c r="B259" s="4" t="s">
        <v>22</v>
      </c>
      <c r="C259" s="4" t="s">
        <v>23</v>
      </c>
      <c r="D259" s="4" t="s">
        <v>24</v>
      </c>
      <c r="E259" s="4" t="s">
        <v>24</v>
      </c>
      <c r="F259" s="4" t="s">
        <v>25</v>
      </c>
      <c r="G259" s="4" t="s">
        <v>25</v>
      </c>
      <c r="H259" s="4" t="s">
        <v>25</v>
      </c>
      <c r="I259" s="5">
        <v>44652</v>
      </c>
      <c r="J259" s="6">
        <v>0</v>
      </c>
      <c r="K259" s="6">
        <v>0</v>
      </c>
      <c r="L259" s="6">
        <v>25.372</v>
      </c>
      <c r="M259" s="6">
        <v>25.372</v>
      </c>
      <c r="N259" s="6">
        <v>25.372</v>
      </c>
      <c r="O259" s="6">
        <v>25.372</v>
      </c>
      <c r="P259" s="6">
        <v>352</v>
      </c>
      <c r="Q259" s="4" t="s">
        <v>26</v>
      </c>
      <c r="R259" s="4">
        <v>0</v>
      </c>
      <c r="S259" s="6">
        <v>0</v>
      </c>
      <c r="T259" s="6">
        <v>21</v>
      </c>
      <c r="U259" s="6">
        <v>7</v>
      </c>
      <c r="V259" s="6">
        <f>IF(ISERROR(VLOOKUP($S$259,'TAR FIN'!$A$1:$O$85,15,0)),0,VLOOKUP($S$259,'TAR FIN'!$A$1:$O$85,15,0))</f>
        <v>0</v>
      </c>
      <c r="W259" s="6">
        <f>IF(ISERROR(VLOOKUP($T$259,'TAR FIN'!$A$1:$O$85,15,0)),0,VLOOKUP($T$259,'TAR FIN'!$A$1:$O$85,15,0))</f>
        <v>333.15</v>
      </c>
      <c r="X259" s="6">
        <f>IF(ISERROR(VLOOKUP($U$259,'TAR FIN'!$A$1:$O$85,15,0)),0,VLOOKUP($U$259,'TAR FIN'!$A$1:$O$85,15,0))</f>
        <v>241.85</v>
      </c>
      <c r="Y259" s="6"/>
      <c r="Z259" s="6">
        <f ca="1">('TUSD BE'!$AM$20+'TUSD BF_350'!$AM$20+'TUSD CVA'!$AM$20)*1</f>
        <v>376.13343594836397</v>
      </c>
      <c r="AA259" s="6">
        <f ca="1">('TE BE'!$AB$11+'TE BF_350'!$AB$11+'TE CVA'!$AB$11)*1</f>
        <v>227.55060294064452</v>
      </c>
      <c r="AB259" s="6">
        <f>$K$259*$V$259</f>
        <v>0</v>
      </c>
      <c r="AC259" s="6">
        <f>$M$259*$W$259</f>
        <v>8452.6818000000003</v>
      </c>
      <c r="AD259" s="6">
        <f>$O$259*$X$259</f>
        <v>6136.2182000000003</v>
      </c>
      <c r="AE259" s="6">
        <f>$K$259*$Y$259</f>
        <v>0</v>
      </c>
      <c r="AF259" s="6">
        <f ca="1">$M$259*$Z$259</f>
        <v>9543.2575368818907</v>
      </c>
      <c r="AG259" s="6">
        <f ca="1">$O$259*$AA$259</f>
        <v>5773.4138978100327</v>
      </c>
    </row>
    <row r="260" spans="1:33" ht="11.25" customHeight="1" x14ac:dyDescent="0.25">
      <c r="A260" s="4" t="s">
        <v>21</v>
      </c>
      <c r="B260" s="4" t="s">
        <v>22</v>
      </c>
      <c r="C260" s="4" t="s">
        <v>23</v>
      </c>
      <c r="D260" s="4" t="s">
        <v>24</v>
      </c>
      <c r="E260" s="4" t="s">
        <v>24</v>
      </c>
      <c r="F260" s="4" t="s">
        <v>25</v>
      </c>
      <c r="G260" s="4" t="s">
        <v>25</v>
      </c>
      <c r="H260" s="4" t="s">
        <v>25</v>
      </c>
      <c r="I260" s="5">
        <v>44682</v>
      </c>
      <c r="J260" s="6">
        <v>0</v>
      </c>
      <c r="K260" s="6">
        <v>0</v>
      </c>
      <c r="L260" s="6">
        <v>1552.1790000000001</v>
      </c>
      <c r="M260" s="6">
        <v>1552.1790000000001</v>
      </c>
      <c r="N260" s="6">
        <v>1552.1790000000001</v>
      </c>
      <c r="O260" s="6">
        <v>1552.1790000000001</v>
      </c>
      <c r="P260" s="6">
        <v>9508</v>
      </c>
      <c r="Q260" s="4" t="s">
        <v>26</v>
      </c>
      <c r="R260" s="4">
        <v>0</v>
      </c>
      <c r="S260" s="6">
        <v>0</v>
      </c>
      <c r="T260" s="6">
        <v>21</v>
      </c>
      <c r="U260" s="6">
        <v>7</v>
      </c>
      <c r="V260" s="6">
        <f>IF(ISERROR(VLOOKUP($S$260,'TAR FIN'!$A$1:$O$85,15,0)),0,VLOOKUP($S$260,'TAR FIN'!$A$1:$O$85,15,0))</f>
        <v>0</v>
      </c>
      <c r="W260" s="6">
        <f>IF(ISERROR(VLOOKUP($T$260,'TAR FIN'!$A$1:$O$85,15,0)),0,VLOOKUP($T$260,'TAR FIN'!$A$1:$O$85,15,0))</f>
        <v>333.15</v>
      </c>
      <c r="X260" s="6">
        <f>IF(ISERROR(VLOOKUP($U$260,'TAR FIN'!$A$1:$O$85,15,0)),0,VLOOKUP($U$260,'TAR FIN'!$A$1:$O$85,15,0))</f>
        <v>241.85</v>
      </c>
      <c r="Y260" s="6"/>
      <c r="Z260" s="6">
        <f ca="1">('TUSD BE'!$AM$20+'TUSD BF_350'!$AM$20+'TUSD CVA'!$AM$20)*1</f>
        <v>376.13343594836397</v>
      </c>
      <c r="AA260" s="6">
        <f ca="1">('TE BE'!$AB$11+'TE BF_350'!$AB$11+'TE CVA'!$AB$11)*1</f>
        <v>227.55060294064452</v>
      </c>
      <c r="AB260" s="6">
        <f>$K$260*$V$260</f>
        <v>0</v>
      </c>
      <c r="AC260" s="6">
        <f>$M$260*$W$260</f>
        <v>517108.43384999997</v>
      </c>
      <c r="AD260" s="6">
        <f>$O$260*$X$260</f>
        <v>375394.49115000002</v>
      </c>
      <c r="AE260" s="6">
        <f>$K$260*$Y$260</f>
        <v>0</v>
      </c>
      <c r="AF260" s="6">
        <f ca="1">$M$260*$Z$260</f>
        <v>583826.42047689564</v>
      </c>
      <c r="AG260" s="6">
        <f ca="1">$O$260*$AA$260</f>
        <v>353199.26732180669</v>
      </c>
    </row>
    <row r="261" spans="1:33" ht="11.25" customHeight="1" x14ac:dyDescent="0.25">
      <c r="A261" s="4" t="s">
        <v>27</v>
      </c>
      <c r="B261" s="4" t="s">
        <v>22</v>
      </c>
      <c r="C261" s="4" t="s">
        <v>23</v>
      </c>
      <c r="D261" s="4" t="s">
        <v>24</v>
      </c>
      <c r="E261" s="4" t="s">
        <v>24</v>
      </c>
      <c r="F261" s="4" t="s">
        <v>25</v>
      </c>
      <c r="G261" s="4" t="s">
        <v>25</v>
      </c>
      <c r="H261" s="4" t="s">
        <v>25</v>
      </c>
      <c r="I261" s="5">
        <v>44682</v>
      </c>
      <c r="J261" s="6">
        <v>0</v>
      </c>
      <c r="K261" s="6">
        <v>0</v>
      </c>
      <c r="L261" s="6">
        <v>29.794</v>
      </c>
      <c r="M261" s="6">
        <v>29.794</v>
      </c>
      <c r="N261" s="6">
        <v>29.794</v>
      </c>
      <c r="O261" s="6">
        <v>29.794</v>
      </c>
      <c r="P261" s="6">
        <v>379</v>
      </c>
      <c r="Q261" s="4" t="s">
        <v>26</v>
      </c>
      <c r="R261" s="4">
        <v>0</v>
      </c>
      <c r="S261" s="6">
        <v>0</v>
      </c>
      <c r="T261" s="6">
        <v>21</v>
      </c>
      <c r="U261" s="6">
        <v>7</v>
      </c>
      <c r="V261" s="6">
        <f>IF(ISERROR(VLOOKUP($S$261,'TAR FIN'!$A$1:$O$85,15,0)),0,VLOOKUP($S$261,'TAR FIN'!$A$1:$O$85,15,0))</f>
        <v>0</v>
      </c>
      <c r="W261" s="6">
        <f>IF(ISERROR(VLOOKUP($T$261,'TAR FIN'!$A$1:$O$85,15,0)),0,VLOOKUP($T$261,'TAR FIN'!$A$1:$O$85,15,0))</f>
        <v>333.15</v>
      </c>
      <c r="X261" s="6">
        <f>IF(ISERROR(VLOOKUP($U$261,'TAR FIN'!$A$1:$O$85,15,0)),0,VLOOKUP($U$261,'TAR FIN'!$A$1:$O$85,15,0))</f>
        <v>241.85</v>
      </c>
      <c r="Y261" s="6"/>
      <c r="Z261" s="6">
        <f ca="1">('TUSD BE'!$AM$20+'TUSD BF_350'!$AM$20+'TUSD CVA'!$AM$20)*1</f>
        <v>376.13343594836397</v>
      </c>
      <c r="AA261" s="6">
        <f ca="1">('TE BE'!$AB$11+'TE BF_350'!$AB$11+'TE CVA'!$AB$11)*1</f>
        <v>227.55060294064452</v>
      </c>
      <c r="AB261" s="6">
        <f>$K$261*$V$261</f>
        <v>0</v>
      </c>
      <c r="AC261" s="6">
        <f>$M$261*$W$261</f>
        <v>9925.8711000000003</v>
      </c>
      <c r="AD261" s="6">
        <f>$O$261*$X$261</f>
        <v>7205.6788999999999</v>
      </c>
      <c r="AE261" s="6">
        <f>$K$261*$Y$261</f>
        <v>0</v>
      </c>
      <c r="AF261" s="6">
        <f ca="1">$M$261*$Z$261</f>
        <v>11206.519590645556</v>
      </c>
      <c r="AG261" s="6">
        <f ca="1">$O$261*$AA$261</f>
        <v>6779.6426640135633</v>
      </c>
    </row>
    <row r="262" spans="1:33" ht="11.25" customHeight="1" x14ac:dyDescent="0.25">
      <c r="A262" s="4" t="s">
        <v>21</v>
      </c>
      <c r="B262" s="4" t="s">
        <v>22</v>
      </c>
      <c r="C262" s="4" t="s">
        <v>23</v>
      </c>
      <c r="D262" s="4" t="s">
        <v>24</v>
      </c>
      <c r="E262" s="4" t="s">
        <v>24</v>
      </c>
      <c r="F262" s="4" t="s">
        <v>25</v>
      </c>
      <c r="G262" s="4" t="s">
        <v>25</v>
      </c>
      <c r="H262" s="4" t="s">
        <v>25</v>
      </c>
      <c r="I262" s="5">
        <v>44713</v>
      </c>
      <c r="J262" s="6">
        <v>0</v>
      </c>
      <c r="K262" s="6">
        <v>0</v>
      </c>
      <c r="L262" s="6">
        <v>1791.288</v>
      </c>
      <c r="M262" s="6">
        <v>1791.288</v>
      </c>
      <c r="N262" s="6">
        <v>1791.288</v>
      </c>
      <c r="O262" s="6">
        <v>1791.288</v>
      </c>
      <c r="P262" s="6">
        <v>9428</v>
      </c>
      <c r="Q262" s="4" t="s">
        <v>26</v>
      </c>
      <c r="R262" s="4">
        <v>0</v>
      </c>
      <c r="S262" s="6">
        <v>0</v>
      </c>
      <c r="T262" s="6">
        <v>21</v>
      </c>
      <c r="U262" s="6">
        <v>7</v>
      </c>
      <c r="V262" s="6">
        <f>IF(ISERROR(VLOOKUP($S$262,'TAR FIN'!$A$1:$O$85,15,0)),0,VLOOKUP($S$262,'TAR FIN'!$A$1:$O$85,15,0))</f>
        <v>0</v>
      </c>
      <c r="W262" s="6">
        <f>IF(ISERROR(VLOOKUP($T$262,'TAR FIN'!$A$1:$O$85,15,0)),0,VLOOKUP($T$262,'TAR FIN'!$A$1:$O$85,15,0))</f>
        <v>333.15</v>
      </c>
      <c r="X262" s="6">
        <f>IF(ISERROR(VLOOKUP($U$262,'TAR FIN'!$A$1:$O$85,15,0)),0,VLOOKUP($U$262,'TAR FIN'!$A$1:$O$85,15,0))</f>
        <v>241.85</v>
      </c>
      <c r="Y262" s="6"/>
      <c r="Z262" s="6">
        <f ca="1">('TUSD BE'!$AM$20+'TUSD BF_350'!$AM$20+'TUSD CVA'!$AM$20)*1</f>
        <v>376.13343594836397</v>
      </c>
      <c r="AA262" s="6">
        <f ca="1">('TE BE'!$AB$11+'TE BF_350'!$AB$11+'TE CVA'!$AB$11)*1</f>
        <v>227.55060294064452</v>
      </c>
      <c r="AB262" s="6">
        <f>$K$262*$V$262</f>
        <v>0</v>
      </c>
      <c r="AC262" s="6">
        <f>$M$262*$W$262</f>
        <v>596767.59719999996</v>
      </c>
      <c r="AD262" s="6">
        <f>$O$262*$X$262</f>
        <v>433223.00280000002</v>
      </c>
      <c r="AE262" s="6">
        <f>$K$262*$Y$262</f>
        <v>0</v>
      </c>
      <c r="AF262" s="6">
        <f ca="1">$M$262*$Z$262</f>
        <v>673763.31021307304</v>
      </c>
      <c r="AG262" s="6">
        <f ca="1">$O$262*$AA$262</f>
        <v>407608.66444034124</v>
      </c>
    </row>
    <row r="263" spans="1:33" ht="11.25" customHeight="1" x14ac:dyDescent="0.25">
      <c r="A263" s="4" t="s">
        <v>27</v>
      </c>
      <c r="B263" s="4" t="s">
        <v>22</v>
      </c>
      <c r="C263" s="4" t="s">
        <v>23</v>
      </c>
      <c r="D263" s="4" t="s">
        <v>24</v>
      </c>
      <c r="E263" s="4" t="s">
        <v>24</v>
      </c>
      <c r="F263" s="4" t="s">
        <v>25</v>
      </c>
      <c r="G263" s="4" t="s">
        <v>25</v>
      </c>
      <c r="H263" s="4" t="s">
        <v>25</v>
      </c>
      <c r="I263" s="5">
        <v>44713</v>
      </c>
      <c r="J263" s="6">
        <v>0</v>
      </c>
      <c r="K263" s="6">
        <v>0</v>
      </c>
      <c r="L263" s="6">
        <v>53.2</v>
      </c>
      <c r="M263" s="6">
        <v>53.2</v>
      </c>
      <c r="N263" s="6">
        <v>53.2</v>
      </c>
      <c r="O263" s="6">
        <v>53.2</v>
      </c>
      <c r="P263" s="6">
        <v>402</v>
      </c>
      <c r="Q263" s="4" t="s">
        <v>26</v>
      </c>
      <c r="R263" s="4">
        <v>0</v>
      </c>
      <c r="S263" s="6">
        <v>0</v>
      </c>
      <c r="T263" s="6">
        <v>21</v>
      </c>
      <c r="U263" s="6">
        <v>7</v>
      </c>
      <c r="V263" s="6">
        <f>IF(ISERROR(VLOOKUP($S$263,'TAR FIN'!$A$1:$O$85,15,0)),0,VLOOKUP($S$263,'TAR FIN'!$A$1:$O$85,15,0))</f>
        <v>0</v>
      </c>
      <c r="W263" s="6">
        <f>IF(ISERROR(VLOOKUP($T$263,'TAR FIN'!$A$1:$O$85,15,0)),0,VLOOKUP($T$263,'TAR FIN'!$A$1:$O$85,15,0))</f>
        <v>333.15</v>
      </c>
      <c r="X263" s="6">
        <f>IF(ISERROR(VLOOKUP($U$263,'TAR FIN'!$A$1:$O$85,15,0)),0,VLOOKUP($U$263,'TAR FIN'!$A$1:$O$85,15,0))</f>
        <v>241.85</v>
      </c>
      <c r="Y263" s="6"/>
      <c r="Z263" s="6">
        <f ca="1">('TUSD BE'!$AM$20+'TUSD BF_350'!$AM$20+'TUSD CVA'!$AM$20)*1</f>
        <v>376.13343594836397</v>
      </c>
      <c r="AA263" s="6">
        <f ca="1">('TE BE'!$AB$11+'TE BF_350'!$AB$11+'TE CVA'!$AB$11)*1</f>
        <v>227.55060294064452</v>
      </c>
      <c r="AB263" s="6">
        <f>$K$263*$V$263</f>
        <v>0</v>
      </c>
      <c r="AC263" s="6">
        <f>$M$263*$W$263</f>
        <v>17723.579999999998</v>
      </c>
      <c r="AD263" s="6">
        <f>$O$263*$X$263</f>
        <v>12866.42</v>
      </c>
      <c r="AE263" s="6">
        <f>$K$263*$Y$263</f>
        <v>0</v>
      </c>
      <c r="AF263" s="6">
        <f ca="1">$M$263*$Z$263</f>
        <v>20010.298792452963</v>
      </c>
      <c r="AG263" s="6">
        <f ca="1">$O$263*$AA$263</f>
        <v>12105.692076442288</v>
      </c>
    </row>
    <row r="264" spans="1:33" ht="11.25" customHeight="1" x14ac:dyDescent="0.25">
      <c r="A264" s="4" t="s">
        <v>21</v>
      </c>
      <c r="B264" s="4" t="s">
        <v>22</v>
      </c>
      <c r="C264" s="4" t="s">
        <v>23</v>
      </c>
      <c r="D264" s="4" t="s">
        <v>24</v>
      </c>
      <c r="E264" s="4" t="s">
        <v>28</v>
      </c>
      <c r="F264" s="4" t="s">
        <v>25</v>
      </c>
      <c r="G264" s="4" t="s">
        <v>25</v>
      </c>
      <c r="H264" s="4" t="s">
        <v>25</v>
      </c>
      <c r="I264" s="5">
        <v>44378</v>
      </c>
      <c r="J264" s="6">
        <v>0</v>
      </c>
      <c r="K264" s="6">
        <v>0</v>
      </c>
      <c r="L264" s="6">
        <v>8.43</v>
      </c>
      <c r="M264" s="6">
        <v>8.43</v>
      </c>
      <c r="N264" s="6">
        <v>8.43</v>
      </c>
      <c r="O264" s="6">
        <v>8.43</v>
      </c>
      <c r="P264" s="6">
        <v>4</v>
      </c>
      <c r="Q264" s="4" t="s">
        <v>26</v>
      </c>
      <c r="R264" s="4">
        <v>0</v>
      </c>
      <c r="S264" s="6">
        <v>0</v>
      </c>
      <c r="T264" s="6">
        <v>33</v>
      </c>
      <c r="U264" s="6">
        <v>1</v>
      </c>
      <c r="V264" s="6">
        <f>IF(ISERROR(VLOOKUP($S$264,'TAR FIN'!$A$1:$O$85,15,0)),0,VLOOKUP($S$264,'TAR FIN'!$A$1:$O$85,15,0))</f>
        <v>0</v>
      </c>
      <c r="W264" s="6">
        <f>IF(ISERROR(VLOOKUP($T$264,'TAR FIN'!$A$1:$O$85,15,0)),0,VLOOKUP($T$264,'TAR FIN'!$A$1:$O$85,15,0))</f>
        <v>90.5</v>
      </c>
      <c r="X264" s="6">
        <f>IF(ISERROR(VLOOKUP($U$264,'TAR FIN'!$A$1:$O$85,15,0)),0,VLOOKUP($U$264,'TAR FIN'!$A$1:$O$85,15,0))</f>
        <v>84.65</v>
      </c>
      <c r="Y264" s="6"/>
      <c r="Z264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90.007547278019956</v>
      </c>
      <c r="AA264" s="6">
        <f ca="1">('TE BE'!$AB$12+'TE BF_350'!$AB$12+'TE CVA'!$AB$12)*(1-CUSTOS!$M$34)</f>
        <v>79.64271102922558</v>
      </c>
      <c r="AB264" s="6">
        <f>$K$264*$V$264</f>
        <v>0</v>
      </c>
      <c r="AC264" s="6">
        <f>$M$264*$W$264</f>
        <v>762.91499999999996</v>
      </c>
      <c r="AD264" s="6">
        <f>$O$264*$X$264</f>
        <v>713.59950000000003</v>
      </c>
      <c r="AE264" s="6">
        <f>$K$264*$Y$264</f>
        <v>0</v>
      </c>
      <c r="AF264" s="6">
        <f ca="1">$M$264*$Z$264</f>
        <v>758.76362355370816</v>
      </c>
      <c r="AG264" s="6">
        <f ca="1">$O$264*$AA$264</f>
        <v>671.38805397637157</v>
      </c>
    </row>
    <row r="265" spans="1:33" ht="11.25" customHeight="1" x14ac:dyDescent="0.25">
      <c r="A265" s="4" t="s">
        <v>21</v>
      </c>
      <c r="B265" s="4" t="s">
        <v>22</v>
      </c>
      <c r="C265" s="4" t="s">
        <v>23</v>
      </c>
      <c r="D265" s="4" t="s">
        <v>24</v>
      </c>
      <c r="E265" s="4" t="s">
        <v>28</v>
      </c>
      <c r="F265" s="4" t="s">
        <v>25</v>
      </c>
      <c r="G265" s="4" t="s">
        <v>25</v>
      </c>
      <c r="H265" s="4" t="s">
        <v>25</v>
      </c>
      <c r="I265" s="5">
        <v>44409</v>
      </c>
      <c r="J265" s="6">
        <v>0</v>
      </c>
      <c r="K265" s="6">
        <v>0</v>
      </c>
      <c r="L265" s="6">
        <v>8.6999999999999993</v>
      </c>
      <c r="M265" s="6">
        <v>8.6999999999999993</v>
      </c>
      <c r="N265" s="6">
        <v>8.6999999999999993</v>
      </c>
      <c r="O265" s="6">
        <v>8.6999999999999993</v>
      </c>
      <c r="P265" s="6">
        <v>4</v>
      </c>
      <c r="Q265" s="4" t="s">
        <v>26</v>
      </c>
      <c r="R265" s="4">
        <v>0</v>
      </c>
      <c r="S265" s="6">
        <v>0</v>
      </c>
      <c r="T265" s="6">
        <v>33</v>
      </c>
      <c r="U265" s="6">
        <v>1</v>
      </c>
      <c r="V265" s="6">
        <f>IF(ISERROR(VLOOKUP($S$265,'TAR FIN'!$A$1:$O$85,15,0)),0,VLOOKUP($S$265,'TAR FIN'!$A$1:$O$85,15,0))</f>
        <v>0</v>
      </c>
      <c r="W265" s="6">
        <f>IF(ISERROR(VLOOKUP($T$265,'TAR FIN'!$A$1:$O$85,15,0)),0,VLOOKUP($T$265,'TAR FIN'!$A$1:$O$85,15,0))</f>
        <v>90.5</v>
      </c>
      <c r="X265" s="6">
        <f>IF(ISERROR(VLOOKUP($U$265,'TAR FIN'!$A$1:$O$85,15,0)),0,VLOOKUP($U$265,'TAR FIN'!$A$1:$O$85,15,0))</f>
        <v>84.65</v>
      </c>
      <c r="Y265" s="6"/>
      <c r="Z265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90.007547278019956</v>
      </c>
      <c r="AA265" s="6">
        <f ca="1">('TE BE'!$AB$12+'TE BF_350'!$AB$12+'TE CVA'!$AB$12)*(1-CUSTOS!$M$34)</f>
        <v>79.64271102922558</v>
      </c>
      <c r="AB265" s="6">
        <f>$K$265*$V$265</f>
        <v>0</v>
      </c>
      <c r="AC265" s="6">
        <f>$M$265*$W$265</f>
        <v>787.34999999999991</v>
      </c>
      <c r="AD265" s="6">
        <f>$O$265*$X$265</f>
        <v>736.45500000000004</v>
      </c>
      <c r="AE265" s="6">
        <f>$K$265*$Y$265</f>
        <v>0</v>
      </c>
      <c r="AF265" s="6">
        <f ca="1">$M$265*$Z$265</f>
        <v>783.06566131877355</v>
      </c>
      <c r="AG265" s="6">
        <f ca="1">$O$265*$AA$265</f>
        <v>692.8915859542625</v>
      </c>
    </row>
    <row r="266" spans="1:33" ht="11.25" customHeight="1" x14ac:dyDescent="0.25">
      <c r="A266" s="4" t="s">
        <v>21</v>
      </c>
      <c r="B266" s="4" t="s">
        <v>22</v>
      </c>
      <c r="C266" s="4" t="s">
        <v>23</v>
      </c>
      <c r="D266" s="4" t="s">
        <v>24</v>
      </c>
      <c r="E266" s="4" t="s">
        <v>28</v>
      </c>
      <c r="F266" s="4" t="s">
        <v>25</v>
      </c>
      <c r="G266" s="4" t="s">
        <v>25</v>
      </c>
      <c r="H266" s="4" t="s">
        <v>25</v>
      </c>
      <c r="I266" s="5">
        <v>44440</v>
      </c>
      <c r="J266" s="6">
        <v>0</v>
      </c>
      <c r="K266" s="6">
        <v>0</v>
      </c>
      <c r="L266" s="6">
        <v>8.76</v>
      </c>
      <c r="M266" s="6">
        <v>8.76</v>
      </c>
      <c r="N266" s="6">
        <v>8.76</v>
      </c>
      <c r="O266" s="6">
        <v>8.76</v>
      </c>
      <c r="P266" s="6">
        <v>4</v>
      </c>
      <c r="Q266" s="4" t="s">
        <v>26</v>
      </c>
      <c r="R266" s="4">
        <v>0</v>
      </c>
      <c r="S266" s="6">
        <v>0</v>
      </c>
      <c r="T266" s="6">
        <v>33</v>
      </c>
      <c r="U266" s="6">
        <v>1</v>
      </c>
      <c r="V266" s="6">
        <f>IF(ISERROR(VLOOKUP($S$266,'TAR FIN'!$A$1:$O$85,15,0)),0,VLOOKUP($S$266,'TAR FIN'!$A$1:$O$85,15,0))</f>
        <v>0</v>
      </c>
      <c r="W266" s="6">
        <f>IF(ISERROR(VLOOKUP($T$266,'TAR FIN'!$A$1:$O$85,15,0)),0,VLOOKUP($T$266,'TAR FIN'!$A$1:$O$85,15,0))</f>
        <v>90.5</v>
      </c>
      <c r="X266" s="6">
        <f>IF(ISERROR(VLOOKUP($U$266,'TAR FIN'!$A$1:$O$85,15,0)),0,VLOOKUP($U$266,'TAR FIN'!$A$1:$O$85,15,0))</f>
        <v>84.65</v>
      </c>
      <c r="Y266" s="6"/>
      <c r="Z266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90.007547278019956</v>
      </c>
      <c r="AA266" s="6">
        <f ca="1">('TE BE'!$AB$12+'TE BF_350'!$AB$12+'TE CVA'!$AB$12)*(1-CUSTOS!$M$34)</f>
        <v>79.64271102922558</v>
      </c>
      <c r="AB266" s="6">
        <f>$K$266*$V$266</f>
        <v>0</v>
      </c>
      <c r="AC266" s="6">
        <f>$M$266*$W$266</f>
        <v>792.78</v>
      </c>
      <c r="AD266" s="6">
        <f>$O$266*$X$266</f>
        <v>741.53399999999999</v>
      </c>
      <c r="AE266" s="6">
        <f>$K$266*$Y$266</f>
        <v>0</v>
      </c>
      <c r="AF266" s="6">
        <f ca="1">$M$266*$Z$266</f>
        <v>788.46611415545476</v>
      </c>
      <c r="AG266" s="6">
        <f ca="1">$O$266*$AA$266</f>
        <v>697.67014861601604</v>
      </c>
    </row>
    <row r="267" spans="1:33" ht="11.25" customHeight="1" x14ac:dyDescent="0.25">
      <c r="A267" s="4" t="s">
        <v>21</v>
      </c>
      <c r="B267" s="4" t="s">
        <v>22</v>
      </c>
      <c r="C267" s="4" t="s">
        <v>23</v>
      </c>
      <c r="D267" s="4" t="s">
        <v>24</v>
      </c>
      <c r="E267" s="4" t="s">
        <v>28</v>
      </c>
      <c r="F267" s="4" t="s">
        <v>25</v>
      </c>
      <c r="G267" s="4" t="s">
        <v>25</v>
      </c>
      <c r="H267" s="4" t="s">
        <v>25</v>
      </c>
      <c r="I267" s="5">
        <v>44470</v>
      </c>
      <c r="J267" s="6">
        <v>0</v>
      </c>
      <c r="K267" s="6">
        <v>0</v>
      </c>
      <c r="L267" s="6">
        <v>8.82</v>
      </c>
      <c r="M267" s="6">
        <v>8.82</v>
      </c>
      <c r="N267" s="6">
        <v>8.82</v>
      </c>
      <c r="O267" s="6">
        <v>8.82</v>
      </c>
      <c r="P267" s="6">
        <v>3</v>
      </c>
      <c r="Q267" s="4" t="s">
        <v>26</v>
      </c>
      <c r="R267" s="4">
        <v>0</v>
      </c>
      <c r="S267" s="6">
        <v>0</v>
      </c>
      <c r="T267" s="6">
        <v>33</v>
      </c>
      <c r="U267" s="6">
        <v>1</v>
      </c>
      <c r="V267" s="6">
        <f>IF(ISERROR(VLOOKUP($S$267,'TAR FIN'!$A$1:$O$85,15,0)),0,VLOOKUP($S$267,'TAR FIN'!$A$1:$O$85,15,0))</f>
        <v>0</v>
      </c>
      <c r="W267" s="6">
        <f>IF(ISERROR(VLOOKUP($T$267,'TAR FIN'!$A$1:$O$85,15,0)),0,VLOOKUP($T$267,'TAR FIN'!$A$1:$O$85,15,0))</f>
        <v>90.5</v>
      </c>
      <c r="X267" s="6">
        <f>IF(ISERROR(VLOOKUP($U$267,'TAR FIN'!$A$1:$O$85,15,0)),0,VLOOKUP($U$267,'TAR FIN'!$A$1:$O$85,15,0))</f>
        <v>84.65</v>
      </c>
      <c r="Y267" s="6"/>
      <c r="Z267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90.007547278019956</v>
      </c>
      <c r="AA267" s="6">
        <f ca="1">('TE BE'!$AB$12+'TE BF_350'!$AB$12+'TE CVA'!$AB$12)*(1-CUSTOS!$M$34)</f>
        <v>79.64271102922558</v>
      </c>
      <c r="AB267" s="6">
        <f>$K$267*$V$267</f>
        <v>0</v>
      </c>
      <c r="AC267" s="6">
        <f>$M$267*$W$267</f>
        <v>798.21</v>
      </c>
      <c r="AD267" s="6">
        <f>$O$267*$X$267</f>
        <v>746.61300000000006</v>
      </c>
      <c r="AE267" s="6">
        <f>$K$267*$Y$267</f>
        <v>0</v>
      </c>
      <c r="AF267" s="6">
        <f ca="1">$M$267*$Z$267</f>
        <v>793.86656699213609</v>
      </c>
      <c r="AG267" s="6">
        <f ca="1">$O$267*$AA$267</f>
        <v>702.44871127776969</v>
      </c>
    </row>
    <row r="268" spans="1:33" ht="11.25" customHeight="1" x14ac:dyDescent="0.25">
      <c r="A268" s="4" t="s">
        <v>21</v>
      </c>
      <c r="B268" s="4" t="s">
        <v>22</v>
      </c>
      <c r="C268" s="4" t="s">
        <v>23</v>
      </c>
      <c r="D268" s="4" t="s">
        <v>24</v>
      </c>
      <c r="E268" s="4" t="s">
        <v>28</v>
      </c>
      <c r="F268" s="4" t="s">
        <v>25</v>
      </c>
      <c r="G268" s="4" t="s">
        <v>25</v>
      </c>
      <c r="H268" s="4" t="s">
        <v>25</v>
      </c>
      <c r="I268" s="5">
        <v>44501</v>
      </c>
      <c r="J268" s="6">
        <v>0</v>
      </c>
      <c r="K268" s="6">
        <v>0</v>
      </c>
      <c r="L268" s="6">
        <v>8.85</v>
      </c>
      <c r="M268" s="6">
        <v>8.85</v>
      </c>
      <c r="N268" s="6">
        <v>8.85</v>
      </c>
      <c r="O268" s="6">
        <v>8.85</v>
      </c>
      <c r="P268" s="6">
        <v>4</v>
      </c>
      <c r="Q268" s="4" t="s">
        <v>26</v>
      </c>
      <c r="R268" s="4">
        <v>0</v>
      </c>
      <c r="S268" s="6">
        <v>0</v>
      </c>
      <c r="T268" s="6">
        <v>33</v>
      </c>
      <c r="U268" s="6">
        <v>1</v>
      </c>
      <c r="V268" s="6">
        <f>IF(ISERROR(VLOOKUP($S$268,'TAR FIN'!$A$1:$O$85,15,0)),0,VLOOKUP($S$268,'TAR FIN'!$A$1:$O$85,15,0))</f>
        <v>0</v>
      </c>
      <c r="W268" s="6">
        <f>IF(ISERROR(VLOOKUP($T$268,'TAR FIN'!$A$1:$O$85,15,0)),0,VLOOKUP($T$268,'TAR FIN'!$A$1:$O$85,15,0))</f>
        <v>90.5</v>
      </c>
      <c r="X268" s="6">
        <f>IF(ISERROR(VLOOKUP($U$268,'TAR FIN'!$A$1:$O$85,15,0)),0,VLOOKUP($U$268,'TAR FIN'!$A$1:$O$85,15,0))</f>
        <v>84.65</v>
      </c>
      <c r="Y268" s="6"/>
      <c r="Z268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90.007547278019956</v>
      </c>
      <c r="AA268" s="6">
        <f ca="1">('TE BE'!$AB$12+'TE BF_350'!$AB$12+'TE CVA'!$AB$12)*(1-CUSTOS!$M$34)</f>
        <v>79.64271102922558</v>
      </c>
      <c r="AB268" s="6">
        <f>$K$268*$V$268</f>
        <v>0</v>
      </c>
      <c r="AC268" s="6">
        <f>$M$268*$W$268</f>
        <v>800.92499999999995</v>
      </c>
      <c r="AD268" s="6">
        <f>$O$268*$X$268</f>
        <v>749.15250000000003</v>
      </c>
      <c r="AE268" s="6">
        <f>$K$268*$Y$268</f>
        <v>0</v>
      </c>
      <c r="AF268" s="6">
        <f ca="1">$M$268*$Z$268</f>
        <v>796.56679341047663</v>
      </c>
      <c r="AG268" s="6">
        <f ca="1">$O$268*$AA$268</f>
        <v>704.83799260864635</v>
      </c>
    </row>
    <row r="269" spans="1:33" ht="11.25" customHeight="1" x14ac:dyDescent="0.25">
      <c r="A269" s="4" t="s">
        <v>21</v>
      </c>
      <c r="B269" s="4" t="s">
        <v>22</v>
      </c>
      <c r="C269" s="4" t="s">
        <v>23</v>
      </c>
      <c r="D269" s="4" t="s">
        <v>24</v>
      </c>
      <c r="E269" s="4" t="s">
        <v>28</v>
      </c>
      <c r="F269" s="4" t="s">
        <v>25</v>
      </c>
      <c r="G269" s="4" t="s">
        <v>25</v>
      </c>
      <c r="H269" s="4" t="s">
        <v>25</v>
      </c>
      <c r="I269" s="5">
        <v>44531</v>
      </c>
      <c r="J269" s="6">
        <v>0</v>
      </c>
      <c r="K269" s="6">
        <v>0</v>
      </c>
      <c r="L269" s="6">
        <v>12.42</v>
      </c>
      <c r="M269" s="6">
        <v>12.42</v>
      </c>
      <c r="N269" s="6">
        <v>12.42</v>
      </c>
      <c r="O269" s="6">
        <v>12.42</v>
      </c>
      <c r="P269" s="6">
        <v>9</v>
      </c>
      <c r="Q269" s="4" t="s">
        <v>26</v>
      </c>
      <c r="R269" s="4">
        <v>0</v>
      </c>
      <c r="S269" s="6">
        <v>0</v>
      </c>
      <c r="T269" s="6">
        <v>33</v>
      </c>
      <c r="U269" s="6">
        <v>1</v>
      </c>
      <c r="V269" s="6">
        <f>IF(ISERROR(VLOOKUP($S$269,'TAR FIN'!$A$1:$O$85,15,0)),0,VLOOKUP($S$269,'TAR FIN'!$A$1:$O$85,15,0))</f>
        <v>0</v>
      </c>
      <c r="W269" s="6">
        <f>IF(ISERROR(VLOOKUP($T$269,'TAR FIN'!$A$1:$O$85,15,0)),0,VLOOKUP($T$269,'TAR FIN'!$A$1:$O$85,15,0))</f>
        <v>90.5</v>
      </c>
      <c r="X269" s="6">
        <f>IF(ISERROR(VLOOKUP($U$269,'TAR FIN'!$A$1:$O$85,15,0)),0,VLOOKUP($U$269,'TAR FIN'!$A$1:$O$85,15,0))</f>
        <v>84.65</v>
      </c>
      <c r="Y269" s="6"/>
      <c r="Z269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90.007547278019956</v>
      </c>
      <c r="AA269" s="6">
        <f ca="1">('TE BE'!$AB$12+'TE BF_350'!$AB$12+'TE CVA'!$AB$12)*(1-CUSTOS!$M$34)</f>
        <v>79.64271102922558</v>
      </c>
      <c r="AB269" s="6">
        <f>$K$269*$V$269</f>
        <v>0</v>
      </c>
      <c r="AC269" s="6">
        <f>$M$269*$W$269</f>
        <v>1124.01</v>
      </c>
      <c r="AD269" s="6">
        <f>$O$269*$X$269</f>
        <v>1051.3530000000001</v>
      </c>
      <c r="AE269" s="6">
        <f>$K$269*$Y$269</f>
        <v>0</v>
      </c>
      <c r="AF269" s="6">
        <f ca="1">$M$269*$Z$269</f>
        <v>1117.8937371930078</v>
      </c>
      <c r="AG269" s="6">
        <f ca="1">$O$269*$AA$269</f>
        <v>989.16247098298174</v>
      </c>
    </row>
    <row r="270" spans="1:33" ht="11.25" customHeight="1" x14ac:dyDescent="0.25">
      <c r="A270" s="4" t="s">
        <v>21</v>
      </c>
      <c r="B270" s="4" t="s">
        <v>22</v>
      </c>
      <c r="C270" s="4" t="s">
        <v>23</v>
      </c>
      <c r="D270" s="4" t="s">
        <v>24</v>
      </c>
      <c r="E270" s="4" t="s">
        <v>28</v>
      </c>
      <c r="F270" s="4" t="s">
        <v>25</v>
      </c>
      <c r="G270" s="4" t="s">
        <v>25</v>
      </c>
      <c r="H270" s="4" t="s">
        <v>25</v>
      </c>
      <c r="I270" s="5">
        <v>44562</v>
      </c>
      <c r="J270" s="6">
        <v>0</v>
      </c>
      <c r="K270" s="6">
        <v>0</v>
      </c>
      <c r="L270" s="6">
        <v>14.82</v>
      </c>
      <c r="M270" s="6">
        <v>14.82</v>
      </c>
      <c r="N270" s="6">
        <v>14.82</v>
      </c>
      <c r="O270" s="6">
        <v>14.82</v>
      </c>
      <c r="P270" s="6">
        <v>9</v>
      </c>
      <c r="Q270" s="4" t="s">
        <v>26</v>
      </c>
      <c r="R270" s="4">
        <v>0</v>
      </c>
      <c r="S270" s="6">
        <v>0</v>
      </c>
      <c r="T270" s="6">
        <v>33</v>
      </c>
      <c r="U270" s="6">
        <v>1</v>
      </c>
      <c r="V270" s="6">
        <f>IF(ISERROR(VLOOKUP($S$270,'TAR FIN'!$A$1:$O$85,15,0)),0,VLOOKUP($S$270,'TAR FIN'!$A$1:$O$85,15,0))</f>
        <v>0</v>
      </c>
      <c r="W270" s="6">
        <f>IF(ISERROR(VLOOKUP($T$270,'TAR FIN'!$A$1:$O$85,15,0)),0,VLOOKUP($T$270,'TAR FIN'!$A$1:$O$85,15,0))</f>
        <v>90.5</v>
      </c>
      <c r="X270" s="6">
        <f>IF(ISERROR(VLOOKUP($U$270,'TAR FIN'!$A$1:$O$85,15,0)),0,VLOOKUP($U$270,'TAR FIN'!$A$1:$O$85,15,0))</f>
        <v>84.65</v>
      </c>
      <c r="Y270" s="6"/>
      <c r="Z270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90.007547278019956</v>
      </c>
      <c r="AA270" s="6">
        <f ca="1">('TE BE'!$AB$12+'TE BF_350'!$AB$12+'TE CVA'!$AB$12)*(1-CUSTOS!$M$34)</f>
        <v>79.64271102922558</v>
      </c>
      <c r="AB270" s="6">
        <f>$K$270*$V$270</f>
        <v>0</v>
      </c>
      <c r="AC270" s="6">
        <f>$M$270*$W$270</f>
        <v>1341.21</v>
      </c>
      <c r="AD270" s="6">
        <f>$O$270*$X$270</f>
        <v>1254.5130000000001</v>
      </c>
      <c r="AE270" s="6">
        <f>$K$270*$Y$270</f>
        <v>0</v>
      </c>
      <c r="AF270" s="6">
        <f ca="1">$M$270*$Z$270</f>
        <v>1333.9118506602558</v>
      </c>
      <c r="AG270" s="6">
        <f ca="1">$O$270*$AA$270</f>
        <v>1180.3049774531232</v>
      </c>
    </row>
    <row r="271" spans="1:33" ht="11.25" customHeight="1" x14ac:dyDescent="0.25">
      <c r="A271" s="4" t="s">
        <v>21</v>
      </c>
      <c r="B271" s="4" t="s">
        <v>22</v>
      </c>
      <c r="C271" s="4" t="s">
        <v>23</v>
      </c>
      <c r="D271" s="4" t="s">
        <v>24</v>
      </c>
      <c r="E271" s="4" t="s">
        <v>28</v>
      </c>
      <c r="F271" s="4" t="s">
        <v>25</v>
      </c>
      <c r="G271" s="4" t="s">
        <v>25</v>
      </c>
      <c r="H271" s="4" t="s">
        <v>25</v>
      </c>
      <c r="I271" s="5">
        <v>44593</v>
      </c>
      <c r="J271" s="6">
        <v>0</v>
      </c>
      <c r="K271" s="6">
        <v>0</v>
      </c>
      <c r="L271" s="6">
        <v>16.29</v>
      </c>
      <c r="M271" s="6">
        <v>16.29</v>
      </c>
      <c r="N271" s="6">
        <v>16.29</v>
      </c>
      <c r="O271" s="6">
        <v>16.29</v>
      </c>
      <c r="P271" s="6">
        <v>7</v>
      </c>
      <c r="Q271" s="4" t="s">
        <v>26</v>
      </c>
      <c r="R271" s="4">
        <v>0</v>
      </c>
      <c r="S271" s="6">
        <v>0</v>
      </c>
      <c r="T271" s="6">
        <v>33</v>
      </c>
      <c r="U271" s="6">
        <v>1</v>
      </c>
      <c r="V271" s="6">
        <f>IF(ISERROR(VLOOKUP($S$271,'TAR FIN'!$A$1:$O$85,15,0)),0,VLOOKUP($S$271,'TAR FIN'!$A$1:$O$85,15,0))</f>
        <v>0</v>
      </c>
      <c r="W271" s="6">
        <f>IF(ISERROR(VLOOKUP($T$271,'TAR FIN'!$A$1:$O$85,15,0)),0,VLOOKUP($T$271,'TAR FIN'!$A$1:$O$85,15,0))</f>
        <v>90.5</v>
      </c>
      <c r="X271" s="6">
        <f>IF(ISERROR(VLOOKUP($U$271,'TAR FIN'!$A$1:$O$85,15,0)),0,VLOOKUP($U$271,'TAR FIN'!$A$1:$O$85,15,0))</f>
        <v>84.65</v>
      </c>
      <c r="Y271" s="6"/>
      <c r="Z271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90.007547278019956</v>
      </c>
      <c r="AA271" s="6">
        <f ca="1">('TE BE'!$AB$12+'TE BF_350'!$AB$12+'TE CVA'!$AB$12)*(1-CUSTOS!$M$34)</f>
        <v>79.64271102922558</v>
      </c>
      <c r="AB271" s="6">
        <f>$K$271*$V$271</f>
        <v>0</v>
      </c>
      <c r="AC271" s="6">
        <f>$M$271*$W$271</f>
        <v>1474.2449999999999</v>
      </c>
      <c r="AD271" s="6">
        <f>$O$271*$X$271</f>
        <v>1378.9485</v>
      </c>
      <c r="AE271" s="6">
        <f>$K$271*$Y$271</f>
        <v>0</v>
      </c>
      <c r="AF271" s="6">
        <f ca="1">$M$271*$Z$271</f>
        <v>1466.2229451589451</v>
      </c>
      <c r="AG271" s="6">
        <f ca="1">$O$271*$AA$271</f>
        <v>1297.3797626660846</v>
      </c>
    </row>
    <row r="272" spans="1:33" ht="11.25" customHeight="1" x14ac:dyDescent="0.25">
      <c r="A272" s="4" t="s">
        <v>21</v>
      </c>
      <c r="B272" s="4" t="s">
        <v>22</v>
      </c>
      <c r="C272" s="4" t="s">
        <v>23</v>
      </c>
      <c r="D272" s="4" t="s">
        <v>24</v>
      </c>
      <c r="E272" s="4" t="s">
        <v>28</v>
      </c>
      <c r="F272" s="4" t="s">
        <v>25</v>
      </c>
      <c r="G272" s="4" t="s">
        <v>25</v>
      </c>
      <c r="H272" s="4" t="s">
        <v>25</v>
      </c>
      <c r="I272" s="5">
        <v>44621</v>
      </c>
      <c r="J272" s="6">
        <v>0</v>
      </c>
      <c r="K272" s="6">
        <v>0</v>
      </c>
      <c r="L272" s="6">
        <v>17.309999999999999</v>
      </c>
      <c r="M272" s="6">
        <v>17.309999999999999</v>
      </c>
      <c r="N272" s="6">
        <v>17.309999999999999</v>
      </c>
      <c r="O272" s="6">
        <v>17.309999999999999</v>
      </c>
      <c r="P272" s="6">
        <v>12</v>
      </c>
      <c r="Q272" s="4" t="s">
        <v>26</v>
      </c>
      <c r="R272" s="4">
        <v>0</v>
      </c>
      <c r="S272" s="6">
        <v>0</v>
      </c>
      <c r="T272" s="6">
        <v>33</v>
      </c>
      <c r="U272" s="6">
        <v>1</v>
      </c>
      <c r="V272" s="6">
        <f>IF(ISERROR(VLOOKUP($S$272,'TAR FIN'!$A$1:$O$85,15,0)),0,VLOOKUP($S$272,'TAR FIN'!$A$1:$O$85,15,0))</f>
        <v>0</v>
      </c>
      <c r="W272" s="6">
        <f>IF(ISERROR(VLOOKUP($T$272,'TAR FIN'!$A$1:$O$85,15,0)),0,VLOOKUP($T$272,'TAR FIN'!$A$1:$O$85,15,0))</f>
        <v>90.5</v>
      </c>
      <c r="X272" s="6">
        <f>IF(ISERROR(VLOOKUP($U$272,'TAR FIN'!$A$1:$O$85,15,0)),0,VLOOKUP($U$272,'TAR FIN'!$A$1:$O$85,15,0))</f>
        <v>84.65</v>
      </c>
      <c r="Y272" s="6"/>
      <c r="Z272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90.007547278019956</v>
      </c>
      <c r="AA272" s="6">
        <f ca="1">('TE BE'!$AB$12+'TE BF_350'!$AB$12+'TE CVA'!$AB$12)*(1-CUSTOS!$M$34)</f>
        <v>79.64271102922558</v>
      </c>
      <c r="AB272" s="6">
        <f>$K$272*$V$272</f>
        <v>0</v>
      </c>
      <c r="AC272" s="6">
        <f>$M$272*$W$272</f>
        <v>1566.5549999999998</v>
      </c>
      <c r="AD272" s="6">
        <f>$O$272*$X$272</f>
        <v>1465.2915</v>
      </c>
      <c r="AE272" s="6">
        <f>$K$272*$Y$272</f>
        <v>0</v>
      </c>
      <c r="AF272" s="6">
        <f ca="1">$M$272*$Z$272</f>
        <v>1558.0306433825253</v>
      </c>
      <c r="AG272" s="6">
        <f ca="1">$O$272*$AA$272</f>
        <v>1378.6153279158948</v>
      </c>
    </row>
    <row r="273" spans="1:33" ht="11.25" customHeight="1" x14ac:dyDescent="0.25">
      <c r="A273" s="4" t="s">
        <v>21</v>
      </c>
      <c r="B273" s="4" t="s">
        <v>22</v>
      </c>
      <c r="C273" s="4" t="s">
        <v>23</v>
      </c>
      <c r="D273" s="4" t="s">
        <v>24</v>
      </c>
      <c r="E273" s="4" t="s">
        <v>28</v>
      </c>
      <c r="F273" s="4" t="s">
        <v>25</v>
      </c>
      <c r="G273" s="4" t="s">
        <v>25</v>
      </c>
      <c r="H273" s="4" t="s">
        <v>25</v>
      </c>
      <c r="I273" s="5">
        <v>44652</v>
      </c>
      <c r="J273" s="6">
        <v>0</v>
      </c>
      <c r="K273" s="6">
        <v>0</v>
      </c>
      <c r="L273" s="6">
        <v>18.989999999999998</v>
      </c>
      <c r="M273" s="6">
        <v>18.989999999999998</v>
      </c>
      <c r="N273" s="6">
        <v>18.989999999999998</v>
      </c>
      <c r="O273" s="6">
        <v>18.989999999999998</v>
      </c>
      <c r="P273" s="6">
        <v>13</v>
      </c>
      <c r="Q273" s="4" t="s">
        <v>26</v>
      </c>
      <c r="R273" s="4">
        <v>0</v>
      </c>
      <c r="S273" s="6">
        <v>0</v>
      </c>
      <c r="T273" s="6">
        <v>33</v>
      </c>
      <c r="U273" s="6">
        <v>1</v>
      </c>
      <c r="V273" s="6">
        <f>IF(ISERROR(VLOOKUP($S$273,'TAR FIN'!$A$1:$O$85,15,0)),0,VLOOKUP($S$273,'TAR FIN'!$A$1:$O$85,15,0))</f>
        <v>0</v>
      </c>
      <c r="W273" s="6">
        <f>IF(ISERROR(VLOOKUP($T$273,'TAR FIN'!$A$1:$O$85,15,0)),0,VLOOKUP($T$273,'TAR FIN'!$A$1:$O$85,15,0))</f>
        <v>90.5</v>
      </c>
      <c r="X273" s="6">
        <f>IF(ISERROR(VLOOKUP($U$273,'TAR FIN'!$A$1:$O$85,15,0)),0,VLOOKUP($U$273,'TAR FIN'!$A$1:$O$85,15,0))</f>
        <v>84.65</v>
      </c>
      <c r="Y273" s="6"/>
      <c r="Z273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90.007547278019956</v>
      </c>
      <c r="AA273" s="6">
        <f ca="1">('TE BE'!$AB$12+'TE BF_350'!$AB$12+'TE CVA'!$AB$12)*(1-CUSTOS!$M$34)</f>
        <v>79.64271102922558</v>
      </c>
      <c r="AB273" s="6">
        <f>$K$273*$V$273</f>
        <v>0</v>
      </c>
      <c r="AC273" s="6">
        <f>$M$273*$W$273</f>
        <v>1718.5949999999998</v>
      </c>
      <c r="AD273" s="6">
        <f>$O$273*$X$273</f>
        <v>1607.5035</v>
      </c>
      <c r="AE273" s="6">
        <f>$K$273*$Y$273</f>
        <v>0</v>
      </c>
      <c r="AF273" s="6">
        <f ca="1">$M$273*$Z$273</f>
        <v>1709.2433228095988</v>
      </c>
      <c r="AG273" s="6">
        <f ca="1">$O$273*$AA$273</f>
        <v>1512.4150824449937</v>
      </c>
    </row>
    <row r="274" spans="1:33" ht="11.25" customHeight="1" x14ac:dyDescent="0.25">
      <c r="A274" s="4" t="s">
        <v>21</v>
      </c>
      <c r="B274" s="4" t="s">
        <v>22</v>
      </c>
      <c r="C274" s="4" t="s">
        <v>23</v>
      </c>
      <c r="D274" s="4" t="s">
        <v>24</v>
      </c>
      <c r="E274" s="4" t="s">
        <v>28</v>
      </c>
      <c r="F274" s="4" t="s">
        <v>25</v>
      </c>
      <c r="G274" s="4" t="s">
        <v>25</v>
      </c>
      <c r="H274" s="4" t="s">
        <v>25</v>
      </c>
      <c r="I274" s="5">
        <v>44682</v>
      </c>
      <c r="J274" s="6">
        <v>0</v>
      </c>
      <c r="K274" s="6">
        <v>0</v>
      </c>
      <c r="L274" s="6">
        <v>19.745999999999999</v>
      </c>
      <c r="M274" s="6">
        <v>19.745999999999999</v>
      </c>
      <c r="N274" s="6">
        <v>19.745999999999999</v>
      </c>
      <c r="O274" s="6">
        <v>19.745999999999999</v>
      </c>
      <c r="P274" s="6">
        <v>18</v>
      </c>
      <c r="Q274" s="4" t="s">
        <v>26</v>
      </c>
      <c r="R274" s="4">
        <v>0</v>
      </c>
      <c r="S274" s="6">
        <v>0</v>
      </c>
      <c r="T274" s="6">
        <v>33</v>
      </c>
      <c r="U274" s="6">
        <v>1</v>
      </c>
      <c r="V274" s="6">
        <f>IF(ISERROR(VLOOKUP($S$274,'TAR FIN'!$A$1:$O$85,15,0)),0,VLOOKUP($S$274,'TAR FIN'!$A$1:$O$85,15,0))</f>
        <v>0</v>
      </c>
      <c r="W274" s="6">
        <f>IF(ISERROR(VLOOKUP($T$274,'TAR FIN'!$A$1:$O$85,15,0)),0,VLOOKUP($T$274,'TAR FIN'!$A$1:$O$85,15,0))</f>
        <v>90.5</v>
      </c>
      <c r="X274" s="6">
        <f>IF(ISERROR(VLOOKUP($U$274,'TAR FIN'!$A$1:$O$85,15,0)),0,VLOOKUP($U$274,'TAR FIN'!$A$1:$O$85,15,0))</f>
        <v>84.65</v>
      </c>
      <c r="Y274" s="6"/>
      <c r="Z274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90.007547278019956</v>
      </c>
      <c r="AA274" s="6">
        <f ca="1">('TE BE'!$AB$12+'TE BF_350'!$AB$12+'TE CVA'!$AB$12)*(1-CUSTOS!$M$34)</f>
        <v>79.64271102922558</v>
      </c>
      <c r="AB274" s="6">
        <f>$K$274*$V$274</f>
        <v>0</v>
      </c>
      <c r="AC274" s="6">
        <f>$M$274*$W$274</f>
        <v>1787.0129999999999</v>
      </c>
      <c r="AD274" s="6">
        <f>$O$274*$X$274</f>
        <v>1671.4989</v>
      </c>
      <c r="AE274" s="6">
        <f>$K$274*$Y$274</f>
        <v>0</v>
      </c>
      <c r="AF274" s="6">
        <f ca="1">$M$274*$Z$274</f>
        <v>1777.2890285517819</v>
      </c>
      <c r="AG274" s="6">
        <f ca="1">$O$274*$AA$274</f>
        <v>1572.6249719830882</v>
      </c>
    </row>
    <row r="275" spans="1:33" ht="11.25" customHeight="1" x14ac:dyDescent="0.25">
      <c r="A275" s="4" t="s">
        <v>27</v>
      </c>
      <c r="B275" s="4" t="s">
        <v>22</v>
      </c>
      <c r="C275" s="4" t="s">
        <v>23</v>
      </c>
      <c r="D275" s="4" t="s">
        <v>24</v>
      </c>
      <c r="E275" s="4" t="s">
        <v>28</v>
      </c>
      <c r="F275" s="4" t="s">
        <v>25</v>
      </c>
      <c r="G275" s="4" t="s">
        <v>25</v>
      </c>
      <c r="H275" s="4" t="s">
        <v>25</v>
      </c>
      <c r="I275" s="5">
        <v>44682</v>
      </c>
      <c r="J275" s="6">
        <v>0</v>
      </c>
      <c r="K275" s="6">
        <v>0</v>
      </c>
      <c r="L275" s="6">
        <v>0.03</v>
      </c>
      <c r="M275" s="6">
        <v>-8.9999999999999993E-3</v>
      </c>
      <c r="N275" s="6">
        <v>0.03</v>
      </c>
      <c r="O275" s="6">
        <v>-8.9999999999999993E-3</v>
      </c>
      <c r="P275" s="6">
        <v>0</v>
      </c>
      <c r="Q275" s="4" t="s">
        <v>26</v>
      </c>
      <c r="R275" s="4">
        <v>0</v>
      </c>
      <c r="S275" s="6">
        <v>0</v>
      </c>
      <c r="T275" s="6">
        <v>33</v>
      </c>
      <c r="U275" s="6">
        <v>1</v>
      </c>
      <c r="V275" s="6">
        <f>IF(ISERROR(VLOOKUP($S$275,'TAR FIN'!$A$1:$O$85,15,0)),0,VLOOKUP($S$275,'TAR FIN'!$A$1:$O$85,15,0))</f>
        <v>0</v>
      </c>
      <c r="W275" s="6">
        <f>IF(ISERROR(VLOOKUP($T$275,'TAR FIN'!$A$1:$O$85,15,0)),0,VLOOKUP($T$275,'TAR FIN'!$A$1:$O$85,15,0))</f>
        <v>90.5</v>
      </c>
      <c r="X275" s="6">
        <f>IF(ISERROR(VLOOKUP($U$275,'TAR FIN'!$A$1:$O$85,15,0)),0,VLOOKUP($U$275,'TAR FIN'!$A$1:$O$85,15,0))</f>
        <v>84.65</v>
      </c>
      <c r="Y275" s="6"/>
      <c r="Z275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90.007547278019956</v>
      </c>
      <c r="AA275" s="6">
        <f ca="1">('TE BE'!$AB$12+'TE BF_350'!$AB$12+'TE CVA'!$AB$12)*(1-CUSTOS!$M$34)</f>
        <v>79.64271102922558</v>
      </c>
      <c r="AB275" s="6">
        <f>$K$275*$V$275</f>
        <v>0</v>
      </c>
      <c r="AC275" s="6">
        <f>$M$275*$W$275</f>
        <v>-0.81449999999999989</v>
      </c>
      <c r="AD275" s="6">
        <f>$O$275*$X$275</f>
        <v>-0.76185000000000003</v>
      </c>
      <c r="AE275" s="6">
        <f>$K$275*$Y$275</f>
        <v>0</v>
      </c>
      <c r="AF275" s="6">
        <f ca="1">$M$275*$Z$275</f>
        <v>-0.81006792550217954</v>
      </c>
      <c r="AG275" s="6">
        <f ca="1">$O$275*$AA$275</f>
        <v>-0.71678439926303017</v>
      </c>
    </row>
    <row r="276" spans="1:33" ht="11.25" customHeight="1" x14ac:dyDescent="0.25">
      <c r="A276" s="4" t="s">
        <v>21</v>
      </c>
      <c r="B276" s="4" t="s">
        <v>22</v>
      </c>
      <c r="C276" s="4" t="s">
        <v>23</v>
      </c>
      <c r="D276" s="4" t="s">
        <v>24</v>
      </c>
      <c r="E276" s="4" t="s">
        <v>28</v>
      </c>
      <c r="F276" s="4" t="s">
        <v>25</v>
      </c>
      <c r="G276" s="4" t="s">
        <v>25</v>
      </c>
      <c r="H276" s="4" t="s">
        <v>25</v>
      </c>
      <c r="I276" s="5">
        <v>44713</v>
      </c>
      <c r="J276" s="6">
        <v>0</v>
      </c>
      <c r="K276" s="6">
        <v>0</v>
      </c>
      <c r="L276" s="6">
        <v>21.78</v>
      </c>
      <c r="M276" s="6">
        <v>21.78</v>
      </c>
      <c r="N276" s="6">
        <v>21.78</v>
      </c>
      <c r="O276" s="6">
        <v>21.78</v>
      </c>
      <c r="P276" s="6">
        <v>18</v>
      </c>
      <c r="Q276" s="4" t="s">
        <v>26</v>
      </c>
      <c r="R276" s="4">
        <v>0</v>
      </c>
      <c r="S276" s="6">
        <v>0</v>
      </c>
      <c r="T276" s="6">
        <v>33</v>
      </c>
      <c r="U276" s="6">
        <v>1</v>
      </c>
      <c r="V276" s="6">
        <f>IF(ISERROR(VLOOKUP($S$276,'TAR FIN'!$A$1:$O$85,15,0)),0,VLOOKUP($S$276,'TAR FIN'!$A$1:$O$85,15,0))</f>
        <v>0</v>
      </c>
      <c r="W276" s="6">
        <f>IF(ISERROR(VLOOKUP($T$276,'TAR FIN'!$A$1:$O$85,15,0)),0,VLOOKUP($T$276,'TAR FIN'!$A$1:$O$85,15,0))</f>
        <v>90.5</v>
      </c>
      <c r="X276" s="6">
        <f>IF(ISERROR(VLOOKUP($U$276,'TAR FIN'!$A$1:$O$85,15,0)),0,VLOOKUP($U$276,'TAR FIN'!$A$1:$O$85,15,0))</f>
        <v>84.65</v>
      </c>
      <c r="Y276" s="6"/>
      <c r="Z276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90.007547278019956</v>
      </c>
      <c r="AA276" s="6">
        <f ca="1">('TE BE'!$AB$12+'TE BF_350'!$AB$12+'TE CVA'!$AB$12)*(1-CUSTOS!$M$34)</f>
        <v>79.64271102922558</v>
      </c>
      <c r="AB276" s="6">
        <f>$K$276*$V$276</f>
        <v>0</v>
      </c>
      <c r="AC276" s="6">
        <f>$M$276*$W$276</f>
        <v>1971.0900000000001</v>
      </c>
      <c r="AD276" s="6">
        <f>$O$276*$X$276</f>
        <v>1843.6770000000001</v>
      </c>
      <c r="AE276" s="6">
        <f>$K$276*$Y$276</f>
        <v>0</v>
      </c>
      <c r="AF276" s="6">
        <f ca="1">$M$276*$Z$276</f>
        <v>1960.3643797152747</v>
      </c>
      <c r="AG276" s="6">
        <f ca="1">$O$276*$AA$276</f>
        <v>1734.6182462165332</v>
      </c>
    </row>
    <row r="277" spans="1:33" ht="11.25" customHeight="1" x14ac:dyDescent="0.25">
      <c r="A277" s="4" t="s">
        <v>27</v>
      </c>
      <c r="B277" s="4" t="s">
        <v>22</v>
      </c>
      <c r="C277" s="4" t="s">
        <v>23</v>
      </c>
      <c r="D277" s="4" t="s">
        <v>24</v>
      </c>
      <c r="E277" s="4" t="s">
        <v>28</v>
      </c>
      <c r="F277" s="4" t="s">
        <v>25</v>
      </c>
      <c r="G277" s="4" t="s">
        <v>25</v>
      </c>
      <c r="H277" s="4" t="s">
        <v>25</v>
      </c>
      <c r="I277" s="5">
        <v>44713</v>
      </c>
      <c r="J277" s="6">
        <v>0</v>
      </c>
      <c r="K277" s="6">
        <v>0</v>
      </c>
      <c r="L277" s="6">
        <v>0.06</v>
      </c>
      <c r="M277" s="6">
        <v>-5.7000000000000002E-2</v>
      </c>
      <c r="N277" s="6">
        <v>0.06</v>
      </c>
      <c r="O277" s="6">
        <v>-5.7000000000000002E-2</v>
      </c>
      <c r="P277" s="6">
        <v>0</v>
      </c>
      <c r="Q277" s="4" t="s">
        <v>26</v>
      </c>
      <c r="R277" s="4">
        <v>0</v>
      </c>
      <c r="S277" s="6">
        <v>0</v>
      </c>
      <c r="T277" s="6">
        <v>33</v>
      </c>
      <c r="U277" s="6">
        <v>1</v>
      </c>
      <c r="V277" s="6">
        <f>IF(ISERROR(VLOOKUP($S$277,'TAR FIN'!$A$1:$O$85,15,0)),0,VLOOKUP($S$277,'TAR FIN'!$A$1:$O$85,15,0))</f>
        <v>0</v>
      </c>
      <c r="W277" s="6">
        <f>IF(ISERROR(VLOOKUP($T$277,'TAR FIN'!$A$1:$O$85,15,0)),0,VLOOKUP($T$277,'TAR FIN'!$A$1:$O$85,15,0))</f>
        <v>90.5</v>
      </c>
      <c r="X277" s="6">
        <f>IF(ISERROR(VLOOKUP($U$277,'TAR FIN'!$A$1:$O$85,15,0)),0,VLOOKUP($U$277,'TAR FIN'!$A$1:$O$85,15,0))</f>
        <v>84.65</v>
      </c>
      <c r="Y277" s="6"/>
      <c r="Z277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90.007547278019956</v>
      </c>
      <c r="AA277" s="6">
        <f ca="1">('TE BE'!$AB$12+'TE BF_350'!$AB$12+'TE CVA'!$AB$12)*(1-CUSTOS!$M$34)</f>
        <v>79.64271102922558</v>
      </c>
      <c r="AB277" s="6">
        <f>$K$277*$V$277</f>
        <v>0</v>
      </c>
      <c r="AC277" s="6">
        <f>$M$277*$W$277</f>
        <v>-5.1585000000000001</v>
      </c>
      <c r="AD277" s="6">
        <f>$O$277*$X$277</f>
        <v>-4.8250500000000001</v>
      </c>
      <c r="AE277" s="6">
        <f>$K$277*$Y$277</f>
        <v>0</v>
      </c>
      <c r="AF277" s="6">
        <f ca="1">$M$277*$Z$277</f>
        <v>-5.130430194847138</v>
      </c>
      <c r="AG277" s="6">
        <f ca="1">$O$277*$AA$277</f>
        <v>-4.5396345286658581</v>
      </c>
    </row>
    <row r="278" spans="1:33" ht="11.25" customHeight="1" x14ac:dyDescent="0.25">
      <c r="A278" s="4" t="s">
        <v>21</v>
      </c>
      <c r="B278" s="4" t="s">
        <v>22</v>
      </c>
      <c r="C278" s="4" t="s">
        <v>23</v>
      </c>
      <c r="D278" s="4" t="s">
        <v>24</v>
      </c>
      <c r="E278" s="4" t="s">
        <v>29</v>
      </c>
      <c r="F278" s="4" t="s">
        <v>25</v>
      </c>
      <c r="G278" s="4" t="s">
        <v>25</v>
      </c>
      <c r="H278" s="4" t="s">
        <v>25</v>
      </c>
      <c r="I278" s="5">
        <v>44378</v>
      </c>
      <c r="J278" s="6">
        <v>0</v>
      </c>
      <c r="K278" s="6">
        <v>0</v>
      </c>
      <c r="L278" s="6">
        <v>18.091000000000001</v>
      </c>
      <c r="M278" s="6">
        <v>18.091000000000001</v>
      </c>
      <c r="N278" s="6">
        <v>18.091000000000001</v>
      </c>
      <c r="O278" s="6">
        <v>18.091000000000001</v>
      </c>
      <c r="P278" s="6">
        <v>50</v>
      </c>
      <c r="Q278" s="4" t="s">
        <v>26</v>
      </c>
      <c r="R278" s="4">
        <v>0</v>
      </c>
      <c r="S278" s="6">
        <v>0</v>
      </c>
      <c r="T278" s="6">
        <v>26</v>
      </c>
      <c r="U278" s="6">
        <v>18</v>
      </c>
      <c r="V278" s="6">
        <f>IF(ISERROR(VLOOKUP($S$278,'TAR FIN'!$A$1:$O$85,15,0)),0,VLOOKUP($S$278,'TAR FIN'!$A$1:$O$85,15,0))</f>
        <v>0</v>
      </c>
      <c r="W278" s="6">
        <f>IF(ISERROR(VLOOKUP($T$278,'TAR FIN'!$A$1:$O$85,15,0)),0,VLOOKUP($T$278,'TAR FIN'!$A$1:$O$85,15,0))</f>
        <v>155.15</v>
      </c>
      <c r="X278" s="6">
        <f>IF(ISERROR(VLOOKUP($U$278,'TAR FIN'!$A$1:$O$85,15,0)),0,VLOOKUP($U$278,'TAR FIN'!$A$1:$O$85,15,0))</f>
        <v>145.11000000000001</v>
      </c>
      <c r="Y278" s="6"/>
      <c r="Z278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154.29865247660564</v>
      </c>
      <c r="AA278" s="6">
        <f ca="1">('TE BE'!$AB$13+'TE BF_350'!$AB$13+'TE CVA'!$AB$13)*(1-CUSTOS!$M$35)</f>
        <v>136.5303617643867</v>
      </c>
      <c r="AB278" s="6">
        <f>$K$278*$V$278</f>
        <v>0</v>
      </c>
      <c r="AC278" s="6">
        <f>$M$278*$W$278</f>
        <v>2806.8186500000002</v>
      </c>
      <c r="AD278" s="6">
        <f>$O$278*$X$278</f>
        <v>2625.1850100000006</v>
      </c>
      <c r="AE278" s="6">
        <f>$K$278*$Y$278</f>
        <v>0</v>
      </c>
      <c r="AF278" s="6">
        <f ca="1">$M$278*$Z$278</f>
        <v>2791.4169219542728</v>
      </c>
      <c r="AG278" s="6">
        <f ca="1">$O$278*$AA$278</f>
        <v>2469.9707746795198</v>
      </c>
    </row>
    <row r="279" spans="1:33" ht="11.25" customHeight="1" x14ac:dyDescent="0.25">
      <c r="A279" s="4" t="s">
        <v>21</v>
      </c>
      <c r="B279" s="4" t="s">
        <v>22</v>
      </c>
      <c r="C279" s="4" t="s">
        <v>23</v>
      </c>
      <c r="D279" s="4" t="s">
        <v>24</v>
      </c>
      <c r="E279" s="4" t="s">
        <v>29</v>
      </c>
      <c r="F279" s="4" t="s">
        <v>25</v>
      </c>
      <c r="G279" s="4" t="s">
        <v>25</v>
      </c>
      <c r="H279" s="4" t="s">
        <v>25</v>
      </c>
      <c r="I279" s="5">
        <v>44409</v>
      </c>
      <c r="J279" s="6">
        <v>0</v>
      </c>
      <c r="K279" s="6">
        <v>0</v>
      </c>
      <c r="L279" s="6">
        <v>18.702000000000002</v>
      </c>
      <c r="M279" s="6">
        <v>18.702000000000002</v>
      </c>
      <c r="N279" s="6">
        <v>18.702000000000002</v>
      </c>
      <c r="O279" s="6">
        <v>18.702000000000002</v>
      </c>
      <c r="P279" s="6">
        <v>53</v>
      </c>
      <c r="Q279" s="4" t="s">
        <v>26</v>
      </c>
      <c r="R279" s="4">
        <v>0</v>
      </c>
      <c r="S279" s="6">
        <v>0</v>
      </c>
      <c r="T279" s="6">
        <v>26</v>
      </c>
      <c r="U279" s="6">
        <v>18</v>
      </c>
      <c r="V279" s="6">
        <f>IF(ISERROR(VLOOKUP($S$279,'TAR FIN'!$A$1:$O$85,15,0)),0,VLOOKUP($S$279,'TAR FIN'!$A$1:$O$85,15,0))</f>
        <v>0</v>
      </c>
      <c r="W279" s="6">
        <f>IF(ISERROR(VLOOKUP($T$279,'TAR FIN'!$A$1:$O$85,15,0)),0,VLOOKUP($T$279,'TAR FIN'!$A$1:$O$85,15,0))</f>
        <v>155.15</v>
      </c>
      <c r="X279" s="6">
        <f>IF(ISERROR(VLOOKUP($U$279,'TAR FIN'!$A$1:$O$85,15,0)),0,VLOOKUP($U$279,'TAR FIN'!$A$1:$O$85,15,0))</f>
        <v>145.11000000000001</v>
      </c>
      <c r="Y279" s="6"/>
      <c r="Z279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154.29865247660564</v>
      </c>
      <c r="AA279" s="6">
        <f ca="1">('TE BE'!$AB$13+'TE BF_350'!$AB$13+'TE CVA'!$AB$13)*(1-CUSTOS!$M$35)</f>
        <v>136.5303617643867</v>
      </c>
      <c r="AB279" s="6">
        <f>$K$279*$V$279</f>
        <v>0</v>
      </c>
      <c r="AC279" s="6">
        <f>$M$279*$W$279</f>
        <v>2901.6153000000004</v>
      </c>
      <c r="AD279" s="6">
        <f>$O$279*$X$279</f>
        <v>2713.8472200000006</v>
      </c>
      <c r="AE279" s="6">
        <f>$K$279*$Y$279</f>
        <v>0</v>
      </c>
      <c r="AF279" s="6">
        <f ca="1">$M$279*$Z$279</f>
        <v>2885.693398617479</v>
      </c>
      <c r="AG279" s="6">
        <f ca="1">$O$279*$AA$279</f>
        <v>2553.3908257175603</v>
      </c>
    </row>
    <row r="280" spans="1:33" ht="11.25" customHeight="1" x14ac:dyDescent="0.25">
      <c r="A280" s="4" t="s">
        <v>21</v>
      </c>
      <c r="B280" s="4" t="s">
        <v>22</v>
      </c>
      <c r="C280" s="4" t="s">
        <v>23</v>
      </c>
      <c r="D280" s="4" t="s">
        <v>24</v>
      </c>
      <c r="E280" s="4" t="s">
        <v>29</v>
      </c>
      <c r="F280" s="4" t="s">
        <v>25</v>
      </c>
      <c r="G280" s="4" t="s">
        <v>25</v>
      </c>
      <c r="H280" s="4" t="s">
        <v>25</v>
      </c>
      <c r="I280" s="5">
        <v>44440</v>
      </c>
      <c r="J280" s="6">
        <v>0</v>
      </c>
      <c r="K280" s="6">
        <v>0</v>
      </c>
      <c r="L280" s="6">
        <v>18.943999999999999</v>
      </c>
      <c r="M280" s="6">
        <v>18.943999999999999</v>
      </c>
      <c r="N280" s="6">
        <v>18.943999999999999</v>
      </c>
      <c r="O280" s="6">
        <v>18.943999999999999</v>
      </c>
      <c r="P280" s="6">
        <v>56</v>
      </c>
      <c r="Q280" s="4" t="s">
        <v>26</v>
      </c>
      <c r="R280" s="4">
        <v>0</v>
      </c>
      <c r="S280" s="6">
        <v>0</v>
      </c>
      <c r="T280" s="6">
        <v>26</v>
      </c>
      <c r="U280" s="6">
        <v>18</v>
      </c>
      <c r="V280" s="6">
        <f>IF(ISERROR(VLOOKUP($S$280,'TAR FIN'!$A$1:$O$85,15,0)),0,VLOOKUP($S$280,'TAR FIN'!$A$1:$O$85,15,0))</f>
        <v>0</v>
      </c>
      <c r="W280" s="6">
        <f>IF(ISERROR(VLOOKUP($T$280,'TAR FIN'!$A$1:$O$85,15,0)),0,VLOOKUP($T$280,'TAR FIN'!$A$1:$O$85,15,0))</f>
        <v>155.15</v>
      </c>
      <c r="X280" s="6">
        <f>IF(ISERROR(VLOOKUP($U$280,'TAR FIN'!$A$1:$O$85,15,0)),0,VLOOKUP($U$280,'TAR FIN'!$A$1:$O$85,15,0))</f>
        <v>145.11000000000001</v>
      </c>
      <c r="Y280" s="6"/>
      <c r="Z280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154.29865247660564</v>
      </c>
      <c r="AA280" s="6">
        <f ca="1">('TE BE'!$AB$13+'TE BF_350'!$AB$13+'TE CVA'!$AB$13)*(1-CUSTOS!$M$35)</f>
        <v>136.5303617643867</v>
      </c>
      <c r="AB280" s="6">
        <f>$K$280*$V$280</f>
        <v>0</v>
      </c>
      <c r="AC280" s="6">
        <f>$M$280*$W$280</f>
        <v>2939.1615999999999</v>
      </c>
      <c r="AD280" s="6">
        <f>$O$280*$X$280</f>
        <v>2748.9638400000003</v>
      </c>
      <c r="AE280" s="6">
        <f>$K$280*$Y$280</f>
        <v>0</v>
      </c>
      <c r="AF280" s="6">
        <f ca="1">$M$280*$Z$280</f>
        <v>2923.0336725168172</v>
      </c>
      <c r="AG280" s="6">
        <f ca="1">$O$280*$AA$280</f>
        <v>2586.4311732645415</v>
      </c>
    </row>
    <row r="281" spans="1:33" ht="11.25" customHeight="1" x14ac:dyDescent="0.25">
      <c r="A281" s="4" t="s">
        <v>21</v>
      </c>
      <c r="B281" s="4" t="s">
        <v>22</v>
      </c>
      <c r="C281" s="4" t="s">
        <v>23</v>
      </c>
      <c r="D281" s="4" t="s">
        <v>24</v>
      </c>
      <c r="E281" s="4" t="s">
        <v>29</v>
      </c>
      <c r="F281" s="4" t="s">
        <v>25</v>
      </c>
      <c r="G281" s="4" t="s">
        <v>25</v>
      </c>
      <c r="H281" s="4" t="s">
        <v>25</v>
      </c>
      <c r="I281" s="5">
        <v>44470</v>
      </c>
      <c r="J281" s="6">
        <v>0</v>
      </c>
      <c r="K281" s="6">
        <v>0</v>
      </c>
      <c r="L281" s="6">
        <v>18.806000000000001</v>
      </c>
      <c r="M281" s="6">
        <v>18.806000000000001</v>
      </c>
      <c r="N281" s="6">
        <v>18.806000000000001</v>
      </c>
      <c r="O281" s="6">
        <v>18.806000000000001</v>
      </c>
      <c r="P281" s="6">
        <v>59</v>
      </c>
      <c r="Q281" s="4" t="s">
        <v>26</v>
      </c>
      <c r="R281" s="4">
        <v>0</v>
      </c>
      <c r="S281" s="6">
        <v>0</v>
      </c>
      <c r="T281" s="6">
        <v>26</v>
      </c>
      <c r="U281" s="6">
        <v>18</v>
      </c>
      <c r="V281" s="6">
        <f>IF(ISERROR(VLOOKUP($S$281,'TAR FIN'!$A$1:$O$85,15,0)),0,VLOOKUP($S$281,'TAR FIN'!$A$1:$O$85,15,0))</f>
        <v>0</v>
      </c>
      <c r="W281" s="6">
        <f>IF(ISERROR(VLOOKUP($T$281,'TAR FIN'!$A$1:$O$85,15,0)),0,VLOOKUP($T$281,'TAR FIN'!$A$1:$O$85,15,0))</f>
        <v>155.15</v>
      </c>
      <c r="X281" s="6">
        <f>IF(ISERROR(VLOOKUP($U$281,'TAR FIN'!$A$1:$O$85,15,0)),0,VLOOKUP($U$281,'TAR FIN'!$A$1:$O$85,15,0))</f>
        <v>145.11000000000001</v>
      </c>
      <c r="Y281" s="6"/>
      <c r="Z281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154.29865247660564</v>
      </c>
      <c r="AA281" s="6">
        <f ca="1">('TE BE'!$AB$13+'TE BF_350'!$AB$13+'TE CVA'!$AB$13)*(1-CUSTOS!$M$35)</f>
        <v>136.5303617643867</v>
      </c>
      <c r="AB281" s="6">
        <f>$K$281*$V$281</f>
        <v>0</v>
      </c>
      <c r="AC281" s="6">
        <f>$M$281*$W$281</f>
        <v>2917.7509000000005</v>
      </c>
      <c r="AD281" s="6">
        <f>$O$281*$X$281</f>
        <v>2728.9386600000003</v>
      </c>
      <c r="AE281" s="6">
        <f>$K$281*$Y$281</f>
        <v>0</v>
      </c>
      <c r="AF281" s="6">
        <f ca="1">$M$281*$Z$281</f>
        <v>2901.7404584750457</v>
      </c>
      <c r="AG281" s="6">
        <f ca="1">$O$281*$AA$281</f>
        <v>2567.5899833410563</v>
      </c>
    </row>
    <row r="282" spans="1:33" ht="11.25" customHeight="1" x14ac:dyDescent="0.25">
      <c r="A282" s="4" t="s">
        <v>21</v>
      </c>
      <c r="B282" s="4" t="s">
        <v>22</v>
      </c>
      <c r="C282" s="4" t="s">
        <v>23</v>
      </c>
      <c r="D282" s="4" t="s">
        <v>24</v>
      </c>
      <c r="E282" s="4" t="s">
        <v>29</v>
      </c>
      <c r="F282" s="4" t="s">
        <v>25</v>
      </c>
      <c r="G282" s="4" t="s">
        <v>25</v>
      </c>
      <c r="H282" s="4" t="s">
        <v>25</v>
      </c>
      <c r="I282" s="5">
        <v>44501</v>
      </c>
      <c r="J282" s="6">
        <v>0</v>
      </c>
      <c r="K282" s="6">
        <v>0</v>
      </c>
      <c r="L282" s="6">
        <v>19.143999999999998</v>
      </c>
      <c r="M282" s="6">
        <v>19.143999999999998</v>
      </c>
      <c r="N282" s="6">
        <v>19.143999999999998</v>
      </c>
      <c r="O282" s="6">
        <v>19.143999999999998</v>
      </c>
      <c r="P282" s="6">
        <v>48</v>
      </c>
      <c r="Q282" s="4" t="s">
        <v>26</v>
      </c>
      <c r="R282" s="4">
        <v>0</v>
      </c>
      <c r="S282" s="6">
        <v>0</v>
      </c>
      <c r="T282" s="6">
        <v>26</v>
      </c>
      <c r="U282" s="6">
        <v>18</v>
      </c>
      <c r="V282" s="6">
        <f>IF(ISERROR(VLOOKUP($S$282,'TAR FIN'!$A$1:$O$85,15,0)),0,VLOOKUP($S$282,'TAR FIN'!$A$1:$O$85,15,0))</f>
        <v>0</v>
      </c>
      <c r="W282" s="6">
        <f>IF(ISERROR(VLOOKUP($T$282,'TAR FIN'!$A$1:$O$85,15,0)),0,VLOOKUP($T$282,'TAR FIN'!$A$1:$O$85,15,0))</f>
        <v>155.15</v>
      </c>
      <c r="X282" s="6">
        <f>IF(ISERROR(VLOOKUP($U$282,'TAR FIN'!$A$1:$O$85,15,0)),0,VLOOKUP($U$282,'TAR FIN'!$A$1:$O$85,15,0))</f>
        <v>145.11000000000001</v>
      </c>
      <c r="Y282" s="6"/>
      <c r="Z282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154.29865247660564</v>
      </c>
      <c r="AA282" s="6">
        <f ca="1">('TE BE'!$AB$13+'TE BF_350'!$AB$13+'TE CVA'!$AB$13)*(1-CUSTOS!$M$35)</f>
        <v>136.5303617643867</v>
      </c>
      <c r="AB282" s="6">
        <f>$K$282*$V$282</f>
        <v>0</v>
      </c>
      <c r="AC282" s="6">
        <f>$M$282*$W$282</f>
        <v>2970.1915999999997</v>
      </c>
      <c r="AD282" s="6">
        <f>$O$282*$X$282</f>
        <v>2777.9858399999998</v>
      </c>
      <c r="AE282" s="6">
        <f>$K$282*$Y$282</f>
        <v>0</v>
      </c>
      <c r="AF282" s="6">
        <f ca="1">$M$282*$Z$282</f>
        <v>2953.8934030121382</v>
      </c>
      <c r="AG282" s="6">
        <f ca="1">$O$282*$AA$282</f>
        <v>2613.7372456174189</v>
      </c>
    </row>
    <row r="283" spans="1:33" ht="11.25" customHeight="1" x14ac:dyDescent="0.25">
      <c r="A283" s="4" t="s">
        <v>21</v>
      </c>
      <c r="B283" s="4" t="s">
        <v>22</v>
      </c>
      <c r="C283" s="4" t="s">
        <v>23</v>
      </c>
      <c r="D283" s="4" t="s">
        <v>24</v>
      </c>
      <c r="E283" s="4" t="s">
        <v>29</v>
      </c>
      <c r="F283" s="4" t="s">
        <v>25</v>
      </c>
      <c r="G283" s="4" t="s">
        <v>25</v>
      </c>
      <c r="H283" s="4" t="s">
        <v>25</v>
      </c>
      <c r="I283" s="5">
        <v>44531</v>
      </c>
      <c r="J283" s="6">
        <v>0</v>
      </c>
      <c r="K283" s="6">
        <v>0</v>
      </c>
      <c r="L283" s="6">
        <v>26.596</v>
      </c>
      <c r="M283" s="6">
        <v>26.596</v>
      </c>
      <c r="N283" s="6">
        <v>26.596</v>
      </c>
      <c r="O283" s="6">
        <v>26.596</v>
      </c>
      <c r="P283" s="6">
        <v>67</v>
      </c>
      <c r="Q283" s="4" t="s">
        <v>26</v>
      </c>
      <c r="R283" s="4">
        <v>0</v>
      </c>
      <c r="S283" s="6">
        <v>0</v>
      </c>
      <c r="T283" s="6">
        <v>26</v>
      </c>
      <c r="U283" s="6">
        <v>18</v>
      </c>
      <c r="V283" s="6">
        <f>IF(ISERROR(VLOOKUP($S$283,'TAR FIN'!$A$1:$O$85,15,0)),0,VLOOKUP($S$283,'TAR FIN'!$A$1:$O$85,15,0))</f>
        <v>0</v>
      </c>
      <c r="W283" s="6">
        <f>IF(ISERROR(VLOOKUP($T$283,'TAR FIN'!$A$1:$O$85,15,0)),0,VLOOKUP($T$283,'TAR FIN'!$A$1:$O$85,15,0))</f>
        <v>155.15</v>
      </c>
      <c r="X283" s="6">
        <f>IF(ISERROR(VLOOKUP($U$283,'TAR FIN'!$A$1:$O$85,15,0)),0,VLOOKUP($U$283,'TAR FIN'!$A$1:$O$85,15,0))</f>
        <v>145.11000000000001</v>
      </c>
      <c r="Y283" s="6"/>
      <c r="Z283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154.29865247660564</v>
      </c>
      <c r="AA283" s="6">
        <f ca="1">('TE BE'!$AB$13+'TE BF_350'!$AB$13+'TE CVA'!$AB$13)*(1-CUSTOS!$M$35)</f>
        <v>136.5303617643867</v>
      </c>
      <c r="AB283" s="6">
        <f>$K$283*$V$283</f>
        <v>0</v>
      </c>
      <c r="AC283" s="6">
        <f>$M$283*$W$283</f>
        <v>4126.3694000000005</v>
      </c>
      <c r="AD283" s="6">
        <f>$O$283*$X$283</f>
        <v>3859.3455600000002</v>
      </c>
      <c r="AE283" s="6">
        <f>$K$283*$Y$283</f>
        <v>0</v>
      </c>
      <c r="AF283" s="6">
        <f ca="1">$M$283*$Z$283</f>
        <v>4103.7269612678037</v>
      </c>
      <c r="AG283" s="6">
        <f ca="1">$O$283*$AA$283</f>
        <v>3631.1615014856288</v>
      </c>
    </row>
    <row r="284" spans="1:33" ht="11.25" customHeight="1" x14ac:dyDescent="0.25">
      <c r="A284" s="4" t="s">
        <v>21</v>
      </c>
      <c r="B284" s="4" t="s">
        <v>22</v>
      </c>
      <c r="C284" s="4" t="s">
        <v>23</v>
      </c>
      <c r="D284" s="4" t="s">
        <v>24</v>
      </c>
      <c r="E284" s="4" t="s">
        <v>29</v>
      </c>
      <c r="F284" s="4" t="s">
        <v>25</v>
      </c>
      <c r="G284" s="4" t="s">
        <v>25</v>
      </c>
      <c r="H284" s="4" t="s">
        <v>25</v>
      </c>
      <c r="I284" s="5">
        <v>44562</v>
      </c>
      <c r="J284" s="6">
        <v>0</v>
      </c>
      <c r="K284" s="6">
        <v>0</v>
      </c>
      <c r="L284" s="6">
        <v>31.931000000000001</v>
      </c>
      <c r="M284" s="6">
        <v>31.931000000000001</v>
      </c>
      <c r="N284" s="6">
        <v>31.931000000000001</v>
      </c>
      <c r="O284" s="6">
        <v>31.931000000000001</v>
      </c>
      <c r="P284" s="6">
        <v>74</v>
      </c>
      <c r="Q284" s="4" t="s">
        <v>26</v>
      </c>
      <c r="R284" s="4">
        <v>0</v>
      </c>
      <c r="S284" s="6">
        <v>0</v>
      </c>
      <c r="T284" s="6">
        <v>26</v>
      </c>
      <c r="U284" s="6">
        <v>18</v>
      </c>
      <c r="V284" s="6">
        <f>IF(ISERROR(VLOOKUP($S$284,'TAR FIN'!$A$1:$O$85,15,0)),0,VLOOKUP($S$284,'TAR FIN'!$A$1:$O$85,15,0))</f>
        <v>0</v>
      </c>
      <c r="W284" s="6">
        <f>IF(ISERROR(VLOOKUP($T$284,'TAR FIN'!$A$1:$O$85,15,0)),0,VLOOKUP($T$284,'TAR FIN'!$A$1:$O$85,15,0))</f>
        <v>155.15</v>
      </c>
      <c r="X284" s="6">
        <f>IF(ISERROR(VLOOKUP($U$284,'TAR FIN'!$A$1:$O$85,15,0)),0,VLOOKUP($U$284,'TAR FIN'!$A$1:$O$85,15,0))</f>
        <v>145.11000000000001</v>
      </c>
      <c r="Y284" s="6"/>
      <c r="Z284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154.29865247660564</v>
      </c>
      <c r="AA284" s="6">
        <f ca="1">('TE BE'!$AB$13+'TE BF_350'!$AB$13+'TE CVA'!$AB$13)*(1-CUSTOS!$M$35)</f>
        <v>136.5303617643867</v>
      </c>
      <c r="AB284" s="6">
        <f>$K$284*$V$284</f>
        <v>0</v>
      </c>
      <c r="AC284" s="6">
        <f>$M$284*$W$284</f>
        <v>4954.09465</v>
      </c>
      <c r="AD284" s="6">
        <f>$O$284*$X$284</f>
        <v>4633.5074100000002</v>
      </c>
      <c r="AE284" s="6">
        <f>$K$284*$Y$284</f>
        <v>0</v>
      </c>
      <c r="AF284" s="6">
        <f ca="1">$M$284*$Z$284</f>
        <v>4926.9102722304951</v>
      </c>
      <c r="AG284" s="6">
        <f ca="1">$O$284*$AA$284</f>
        <v>4359.5509814986317</v>
      </c>
    </row>
    <row r="285" spans="1:33" ht="11.25" customHeight="1" x14ac:dyDescent="0.25">
      <c r="A285" s="4" t="s">
        <v>21</v>
      </c>
      <c r="B285" s="4" t="s">
        <v>22</v>
      </c>
      <c r="C285" s="4" t="s">
        <v>23</v>
      </c>
      <c r="D285" s="4" t="s">
        <v>24</v>
      </c>
      <c r="E285" s="4" t="s">
        <v>29</v>
      </c>
      <c r="F285" s="4" t="s">
        <v>25</v>
      </c>
      <c r="G285" s="4" t="s">
        <v>25</v>
      </c>
      <c r="H285" s="4" t="s">
        <v>25</v>
      </c>
      <c r="I285" s="5">
        <v>44593</v>
      </c>
      <c r="J285" s="6">
        <v>0</v>
      </c>
      <c r="K285" s="6">
        <v>0</v>
      </c>
      <c r="L285" s="6">
        <v>35.450000000000003</v>
      </c>
      <c r="M285" s="6">
        <v>35.450000000000003</v>
      </c>
      <c r="N285" s="6">
        <v>35.450000000000003</v>
      </c>
      <c r="O285" s="6">
        <v>35.450000000000003</v>
      </c>
      <c r="P285" s="6">
        <v>84</v>
      </c>
      <c r="Q285" s="4" t="s">
        <v>26</v>
      </c>
      <c r="R285" s="4">
        <v>0</v>
      </c>
      <c r="S285" s="6">
        <v>0</v>
      </c>
      <c r="T285" s="6">
        <v>26</v>
      </c>
      <c r="U285" s="6">
        <v>18</v>
      </c>
      <c r="V285" s="6">
        <f>IF(ISERROR(VLOOKUP($S$285,'TAR FIN'!$A$1:$O$85,15,0)),0,VLOOKUP($S$285,'TAR FIN'!$A$1:$O$85,15,0))</f>
        <v>0</v>
      </c>
      <c r="W285" s="6">
        <f>IF(ISERROR(VLOOKUP($T$285,'TAR FIN'!$A$1:$O$85,15,0)),0,VLOOKUP($T$285,'TAR FIN'!$A$1:$O$85,15,0))</f>
        <v>155.15</v>
      </c>
      <c r="X285" s="6">
        <f>IF(ISERROR(VLOOKUP($U$285,'TAR FIN'!$A$1:$O$85,15,0)),0,VLOOKUP($U$285,'TAR FIN'!$A$1:$O$85,15,0))</f>
        <v>145.11000000000001</v>
      </c>
      <c r="Y285" s="6"/>
      <c r="Z285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154.29865247660564</v>
      </c>
      <c r="AA285" s="6">
        <f ca="1">('TE BE'!$AB$13+'TE BF_350'!$AB$13+'TE CVA'!$AB$13)*(1-CUSTOS!$M$35)</f>
        <v>136.5303617643867</v>
      </c>
      <c r="AB285" s="6">
        <f>$K$285*$V$285</f>
        <v>0</v>
      </c>
      <c r="AC285" s="6">
        <f>$M$285*$W$285</f>
        <v>5500.067500000001</v>
      </c>
      <c r="AD285" s="6">
        <f>$O$285*$X$285</f>
        <v>5144.1495000000004</v>
      </c>
      <c r="AE285" s="6">
        <f>$K$285*$Y$285</f>
        <v>0</v>
      </c>
      <c r="AF285" s="6">
        <f ca="1">$M$285*$Z$285</f>
        <v>5469.8872302956706</v>
      </c>
      <c r="AG285" s="6">
        <f ca="1">$O$285*$AA$285</f>
        <v>4840.0013245475084</v>
      </c>
    </row>
    <row r="286" spans="1:33" ht="11.25" customHeight="1" x14ac:dyDescent="0.25">
      <c r="A286" s="4" t="s">
        <v>21</v>
      </c>
      <c r="B286" s="4" t="s">
        <v>22</v>
      </c>
      <c r="C286" s="4" t="s">
        <v>23</v>
      </c>
      <c r="D286" s="4" t="s">
        <v>24</v>
      </c>
      <c r="E286" s="4" t="s">
        <v>29</v>
      </c>
      <c r="F286" s="4" t="s">
        <v>25</v>
      </c>
      <c r="G286" s="4" t="s">
        <v>25</v>
      </c>
      <c r="H286" s="4" t="s">
        <v>25</v>
      </c>
      <c r="I286" s="5">
        <v>44621</v>
      </c>
      <c r="J286" s="6">
        <v>0</v>
      </c>
      <c r="K286" s="6">
        <v>0</v>
      </c>
      <c r="L286" s="6">
        <v>36.933999999999997</v>
      </c>
      <c r="M286" s="6">
        <v>36.933999999999997</v>
      </c>
      <c r="N286" s="6">
        <v>36.933999999999997</v>
      </c>
      <c r="O286" s="6">
        <v>36.933999999999997</v>
      </c>
      <c r="P286" s="6">
        <v>114</v>
      </c>
      <c r="Q286" s="4" t="s">
        <v>26</v>
      </c>
      <c r="R286" s="4">
        <v>0</v>
      </c>
      <c r="S286" s="6">
        <v>0</v>
      </c>
      <c r="T286" s="6">
        <v>26</v>
      </c>
      <c r="U286" s="6">
        <v>18</v>
      </c>
      <c r="V286" s="6">
        <f>IF(ISERROR(VLOOKUP($S$286,'TAR FIN'!$A$1:$O$85,15,0)),0,VLOOKUP($S$286,'TAR FIN'!$A$1:$O$85,15,0))</f>
        <v>0</v>
      </c>
      <c r="W286" s="6">
        <f>IF(ISERROR(VLOOKUP($T$286,'TAR FIN'!$A$1:$O$85,15,0)),0,VLOOKUP($T$286,'TAR FIN'!$A$1:$O$85,15,0))</f>
        <v>155.15</v>
      </c>
      <c r="X286" s="6">
        <f>IF(ISERROR(VLOOKUP($U$286,'TAR FIN'!$A$1:$O$85,15,0)),0,VLOOKUP($U$286,'TAR FIN'!$A$1:$O$85,15,0))</f>
        <v>145.11000000000001</v>
      </c>
      <c r="Y286" s="6"/>
      <c r="Z286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154.29865247660564</v>
      </c>
      <c r="AA286" s="6">
        <f ca="1">('TE BE'!$AB$13+'TE BF_350'!$AB$13+'TE CVA'!$AB$13)*(1-CUSTOS!$M$35)</f>
        <v>136.5303617643867</v>
      </c>
      <c r="AB286" s="6">
        <f>$K$286*$V$286</f>
        <v>0</v>
      </c>
      <c r="AC286" s="6">
        <f>$M$286*$W$286</f>
        <v>5730.3100999999997</v>
      </c>
      <c r="AD286" s="6">
        <f>$O$286*$X$286</f>
        <v>5359.4927400000006</v>
      </c>
      <c r="AE286" s="6">
        <f>$K$286*$Y$286</f>
        <v>0</v>
      </c>
      <c r="AF286" s="6">
        <f ca="1">$M$286*$Z$286</f>
        <v>5698.8664305709526</v>
      </c>
      <c r="AG286" s="6">
        <f ca="1">$O$286*$AA$286</f>
        <v>5042.6123814058583</v>
      </c>
    </row>
    <row r="287" spans="1:33" ht="11.25" customHeight="1" x14ac:dyDescent="0.25">
      <c r="A287" s="4" t="s">
        <v>21</v>
      </c>
      <c r="B287" s="4" t="s">
        <v>22</v>
      </c>
      <c r="C287" s="4" t="s">
        <v>23</v>
      </c>
      <c r="D287" s="4" t="s">
        <v>24</v>
      </c>
      <c r="E287" s="4" t="s">
        <v>29</v>
      </c>
      <c r="F287" s="4" t="s">
        <v>25</v>
      </c>
      <c r="G287" s="4" t="s">
        <v>25</v>
      </c>
      <c r="H287" s="4" t="s">
        <v>25</v>
      </c>
      <c r="I287" s="5">
        <v>44652</v>
      </c>
      <c r="J287" s="6">
        <v>0</v>
      </c>
      <c r="K287" s="6">
        <v>0</v>
      </c>
      <c r="L287" s="6">
        <v>39.765000000000001</v>
      </c>
      <c r="M287" s="6">
        <v>39.765000000000001</v>
      </c>
      <c r="N287" s="6">
        <v>39.765000000000001</v>
      </c>
      <c r="O287" s="6">
        <v>39.765000000000001</v>
      </c>
      <c r="P287" s="6">
        <v>144</v>
      </c>
      <c r="Q287" s="4" t="s">
        <v>26</v>
      </c>
      <c r="R287" s="4">
        <v>0</v>
      </c>
      <c r="S287" s="6">
        <v>0</v>
      </c>
      <c r="T287" s="6">
        <v>26</v>
      </c>
      <c r="U287" s="6">
        <v>18</v>
      </c>
      <c r="V287" s="6">
        <f>IF(ISERROR(VLOOKUP($S$287,'TAR FIN'!$A$1:$O$85,15,0)),0,VLOOKUP($S$287,'TAR FIN'!$A$1:$O$85,15,0))</f>
        <v>0</v>
      </c>
      <c r="W287" s="6">
        <f>IF(ISERROR(VLOOKUP($T$287,'TAR FIN'!$A$1:$O$85,15,0)),0,VLOOKUP($T$287,'TAR FIN'!$A$1:$O$85,15,0))</f>
        <v>155.15</v>
      </c>
      <c r="X287" s="6">
        <f>IF(ISERROR(VLOOKUP($U$287,'TAR FIN'!$A$1:$O$85,15,0)),0,VLOOKUP($U$287,'TAR FIN'!$A$1:$O$85,15,0))</f>
        <v>145.11000000000001</v>
      </c>
      <c r="Y287" s="6"/>
      <c r="Z287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154.29865247660564</v>
      </c>
      <c r="AA287" s="6">
        <f ca="1">('TE BE'!$AB$13+'TE BF_350'!$AB$13+'TE CVA'!$AB$13)*(1-CUSTOS!$M$35)</f>
        <v>136.5303617643867</v>
      </c>
      <c r="AB287" s="6">
        <f>$K$287*$V$287</f>
        <v>0</v>
      </c>
      <c r="AC287" s="6">
        <f>$M$287*$W$287</f>
        <v>6169.5397499999999</v>
      </c>
      <c r="AD287" s="6">
        <f>$O$287*$X$287</f>
        <v>5770.2991500000007</v>
      </c>
      <c r="AE287" s="6">
        <f>$K$287*$Y$287</f>
        <v>0</v>
      </c>
      <c r="AF287" s="6">
        <f ca="1">$M$287*$Z$287</f>
        <v>6135.6859157322233</v>
      </c>
      <c r="AG287" s="6">
        <f ca="1">$O$287*$AA$287</f>
        <v>5429.1298355608369</v>
      </c>
    </row>
    <row r="288" spans="1:33" ht="11.25" customHeight="1" x14ac:dyDescent="0.25">
      <c r="A288" s="4" t="s">
        <v>21</v>
      </c>
      <c r="B288" s="4" t="s">
        <v>22</v>
      </c>
      <c r="C288" s="4" t="s">
        <v>23</v>
      </c>
      <c r="D288" s="4" t="s">
        <v>24</v>
      </c>
      <c r="E288" s="4" t="s">
        <v>29</v>
      </c>
      <c r="F288" s="4" t="s">
        <v>25</v>
      </c>
      <c r="G288" s="4" t="s">
        <v>25</v>
      </c>
      <c r="H288" s="4" t="s">
        <v>25</v>
      </c>
      <c r="I288" s="5">
        <v>44682</v>
      </c>
      <c r="J288" s="6">
        <v>0</v>
      </c>
      <c r="K288" s="6">
        <v>0</v>
      </c>
      <c r="L288" s="6">
        <v>40.735999999999997</v>
      </c>
      <c r="M288" s="6">
        <v>40.735999999999997</v>
      </c>
      <c r="N288" s="6">
        <v>40.735999999999997</v>
      </c>
      <c r="O288" s="6">
        <v>40.735999999999997</v>
      </c>
      <c r="P288" s="6">
        <v>140</v>
      </c>
      <c r="Q288" s="4" t="s">
        <v>26</v>
      </c>
      <c r="R288" s="4">
        <v>0</v>
      </c>
      <c r="S288" s="6">
        <v>0</v>
      </c>
      <c r="T288" s="6">
        <v>26</v>
      </c>
      <c r="U288" s="6">
        <v>18</v>
      </c>
      <c r="V288" s="6">
        <f>IF(ISERROR(VLOOKUP($S$288,'TAR FIN'!$A$1:$O$85,15,0)),0,VLOOKUP($S$288,'TAR FIN'!$A$1:$O$85,15,0))</f>
        <v>0</v>
      </c>
      <c r="W288" s="6">
        <f>IF(ISERROR(VLOOKUP($T$288,'TAR FIN'!$A$1:$O$85,15,0)),0,VLOOKUP($T$288,'TAR FIN'!$A$1:$O$85,15,0))</f>
        <v>155.15</v>
      </c>
      <c r="X288" s="6">
        <f>IF(ISERROR(VLOOKUP($U$288,'TAR FIN'!$A$1:$O$85,15,0)),0,VLOOKUP($U$288,'TAR FIN'!$A$1:$O$85,15,0))</f>
        <v>145.11000000000001</v>
      </c>
      <c r="Y288" s="6"/>
      <c r="Z288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154.29865247660564</v>
      </c>
      <c r="AA288" s="6">
        <f ca="1">('TE BE'!$AB$13+'TE BF_350'!$AB$13+'TE CVA'!$AB$13)*(1-CUSTOS!$M$35)</f>
        <v>136.5303617643867</v>
      </c>
      <c r="AB288" s="6">
        <f>$K$288*$V$288</f>
        <v>0</v>
      </c>
      <c r="AC288" s="6">
        <f>$M$288*$W$288</f>
        <v>6320.1903999999995</v>
      </c>
      <c r="AD288" s="6">
        <f>$O$288*$X$288</f>
        <v>5911.2009600000001</v>
      </c>
      <c r="AE288" s="6">
        <f>$K$288*$Y$288</f>
        <v>0</v>
      </c>
      <c r="AF288" s="6">
        <f ca="1">$M$288*$Z$288</f>
        <v>6285.5099072870071</v>
      </c>
      <c r="AG288" s="6">
        <f ca="1">$O$288*$AA$288</f>
        <v>5561.7008168340562</v>
      </c>
    </row>
    <row r="289" spans="1:33" ht="11.25" customHeight="1" x14ac:dyDescent="0.25">
      <c r="A289" s="4" t="s">
        <v>27</v>
      </c>
      <c r="B289" s="4" t="s">
        <v>22</v>
      </c>
      <c r="C289" s="4" t="s">
        <v>23</v>
      </c>
      <c r="D289" s="4" t="s">
        <v>24</v>
      </c>
      <c r="E289" s="4" t="s">
        <v>29</v>
      </c>
      <c r="F289" s="4" t="s">
        <v>25</v>
      </c>
      <c r="G289" s="4" t="s">
        <v>25</v>
      </c>
      <c r="H289" s="4" t="s">
        <v>25</v>
      </c>
      <c r="I289" s="5">
        <v>44682</v>
      </c>
      <c r="J289" s="6">
        <v>0</v>
      </c>
      <c r="K289" s="6">
        <v>0</v>
      </c>
      <c r="L289" s="6">
        <v>7.0000000000000007E-2</v>
      </c>
      <c r="M289" s="6">
        <v>1.4E-2</v>
      </c>
      <c r="N289" s="6">
        <v>7.0000000000000007E-2</v>
      </c>
      <c r="O289" s="6">
        <v>1.4E-2</v>
      </c>
      <c r="P289" s="6">
        <v>0</v>
      </c>
      <c r="Q289" s="4" t="s">
        <v>26</v>
      </c>
      <c r="R289" s="4">
        <v>0</v>
      </c>
      <c r="S289" s="6">
        <v>0</v>
      </c>
      <c r="T289" s="6">
        <v>26</v>
      </c>
      <c r="U289" s="6">
        <v>18</v>
      </c>
      <c r="V289" s="6">
        <f>IF(ISERROR(VLOOKUP($S$289,'TAR FIN'!$A$1:$O$85,15,0)),0,VLOOKUP($S$289,'TAR FIN'!$A$1:$O$85,15,0))</f>
        <v>0</v>
      </c>
      <c r="W289" s="6">
        <f>IF(ISERROR(VLOOKUP($T$289,'TAR FIN'!$A$1:$O$85,15,0)),0,VLOOKUP($T$289,'TAR FIN'!$A$1:$O$85,15,0))</f>
        <v>155.15</v>
      </c>
      <c r="X289" s="6">
        <f>IF(ISERROR(VLOOKUP($U$289,'TAR FIN'!$A$1:$O$85,15,0)),0,VLOOKUP($U$289,'TAR FIN'!$A$1:$O$85,15,0))</f>
        <v>145.11000000000001</v>
      </c>
      <c r="Y289" s="6"/>
      <c r="Z289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154.29865247660564</v>
      </c>
      <c r="AA289" s="6">
        <f ca="1">('TE BE'!$AB$13+'TE BF_350'!$AB$13+'TE CVA'!$AB$13)*(1-CUSTOS!$M$35)</f>
        <v>136.5303617643867</v>
      </c>
      <c r="AB289" s="6">
        <f>$K$289*$V$289</f>
        <v>0</v>
      </c>
      <c r="AC289" s="6">
        <f>$M$289*$W$289</f>
        <v>2.1720999999999999</v>
      </c>
      <c r="AD289" s="6">
        <f>$O$289*$X$289</f>
        <v>2.0315400000000001</v>
      </c>
      <c r="AE289" s="6">
        <f>$K$289*$Y$289</f>
        <v>0</v>
      </c>
      <c r="AF289" s="6">
        <f ca="1">$M$289*$Z$289</f>
        <v>2.1601811346724791</v>
      </c>
      <c r="AG289" s="6">
        <f ca="1">$O$289*$AA$289</f>
        <v>1.9114250647014137</v>
      </c>
    </row>
    <row r="290" spans="1:33" ht="11.25" customHeight="1" x14ac:dyDescent="0.25">
      <c r="A290" s="4" t="s">
        <v>21</v>
      </c>
      <c r="B290" s="4" t="s">
        <v>22</v>
      </c>
      <c r="C290" s="4" t="s">
        <v>23</v>
      </c>
      <c r="D290" s="4" t="s">
        <v>24</v>
      </c>
      <c r="E290" s="4" t="s">
        <v>29</v>
      </c>
      <c r="F290" s="4" t="s">
        <v>25</v>
      </c>
      <c r="G290" s="4" t="s">
        <v>25</v>
      </c>
      <c r="H290" s="4" t="s">
        <v>25</v>
      </c>
      <c r="I290" s="5">
        <v>44713</v>
      </c>
      <c r="J290" s="6">
        <v>0</v>
      </c>
      <c r="K290" s="6">
        <v>0</v>
      </c>
      <c r="L290" s="6">
        <v>45.326999999999998</v>
      </c>
      <c r="M290" s="6">
        <v>45.326999999999998</v>
      </c>
      <c r="N290" s="6">
        <v>45.326999999999998</v>
      </c>
      <c r="O290" s="6">
        <v>45.326999999999998</v>
      </c>
      <c r="P290" s="6">
        <v>154</v>
      </c>
      <c r="Q290" s="4" t="s">
        <v>26</v>
      </c>
      <c r="R290" s="4">
        <v>0</v>
      </c>
      <c r="S290" s="6">
        <v>0</v>
      </c>
      <c r="T290" s="6">
        <v>26</v>
      </c>
      <c r="U290" s="6">
        <v>18</v>
      </c>
      <c r="V290" s="6">
        <f>IF(ISERROR(VLOOKUP($S$290,'TAR FIN'!$A$1:$O$85,15,0)),0,VLOOKUP($S$290,'TAR FIN'!$A$1:$O$85,15,0))</f>
        <v>0</v>
      </c>
      <c r="W290" s="6">
        <f>IF(ISERROR(VLOOKUP($T$290,'TAR FIN'!$A$1:$O$85,15,0)),0,VLOOKUP($T$290,'TAR FIN'!$A$1:$O$85,15,0))</f>
        <v>155.15</v>
      </c>
      <c r="X290" s="6">
        <f>IF(ISERROR(VLOOKUP($U$290,'TAR FIN'!$A$1:$O$85,15,0)),0,VLOOKUP($U$290,'TAR FIN'!$A$1:$O$85,15,0))</f>
        <v>145.11000000000001</v>
      </c>
      <c r="Y290" s="6"/>
      <c r="Z290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154.29865247660564</v>
      </c>
      <c r="AA290" s="6">
        <f ca="1">('TE BE'!$AB$13+'TE BF_350'!$AB$13+'TE CVA'!$AB$13)*(1-CUSTOS!$M$35)</f>
        <v>136.5303617643867</v>
      </c>
      <c r="AB290" s="6">
        <f>$K$290*$V$290</f>
        <v>0</v>
      </c>
      <c r="AC290" s="6">
        <f>$M$290*$W$290</f>
        <v>7032.48405</v>
      </c>
      <c r="AD290" s="6">
        <f>$O$290*$X$290</f>
        <v>6577.4009700000006</v>
      </c>
      <c r="AE290" s="6">
        <f>$K$290*$Y$290</f>
        <v>0</v>
      </c>
      <c r="AF290" s="6">
        <f ca="1">$M$290*$Z$290</f>
        <v>6993.8950208071037</v>
      </c>
      <c r="AG290" s="6">
        <f ca="1">$O$290*$AA$290</f>
        <v>6188.5117076943552</v>
      </c>
    </row>
    <row r="291" spans="1:33" ht="11.25" customHeight="1" x14ac:dyDescent="0.25">
      <c r="A291" s="4" t="s">
        <v>27</v>
      </c>
      <c r="B291" s="4" t="s">
        <v>22</v>
      </c>
      <c r="C291" s="4" t="s">
        <v>23</v>
      </c>
      <c r="D291" s="4" t="s">
        <v>24</v>
      </c>
      <c r="E291" s="4" t="s">
        <v>29</v>
      </c>
      <c r="F291" s="4" t="s">
        <v>25</v>
      </c>
      <c r="G291" s="4" t="s">
        <v>25</v>
      </c>
      <c r="H291" s="4" t="s">
        <v>25</v>
      </c>
      <c r="I291" s="5">
        <v>44713</v>
      </c>
      <c r="J291" s="6">
        <v>0</v>
      </c>
      <c r="K291" s="6">
        <v>0</v>
      </c>
      <c r="L291" s="6">
        <v>7.0000000000000007E-2</v>
      </c>
      <c r="M291" s="6">
        <v>-1.4E-2</v>
      </c>
      <c r="N291" s="6">
        <v>7.0000000000000007E-2</v>
      </c>
      <c r="O291" s="6">
        <v>-1.4E-2</v>
      </c>
      <c r="P291" s="6">
        <v>0</v>
      </c>
      <c r="Q291" s="4" t="s">
        <v>26</v>
      </c>
      <c r="R291" s="4">
        <v>0</v>
      </c>
      <c r="S291" s="6">
        <v>0</v>
      </c>
      <c r="T291" s="6">
        <v>26</v>
      </c>
      <c r="U291" s="6">
        <v>18</v>
      </c>
      <c r="V291" s="6">
        <f>IF(ISERROR(VLOOKUP($S$291,'TAR FIN'!$A$1:$O$85,15,0)),0,VLOOKUP($S$291,'TAR FIN'!$A$1:$O$85,15,0))</f>
        <v>0</v>
      </c>
      <c r="W291" s="6">
        <f>IF(ISERROR(VLOOKUP($T$291,'TAR FIN'!$A$1:$O$85,15,0)),0,VLOOKUP($T$291,'TAR FIN'!$A$1:$O$85,15,0))</f>
        <v>155.15</v>
      </c>
      <c r="X291" s="6">
        <f>IF(ISERROR(VLOOKUP($U$291,'TAR FIN'!$A$1:$O$85,15,0)),0,VLOOKUP($U$291,'TAR FIN'!$A$1:$O$85,15,0))</f>
        <v>145.11000000000001</v>
      </c>
      <c r="Y291" s="6"/>
      <c r="Z291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154.29865247660564</v>
      </c>
      <c r="AA291" s="6">
        <f ca="1">('TE BE'!$AB$13+'TE BF_350'!$AB$13+'TE CVA'!$AB$13)*(1-CUSTOS!$M$35)</f>
        <v>136.5303617643867</v>
      </c>
      <c r="AB291" s="6">
        <f>$K$291*$V$291</f>
        <v>0</v>
      </c>
      <c r="AC291" s="6">
        <f>$M$291*$W$291</f>
        <v>-2.1720999999999999</v>
      </c>
      <c r="AD291" s="6">
        <f>$O$291*$X$291</f>
        <v>-2.0315400000000001</v>
      </c>
      <c r="AE291" s="6">
        <f>$K$291*$Y$291</f>
        <v>0</v>
      </c>
      <c r="AF291" s="6">
        <f ca="1">$M$291*$Z$291</f>
        <v>-2.1601811346724791</v>
      </c>
      <c r="AG291" s="6">
        <f ca="1">$O$291*$AA$291</f>
        <v>-1.9114250647014137</v>
      </c>
    </row>
    <row r="292" spans="1:33" ht="11.25" customHeight="1" x14ac:dyDescent="0.25">
      <c r="A292" s="4" t="s">
        <v>21</v>
      </c>
      <c r="B292" s="4" t="s">
        <v>22</v>
      </c>
      <c r="C292" s="4" t="s">
        <v>23</v>
      </c>
      <c r="D292" s="4" t="s">
        <v>24</v>
      </c>
      <c r="E292" s="4" t="s">
        <v>30</v>
      </c>
      <c r="F292" s="4" t="s">
        <v>25</v>
      </c>
      <c r="G292" s="4" t="s">
        <v>25</v>
      </c>
      <c r="H292" s="4" t="s">
        <v>25</v>
      </c>
      <c r="I292" s="5">
        <v>44378</v>
      </c>
      <c r="J292" s="6">
        <v>0</v>
      </c>
      <c r="K292" s="6">
        <v>0</v>
      </c>
      <c r="L292" s="6">
        <v>18.306999999999999</v>
      </c>
      <c r="M292" s="6">
        <v>18.306999999999999</v>
      </c>
      <c r="N292" s="6">
        <v>18.306999999999999</v>
      </c>
      <c r="O292" s="6">
        <v>18.306999999999999</v>
      </c>
      <c r="P292" s="6">
        <v>145</v>
      </c>
      <c r="Q292" s="4" t="s">
        <v>26</v>
      </c>
      <c r="R292" s="4">
        <v>0</v>
      </c>
      <c r="S292" s="6">
        <v>0</v>
      </c>
      <c r="T292" s="6">
        <v>45</v>
      </c>
      <c r="U292" s="6">
        <v>53</v>
      </c>
      <c r="V292" s="6">
        <f>IF(ISERROR(VLOOKUP($S$292,'TAR FIN'!$A$1:$O$85,15,0)),0,VLOOKUP($S$292,'TAR FIN'!$A$1:$O$85,15,0))</f>
        <v>0</v>
      </c>
      <c r="W292" s="6">
        <f>IF(ISERROR(VLOOKUP($T$292,'TAR FIN'!$A$1:$O$85,15,0)),0,VLOOKUP($T$292,'TAR FIN'!$A$1:$O$85,15,0))</f>
        <v>232.73</v>
      </c>
      <c r="X292" s="6">
        <f>IF(ISERROR(VLOOKUP($U$292,'TAR FIN'!$A$1:$O$85,15,0)),0,VLOOKUP($U$292,'TAR FIN'!$A$1:$O$85,15,0))</f>
        <v>217.67</v>
      </c>
      <c r="Y292" s="6"/>
      <c r="Z292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231.44797871490846</v>
      </c>
      <c r="AA292" s="6">
        <f ca="1">('TE BE'!$AB$14+'TE BF_350'!$AB$14+'TE CVA'!$AB$14)*(1-CUSTOS!$M$36)</f>
        <v>204.79554264658009</v>
      </c>
      <c r="AB292" s="6">
        <f>$K$292*$V$292</f>
        <v>0</v>
      </c>
      <c r="AC292" s="6">
        <f>$M$292*$W$292</f>
        <v>4260.5881099999997</v>
      </c>
      <c r="AD292" s="6">
        <f>$O$292*$X$292</f>
        <v>3984.8846899999994</v>
      </c>
      <c r="AE292" s="6">
        <f>$K$292*$Y$292</f>
        <v>0</v>
      </c>
      <c r="AF292" s="6">
        <f ca="1">$M$292*$Z$292</f>
        <v>4237.1181463338289</v>
      </c>
      <c r="AG292" s="6">
        <f ca="1">$O$292*$AA$292</f>
        <v>3749.1919992309413</v>
      </c>
    </row>
    <row r="293" spans="1:33" ht="11.25" customHeight="1" x14ac:dyDescent="0.25">
      <c r="A293" s="4" t="s">
        <v>21</v>
      </c>
      <c r="B293" s="4" t="s">
        <v>22</v>
      </c>
      <c r="C293" s="4" t="s">
        <v>23</v>
      </c>
      <c r="D293" s="4" t="s">
        <v>24</v>
      </c>
      <c r="E293" s="4" t="s">
        <v>30</v>
      </c>
      <c r="F293" s="4" t="s">
        <v>25</v>
      </c>
      <c r="G293" s="4" t="s">
        <v>25</v>
      </c>
      <c r="H293" s="4" t="s">
        <v>25</v>
      </c>
      <c r="I293" s="5">
        <v>44409</v>
      </c>
      <c r="J293" s="6">
        <v>0</v>
      </c>
      <c r="K293" s="6">
        <v>0</v>
      </c>
      <c r="L293" s="6">
        <v>19.001999999999999</v>
      </c>
      <c r="M293" s="6">
        <v>19.001999999999999</v>
      </c>
      <c r="N293" s="6">
        <v>19.001999999999999</v>
      </c>
      <c r="O293" s="6">
        <v>19.001999999999999</v>
      </c>
      <c r="P293" s="6">
        <v>148</v>
      </c>
      <c r="Q293" s="4" t="s">
        <v>26</v>
      </c>
      <c r="R293" s="4">
        <v>0</v>
      </c>
      <c r="S293" s="6">
        <v>0</v>
      </c>
      <c r="T293" s="6">
        <v>45</v>
      </c>
      <c r="U293" s="6">
        <v>53</v>
      </c>
      <c r="V293" s="6">
        <f>IF(ISERROR(VLOOKUP($S$293,'TAR FIN'!$A$1:$O$85,15,0)),0,VLOOKUP($S$293,'TAR FIN'!$A$1:$O$85,15,0))</f>
        <v>0</v>
      </c>
      <c r="W293" s="6">
        <f>IF(ISERROR(VLOOKUP($T$293,'TAR FIN'!$A$1:$O$85,15,0)),0,VLOOKUP($T$293,'TAR FIN'!$A$1:$O$85,15,0))</f>
        <v>232.73</v>
      </c>
      <c r="X293" s="6">
        <f>IF(ISERROR(VLOOKUP($U$293,'TAR FIN'!$A$1:$O$85,15,0)),0,VLOOKUP($U$293,'TAR FIN'!$A$1:$O$85,15,0))</f>
        <v>217.67</v>
      </c>
      <c r="Y293" s="6"/>
      <c r="Z293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231.44797871490846</v>
      </c>
      <c r="AA293" s="6">
        <f ca="1">('TE BE'!$AB$14+'TE BF_350'!$AB$14+'TE CVA'!$AB$14)*(1-CUSTOS!$M$36)</f>
        <v>204.79554264658009</v>
      </c>
      <c r="AB293" s="6">
        <f>$K$293*$V$293</f>
        <v>0</v>
      </c>
      <c r="AC293" s="6">
        <f>$M$293*$W$293</f>
        <v>4422.3354599999993</v>
      </c>
      <c r="AD293" s="6">
        <f>$O$293*$X$293</f>
        <v>4136.1653399999996</v>
      </c>
      <c r="AE293" s="6">
        <f>$K$293*$Y$293</f>
        <v>0</v>
      </c>
      <c r="AF293" s="6">
        <f ca="1">$M$293*$Z$293</f>
        <v>4397.97449154069</v>
      </c>
      <c r="AG293" s="6">
        <f ca="1">$O$293*$AA$293</f>
        <v>3891.5249013703146</v>
      </c>
    </row>
    <row r="294" spans="1:33" ht="11.25" customHeight="1" x14ac:dyDescent="0.25">
      <c r="A294" s="4" t="s">
        <v>21</v>
      </c>
      <c r="B294" s="4" t="s">
        <v>22</v>
      </c>
      <c r="C294" s="4" t="s">
        <v>23</v>
      </c>
      <c r="D294" s="4" t="s">
        <v>24</v>
      </c>
      <c r="E294" s="4" t="s">
        <v>30</v>
      </c>
      <c r="F294" s="4" t="s">
        <v>25</v>
      </c>
      <c r="G294" s="4" t="s">
        <v>25</v>
      </c>
      <c r="H294" s="4" t="s">
        <v>25</v>
      </c>
      <c r="I294" s="5">
        <v>44440</v>
      </c>
      <c r="J294" s="6">
        <v>0</v>
      </c>
      <c r="K294" s="6">
        <v>0</v>
      </c>
      <c r="L294" s="6">
        <v>18.817</v>
      </c>
      <c r="M294" s="6">
        <v>18.817</v>
      </c>
      <c r="N294" s="6">
        <v>18.817</v>
      </c>
      <c r="O294" s="6">
        <v>18.817</v>
      </c>
      <c r="P294" s="6">
        <v>153</v>
      </c>
      <c r="Q294" s="4" t="s">
        <v>26</v>
      </c>
      <c r="R294" s="4">
        <v>0</v>
      </c>
      <c r="S294" s="6">
        <v>0</v>
      </c>
      <c r="T294" s="6">
        <v>45</v>
      </c>
      <c r="U294" s="6">
        <v>53</v>
      </c>
      <c r="V294" s="6">
        <f>IF(ISERROR(VLOOKUP($S$294,'TAR FIN'!$A$1:$O$85,15,0)),0,VLOOKUP($S$294,'TAR FIN'!$A$1:$O$85,15,0))</f>
        <v>0</v>
      </c>
      <c r="W294" s="6">
        <f>IF(ISERROR(VLOOKUP($T$294,'TAR FIN'!$A$1:$O$85,15,0)),0,VLOOKUP($T$294,'TAR FIN'!$A$1:$O$85,15,0))</f>
        <v>232.73</v>
      </c>
      <c r="X294" s="6">
        <f>IF(ISERROR(VLOOKUP($U$294,'TAR FIN'!$A$1:$O$85,15,0)),0,VLOOKUP($U$294,'TAR FIN'!$A$1:$O$85,15,0))</f>
        <v>217.67</v>
      </c>
      <c r="Y294" s="6"/>
      <c r="Z294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231.44797871490846</v>
      </c>
      <c r="AA294" s="6">
        <f ca="1">('TE BE'!$AB$14+'TE BF_350'!$AB$14+'TE CVA'!$AB$14)*(1-CUSTOS!$M$36)</f>
        <v>204.79554264658009</v>
      </c>
      <c r="AB294" s="6">
        <f>$K$294*$V$294</f>
        <v>0</v>
      </c>
      <c r="AC294" s="6">
        <f>$M$294*$W$294</f>
        <v>4379.2804099999994</v>
      </c>
      <c r="AD294" s="6">
        <f>$O$294*$X$294</f>
        <v>4095.8963899999999</v>
      </c>
      <c r="AE294" s="6">
        <f>$K$294*$Y$294</f>
        <v>0</v>
      </c>
      <c r="AF294" s="6">
        <f ca="1">$M$294*$Z$294</f>
        <v>4355.1566154784323</v>
      </c>
      <c r="AG294" s="6">
        <f ca="1">$O$294*$AA$294</f>
        <v>3853.6377259806977</v>
      </c>
    </row>
    <row r="295" spans="1:33" ht="11.25" customHeight="1" x14ac:dyDescent="0.25">
      <c r="A295" s="4" t="s">
        <v>21</v>
      </c>
      <c r="B295" s="4" t="s">
        <v>22</v>
      </c>
      <c r="C295" s="4" t="s">
        <v>23</v>
      </c>
      <c r="D295" s="4" t="s">
        <v>24</v>
      </c>
      <c r="E295" s="4" t="s">
        <v>30</v>
      </c>
      <c r="F295" s="4" t="s">
        <v>25</v>
      </c>
      <c r="G295" s="4" t="s">
        <v>25</v>
      </c>
      <c r="H295" s="4" t="s">
        <v>25</v>
      </c>
      <c r="I295" s="5">
        <v>44470</v>
      </c>
      <c r="J295" s="6">
        <v>0</v>
      </c>
      <c r="K295" s="6">
        <v>0</v>
      </c>
      <c r="L295" s="6">
        <v>17.649000000000001</v>
      </c>
      <c r="M295" s="6">
        <v>17.649000000000001</v>
      </c>
      <c r="N295" s="6">
        <v>17.649000000000001</v>
      </c>
      <c r="O295" s="6">
        <v>17.649000000000001</v>
      </c>
      <c r="P295" s="6">
        <v>170</v>
      </c>
      <c r="Q295" s="4" t="s">
        <v>26</v>
      </c>
      <c r="R295" s="4">
        <v>0</v>
      </c>
      <c r="S295" s="6">
        <v>0</v>
      </c>
      <c r="T295" s="6">
        <v>45</v>
      </c>
      <c r="U295" s="6">
        <v>53</v>
      </c>
      <c r="V295" s="6">
        <f>IF(ISERROR(VLOOKUP($S$295,'TAR FIN'!$A$1:$O$85,15,0)),0,VLOOKUP($S$295,'TAR FIN'!$A$1:$O$85,15,0))</f>
        <v>0</v>
      </c>
      <c r="W295" s="6">
        <f>IF(ISERROR(VLOOKUP($T$295,'TAR FIN'!$A$1:$O$85,15,0)),0,VLOOKUP($T$295,'TAR FIN'!$A$1:$O$85,15,0))</f>
        <v>232.73</v>
      </c>
      <c r="X295" s="6">
        <f>IF(ISERROR(VLOOKUP($U$295,'TAR FIN'!$A$1:$O$85,15,0)),0,VLOOKUP($U$295,'TAR FIN'!$A$1:$O$85,15,0))</f>
        <v>217.67</v>
      </c>
      <c r="Y295" s="6"/>
      <c r="Z295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231.44797871490846</v>
      </c>
      <c r="AA295" s="6">
        <f ca="1">('TE BE'!$AB$14+'TE BF_350'!$AB$14+'TE CVA'!$AB$14)*(1-CUSTOS!$M$36)</f>
        <v>204.79554264658009</v>
      </c>
      <c r="AB295" s="6">
        <f>$K$295*$V$295</f>
        <v>0</v>
      </c>
      <c r="AC295" s="6">
        <f>$M$295*$W$295</f>
        <v>4107.4517699999997</v>
      </c>
      <c r="AD295" s="6">
        <f>$O$295*$X$295</f>
        <v>3841.6578300000001</v>
      </c>
      <c r="AE295" s="6">
        <f>$K$295*$Y$295</f>
        <v>0</v>
      </c>
      <c r="AF295" s="6">
        <f ca="1">$M$295*$Z$295</f>
        <v>4084.8253763394196</v>
      </c>
      <c r="AG295" s="6">
        <f ca="1">$O$295*$AA$295</f>
        <v>3614.4365321694922</v>
      </c>
    </row>
    <row r="296" spans="1:33" ht="11.25" customHeight="1" x14ac:dyDescent="0.25">
      <c r="A296" s="4" t="s">
        <v>21</v>
      </c>
      <c r="B296" s="4" t="s">
        <v>22</v>
      </c>
      <c r="C296" s="4" t="s">
        <v>23</v>
      </c>
      <c r="D296" s="4" t="s">
        <v>24</v>
      </c>
      <c r="E296" s="4" t="s">
        <v>30</v>
      </c>
      <c r="F296" s="4" t="s">
        <v>25</v>
      </c>
      <c r="G296" s="4" t="s">
        <v>25</v>
      </c>
      <c r="H296" s="4" t="s">
        <v>25</v>
      </c>
      <c r="I296" s="5">
        <v>44501</v>
      </c>
      <c r="J296" s="6">
        <v>0</v>
      </c>
      <c r="K296" s="6">
        <v>0</v>
      </c>
      <c r="L296" s="6">
        <v>19.239000000000001</v>
      </c>
      <c r="M296" s="6">
        <v>19.239000000000001</v>
      </c>
      <c r="N296" s="6">
        <v>19.239000000000001</v>
      </c>
      <c r="O296" s="6">
        <v>19.239000000000001</v>
      </c>
      <c r="P296" s="6">
        <v>160</v>
      </c>
      <c r="Q296" s="4" t="s">
        <v>26</v>
      </c>
      <c r="R296" s="4">
        <v>0</v>
      </c>
      <c r="S296" s="6">
        <v>0</v>
      </c>
      <c r="T296" s="6">
        <v>45</v>
      </c>
      <c r="U296" s="6">
        <v>53</v>
      </c>
      <c r="V296" s="6">
        <f>IF(ISERROR(VLOOKUP($S$296,'TAR FIN'!$A$1:$O$85,15,0)),0,VLOOKUP($S$296,'TAR FIN'!$A$1:$O$85,15,0))</f>
        <v>0</v>
      </c>
      <c r="W296" s="6">
        <f>IF(ISERROR(VLOOKUP($T$296,'TAR FIN'!$A$1:$O$85,15,0)),0,VLOOKUP($T$296,'TAR FIN'!$A$1:$O$85,15,0))</f>
        <v>232.73</v>
      </c>
      <c r="X296" s="6">
        <f>IF(ISERROR(VLOOKUP($U$296,'TAR FIN'!$A$1:$O$85,15,0)),0,VLOOKUP($U$296,'TAR FIN'!$A$1:$O$85,15,0))</f>
        <v>217.67</v>
      </c>
      <c r="Y296" s="6"/>
      <c r="Z296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231.44797871490846</v>
      </c>
      <c r="AA296" s="6">
        <f ca="1">('TE BE'!$AB$14+'TE BF_350'!$AB$14+'TE CVA'!$AB$14)*(1-CUSTOS!$M$36)</f>
        <v>204.79554264658009</v>
      </c>
      <c r="AB296" s="6">
        <f>$K$296*$V$296</f>
        <v>0</v>
      </c>
      <c r="AC296" s="6">
        <f>$M$296*$W$296</f>
        <v>4477.4924700000001</v>
      </c>
      <c r="AD296" s="6">
        <f>$O$296*$X$296</f>
        <v>4187.7531300000001</v>
      </c>
      <c r="AE296" s="6">
        <f>$K$296*$Y$296</f>
        <v>0</v>
      </c>
      <c r="AF296" s="6">
        <f ca="1">$M$296*$Z$296</f>
        <v>4452.8276624961236</v>
      </c>
      <c r="AG296" s="6">
        <f ca="1">$O$296*$AA$296</f>
        <v>3940.0614449775544</v>
      </c>
    </row>
    <row r="297" spans="1:33" ht="11.25" customHeight="1" x14ac:dyDescent="0.25">
      <c r="A297" s="4" t="s">
        <v>21</v>
      </c>
      <c r="B297" s="4" t="s">
        <v>22</v>
      </c>
      <c r="C297" s="4" t="s">
        <v>23</v>
      </c>
      <c r="D297" s="4" t="s">
        <v>24</v>
      </c>
      <c r="E297" s="4" t="s">
        <v>30</v>
      </c>
      <c r="F297" s="4" t="s">
        <v>25</v>
      </c>
      <c r="G297" s="4" t="s">
        <v>25</v>
      </c>
      <c r="H297" s="4" t="s">
        <v>25</v>
      </c>
      <c r="I297" s="5">
        <v>44531</v>
      </c>
      <c r="J297" s="6">
        <v>0</v>
      </c>
      <c r="K297" s="6">
        <v>0</v>
      </c>
      <c r="L297" s="6">
        <v>26.501000000000001</v>
      </c>
      <c r="M297" s="6">
        <v>26.501000000000001</v>
      </c>
      <c r="N297" s="6">
        <v>26.501000000000001</v>
      </c>
      <c r="O297" s="6">
        <v>26.501000000000001</v>
      </c>
      <c r="P297" s="6">
        <v>226</v>
      </c>
      <c r="Q297" s="4" t="s">
        <v>26</v>
      </c>
      <c r="R297" s="4">
        <v>0</v>
      </c>
      <c r="S297" s="6">
        <v>0</v>
      </c>
      <c r="T297" s="6">
        <v>45</v>
      </c>
      <c r="U297" s="6">
        <v>53</v>
      </c>
      <c r="V297" s="6">
        <f>IF(ISERROR(VLOOKUP($S$297,'TAR FIN'!$A$1:$O$85,15,0)),0,VLOOKUP($S$297,'TAR FIN'!$A$1:$O$85,15,0))</f>
        <v>0</v>
      </c>
      <c r="W297" s="6">
        <f>IF(ISERROR(VLOOKUP($T$297,'TAR FIN'!$A$1:$O$85,15,0)),0,VLOOKUP($T$297,'TAR FIN'!$A$1:$O$85,15,0))</f>
        <v>232.73</v>
      </c>
      <c r="X297" s="6">
        <f>IF(ISERROR(VLOOKUP($U$297,'TAR FIN'!$A$1:$O$85,15,0)),0,VLOOKUP($U$297,'TAR FIN'!$A$1:$O$85,15,0))</f>
        <v>217.67</v>
      </c>
      <c r="Y297" s="6"/>
      <c r="Z297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231.44797871490846</v>
      </c>
      <c r="AA297" s="6">
        <f ca="1">('TE BE'!$AB$14+'TE BF_350'!$AB$14+'TE CVA'!$AB$14)*(1-CUSTOS!$M$36)</f>
        <v>204.79554264658009</v>
      </c>
      <c r="AB297" s="6">
        <f>$K$297*$V$297</f>
        <v>0</v>
      </c>
      <c r="AC297" s="6">
        <f>$M$297*$W$297</f>
        <v>6167.57773</v>
      </c>
      <c r="AD297" s="6">
        <f>$O$297*$X$297</f>
        <v>5768.4726700000001</v>
      </c>
      <c r="AE297" s="6">
        <f>$K$297*$Y$297</f>
        <v>0</v>
      </c>
      <c r="AF297" s="6">
        <f ca="1">$M$297*$Z$297</f>
        <v>6133.6028839237897</v>
      </c>
      <c r="AG297" s="6">
        <f ca="1">$O$297*$AA$297</f>
        <v>5427.286675677019</v>
      </c>
    </row>
    <row r="298" spans="1:33" ht="11.25" customHeight="1" x14ac:dyDescent="0.25">
      <c r="A298" s="4" t="s">
        <v>21</v>
      </c>
      <c r="B298" s="4" t="s">
        <v>22</v>
      </c>
      <c r="C298" s="4" t="s">
        <v>23</v>
      </c>
      <c r="D298" s="4" t="s">
        <v>24</v>
      </c>
      <c r="E298" s="4" t="s">
        <v>30</v>
      </c>
      <c r="F298" s="4" t="s">
        <v>25</v>
      </c>
      <c r="G298" s="4" t="s">
        <v>25</v>
      </c>
      <c r="H298" s="4" t="s">
        <v>25</v>
      </c>
      <c r="I298" s="5">
        <v>44562</v>
      </c>
      <c r="J298" s="6">
        <v>0</v>
      </c>
      <c r="K298" s="6">
        <v>0</v>
      </c>
      <c r="L298" s="6">
        <v>32.462000000000003</v>
      </c>
      <c r="M298" s="6">
        <v>32.462000000000003</v>
      </c>
      <c r="N298" s="6">
        <v>32.462000000000003</v>
      </c>
      <c r="O298" s="6">
        <v>32.462000000000003</v>
      </c>
      <c r="P298" s="6">
        <v>270</v>
      </c>
      <c r="Q298" s="4" t="s">
        <v>26</v>
      </c>
      <c r="R298" s="4">
        <v>0</v>
      </c>
      <c r="S298" s="6">
        <v>0</v>
      </c>
      <c r="T298" s="6">
        <v>45</v>
      </c>
      <c r="U298" s="6">
        <v>53</v>
      </c>
      <c r="V298" s="6">
        <f>IF(ISERROR(VLOOKUP($S$298,'TAR FIN'!$A$1:$O$85,15,0)),0,VLOOKUP($S$298,'TAR FIN'!$A$1:$O$85,15,0))</f>
        <v>0</v>
      </c>
      <c r="W298" s="6">
        <f>IF(ISERROR(VLOOKUP($T$298,'TAR FIN'!$A$1:$O$85,15,0)),0,VLOOKUP($T$298,'TAR FIN'!$A$1:$O$85,15,0))</f>
        <v>232.73</v>
      </c>
      <c r="X298" s="6">
        <f>IF(ISERROR(VLOOKUP($U$298,'TAR FIN'!$A$1:$O$85,15,0)),0,VLOOKUP($U$298,'TAR FIN'!$A$1:$O$85,15,0))</f>
        <v>217.67</v>
      </c>
      <c r="Y298" s="6"/>
      <c r="Z298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231.44797871490846</v>
      </c>
      <c r="AA298" s="6">
        <f ca="1">('TE BE'!$AB$14+'TE BF_350'!$AB$14+'TE CVA'!$AB$14)*(1-CUSTOS!$M$36)</f>
        <v>204.79554264658009</v>
      </c>
      <c r="AB298" s="6">
        <f>$K$298*$V$298</f>
        <v>0</v>
      </c>
      <c r="AC298" s="6">
        <f>$M$298*$W$298</f>
        <v>7554.8812600000001</v>
      </c>
      <c r="AD298" s="6">
        <f>$O$298*$X$298</f>
        <v>7066.0035400000006</v>
      </c>
      <c r="AE298" s="6">
        <f>$K$298*$Y$298</f>
        <v>0</v>
      </c>
      <c r="AF298" s="6">
        <f ca="1">$M$298*$Z$298</f>
        <v>7513.2642850433595</v>
      </c>
      <c r="AG298" s="6">
        <f ca="1">$O$298*$AA$298</f>
        <v>6648.0729053932837</v>
      </c>
    </row>
    <row r="299" spans="1:33" ht="11.25" customHeight="1" x14ac:dyDescent="0.25">
      <c r="A299" s="4" t="s">
        <v>21</v>
      </c>
      <c r="B299" s="4" t="s">
        <v>22</v>
      </c>
      <c r="C299" s="4" t="s">
        <v>23</v>
      </c>
      <c r="D299" s="4" t="s">
        <v>24</v>
      </c>
      <c r="E299" s="4" t="s">
        <v>30</v>
      </c>
      <c r="F299" s="4" t="s">
        <v>25</v>
      </c>
      <c r="G299" s="4" t="s">
        <v>25</v>
      </c>
      <c r="H299" s="4" t="s">
        <v>25</v>
      </c>
      <c r="I299" s="5">
        <v>44593</v>
      </c>
      <c r="J299" s="6">
        <v>0</v>
      </c>
      <c r="K299" s="6">
        <v>0</v>
      </c>
      <c r="L299" s="6">
        <v>35.831000000000003</v>
      </c>
      <c r="M299" s="6">
        <v>35.831000000000003</v>
      </c>
      <c r="N299" s="6">
        <v>35.831000000000003</v>
      </c>
      <c r="O299" s="6">
        <v>35.831000000000003</v>
      </c>
      <c r="P299" s="6">
        <v>301</v>
      </c>
      <c r="Q299" s="4" t="s">
        <v>26</v>
      </c>
      <c r="R299" s="4">
        <v>0</v>
      </c>
      <c r="S299" s="6">
        <v>0</v>
      </c>
      <c r="T299" s="6">
        <v>45</v>
      </c>
      <c r="U299" s="6">
        <v>53</v>
      </c>
      <c r="V299" s="6">
        <f>IF(ISERROR(VLOOKUP($S$299,'TAR FIN'!$A$1:$O$85,15,0)),0,VLOOKUP($S$299,'TAR FIN'!$A$1:$O$85,15,0))</f>
        <v>0</v>
      </c>
      <c r="W299" s="6">
        <f>IF(ISERROR(VLOOKUP($T$299,'TAR FIN'!$A$1:$O$85,15,0)),0,VLOOKUP($T$299,'TAR FIN'!$A$1:$O$85,15,0))</f>
        <v>232.73</v>
      </c>
      <c r="X299" s="6">
        <f>IF(ISERROR(VLOOKUP($U$299,'TAR FIN'!$A$1:$O$85,15,0)),0,VLOOKUP($U$299,'TAR FIN'!$A$1:$O$85,15,0))</f>
        <v>217.67</v>
      </c>
      <c r="Y299" s="6"/>
      <c r="Z299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231.44797871490846</v>
      </c>
      <c r="AA299" s="6">
        <f ca="1">('TE BE'!$AB$14+'TE BF_350'!$AB$14+'TE CVA'!$AB$14)*(1-CUSTOS!$M$36)</f>
        <v>204.79554264658009</v>
      </c>
      <c r="AB299" s="6">
        <f>$K$299*$V$299</f>
        <v>0</v>
      </c>
      <c r="AC299" s="6">
        <f>$M$299*$W$299</f>
        <v>8338.9486300000008</v>
      </c>
      <c r="AD299" s="6">
        <f>$O$299*$X$299</f>
        <v>7799.3337700000002</v>
      </c>
      <c r="AE299" s="6">
        <f>$K$299*$Y$299</f>
        <v>0</v>
      </c>
      <c r="AF299" s="6">
        <f ca="1">$M$299*$Z$299</f>
        <v>8293.0125253338865</v>
      </c>
      <c r="AG299" s="6">
        <f ca="1">$O$299*$AA$299</f>
        <v>7338.0290885696122</v>
      </c>
    </row>
    <row r="300" spans="1:33" ht="11.25" customHeight="1" x14ac:dyDescent="0.25">
      <c r="A300" s="4" t="s">
        <v>21</v>
      </c>
      <c r="B300" s="4" t="s">
        <v>22</v>
      </c>
      <c r="C300" s="4" t="s">
        <v>23</v>
      </c>
      <c r="D300" s="4" t="s">
        <v>24</v>
      </c>
      <c r="E300" s="4" t="s">
        <v>30</v>
      </c>
      <c r="F300" s="4" t="s">
        <v>25</v>
      </c>
      <c r="G300" s="4" t="s">
        <v>25</v>
      </c>
      <c r="H300" s="4" t="s">
        <v>25</v>
      </c>
      <c r="I300" s="5">
        <v>44621</v>
      </c>
      <c r="J300" s="6">
        <v>0</v>
      </c>
      <c r="K300" s="6">
        <v>0</v>
      </c>
      <c r="L300" s="6">
        <v>34.677999999999997</v>
      </c>
      <c r="M300" s="6">
        <v>34.677999999999997</v>
      </c>
      <c r="N300" s="6">
        <v>34.677999999999997</v>
      </c>
      <c r="O300" s="6">
        <v>34.677999999999997</v>
      </c>
      <c r="P300" s="6">
        <v>307</v>
      </c>
      <c r="Q300" s="4" t="s">
        <v>26</v>
      </c>
      <c r="R300" s="4">
        <v>0</v>
      </c>
      <c r="S300" s="6">
        <v>0</v>
      </c>
      <c r="T300" s="6">
        <v>45</v>
      </c>
      <c r="U300" s="6">
        <v>53</v>
      </c>
      <c r="V300" s="6">
        <f>IF(ISERROR(VLOOKUP($S$300,'TAR FIN'!$A$1:$O$85,15,0)),0,VLOOKUP($S$300,'TAR FIN'!$A$1:$O$85,15,0))</f>
        <v>0</v>
      </c>
      <c r="W300" s="6">
        <f>IF(ISERROR(VLOOKUP($T$300,'TAR FIN'!$A$1:$O$85,15,0)),0,VLOOKUP($T$300,'TAR FIN'!$A$1:$O$85,15,0))</f>
        <v>232.73</v>
      </c>
      <c r="X300" s="6">
        <f>IF(ISERROR(VLOOKUP($U$300,'TAR FIN'!$A$1:$O$85,15,0)),0,VLOOKUP($U$300,'TAR FIN'!$A$1:$O$85,15,0))</f>
        <v>217.67</v>
      </c>
      <c r="Y300" s="6"/>
      <c r="Z300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231.44797871490846</v>
      </c>
      <c r="AA300" s="6">
        <f ca="1">('TE BE'!$AB$14+'TE BF_350'!$AB$14+'TE CVA'!$AB$14)*(1-CUSTOS!$M$36)</f>
        <v>204.79554264658009</v>
      </c>
      <c r="AB300" s="6">
        <f>$K$300*$V$300</f>
        <v>0</v>
      </c>
      <c r="AC300" s="6">
        <f>$M$300*$W$300</f>
        <v>8070.6109399999987</v>
      </c>
      <c r="AD300" s="6">
        <f>$O$300*$X$300</f>
        <v>7548.3602599999986</v>
      </c>
      <c r="AE300" s="6">
        <f>$K$300*$Y$300</f>
        <v>0</v>
      </c>
      <c r="AF300" s="6">
        <f ca="1">$M$300*$Z$300</f>
        <v>8026.1530058755952</v>
      </c>
      <c r="AG300" s="6">
        <f ca="1">$O$300*$AA$300</f>
        <v>7101.8998278981035</v>
      </c>
    </row>
    <row r="301" spans="1:33" ht="11.25" customHeight="1" x14ac:dyDescent="0.25">
      <c r="A301" s="4" t="s">
        <v>21</v>
      </c>
      <c r="B301" s="4" t="s">
        <v>22</v>
      </c>
      <c r="C301" s="4" t="s">
        <v>23</v>
      </c>
      <c r="D301" s="4" t="s">
        <v>24</v>
      </c>
      <c r="E301" s="4" t="s">
        <v>30</v>
      </c>
      <c r="F301" s="4" t="s">
        <v>25</v>
      </c>
      <c r="G301" s="4" t="s">
        <v>25</v>
      </c>
      <c r="H301" s="4" t="s">
        <v>25</v>
      </c>
      <c r="I301" s="5">
        <v>44652</v>
      </c>
      <c r="J301" s="6">
        <v>0</v>
      </c>
      <c r="K301" s="6">
        <v>0</v>
      </c>
      <c r="L301" s="6">
        <v>34.430999999999997</v>
      </c>
      <c r="M301" s="6">
        <v>34.430999999999997</v>
      </c>
      <c r="N301" s="6">
        <v>34.430999999999997</v>
      </c>
      <c r="O301" s="6">
        <v>34.430999999999997</v>
      </c>
      <c r="P301" s="6">
        <v>351</v>
      </c>
      <c r="Q301" s="4" t="s">
        <v>26</v>
      </c>
      <c r="R301" s="4">
        <v>0</v>
      </c>
      <c r="S301" s="6">
        <v>0</v>
      </c>
      <c r="T301" s="6">
        <v>45</v>
      </c>
      <c r="U301" s="6">
        <v>53</v>
      </c>
      <c r="V301" s="6">
        <f>IF(ISERROR(VLOOKUP($S$301,'TAR FIN'!$A$1:$O$85,15,0)),0,VLOOKUP($S$301,'TAR FIN'!$A$1:$O$85,15,0))</f>
        <v>0</v>
      </c>
      <c r="W301" s="6">
        <f>IF(ISERROR(VLOOKUP($T$301,'TAR FIN'!$A$1:$O$85,15,0)),0,VLOOKUP($T$301,'TAR FIN'!$A$1:$O$85,15,0))</f>
        <v>232.73</v>
      </c>
      <c r="X301" s="6">
        <f>IF(ISERROR(VLOOKUP($U$301,'TAR FIN'!$A$1:$O$85,15,0)),0,VLOOKUP($U$301,'TAR FIN'!$A$1:$O$85,15,0))</f>
        <v>217.67</v>
      </c>
      <c r="Y301" s="6"/>
      <c r="Z301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231.44797871490846</v>
      </c>
      <c r="AA301" s="6">
        <f ca="1">('TE BE'!$AB$14+'TE BF_350'!$AB$14+'TE CVA'!$AB$14)*(1-CUSTOS!$M$36)</f>
        <v>204.79554264658009</v>
      </c>
      <c r="AB301" s="6">
        <f>$K$301*$V$301</f>
        <v>0</v>
      </c>
      <c r="AC301" s="6">
        <f>$M$301*$W$301</f>
        <v>8013.1266299999988</v>
      </c>
      <c r="AD301" s="6">
        <f>$O$301*$X$301</f>
        <v>7494.595769999999</v>
      </c>
      <c r="AE301" s="6">
        <f>$K$301*$Y$301</f>
        <v>0</v>
      </c>
      <c r="AF301" s="6">
        <f ca="1">$M$301*$Z$301</f>
        <v>7968.9853551330125</v>
      </c>
      <c r="AG301" s="6">
        <f ca="1">$O$301*$AA$301</f>
        <v>7051.3153288643989</v>
      </c>
    </row>
    <row r="302" spans="1:33" ht="11.25" customHeight="1" x14ac:dyDescent="0.25">
      <c r="A302" s="4" t="s">
        <v>21</v>
      </c>
      <c r="B302" s="4" t="s">
        <v>22</v>
      </c>
      <c r="C302" s="4" t="s">
        <v>23</v>
      </c>
      <c r="D302" s="4" t="s">
        <v>24</v>
      </c>
      <c r="E302" s="4" t="s">
        <v>30</v>
      </c>
      <c r="F302" s="4" t="s">
        <v>25</v>
      </c>
      <c r="G302" s="4" t="s">
        <v>25</v>
      </c>
      <c r="H302" s="4" t="s">
        <v>25</v>
      </c>
      <c r="I302" s="5">
        <v>44682</v>
      </c>
      <c r="J302" s="6">
        <v>0</v>
      </c>
      <c r="K302" s="6">
        <v>0</v>
      </c>
      <c r="L302" s="6">
        <v>37.392000000000003</v>
      </c>
      <c r="M302" s="6">
        <v>37.392000000000003</v>
      </c>
      <c r="N302" s="6">
        <v>37.392000000000003</v>
      </c>
      <c r="O302" s="6">
        <v>37.392000000000003</v>
      </c>
      <c r="P302" s="6">
        <v>353</v>
      </c>
      <c r="Q302" s="4" t="s">
        <v>26</v>
      </c>
      <c r="R302" s="4">
        <v>0</v>
      </c>
      <c r="S302" s="6">
        <v>0</v>
      </c>
      <c r="T302" s="6">
        <v>45</v>
      </c>
      <c r="U302" s="6">
        <v>53</v>
      </c>
      <c r="V302" s="6">
        <f>IF(ISERROR(VLOOKUP($S$302,'TAR FIN'!$A$1:$O$85,15,0)),0,VLOOKUP($S$302,'TAR FIN'!$A$1:$O$85,15,0))</f>
        <v>0</v>
      </c>
      <c r="W302" s="6">
        <f>IF(ISERROR(VLOOKUP($T$302,'TAR FIN'!$A$1:$O$85,15,0)),0,VLOOKUP($T$302,'TAR FIN'!$A$1:$O$85,15,0))</f>
        <v>232.73</v>
      </c>
      <c r="X302" s="6">
        <f>IF(ISERROR(VLOOKUP($U$302,'TAR FIN'!$A$1:$O$85,15,0)),0,VLOOKUP($U$302,'TAR FIN'!$A$1:$O$85,15,0))</f>
        <v>217.67</v>
      </c>
      <c r="Y302" s="6"/>
      <c r="Z302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231.44797871490846</v>
      </c>
      <c r="AA302" s="6">
        <f ca="1">('TE BE'!$AB$14+'TE BF_350'!$AB$14+'TE CVA'!$AB$14)*(1-CUSTOS!$M$36)</f>
        <v>204.79554264658009</v>
      </c>
      <c r="AB302" s="6">
        <f>$K$302*$V$302</f>
        <v>0</v>
      </c>
      <c r="AC302" s="6">
        <f>$M$302*$W$302</f>
        <v>8702.2401600000012</v>
      </c>
      <c r="AD302" s="6">
        <f>$O$302*$X$302</f>
        <v>8139.1166400000002</v>
      </c>
      <c r="AE302" s="6">
        <f>$K$302*$Y$302</f>
        <v>0</v>
      </c>
      <c r="AF302" s="6">
        <f ca="1">$M$302*$Z$302</f>
        <v>8654.3028201078578</v>
      </c>
      <c r="AG302" s="6">
        <f ca="1">$O$302*$AA$302</f>
        <v>7657.7149306409228</v>
      </c>
    </row>
    <row r="303" spans="1:33" ht="11.25" customHeight="1" x14ac:dyDescent="0.25">
      <c r="A303" s="4" t="s">
        <v>27</v>
      </c>
      <c r="B303" s="4" t="s">
        <v>22</v>
      </c>
      <c r="C303" s="4" t="s">
        <v>23</v>
      </c>
      <c r="D303" s="4" t="s">
        <v>24</v>
      </c>
      <c r="E303" s="4" t="s">
        <v>30</v>
      </c>
      <c r="F303" s="4" t="s">
        <v>25</v>
      </c>
      <c r="G303" s="4" t="s">
        <v>25</v>
      </c>
      <c r="H303" s="4" t="s">
        <v>25</v>
      </c>
      <c r="I303" s="5">
        <v>44682</v>
      </c>
      <c r="J303" s="6">
        <v>0</v>
      </c>
      <c r="K303" s="6">
        <v>0</v>
      </c>
      <c r="L303" s="6">
        <v>0.12</v>
      </c>
      <c r="M303" s="6">
        <v>9.6000000000000002E-2</v>
      </c>
      <c r="N303" s="6">
        <v>0.12</v>
      </c>
      <c r="O303" s="6">
        <v>9.6000000000000002E-2</v>
      </c>
      <c r="P303" s="6">
        <v>1</v>
      </c>
      <c r="Q303" s="4" t="s">
        <v>26</v>
      </c>
      <c r="R303" s="4">
        <v>0</v>
      </c>
      <c r="S303" s="6">
        <v>0</v>
      </c>
      <c r="T303" s="6">
        <v>45</v>
      </c>
      <c r="U303" s="6">
        <v>53</v>
      </c>
      <c r="V303" s="6">
        <f>IF(ISERROR(VLOOKUP($S$303,'TAR FIN'!$A$1:$O$85,15,0)),0,VLOOKUP($S$303,'TAR FIN'!$A$1:$O$85,15,0))</f>
        <v>0</v>
      </c>
      <c r="W303" s="6">
        <f>IF(ISERROR(VLOOKUP($T$303,'TAR FIN'!$A$1:$O$85,15,0)),0,VLOOKUP($T$303,'TAR FIN'!$A$1:$O$85,15,0))</f>
        <v>232.73</v>
      </c>
      <c r="X303" s="6">
        <f>IF(ISERROR(VLOOKUP($U$303,'TAR FIN'!$A$1:$O$85,15,0)),0,VLOOKUP($U$303,'TAR FIN'!$A$1:$O$85,15,0))</f>
        <v>217.67</v>
      </c>
      <c r="Y303" s="6"/>
      <c r="Z303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231.44797871490846</v>
      </c>
      <c r="AA303" s="6">
        <f ca="1">('TE BE'!$AB$14+'TE BF_350'!$AB$14+'TE CVA'!$AB$14)*(1-CUSTOS!$M$36)</f>
        <v>204.79554264658009</v>
      </c>
      <c r="AB303" s="6">
        <f>$K$303*$V$303</f>
        <v>0</v>
      </c>
      <c r="AC303" s="6">
        <f>$M$303*$W$303</f>
        <v>22.342079999999999</v>
      </c>
      <c r="AD303" s="6">
        <f>$O$303*$X$303</f>
        <v>20.896319999999999</v>
      </c>
      <c r="AE303" s="6">
        <f>$K$303*$Y$303</f>
        <v>0</v>
      </c>
      <c r="AF303" s="6">
        <f ca="1">$M$303*$Z$303</f>
        <v>22.219005956631211</v>
      </c>
      <c r="AG303" s="6">
        <f ca="1">$O$303*$AA$303</f>
        <v>19.66037209407169</v>
      </c>
    </row>
    <row r="304" spans="1:33" ht="11.25" customHeight="1" x14ac:dyDescent="0.25">
      <c r="A304" s="4" t="s">
        <v>21</v>
      </c>
      <c r="B304" s="4" t="s">
        <v>22</v>
      </c>
      <c r="C304" s="4" t="s">
        <v>23</v>
      </c>
      <c r="D304" s="4" t="s">
        <v>24</v>
      </c>
      <c r="E304" s="4" t="s">
        <v>30</v>
      </c>
      <c r="F304" s="4" t="s">
        <v>25</v>
      </c>
      <c r="G304" s="4" t="s">
        <v>25</v>
      </c>
      <c r="H304" s="4" t="s">
        <v>25</v>
      </c>
      <c r="I304" s="5">
        <v>44713</v>
      </c>
      <c r="J304" s="6">
        <v>0</v>
      </c>
      <c r="K304" s="6">
        <v>0</v>
      </c>
      <c r="L304" s="6">
        <v>44.087000000000003</v>
      </c>
      <c r="M304" s="6">
        <v>44.087000000000003</v>
      </c>
      <c r="N304" s="6">
        <v>44.087000000000003</v>
      </c>
      <c r="O304" s="6">
        <v>44.087000000000003</v>
      </c>
      <c r="P304" s="6">
        <v>350</v>
      </c>
      <c r="Q304" s="4" t="s">
        <v>26</v>
      </c>
      <c r="R304" s="4">
        <v>0</v>
      </c>
      <c r="S304" s="6">
        <v>0</v>
      </c>
      <c r="T304" s="6">
        <v>45</v>
      </c>
      <c r="U304" s="6">
        <v>53</v>
      </c>
      <c r="V304" s="6">
        <f>IF(ISERROR(VLOOKUP($S$304,'TAR FIN'!$A$1:$O$85,15,0)),0,VLOOKUP($S$304,'TAR FIN'!$A$1:$O$85,15,0))</f>
        <v>0</v>
      </c>
      <c r="W304" s="6">
        <f>IF(ISERROR(VLOOKUP($T$304,'TAR FIN'!$A$1:$O$85,15,0)),0,VLOOKUP($T$304,'TAR FIN'!$A$1:$O$85,15,0))</f>
        <v>232.73</v>
      </c>
      <c r="X304" s="6">
        <f>IF(ISERROR(VLOOKUP($U$304,'TAR FIN'!$A$1:$O$85,15,0)),0,VLOOKUP($U$304,'TAR FIN'!$A$1:$O$85,15,0))</f>
        <v>217.67</v>
      </c>
      <c r="Y304" s="6"/>
      <c r="Z304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231.44797871490846</v>
      </c>
      <c r="AA304" s="6">
        <f ca="1">('TE BE'!$AB$14+'TE BF_350'!$AB$14+'TE CVA'!$AB$14)*(1-CUSTOS!$M$36)</f>
        <v>204.79554264658009</v>
      </c>
      <c r="AB304" s="6">
        <f>$K$304*$V$304</f>
        <v>0</v>
      </c>
      <c r="AC304" s="6">
        <f>$M$304*$W$304</f>
        <v>10260.36751</v>
      </c>
      <c r="AD304" s="6">
        <f>$O$304*$X$304</f>
        <v>9596.4172899999994</v>
      </c>
      <c r="AE304" s="6">
        <f>$K$304*$Y$304</f>
        <v>0</v>
      </c>
      <c r="AF304" s="6">
        <f ca="1">$M$304*$Z$304</f>
        <v>10203.84703760417</v>
      </c>
      <c r="AG304" s="6">
        <f ca="1">$O$304*$AA$304</f>
        <v>9028.8210886597772</v>
      </c>
    </row>
    <row r="305" spans="1:33" ht="11.25" customHeight="1" x14ac:dyDescent="0.25">
      <c r="A305" s="4" t="s">
        <v>27</v>
      </c>
      <c r="B305" s="4" t="s">
        <v>22</v>
      </c>
      <c r="C305" s="4" t="s">
        <v>23</v>
      </c>
      <c r="D305" s="4" t="s">
        <v>24</v>
      </c>
      <c r="E305" s="4" t="s">
        <v>30</v>
      </c>
      <c r="F305" s="4" t="s">
        <v>25</v>
      </c>
      <c r="G305" s="4" t="s">
        <v>25</v>
      </c>
      <c r="H305" s="4" t="s">
        <v>25</v>
      </c>
      <c r="I305" s="5">
        <v>44713</v>
      </c>
      <c r="J305" s="6">
        <v>0</v>
      </c>
      <c r="K305" s="6">
        <v>0</v>
      </c>
      <c r="L305" s="6">
        <v>0.12</v>
      </c>
      <c r="M305" s="6">
        <v>8.4000000000000005E-2</v>
      </c>
      <c r="N305" s="6">
        <v>0.12</v>
      </c>
      <c r="O305" s="6">
        <v>8.4000000000000005E-2</v>
      </c>
      <c r="P305" s="6">
        <v>1</v>
      </c>
      <c r="Q305" s="4" t="s">
        <v>26</v>
      </c>
      <c r="R305" s="4">
        <v>0</v>
      </c>
      <c r="S305" s="6">
        <v>0</v>
      </c>
      <c r="T305" s="6">
        <v>45</v>
      </c>
      <c r="U305" s="6">
        <v>53</v>
      </c>
      <c r="V305" s="6">
        <f>IF(ISERROR(VLOOKUP($S$305,'TAR FIN'!$A$1:$O$85,15,0)),0,VLOOKUP($S$305,'TAR FIN'!$A$1:$O$85,15,0))</f>
        <v>0</v>
      </c>
      <c r="W305" s="6">
        <f>IF(ISERROR(VLOOKUP($T$305,'TAR FIN'!$A$1:$O$85,15,0)),0,VLOOKUP($T$305,'TAR FIN'!$A$1:$O$85,15,0))</f>
        <v>232.73</v>
      </c>
      <c r="X305" s="6">
        <f>IF(ISERROR(VLOOKUP($U$305,'TAR FIN'!$A$1:$O$85,15,0)),0,VLOOKUP($U$305,'TAR FIN'!$A$1:$O$85,15,0))</f>
        <v>217.67</v>
      </c>
      <c r="Y305" s="6"/>
      <c r="Z305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231.44797871490846</v>
      </c>
      <c r="AA305" s="6">
        <f ca="1">('TE BE'!$AB$14+'TE BF_350'!$AB$14+'TE CVA'!$AB$14)*(1-CUSTOS!$M$36)</f>
        <v>204.79554264658009</v>
      </c>
      <c r="AB305" s="6">
        <f>$K$305*$V$305</f>
        <v>0</v>
      </c>
      <c r="AC305" s="6">
        <f>$M$305*$W$305</f>
        <v>19.549320000000002</v>
      </c>
      <c r="AD305" s="6">
        <f>$O$305*$X$305</f>
        <v>18.284279999999999</v>
      </c>
      <c r="AE305" s="6">
        <f>$K$305*$Y$305</f>
        <v>0</v>
      </c>
      <c r="AF305" s="6">
        <f ca="1">$M$305*$Z$305</f>
        <v>19.441630212052313</v>
      </c>
      <c r="AG305" s="6">
        <f ca="1">$O$305*$AA$305</f>
        <v>17.202825582312727</v>
      </c>
    </row>
    <row r="306" spans="1:33" ht="11.25" customHeight="1" x14ac:dyDescent="0.25">
      <c r="A306" s="4" t="s">
        <v>21</v>
      </c>
      <c r="B306" s="4" t="s">
        <v>22</v>
      </c>
      <c r="C306" s="4" t="s">
        <v>23</v>
      </c>
      <c r="D306" s="4" t="s">
        <v>24</v>
      </c>
      <c r="E306" s="4" t="s">
        <v>31</v>
      </c>
      <c r="F306" s="4" t="s">
        <v>25</v>
      </c>
      <c r="G306" s="4" t="s">
        <v>25</v>
      </c>
      <c r="H306" s="4" t="s">
        <v>25</v>
      </c>
      <c r="I306" s="5">
        <v>44378</v>
      </c>
      <c r="J306" s="6">
        <v>0</v>
      </c>
      <c r="K306" s="6">
        <v>0</v>
      </c>
      <c r="L306" s="6">
        <v>6.7889999999999997</v>
      </c>
      <c r="M306" s="6">
        <v>6.7889999999999997</v>
      </c>
      <c r="N306" s="6">
        <v>6.7889999999999997</v>
      </c>
      <c r="O306" s="6">
        <v>6.7889999999999997</v>
      </c>
      <c r="P306" s="6">
        <v>82</v>
      </c>
      <c r="Q306" s="4" t="s">
        <v>26</v>
      </c>
      <c r="R306" s="4">
        <v>0</v>
      </c>
      <c r="S306" s="6">
        <v>0</v>
      </c>
      <c r="T306" s="6">
        <v>37</v>
      </c>
      <c r="U306" s="6">
        <v>59</v>
      </c>
      <c r="V306" s="6">
        <f>IF(ISERROR(VLOOKUP($S$306,'TAR FIN'!$A$1:$O$85,15,0)),0,VLOOKUP($S$306,'TAR FIN'!$A$1:$O$85,15,0))</f>
        <v>0</v>
      </c>
      <c r="W306" s="6">
        <f>IF(ISERROR(VLOOKUP($T$306,'TAR FIN'!$A$1:$O$85,15,0)),0,VLOOKUP($T$306,'TAR FIN'!$A$1:$O$85,15,0))</f>
        <v>258.58</v>
      </c>
      <c r="X306" s="6">
        <f>IF(ISERROR(VLOOKUP($U$306,'TAR FIN'!$A$1:$O$85,15,0)),0,VLOOKUP($U$306,'TAR FIN'!$A$1:$O$85,15,0))</f>
        <v>241.85</v>
      </c>
      <c r="Y306" s="6"/>
      <c r="Z306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257.16442079434273</v>
      </c>
      <c r="AA306" s="6">
        <f ca="1">('TE BE'!$AB$15+'TE BF_350'!$AB$15+'TE CVA'!$AB$15)*(1-CUSTOS!$M$37)</f>
        <v>227.55060294064452</v>
      </c>
      <c r="AB306" s="6">
        <f>$K$306*$V$306</f>
        <v>0</v>
      </c>
      <c r="AC306" s="6">
        <f>$M$306*$W$306</f>
        <v>1755.4996199999998</v>
      </c>
      <c r="AD306" s="6">
        <f>$O$306*$X$306</f>
        <v>1641.9196499999998</v>
      </c>
      <c r="AE306" s="6">
        <f>$K$306*$Y$306</f>
        <v>0</v>
      </c>
      <c r="AF306" s="6">
        <f ca="1">$M$306*$Z$306</f>
        <v>1745.8892527727928</v>
      </c>
      <c r="AG306" s="6">
        <f ca="1">$O$306*$AA$306</f>
        <v>1544.8410433640356</v>
      </c>
    </row>
    <row r="307" spans="1:33" ht="11.25" customHeight="1" x14ac:dyDescent="0.25">
      <c r="A307" s="4" t="s">
        <v>21</v>
      </c>
      <c r="B307" s="4" t="s">
        <v>22</v>
      </c>
      <c r="C307" s="4" t="s">
        <v>23</v>
      </c>
      <c r="D307" s="4" t="s">
        <v>24</v>
      </c>
      <c r="E307" s="4" t="s">
        <v>31</v>
      </c>
      <c r="F307" s="4" t="s">
        <v>25</v>
      </c>
      <c r="G307" s="4" t="s">
        <v>25</v>
      </c>
      <c r="H307" s="4" t="s">
        <v>25</v>
      </c>
      <c r="I307" s="5">
        <v>44409</v>
      </c>
      <c r="J307" s="6">
        <v>0</v>
      </c>
      <c r="K307" s="6">
        <v>0</v>
      </c>
      <c r="L307" s="6">
        <v>5.9269999999999996</v>
      </c>
      <c r="M307" s="6">
        <v>5.9269999999999996</v>
      </c>
      <c r="N307" s="6">
        <v>5.9269999999999996</v>
      </c>
      <c r="O307" s="6">
        <v>5.9269999999999996</v>
      </c>
      <c r="P307" s="6">
        <v>85</v>
      </c>
      <c r="Q307" s="4" t="s">
        <v>26</v>
      </c>
      <c r="R307" s="4">
        <v>0</v>
      </c>
      <c r="S307" s="6">
        <v>0</v>
      </c>
      <c r="T307" s="6">
        <v>37</v>
      </c>
      <c r="U307" s="6">
        <v>59</v>
      </c>
      <c r="V307" s="6">
        <f>IF(ISERROR(VLOOKUP($S$307,'TAR FIN'!$A$1:$O$85,15,0)),0,VLOOKUP($S$307,'TAR FIN'!$A$1:$O$85,15,0))</f>
        <v>0</v>
      </c>
      <c r="W307" s="6">
        <f>IF(ISERROR(VLOOKUP($T$307,'TAR FIN'!$A$1:$O$85,15,0)),0,VLOOKUP($T$307,'TAR FIN'!$A$1:$O$85,15,0))</f>
        <v>258.58</v>
      </c>
      <c r="X307" s="6">
        <f>IF(ISERROR(VLOOKUP($U$307,'TAR FIN'!$A$1:$O$85,15,0)),0,VLOOKUP($U$307,'TAR FIN'!$A$1:$O$85,15,0))</f>
        <v>241.85</v>
      </c>
      <c r="Y307" s="6"/>
      <c r="Z307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257.16442079434273</v>
      </c>
      <c r="AA307" s="6">
        <f ca="1">('TE BE'!$AB$15+'TE BF_350'!$AB$15+'TE CVA'!$AB$15)*(1-CUSTOS!$M$37)</f>
        <v>227.55060294064452</v>
      </c>
      <c r="AB307" s="6">
        <f>$K$307*$V$307</f>
        <v>0</v>
      </c>
      <c r="AC307" s="6">
        <f>$M$307*$W$307</f>
        <v>1532.6036599999998</v>
      </c>
      <c r="AD307" s="6">
        <f>$O$307*$X$307</f>
        <v>1433.4449499999998</v>
      </c>
      <c r="AE307" s="6">
        <f>$K$307*$Y$307</f>
        <v>0</v>
      </c>
      <c r="AF307" s="6">
        <f ca="1">$M$307*$Z$307</f>
        <v>1524.2135220480693</v>
      </c>
      <c r="AG307" s="6">
        <f ca="1">$O$307*$AA$307</f>
        <v>1348.6924236292</v>
      </c>
    </row>
    <row r="308" spans="1:33" ht="11.25" customHeight="1" x14ac:dyDescent="0.25">
      <c r="A308" s="4" t="s">
        <v>21</v>
      </c>
      <c r="B308" s="4" t="s">
        <v>22</v>
      </c>
      <c r="C308" s="4" t="s">
        <v>23</v>
      </c>
      <c r="D308" s="4" t="s">
        <v>24</v>
      </c>
      <c r="E308" s="4" t="s">
        <v>31</v>
      </c>
      <c r="F308" s="4" t="s">
        <v>25</v>
      </c>
      <c r="G308" s="4" t="s">
        <v>25</v>
      </c>
      <c r="H308" s="4" t="s">
        <v>25</v>
      </c>
      <c r="I308" s="5">
        <v>44440</v>
      </c>
      <c r="J308" s="6">
        <v>0</v>
      </c>
      <c r="K308" s="6">
        <v>0</v>
      </c>
      <c r="L308" s="6">
        <v>4.8440000000000003</v>
      </c>
      <c r="M308" s="6">
        <v>4.8440000000000003</v>
      </c>
      <c r="N308" s="6">
        <v>4.8440000000000003</v>
      </c>
      <c r="O308" s="6">
        <v>4.8440000000000003</v>
      </c>
      <c r="P308" s="6">
        <v>79</v>
      </c>
      <c r="Q308" s="4" t="s">
        <v>26</v>
      </c>
      <c r="R308" s="4">
        <v>0</v>
      </c>
      <c r="S308" s="6">
        <v>0</v>
      </c>
      <c r="T308" s="6">
        <v>37</v>
      </c>
      <c r="U308" s="6">
        <v>59</v>
      </c>
      <c r="V308" s="6">
        <f>IF(ISERROR(VLOOKUP($S$308,'TAR FIN'!$A$1:$O$85,15,0)),0,VLOOKUP($S$308,'TAR FIN'!$A$1:$O$85,15,0))</f>
        <v>0</v>
      </c>
      <c r="W308" s="6">
        <f>IF(ISERROR(VLOOKUP($T$308,'TAR FIN'!$A$1:$O$85,15,0)),0,VLOOKUP($T$308,'TAR FIN'!$A$1:$O$85,15,0))</f>
        <v>258.58</v>
      </c>
      <c r="X308" s="6">
        <f>IF(ISERROR(VLOOKUP($U$308,'TAR FIN'!$A$1:$O$85,15,0)),0,VLOOKUP($U$308,'TAR FIN'!$A$1:$O$85,15,0))</f>
        <v>241.85</v>
      </c>
      <c r="Y308" s="6"/>
      <c r="Z308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257.16442079434273</v>
      </c>
      <c r="AA308" s="6">
        <f ca="1">('TE BE'!$AB$15+'TE BF_350'!$AB$15+'TE CVA'!$AB$15)*(1-CUSTOS!$M$37)</f>
        <v>227.55060294064452</v>
      </c>
      <c r="AB308" s="6">
        <f>$K$308*$V$308</f>
        <v>0</v>
      </c>
      <c r="AC308" s="6">
        <f>$M$308*$W$308</f>
        <v>1252.56152</v>
      </c>
      <c r="AD308" s="6">
        <f>$O$308*$X$308</f>
        <v>1171.5214000000001</v>
      </c>
      <c r="AE308" s="6">
        <f>$K$308*$Y$308</f>
        <v>0</v>
      </c>
      <c r="AF308" s="6">
        <f ca="1">$M$308*$Z$308</f>
        <v>1245.7044543277964</v>
      </c>
      <c r="AG308" s="6">
        <f ca="1">$O$308*$AA$308</f>
        <v>1102.2551206444821</v>
      </c>
    </row>
    <row r="309" spans="1:33" ht="11.25" customHeight="1" x14ac:dyDescent="0.25">
      <c r="A309" s="4" t="s">
        <v>21</v>
      </c>
      <c r="B309" s="4" t="s">
        <v>22</v>
      </c>
      <c r="C309" s="4" t="s">
        <v>23</v>
      </c>
      <c r="D309" s="4" t="s">
        <v>24</v>
      </c>
      <c r="E309" s="4" t="s">
        <v>31</v>
      </c>
      <c r="F309" s="4" t="s">
        <v>25</v>
      </c>
      <c r="G309" s="4" t="s">
        <v>25</v>
      </c>
      <c r="H309" s="4" t="s">
        <v>25</v>
      </c>
      <c r="I309" s="5">
        <v>44470</v>
      </c>
      <c r="J309" s="6">
        <v>0</v>
      </c>
      <c r="K309" s="6">
        <v>0</v>
      </c>
      <c r="L309" s="6">
        <v>4.0940000000000003</v>
      </c>
      <c r="M309" s="6">
        <v>4.0940000000000003</v>
      </c>
      <c r="N309" s="6">
        <v>4.0940000000000003</v>
      </c>
      <c r="O309" s="6">
        <v>4.0940000000000003</v>
      </c>
      <c r="P309" s="6">
        <v>62</v>
      </c>
      <c r="Q309" s="4" t="s">
        <v>26</v>
      </c>
      <c r="R309" s="4">
        <v>0</v>
      </c>
      <c r="S309" s="6">
        <v>0</v>
      </c>
      <c r="T309" s="6">
        <v>37</v>
      </c>
      <c r="U309" s="6">
        <v>59</v>
      </c>
      <c r="V309" s="6">
        <f>IF(ISERROR(VLOOKUP($S$309,'TAR FIN'!$A$1:$O$85,15,0)),0,VLOOKUP($S$309,'TAR FIN'!$A$1:$O$85,15,0))</f>
        <v>0</v>
      </c>
      <c r="W309" s="6">
        <f>IF(ISERROR(VLOOKUP($T$309,'TAR FIN'!$A$1:$O$85,15,0)),0,VLOOKUP($T$309,'TAR FIN'!$A$1:$O$85,15,0))</f>
        <v>258.58</v>
      </c>
      <c r="X309" s="6">
        <f>IF(ISERROR(VLOOKUP($U$309,'TAR FIN'!$A$1:$O$85,15,0)),0,VLOOKUP($U$309,'TAR FIN'!$A$1:$O$85,15,0))</f>
        <v>241.85</v>
      </c>
      <c r="Y309" s="6"/>
      <c r="Z309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257.16442079434273</v>
      </c>
      <c r="AA309" s="6">
        <f ca="1">('TE BE'!$AB$15+'TE BF_350'!$AB$15+'TE CVA'!$AB$15)*(1-CUSTOS!$M$37)</f>
        <v>227.55060294064452</v>
      </c>
      <c r="AB309" s="6">
        <f>$K$309*$V$309</f>
        <v>0</v>
      </c>
      <c r="AC309" s="6">
        <f>$M$309*$W$309</f>
        <v>1058.62652</v>
      </c>
      <c r="AD309" s="6">
        <f>$O$309*$X$309</f>
        <v>990.13390000000004</v>
      </c>
      <c r="AE309" s="6">
        <f>$K$309*$Y$309</f>
        <v>0</v>
      </c>
      <c r="AF309" s="6">
        <f ca="1">$M$309*$Z$309</f>
        <v>1052.8311387320393</v>
      </c>
      <c r="AG309" s="6">
        <f ca="1">$O$309*$AA$309</f>
        <v>931.59216843899878</v>
      </c>
    </row>
    <row r="310" spans="1:33" ht="11.25" customHeight="1" x14ac:dyDescent="0.25">
      <c r="A310" s="4" t="s">
        <v>21</v>
      </c>
      <c r="B310" s="4" t="s">
        <v>22</v>
      </c>
      <c r="C310" s="4" t="s">
        <v>23</v>
      </c>
      <c r="D310" s="4" t="s">
        <v>24</v>
      </c>
      <c r="E310" s="4" t="s">
        <v>31</v>
      </c>
      <c r="F310" s="4" t="s">
        <v>25</v>
      </c>
      <c r="G310" s="4" t="s">
        <v>25</v>
      </c>
      <c r="H310" s="4" t="s">
        <v>25</v>
      </c>
      <c r="I310" s="5">
        <v>44501</v>
      </c>
      <c r="J310" s="6">
        <v>0</v>
      </c>
      <c r="K310" s="6">
        <v>0</v>
      </c>
      <c r="L310" s="6">
        <v>5.2089999999999996</v>
      </c>
      <c r="M310" s="6">
        <v>5.2089999999999996</v>
      </c>
      <c r="N310" s="6">
        <v>5.2089999999999996</v>
      </c>
      <c r="O310" s="6">
        <v>5.2089999999999996</v>
      </c>
      <c r="P310" s="6">
        <v>83</v>
      </c>
      <c r="Q310" s="4" t="s">
        <v>26</v>
      </c>
      <c r="R310" s="4">
        <v>0</v>
      </c>
      <c r="S310" s="6">
        <v>0</v>
      </c>
      <c r="T310" s="6">
        <v>37</v>
      </c>
      <c r="U310" s="6">
        <v>59</v>
      </c>
      <c r="V310" s="6">
        <f>IF(ISERROR(VLOOKUP($S$310,'TAR FIN'!$A$1:$O$85,15,0)),0,VLOOKUP($S$310,'TAR FIN'!$A$1:$O$85,15,0))</f>
        <v>0</v>
      </c>
      <c r="W310" s="6">
        <f>IF(ISERROR(VLOOKUP($T$310,'TAR FIN'!$A$1:$O$85,15,0)),0,VLOOKUP($T$310,'TAR FIN'!$A$1:$O$85,15,0))</f>
        <v>258.58</v>
      </c>
      <c r="X310" s="6">
        <f>IF(ISERROR(VLOOKUP($U$310,'TAR FIN'!$A$1:$O$85,15,0)),0,VLOOKUP($U$310,'TAR FIN'!$A$1:$O$85,15,0))</f>
        <v>241.85</v>
      </c>
      <c r="Y310" s="6"/>
      <c r="Z310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257.16442079434273</v>
      </c>
      <c r="AA310" s="6">
        <f ca="1">('TE BE'!$AB$15+'TE BF_350'!$AB$15+'TE CVA'!$AB$15)*(1-CUSTOS!$M$37)</f>
        <v>227.55060294064452</v>
      </c>
      <c r="AB310" s="6">
        <f>$K$310*$V$310</f>
        <v>0</v>
      </c>
      <c r="AC310" s="6">
        <f>$M$310*$W$310</f>
        <v>1346.9432199999999</v>
      </c>
      <c r="AD310" s="6">
        <f>$O$310*$X$310</f>
        <v>1259.7966499999998</v>
      </c>
      <c r="AE310" s="6">
        <f>$K$310*$Y$310</f>
        <v>0</v>
      </c>
      <c r="AF310" s="6">
        <f ca="1">$M$310*$Z$310</f>
        <v>1339.5694679177311</v>
      </c>
      <c r="AG310" s="6">
        <f ca="1">$O$310*$AA$310</f>
        <v>1185.3110907178173</v>
      </c>
    </row>
    <row r="311" spans="1:33" ht="11.25" customHeight="1" x14ac:dyDescent="0.25">
      <c r="A311" s="4" t="s">
        <v>21</v>
      </c>
      <c r="B311" s="4" t="s">
        <v>22</v>
      </c>
      <c r="C311" s="4" t="s">
        <v>23</v>
      </c>
      <c r="D311" s="4" t="s">
        <v>24</v>
      </c>
      <c r="E311" s="4" t="s">
        <v>31</v>
      </c>
      <c r="F311" s="4" t="s">
        <v>25</v>
      </c>
      <c r="G311" s="4" t="s">
        <v>25</v>
      </c>
      <c r="H311" s="4" t="s">
        <v>25</v>
      </c>
      <c r="I311" s="5">
        <v>44531</v>
      </c>
      <c r="J311" s="6">
        <v>0</v>
      </c>
      <c r="K311" s="6">
        <v>0</v>
      </c>
      <c r="L311" s="6">
        <v>8.6460000000000008</v>
      </c>
      <c r="M311" s="6">
        <v>8.6460000000000008</v>
      </c>
      <c r="N311" s="6">
        <v>8.6460000000000008</v>
      </c>
      <c r="O311" s="6">
        <v>8.6460000000000008</v>
      </c>
      <c r="P311" s="6">
        <v>112</v>
      </c>
      <c r="Q311" s="4" t="s">
        <v>26</v>
      </c>
      <c r="R311" s="4">
        <v>0</v>
      </c>
      <c r="S311" s="6">
        <v>0</v>
      </c>
      <c r="T311" s="6">
        <v>37</v>
      </c>
      <c r="U311" s="6">
        <v>59</v>
      </c>
      <c r="V311" s="6">
        <f>IF(ISERROR(VLOOKUP($S$311,'TAR FIN'!$A$1:$O$85,15,0)),0,VLOOKUP($S$311,'TAR FIN'!$A$1:$O$85,15,0))</f>
        <v>0</v>
      </c>
      <c r="W311" s="6">
        <f>IF(ISERROR(VLOOKUP($T$311,'TAR FIN'!$A$1:$O$85,15,0)),0,VLOOKUP($T$311,'TAR FIN'!$A$1:$O$85,15,0))</f>
        <v>258.58</v>
      </c>
      <c r="X311" s="6">
        <f>IF(ISERROR(VLOOKUP($U$311,'TAR FIN'!$A$1:$O$85,15,0)),0,VLOOKUP($U$311,'TAR FIN'!$A$1:$O$85,15,0))</f>
        <v>241.85</v>
      </c>
      <c r="Y311" s="6"/>
      <c r="Z311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257.16442079434273</v>
      </c>
      <c r="AA311" s="6">
        <f ca="1">('TE BE'!$AB$15+'TE BF_350'!$AB$15+'TE CVA'!$AB$15)*(1-CUSTOS!$M$37)</f>
        <v>227.55060294064452</v>
      </c>
      <c r="AB311" s="6">
        <f>$K$311*$V$311</f>
        <v>0</v>
      </c>
      <c r="AC311" s="6">
        <f>$M$311*$W$311</f>
        <v>2235.6826799999999</v>
      </c>
      <c r="AD311" s="6">
        <f>$O$311*$X$311</f>
        <v>2091.0351000000001</v>
      </c>
      <c r="AE311" s="6">
        <f>$K$311*$Y$311</f>
        <v>0</v>
      </c>
      <c r="AF311" s="6">
        <f ca="1">$M$311*$Z$311</f>
        <v>2223.4435821878874</v>
      </c>
      <c r="AG311" s="6">
        <f ca="1">$O$311*$AA$311</f>
        <v>1967.4025130248128</v>
      </c>
    </row>
    <row r="312" spans="1:33" ht="11.25" customHeight="1" x14ac:dyDescent="0.25">
      <c r="A312" s="4" t="s">
        <v>21</v>
      </c>
      <c r="B312" s="4" t="s">
        <v>22</v>
      </c>
      <c r="C312" s="4" t="s">
        <v>23</v>
      </c>
      <c r="D312" s="4" t="s">
        <v>24</v>
      </c>
      <c r="E312" s="4" t="s">
        <v>31</v>
      </c>
      <c r="F312" s="4" t="s">
        <v>25</v>
      </c>
      <c r="G312" s="4" t="s">
        <v>25</v>
      </c>
      <c r="H312" s="4" t="s">
        <v>25</v>
      </c>
      <c r="I312" s="5">
        <v>44562</v>
      </c>
      <c r="J312" s="6">
        <v>0</v>
      </c>
      <c r="K312" s="6">
        <v>0</v>
      </c>
      <c r="L312" s="6">
        <v>12.211</v>
      </c>
      <c r="M312" s="6">
        <v>12.211</v>
      </c>
      <c r="N312" s="6">
        <v>12.211</v>
      </c>
      <c r="O312" s="6">
        <v>12.211</v>
      </c>
      <c r="P312" s="6">
        <v>141</v>
      </c>
      <c r="Q312" s="4" t="s">
        <v>26</v>
      </c>
      <c r="R312" s="4">
        <v>0</v>
      </c>
      <c r="S312" s="6">
        <v>0</v>
      </c>
      <c r="T312" s="6">
        <v>37</v>
      </c>
      <c r="U312" s="6">
        <v>59</v>
      </c>
      <c r="V312" s="6">
        <f>IF(ISERROR(VLOOKUP($S$312,'TAR FIN'!$A$1:$O$85,15,0)),0,VLOOKUP($S$312,'TAR FIN'!$A$1:$O$85,15,0))</f>
        <v>0</v>
      </c>
      <c r="W312" s="6">
        <f>IF(ISERROR(VLOOKUP($T$312,'TAR FIN'!$A$1:$O$85,15,0)),0,VLOOKUP($T$312,'TAR FIN'!$A$1:$O$85,15,0))</f>
        <v>258.58</v>
      </c>
      <c r="X312" s="6">
        <f>IF(ISERROR(VLOOKUP($U$312,'TAR FIN'!$A$1:$O$85,15,0)),0,VLOOKUP($U$312,'TAR FIN'!$A$1:$O$85,15,0))</f>
        <v>241.85</v>
      </c>
      <c r="Y312" s="6"/>
      <c r="Z312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257.16442079434273</v>
      </c>
      <c r="AA312" s="6">
        <f ca="1">('TE BE'!$AB$15+'TE BF_350'!$AB$15+'TE CVA'!$AB$15)*(1-CUSTOS!$M$37)</f>
        <v>227.55060294064452</v>
      </c>
      <c r="AB312" s="6">
        <f>$K$312*$V$312</f>
        <v>0</v>
      </c>
      <c r="AC312" s="6">
        <f>$M$312*$W$312</f>
        <v>3157.5203799999999</v>
      </c>
      <c r="AD312" s="6">
        <f>$O$312*$X$312</f>
        <v>2953.2303499999998</v>
      </c>
      <c r="AE312" s="6">
        <f>$K$312*$Y$312</f>
        <v>0</v>
      </c>
      <c r="AF312" s="6">
        <f ca="1">$M$312*$Z$312</f>
        <v>3140.2347423197193</v>
      </c>
      <c r="AG312" s="6">
        <f ca="1">$O$312*$AA$312</f>
        <v>2778.6204125082104</v>
      </c>
    </row>
    <row r="313" spans="1:33" ht="11.25" customHeight="1" x14ac:dyDescent="0.25">
      <c r="A313" s="4" t="s">
        <v>21</v>
      </c>
      <c r="B313" s="4" t="s">
        <v>22</v>
      </c>
      <c r="C313" s="4" t="s">
        <v>23</v>
      </c>
      <c r="D313" s="4" t="s">
        <v>24</v>
      </c>
      <c r="E313" s="4" t="s">
        <v>31</v>
      </c>
      <c r="F313" s="4" t="s">
        <v>25</v>
      </c>
      <c r="G313" s="4" t="s">
        <v>25</v>
      </c>
      <c r="H313" s="4" t="s">
        <v>25</v>
      </c>
      <c r="I313" s="5">
        <v>44593</v>
      </c>
      <c r="J313" s="6">
        <v>0</v>
      </c>
      <c r="K313" s="6">
        <v>0</v>
      </c>
      <c r="L313" s="6">
        <v>13.118</v>
      </c>
      <c r="M313" s="6">
        <v>13.118</v>
      </c>
      <c r="N313" s="6">
        <v>13.118</v>
      </c>
      <c r="O313" s="6">
        <v>13.118</v>
      </c>
      <c r="P313" s="6">
        <v>151</v>
      </c>
      <c r="Q313" s="4" t="s">
        <v>26</v>
      </c>
      <c r="R313" s="4">
        <v>0</v>
      </c>
      <c r="S313" s="6">
        <v>0</v>
      </c>
      <c r="T313" s="6">
        <v>37</v>
      </c>
      <c r="U313" s="6">
        <v>59</v>
      </c>
      <c r="V313" s="6">
        <f>IF(ISERROR(VLOOKUP($S$313,'TAR FIN'!$A$1:$O$85,15,0)),0,VLOOKUP($S$313,'TAR FIN'!$A$1:$O$85,15,0))</f>
        <v>0</v>
      </c>
      <c r="W313" s="6">
        <f>IF(ISERROR(VLOOKUP($T$313,'TAR FIN'!$A$1:$O$85,15,0)),0,VLOOKUP($T$313,'TAR FIN'!$A$1:$O$85,15,0))</f>
        <v>258.58</v>
      </c>
      <c r="X313" s="6">
        <f>IF(ISERROR(VLOOKUP($U$313,'TAR FIN'!$A$1:$O$85,15,0)),0,VLOOKUP($U$313,'TAR FIN'!$A$1:$O$85,15,0))</f>
        <v>241.85</v>
      </c>
      <c r="Y313" s="6"/>
      <c r="Z313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257.16442079434273</v>
      </c>
      <c r="AA313" s="6">
        <f ca="1">('TE BE'!$AB$15+'TE BF_350'!$AB$15+'TE CVA'!$AB$15)*(1-CUSTOS!$M$37)</f>
        <v>227.55060294064452</v>
      </c>
      <c r="AB313" s="6">
        <f>$K$313*$V$313</f>
        <v>0</v>
      </c>
      <c r="AC313" s="6">
        <f>$M$313*$W$313</f>
        <v>3392.0524399999999</v>
      </c>
      <c r="AD313" s="6">
        <f>$O$313*$X$313</f>
        <v>3172.5882999999999</v>
      </c>
      <c r="AE313" s="6">
        <f>$K$313*$Y$313</f>
        <v>0</v>
      </c>
      <c r="AF313" s="6">
        <f ca="1">$M$313*$Z$313</f>
        <v>3373.4828719801881</v>
      </c>
      <c r="AG313" s="6">
        <f ca="1">$O$313*$AA$313</f>
        <v>2985.0088093753748</v>
      </c>
    </row>
    <row r="314" spans="1:33" ht="11.25" customHeight="1" x14ac:dyDescent="0.25">
      <c r="A314" s="4" t="s">
        <v>21</v>
      </c>
      <c r="B314" s="4" t="s">
        <v>22</v>
      </c>
      <c r="C314" s="4" t="s">
        <v>23</v>
      </c>
      <c r="D314" s="4" t="s">
        <v>24</v>
      </c>
      <c r="E314" s="4" t="s">
        <v>31</v>
      </c>
      <c r="F314" s="4" t="s">
        <v>25</v>
      </c>
      <c r="G314" s="4" t="s">
        <v>25</v>
      </c>
      <c r="H314" s="4" t="s">
        <v>25</v>
      </c>
      <c r="I314" s="5">
        <v>44621</v>
      </c>
      <c r="J314" s="6">
        <v>0</v>
      </c>
      <c r="K314" s="6">
        <v>0</v>
      </c>
      <c r="L314" s="6">
        <v>11.275</v>
      </c>
      <c r="M314" s="6">
        <v>11.275</v>
      </c>
      <c r="N314" s="6">
        <v>11.275</v>
      </c>
      <c r="O314" s="6">
        <v>11.275</v>
      </c>
      <c r="P314" s="6">
        <v>144</v>
      </c>
      <c r="Q314" s="4" t="s">
        <v>26</v>
      </c>
      <c r="R314" s="4">
        <v>0</v>
      </c>
      <c r="S314" s="6">
        <v>0</v>
      </c>
      <c r="T314" s="6">
        <v>37</v>
      </c>
      <c r="U314" s="6">
        <v>59</v>
      </c>
      <c r="V314" s="6">
        <f>IF(ISERROR(VLOOKUP($S$314,'TAR FIN'!$A$1:$O$85,15,0)),0,VLOOKUP($S$314,'TAR FIN'!$A$1:$O$85,15,0))</f>
        <v>0</v>
      </c>
      <c r="W314" s="6">
        <f>IF(ISERROR(VLOOKUP($T$314,'TAR FIN'!$A$1:$O$85,15,0)),0,VLOOKUP($T$314,'TAR FIN'!$A$1:$O$85,15,0))</f>
        <v>258.58</v>
      </c>
      <c r="X314" s="6">
        <f>IF(ISERROR(VLOOKUP($U$314,'TAR FIN'!$A$1:$O$85,15,0)),0,VLOOKUP($U$314,'TAR FIN'!$A$1:$O$85,15,0))</f>
        <v>241.85</v>
      </c>
      <c r="Y314" s="6"/>
      <c r="Z314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257.16442079434273</v>
      </c>
      <c r="AA314" s="6">
        <f ca="1">('TE BE'!$AB$15+'TE BF_350'!$AB$15+'TE CVA'!$AB$15)*(1-CUSTOS!$M$37)</f>
        <v>227.55060294064452</v>
      </c>
      <c r="AB314" s="6">
        <f>$K$314*$V$314</f>
        <v>0</v>
      </c>
      <c r="AC314" s="6">
        <f>$M$314*$W$314</f>
        <v>2915.4895000000001</v>
      </c>
      <c r="AD314" s="6">
        <f>$O$314*$X$314</f>
        <v>2726.8587499999999</v>
      </c>
      <c r="AE314" s="6">
        <f>$K$314*$Y$314</f>
        <v>0</v>
      </c>
      <c r="AF314" s="6">
        <f ca="1">$M$314*$Z$314</f>
        <v>2899.5288444562143</v>
      </c>
      <c r="AG314" s="6">
        <f ca="1">$O$314*$AA$314</f>
        <v>2565.633048155767</v>
      </c>
    </row>
    <row r="315" spans="1:33" ht="11.25" customHeight="1" x14ac:dyDescent="0.25">
      <c r="A315" s="4" t="s">
        <v>21</v>
      </c>
      <c r="B315" s="4" t="s">
        <v>22</v>
      </c>
      <c r="C315" s="4" t="s">
        <v>23</v>
      </c>
      <c r="D315" s="4" t="s">
        <v>24</v>
      </c>
      <c r="E315" s="4" t="s">
        <v>31</v>
      </c>
      <c r="F315" s="4" t="s">
        <v>25</v>
      </c>
      <c r="G315" s="4" t="s">
        <v>25</v>
      </c>
      <c r="H315" s="4" t="s">
        <v>25</v>
      </c>
      <c r="I315" s="5">
        <v>44652</v>
      </c>
      <c r="J315" s="6">
        <v>0</v>
      </c>
      <c r="K315" s="6">
        <v>0</v>
      </c>
      <c r="L315" s="6">
        <v>8.8469999999999995</v>
      </c>
      <c r="M315" s="6">
        <v>8.8469999999999995</v>
      </c>
      <c r="N315" s="6">
        <v>8.8469999999999995</v>
      </c>
      <c r="O315" s="6">
        <v>8.8469999999999995</v>
      </c>
      <c r="P315" s="6">
        <v>125</v>
      </c>
      <c r="Q315" s="4" t="s">
        <v>26</v>
      </c>
      <c r="R315" s="4">
        <v>0</v>
      </c>
      <c r="S315" s="6">
        <v>0</v>
      </c>
      <c r="T315" s="6">
        <v>37</v>
      </c>
      <c r="U315" s="6">
        <v>59</v>
      </c>
      <c r="V315" s="6">
        <f>IF(ISERROR(VLOOKUP($S$315,'TAR FIN'!$A$1:$O$85,15,0)),0,VLOOKUP($S$315,'TAR FIN'!$A$1:$O$85,15,0))</f>
        <v>0</v>
      </c>
      <c r="W315" s="6">
        <f>IF(ISERROR(VLOOKUP($T$315,'TAR FIN'!$A$1:$O$85,15,0)),0,VLOOKUP($T$315,'TAR FIN'!$A$1:$O$85,15,0))</f>
        <v>258.58</v>
      </c>
      <c r="X315" s="6">
        <f>IF(ISERROR(VLOOKUP($U$315,'TAR FIN'!$A$1:$O$85,15,0)),0,VLOOKUP($U$315,'TAR FIN'!$A$1:$O$85,15,0))</f>
        <v>241.85</v>
      </c>
      <c r="Y315" s="6"/>
      <c r="Z315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257.16442079434273</v>
      </c>
      <c r="AA315" s="6">
        <f ca="1">('TE BE'!$AB$15+'TE BF_350'!$AB$15+'TE CVA'!$AB$15)*(1-CUSTOS!$M$37)</f>
        <v>227.55060294064452</v>
      </c>
      <c r="AB315" s="6">
        <f>$K$315*$V$315</f>
        <v>0</v>
      </c>
      <c r="AC315" s="6">
        <f>$M$315*$W$315</f>
        <v>2287.65726</v>
      </c>
      <c r="AD315" s="6">
        <f>$O$315*$X$315</f>
        <v>2139.6469499999998</v>
      </c>
      <c r="AE315" s="6">
        <f>$K$315*$Y$315</f>
        <v>0</v>
      </c>
      <c r="AF315" s="6">
        <f ca="1">$M$315*$Z$315</f>
        <v>2275.1336307675501</v>
      </c>
      <c r="AG315" s="6">
        <f ca="1">$O$315*$AA$315</f>
        <v>2013.1401842158821</v>
      </c>
    </row>
    <row r="316" spans="1:33" ht="11.25" customHeight="1" x14ac:dyDescent="0.25">
      <c r="A316" s="4" t="s">
        <v>21</v>
      </c>
      <c r="B316" s="4" t="s">
        <v>22</v>
      </c>
      <c r="C316" s="4" t="s">
        <v>23</v>
      </c>
      <c r="D316" s="4" t="s">
        <v>24</v>
      </c>
      <c r="E316" s="4" t="s">
        <v>31</v>
      </c>
      <c r="F316" s="4" t="s">
        <v>25</v>
      </c>
      <c r="G316" s="4" t="s">
        <v>25</v>
      </c>
      <c r="H316" s="4" t="s">
        <v>25</v>
      </c>
      <c r="I316" s="5">
        <v>44682</v>
      </c>
      <c r="J316" s="6">
        <v>0</v>
      </c>
      <c r="K316" s="6">
        <v>0</v>
      </c>
      <c r="L316" s="6">
        <v>12.144</v>
      </c>
      <c r="M316" s="6">
        <v>12.144</v>
      </c>
      <c r="N316" s="6">
        <v>12.144</v>
      </c>
      <c r="O316" s="6">
        <v>12.144</v>
      </c>
      <c r="P316" s="6">
        <v>148</v>
      </c>
      <c r="Q316" s="4" t="s">
        <v>26</v>
      </c>
      <c r="R316" s="4">
        <v>0</v>
      </c>
      <c r="S316" s="6">
        <v>0</v>
      </c>
      <c r="T316" s="6">
        <v>37</v>
      </c>
      <c r="U316" s="6">
        <v>59</v>
      </c>
      <c r="V316" s="6">
        <f>IF(ISERROR(VLOOKUP($S$316,'TAR FIN'!$A$1:$O$85,15,0)),0,VLOOKUP($S$316,'TAR FIN'!$A$1:$O$85,15,0))</f>
        <v>0</v>
      </c>
      <c r="W316" s="6">
        <f>IF(ISERROR(VLOOKUP($T$316,'TAR FIN'!$A$1:$O$85,15,0)),0,VLOOKUP($T$316,'TAR FIN'!$A$1:$O$85,15,0))</f>
        <v>258.58</v>
      </c>
      <c r="X316" s="6">
        <f>IF(ISERROR(VLOOKUP($U$316,'TAR FIN'!$A$1:$O$85,15,0)),0,VLOOKUP($U$316,'TAR FIN'!$A$1:$O$85,15,0))</f>
        <v>241.85</v>
      </c>
      <c r="Y316" s="6"/>
      <c r="Z316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257.16442079434273</v>
      </c>
      <c r="AA316" s="6">
        <f ca="1">('TE BE'!$AB$15+'TE BF_350'!$AB$15+'TE CVA'!$AB$15)*(1-CUSTOS!$M$37)</f>
        <v>227.55060294064452</v>
      </c>
      <c r="AB316" s="6">
        <f>$K$316*$V$316</f>
        <v>0</v>
      </c>
      <c r="AC316" s="6">
        <f>$M$316*$W$316</f>
        <v>3140.1955199999998</v>
      </c>
      <c r="AD316" s="6">
        <f>$O$316*$X$316</f>
        <v>2937.0263999999997</v>
      </c>
      <c r="AE316" s="6">
        <f>$K$316*$Y$316</f>
        <v>0</v>
      </c>
      <c r="AF316" s="6">
        <f ca="1">$M$316*$Z$316</f>
        <v>3123.0047261264981</v>
      </c>
      <c r="AG316" s="6">
        <f ca="1">$O$316*$AA$316</f>
        <v>2763.3745221111872</v>
      </c>
    </row>
    <row r="317" spans="1:33" ht="11.25" customHeight="1" x14ac:dyDescent="0.25">
      <c r="A317" s="4" t="s">
        <v>27</v>
      </c>
      <c r="B317" s="4" t="s">
        <v>22</v>
      </c>
      <c r="C317" s="4" t="s">
        <v>23</v>
      </c>
      <c r="D317" s="4" t="s">
        <v>24</v>
      </c>
      <c r="E317" s="4" t="s">
        <v>31</v>
      </c>
      <c r="F317" s="4" t="s">
        <v>25</v>
      </c>
      <c r="G317" s="4" t="s">
        <v>25</v>
      </c>
      <c r="H317" s="4" t="s">
        <v>25</v>
      </c>
      <c r="I317" s="5">
        <v>44682</v>
      </c>
      <c r="J317" s="6">
        <v>0</v>
      </c>
      <c r="K317" s="6">
        <v>0</v>
      </c>
      <c r="L317" s="6">
        <v>6.0999999999999999E-2</v>
      </c>
      <c r="M317" s="6">
        <v>6.0999999999999999E-2</v>
      </c>
      <c r="N317" s="6">
        <v>6.0999999999999999E-2</v>
      </c>
      <c r="O317" s="6">
        <v>6.0999999999999999E-2</v>
      </c>
      <c r="P317" s="6">
        <v>1</v>
      </c>
      <c r="Q317" s="4" t="s">
        <v>26</v>
      </c>
      <c r="R317" s="4">
        <v>0</v>
      </c>
      <c r="S317" s="6">
        <v>0</v>
      </c>
      <c r="T317" s="6">
        <v>37</v>
      </c>
      <c r="U317" s="6">
        <v>59</v>
      </c>
      <c r="V317" s="6">
        <f>IF(ISERROR(VLOOKUP($S$317,'TAR FIN'!$A$1:$O$85,15,0)),0,VLOOKUP($S$317,'TAR FIN'!$A$1:$O$85,15,0))</f>
        <v>0</v>
      </c>
      <c r="W317" s="6">
        <f>IF(ISERROR(VLOOKUP($T$317,'TAR FIN'!$A$1:$O$85,15,0)),0,VLOOKUP($T$317,'TAR FIN'!$A$1:$O$85,15,0))</f>
        <v>258.58</v>
      </c>
      <c r="X317" s="6">
        <f>IF(ISERROR(VLOOKUP($U$317,'TAR FIN'!$A$1:$O$85,15,0)),0,VLOOKUP($U$317,'TAR FIN'!$A$1:$O$85,15,0))</f>
        <v>241.85</v>
      </c>
      <c r="Y317" s="6"/>
      <c r="Z317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257.16442079434273</v>
      </c>
      <c r="AA317" s="6">
        <f ca="1">('TE BE'!$AB$15+'TE BF_350'!$AB$15+'TE CVA'!$AB$15)*(1-CUSTOS!$M$37)</f>
        <v>227.55060294064452</v>
      </c>
      <c r="AB317" s="6">
        <f>$K$317*$V$317</f>
        <v>0</v>
      </c>
      <c r="AC317" s="6">
        <f>$M$317*$W$317</f>
        <v>15.77338</v>
      </c>
      <c r="AD317" s="6">
        <f>$O$317*$X$317</f>
        <v>14.752849999999999</v>
      </c>
      <c r="AE317" s="6">
        <f>$K$317*$Y$317</f>
        <v>0</v>
      </c>
      <c r="AF317" s="6">
        <f ca="1">$M$317*$Z$317</f>
        <v>15.687029668454906</v>
      </c>
      <c r="AG317" s="6">
        <f ca="1">$O$317*$AA$317</f>
        <v>13.880586779379316</v>
      </c>
    </row>
    <row r="318" spans="1:33" ht="11.25" customHeight="1" x14ac:dyDescent="0.25">
      <c r="A318" s="4" t="s">
        <v>21</v>
      </c>
      <c r="B318" s="4" t="s">
        <v>22</v>
      </c>
      <c r="C318" s="4" t="s">
        <v>23</v>
      </c>
      <c r="D318" s="4" t="s">
        <v>24</v>
      </c>
      <c r="E318" s="4" t="s">
        <v>31</v>
      </c>
      <c r="F318" s="4" t="s">
        <v>25</v>
      </c>
      <c r="G318" s="4" t="s">
        <v>25</v>
      </c>
      <c r="H318" s="4" t="s">
        <v>25</v>
      </c>
      <c r="I318" s="5">
        <v>44713</v>
      </c>
      <c r="J318" s="6">
        <v>0</v>
      </c>
      <c r="K318" s="6">
        <v>0</v>
      </c>
      <c r="L318" s="6">
        <v>20.437999999999999</v>
      </c>
      <c r="M318" s="6">
        <v>20.437999999999999</v>
      </c>
      <c r="N318" s="6">
        <v>20.437999999999999</v>
      </c>
      <c r="O318" s="6">
        <v>20.437999999999999</v>
      </c>
      <c r="P318" s="6">
        <v>204</v>
      </c>
      <c r="Q318" s="4" t="s">
        <v>26</v>
      </c>
      <c r="R318" s="4">
        <v>0</v>
      </c>
      <c r="S318" s="6">
        <v>0</v>
      </c>
      <c r="T318" s="6">
        <v>37</v>
      </c>
      <c r="U318" s="6">
        <v>59</v>
      </c>
      <c r="V318" s="6">
        <f>IF(ISERROR(VLOOKUP($S$318,'TAR FIN'!$A$1:$O$85,15,0)),0,VLOOKUP($S$318,'TAR FIN'!$A$1:$O$85,15,0))</f>
        <v>0</v>
      </c>
      <c r="W318" s="6">
        <f>IF(ISERROR(VLOOKUP($T$318,'TAR FIN'!$A$1:$O$85,15,0)),0,VLOOKUP($T$318,'TAR FIN'!$A$1:$O$85,15,0))</f>
        <v>258.58</v>
      </c>
      <c r="X318" s="6">
        <f>IF(ISERROR(VLOOKUP($U$318,'TAR FIN'!$A$1:$O$85,15,0)),0,VLOOKUP($U$318,'TAR FIN'!$A$1:$O$85,15,0))</f>
        <v>241.85</v>
      </c>
      <c r="Y318" s="6"/>
      <c r="Z318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257.16442079434273</v>
      </c>
      <c r="AA318" s="6">
        <f ca="1">('TE BE'!$AB$15+'TE BF_350'!$AB$15+'TE CVA'!$AB$15)*(1-CUSTOS!$M$37)</f>
        <v>227.55060294064452</v>
      </c>
      <c r="AB318" s="6">
        <f>$K$318*$V$318</f>
        <v>0</v>
      </c>
      <c r="AC318" s="6">
        <f>$M$318*$W$318</f>
        <v>5284.8580399999992</v>
      </c>
      <c r="AD318" s="6">
        <f>$O$318*$X$318</f>
        <v>4942.9303</v>
      </c>
      <c r="AE318" s="6">
        <f>$K$318*$Y$318</f>
        <v>0</v>
      </c>
      <c r="AF318" s="6">
        <f ca="1">$M$318*$Z$318</f>
        <v>5255.9264321947767</v>
      </c>
      <c r="AG318" s="6">
        <f ca="1">$O$318*$AA$318</f>
        <v>4650.6792229008925</v>
      </c>
    </row>
    <row r="319" spans="1:33" ht="11.25" customHeight="1" x14ac:dyDescent="0.25">
      <c r="A319" s="4" t="s">
        <v>27</v>
      </c>
      <c r="B319" s="4" t="s">
        <v>22</v>
      </c>
      <c r="C319" s="4" t="s">
        <v>23</v>
      </c>
      <c r="D319" s="4" t="s">
        <v>24</v>
      </c>
      <c r="E319" s="4" t="s">
        <v>31</v>
      </c>
      <c r="F319" s="4" t="s">
        <v>25</v>
      </c>
      <c r="G319" s="4" t="s">
        <v>25</v>
      </c>
      <c r="H319" s="4" t="s">
        <v>25</v>
      </c>
      <c r="I319" s="5">
        <v>44713</v>
      </c>
      <c r="J319" s="6">
        <v>0</v>
      </c>
      <c r="K319" s="6">
        <v>0</v>
      </c>
      <c r="L319" s="6">
        <v>6.4000000000000001E-2</v>
      </c>
      <c r="M319" s="6">
        <v>6.4000000000000001E-2</v>
      </c>
      <c r="N319" s="6">
        <v>6.4000000000000001E-2</v>
      </c>
      <c r="O319" s="6">
        <v>6.4000000000000001E-2</v>
      </c>
      <c r="P319" s="6">
        <v>2</v>
      </c>
      <c r="Q319" s="4" t="s">
        <v>26</v>
      </c>
      <c r="R319" s="4">
        <v>0</v>
      </c>
      <c r="S319" s="6">
        <v>0</v>
      </c>
      <c r="T319" s="6">
        <v>37</v>
      </c>
      <c r="U319" s="6">
        <v>59</v>
      </c>
      <c r="V319" s="6">
        <f>IF(ISERROR(VLOOKUP($S$319,'TAR FIN'!$A$1:$O$85,15,0)),0,VLOOKUP($S$319,'TAR FIN'!$A$1:$O$85,15,0))</f>
        <v>0</v>
      </c>
      <c r="W319" s="6">
        <f>IF(ISERROR(VLOOKUP($T$319,'TAR FIN'!$A$1:$O$85,15,0)),0,VLOOKUP($T$319,'TAR FIN'!$A$1:$O$85,15,0))</f>
        <v>258.58</v>
      </c>
      <c r="X319" s="6">
        <f>IF(ISERROR(VLOOKUP($U$319,'TAR FIN'!$A$1:$O$85,15,0)),0,VLOOKUP($U$319,'TAR FIN'!$A$1:$O$85,15,0))</f>
        <v>241.85</v>
      </c>
      <c r="Y319" s="6"/>
      <c r="Z319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257.16442079434273</v>
      </c>
      <c r="AA319" s="6">
        <f ca="1">('TE BE'!$AB$15+'TE BF_350'!$AB$15+'TE CVA'!$AB$15)*(1-CUSTOS!$M$37)</f>
        <v>227.55060294064452</v>
      </c>
      <c r="AB319" s="6">
        <f>$K$319*$V$319</f>
        <v>0</v>
      </c>
      <c r="AC319" s="6">
        <f>$M$319*$W$319</f>
        <v>16.549119999999998</v>
      </c>
      <c r="AD319" s="6">
        <f>$O$319*$X$319</f>
        <v>15.478400000000001</v>
      </c>
      <c r="AE319" s="6">
        <f>$K$319*$Y$319</f>
        <v>0</v>
      </c>
      <c r="AF319" s="6">
        <f ca="1">$M$319*$Z$319</f>
        <v>16.458522930837937</v>
      </c>
      <c r="AG319" s="6">
        <f ca="1">$O$319*$AA$319</f>
        <v>14.56323858820125</v>
      </c>
    </row>
    <row r="320" spans="1:33" ht="11.25" customHeight="1" x14ac:dyDescent="0.25">
      <c r="A320" s="4" t="s">
        <v>21</v>
      </c>
      <c r="B320" s="4" t="s">
        <v>39</v>
      </c>
      <c r="C320" s="4" t="s">
        <v>23</v>
      </c>
      <c r="D320" s="4" t="s">
        <v>40</v>
      </c>
      <c r="E320" s="4" t="s">
        <v>25</v>
      </c>
      <c r="F320" s="4" t="s">
        <v>25</v>
      </c>
      <c r="G320" s="4" t="s">
        <v>25</v>
      </c>
      <c r="H320" s="4" t="s">
        <v>25</v>
      </c>
      <c r="I320" s="5">
        <v>44378</v>
      </c>
      <c r="J320" s="6">
        <v>0</v>
      </c>
      <c r="K320" s="6">
        <v>0</v>
      </c>
      <c r="L320" s="6">
        <v>3.9630000000000001</v>
      </c>
      <c r="M320" s="6">
        <v>3.9630000000000001</v>
      </c>
      <c r="N320" s="6">
        <v>3.9630000000000001</v>
      </c>
      <c r="O320" s="6">
        <v>3.9630000000000001</v>
      </c>
      <c r="P320" s="6">
        <v>13</v>
      </c>
      <c r="Q320" s="4" t="s">
        <v>26</v>
      </c>
      <c r="R320" s="4">
        <v>0</v>
      </c>
      <c r="S320" s="6">
        <v>0</v>
      </c>
      <c r="T320" s="6">
        <v>22</v>
      </c>
      <c r="U320" s="6">
        <v>57</v>
      </c>
      <c r="V320" s="6">
        <f>IF(ISERROR(VLOOKUP($S$320,'TAR FIN'!$A$1:$O$85,15,0)),0,VLOOKUP($S$320,'TAR FIN'!$A$1:$O$85,15,0))</f>
        <v>0</v>
      </c>
      <c r="W320" s="6">
        <f>IF(ISERROR(VLOOKUP($T$320,'TAR FIN'!$A$1:$O$85,15,0)),0,VLOOKUP($T$320,'TAR FIN'!$A$1:$O$85,15,0))</f>
        <v>293.17</v>
      </c>
      <c r="X320" s="6">
        <f>IF(ISERROR(VLOOKUP($U$320,'TAR FIN'!$A$1:$O$85,15,0)),0,VLOOKUP($U$320,'TAR FIN'!$A$1:$O$85,15,0))</f>
        <v>212.83</v>
      </c>
      <c r="Y320" s="6"/>
      <c r="Z320" s="6">
        <f ca="1">('TUSD BE'!$AM$33+'TUSD BF_350'!$AM$33+'TUSD CVA'!$AM$33)*(1-CUSTOS!$M$38)</f>
        <v>353.56542979146212</v>
      </c>
      <c r="AA320" s="6">
        <f ca="1">('TE BE'!$AB$24+'TE BF_350'!$AB$24+'TE CVA'!$AB$24)*(1-CUSTOS!$M$38)</f>
        <v>213.89756676420583</v>
      </c>
      <c r="AB320" s="6">
        <f>$K$320*$V$320</f>
        <v>0</v>
      </c>
      <c r="AC320" s="6">
        <f>$M$320*$W$320</f>
        <v>1161.8327100000001</v>
      </c>
      <c r="AD320" s="6">
        <f>$O$320*$X$320</f>
        <v>843.44529000000011</v>
      </c>
      <c r="AE320" s="6">
        <f>$K$320*$Y$320</f>
        <v>0</v>
      </c>
      <c r="AF320" s="6">
        <f ca="1">$M$320*$Z$320</f>
        <v>1401.1797982635644</v>
      </c>
      <c r="AG320" s="6">
        <f ca="1">$O$320*$AA$320</f>
        <v>847.67605708654776</v>
      </c>
    </row>
    <row r="321" spans="1:33" ht="11.25" customHeight="1" x14ac:dyDescent="0.25">
      <c r="A321" s="4" t="s">
        <v>21</v>
      </c>
      <c r="B321" s="4" t="s">
        <v>39</v>
      </c>
      <c r="C321" s="4" t="s">
        <v>23</v>
      </c>
      <c r="D321" s="4" t="s">
        <v>40</v>
      </c>
      <c r="E321" s="4" t="s">
        <v>25</v>
      </c>
      <c r="F321" s="4" t="s">
        <v>25</v>
      </c>
      <c r="G321" s="4" t="s">
        <v>25</v>
      </c>
      <c r="H321" s="4" t="s">
        <v>25</v>
      </c>
      <c r="I321" s="5">
        <v>44409</v>
      </c>
      <c r="J321" s="6">
        <v>0</v>
      </c>
      <c r="K321" s="6">
        <v>0</v>
      </c>
      <c r="L321" s="6">
        <v>4.1479999999999997</v>
      </c>
      <c r="M321" s="6">
        <v>4.1479999999999997</v>
      </c>
      <c r="N321" s="6">
        <v>4.1479999999999997</v>
      </c>
      <c r="O321" s="6">
        <v>4.1479999999999997</v>
      </c>
      <c r="P321" s="6">
        <v>13</v>
      </c>
      <c r="Q321" s="4" t="s">
        <v>26</v>
      </c>
      <c r="R321" s="4">
        <v>0</v>
      </c>
      <c r="S321" s="6">
        <v>0</v>
      </c>
      <c r="T321" s="6">
        <v>22</v>
      </c>
      <c r="U321" s="6">
        <v>57</v>
      </c>
      <c r="V321" s="6">
        <f>IF(ISERROR(VLOOKUP($S$321,'TAR FIN'!$A$1:$O$85,15,0)),0,VLOOKUP($S$321,'TAR FIN'!$A$1:$O$85,15,0))</f>
        <v>0</v>
      </c>
      <c r="W321" s="6">
        <f>IF(ISERROR(VLOOKUP($T$321,'TAR FIN'!$A$1:$O$85,15,0)),0,VLOOKUP($T$321,'TAR FIN'!$A$1:$O$85,15,0))</f>
        <v>293.17</v>
      </c>
      <c r="X321" s="6">
        <f>IF(ISERROR(VLOOKUP($U$321,'TAR FIN'!$A$1:$O$85,15,0)),0,VLOOKUP($U$321,'TAR FIN'!$A$1:$O$85,15,0))</f>
        <v>212.83</v>
      </c>
      <c r="Y321" s="6"/>
      <c r="Z321" s="6">
        <f ca="1">('TUSD BE'!$AM$33+'TUSD BF_350'!$AM$33+'TUSD CVA'!$AM$33)*(1-CUSTOS!$M$38)</f>
        <v>353.56542979146212</v>
      </c>
      <c r="AA321" s="6">
        <f ca="1">('TE BE'!$AB$24+'TE BF_350'!$AB$24+'TE CVA'!$AB$24)*(1-CUSTOS!$M$38)</f>
        <v>213.89756676420583</v>
      </c>
      <c r="AB321" s="6">
        <f>$K$321*$V$321</f>
        <v>0</v>
      </c>
      <c r="AC321" s="6">
        <f>$M$321*$W$321</f>
        <v>1216.06916</v>
      </c>
      <c r="AD321" s="6">
        <f>$O$321*$X$321</f>
        <v>882.81884000000002</v>
      </c>
      <c r="AE321" s="6">
        <f>$K$321*$Y$321</f>
        <v>0</v>
      </c>
      <c r="AF321" s="6">
        <f ca="1">$M$321*$Z$321</f>
        <v>1466.5894027749848</v>
      </c>
      <c r="AG321" s="6">
        <f ca="1">$O$321*$AA$321</f>
        <v>887.24710693792576</v>
      </c>
    </row>
    <row r="322" spans="1:33" ht="11.25" customHeight="1" x14ac:dyDescent="0.25">
      <c r="A322" s="4" t="s">
        <v>21</v>
      </c>
      <c r="B322" s="4" t="s">
        <v>39</v>
      </c>
      <c r="C322" s="4" t="s">
        <v>23</v>
      </c>
      <c r="D322" s="4" t="s">
        <v>40</v>
      </c>
      <c r="E322" s="4" t="s">
        <v>25</v>
      </c>
      <c r="F322" s="4" t="s">
        <v>25</v>
      </c>
      <c r="G322" s="4" t="s">
        <v>25</v>
      </c>
      <c r="H322" s="4" t="s">
        <v>25</v>
      </c>
      <c r="I322" s="5">
        <v>44440</v>
      </c>
      <c r="J322" s="6">
        <v>0</v>
      </c>
      <c r="K322" s="6">
        <v>0</v>
      </c>
      <c r="L322" s="6">
        <v>4.1529999999999996</v>
      </c>
      <c r="M322" s="6">
        <v>4.1529999999999996</v>
      </c>
      <c r="N322" s="6">
        <v>4.1529999999999996</v>
      </c>
      <c r="O322" s="6">
        <v>4.1529999999999996</v>
      </c>
      <c r="P322" s="6">
        <v>13</v>
      </c>
      <c r="Q322" s="4" t="s">
        <v>26</v>
      </c>
      <c r="R322" s="4">
        <v>0</v>
      </c>
      <c r="S322" s="6">
        <v>0</v>
      </c>
      <c r="T322" s="6">
        <v>22</v>
      </c>
      <c r="U322" s="6">
        <v>57</v>
      </c>
      <c r="V322" s="6">
        <f>IF(ISERROR(VLOOKUP($S$322,'TAR FIN'!$A$1:$O$85,15,0)),0,VLOOKUP($S$322,'TAR FIN'!$A$1:$O$85,15,0))</f>
        <v>0</v>
      </c>
      <c r="W322" s="6">
        <f>IF(ISERROR(VLOOKUP($T$322,'TAR FIN'!$A$1:$O$85,15,0)),0,VLOOKUP($T$322,'TAR FIN'!$A$1:$O$85,15,0))</f>
        <v>293.17</v>
      </c>
      <c r="X322" s="6">
        <f>IF(ISERROR(VLOOKUP($U$322,'TAR FIN'!$A$1:$O$85,15,0)),0,VLOOKUP($U$322,'TAR FIN'!$A$1:$O$85,15,0))</f>
        <v>212.83</v>
      </c>
      <c r="Y322" s="6"/>
      <c r="Z322" s="6">
        <f ca="1">('TUSD BE'!$AM$33+'TUSD BF_350'!$AM$33+'TUSD CVA'!$AM$33)*(1-CUSTOS!$M$38)</f>
        <v>353.56542979146212</v>
      </c>
      <c r="AA322" s="6">
        <f ca="1">('TE BE'!$AB$24+'TE BF_350'!$AB$24+'TE CVA'!$AB$24)*(1-CUSTOS!$M$38)</f>
        <v>213.89756676420583</v>
      </c>
      <c r="AB322" s="6">
        <f>$K$322*$V$322</f>
        <v>0</v>
      </c>
      <c r="AC322" s="6">
        <f>$M$322*$W$322</f>
        <v>1217.5350100000001</v>
      </c>
      <c r="AD322" s="6">
        <f>$O$322*$X$322</f>
        <v>883.88298999999995</v>
      </c>
      <c r="AE322" s="6">
        <f>$K$322*$Y$322</f>
        <v>0</v>
      </c>
      <c r="AF322" s="6">
        <f ca="1">$M$322*$Z$322</f>
        <v>1468.357229923942</v>
      </c>
      <c r="AG322" s="6">
        <f ca="1">$O$322*$AA$322</f>
        <v>888.31659477174674</v>
      </c>
    </row>
    <row r="323" spans="1:33" ht="11.25" customHeight="1" x14ac:dyDescent="0.25">
      <c r="A323" s="4" t="s">
        <v>21</v>
      </c>
      <c r="B323" s="4" t="s">
        <v>39</v>
      </c>
      <c r="C323" s="4" t="s">
        <v>23</v>
      </c>
      <c r="D323" s="4" t="s">
        <v>40</v>
      </c>
      <c r="E323" s="4" t="s">
        <v>25</v>
      </c>
      <c r="F323" s="4" t="s">
        <v>25</v>
      </c>
      <c r="G323" s="4" t="s">
        <v>25</v>
      </c>
      <c r="H323" s="4" t="s">
        <v>25</v>
      </c>
      <c r="I323" s="5">
        <v>44470</v>
      </c>
      <c r="J323" s="6">
        <v>0</v>
      </c>
      <c r="K323" s="6">
        <v>0</v>
      </c>
      <c r="L323" s="6">
        <v>4.0789999999999997</v>
      </c>
      <c r="M323" s="6">
        <v>4.0789999999999997</v>
      </c>
      <c r="N323" s="6">
        <v>4.0789999999999997</v>
      </c>
      <c r="O323" s="6">
        <v>4.0789999999999997</v>
      </c>
      <c r="P323" s="6">
        <v>13</v>
      </c>
      <c r="Q323" s="4" t="s">
        <v>26</v>
      </c>
      <c r="R323" s="4">
        <v>0</v>
      </c>
      <c r="S323" s="6">
        <v>0</v>
      </c>
      <c r="T323" s="6">
        <v>22</v>
      </c>
      <c r="U323" s="6">
        <v>57</v>
      </c>
      <c r="V323" s="6">
        <f>IF(ISERROR(VLOOKUP($S$323,'TAR FIN'!$A$1:$O$85,15,0)),0,VLOOKUP($S$323,'TAR FIN'!$A$1:$O$85,15,0))</f>
        <v>0</v>
      </c>
      <c r="W323" s="6">
        <f>IF(ISERROR(VLOOKUP($T$323,'TAR FIN'!$A$1:$O$85,15,0)),0,VLOOKUP($T$323,'TAR FIN'!$A$1:$O$85,15,0))</f>
        <v>293.17</v>
      </c>
      <c r="X323" s="6">
        <f>IF(ISERROR(VLOOKUP($U$323,'TAR FIN'!$A$1:$O$85,15,0)),0,VLOOKUP($U$323,'TAR FIN'!$A$1:$O$85,15,0))</f>
        <v>212.83</v>
      </c>
      <c r="Y323" s="6"/>
      <c r="Z323" s="6">
        <f ca="1">('TUSD BE'!$AM$33+'TUSD BF_350'!$AM$33+'TUSD CVA'!$AM$33)*(1-CUSTOS!$M$38)</f>
        <v>353.56542979146212</v>
      </c>
      <c r="AA323" s="6">
        <f ca="1">('TE BE'!$AB$24+'TE BF_350'!$AB$24+'TE CVA'!$AB$24)*(1-CUSTOS!$M$38)</f>
        <v>213.89756676420583</v>
      </c>
      <c r="AB323" s="6">
        <f>$K$323*$V$323</f>
        <v>0</v>
      </c>
      <c r="AC323" s="6">
        <f>$M$323*$W$323</f>
        <v>1195.84043</v>
      </c>
      <c r="AD323" s="6">
        <f>$O$323*$X$323</f>
        <v>868.13356999999996</v>
      </c>
      <c r="AE323" s="6">
        <f>$K$323*$Y$323</f>
        <v>0</v>
      </c>
      <c r="AF323" s="6">
        <f ca="1">$M$323*$Z$323</f>
        <v>1442.1933881193738</v>
      </c>
      <c r="AG323" s="6">
        <f ca="1">$O$323*$AA$323</f>
        <v>872.48817483119558</v>
      </c>
    </row>
    <row r="324" spans="1:33" ht="11.25" customHeight="1" x14ac:dyDescent="0.25">
      <c r="A324" s="4" t="s">
        <v>21</v>
      </c>
      <c r="B324" s="4" t="s">
        <v>39</v>
      </c>
      <c r="C324" s="4" t="s">
        <v>23</v>
      </c>
      <c r="D324" s="4" t="s">
        <v>40</v>
      </c>
      <c r="E324" s="4" t="s">
        <v>25</v>
      </c>
      <c r="F324" s="4" t="s">
        <v>25</v>
      </c>
      <c r="G324" s="4" t="s">
        <v>25</v>
      </c>
      <c r="H324" s="4" t="s">
        <v>25</v>
      </c>
      <c r="I324" s="5">
        <v>44501</v>
      </c>
      <c r="J324" s="6">
        <v>0</v>
      </c>
      <c r="K324" s="6">
        <v>0</v>
      </c>
      <c r="L324" s="6">
        <v>4.3499999999999996</v>
      </c>
      <c r="M324" s="6">
        <v>4.3499999999999996</v>
      </c>
      <c r="N324" s="6">
        <v>4.3499999999999996</v>
      </c>
      <c r="O324" s="6">
        <v>4.3499999999999996</v>
      </c>
      <c r="P324" s="6">
        <v>13</v>
      </c>
      <c r="Q324" s="4" t="s">
        <v>26</v>
      </c>
      <c r="R324" s="4">
        <v>0</v>
      </c>
      <c r="S324" s="6">
        <v>0</v>
      </c>
      <c r="T324" s="6">
        <v>22</v>
      </c>
      <c r="U324" s="6">
        <v>57</v>
      </c>
      <c r="V324" s="6">
        <f>IF(ISERROR(VLOOKUP($S$324,'TAR FIN'!$A$1:$O$85,15,0)),0,VLOOKUP($S$324,'TAR FIN'!$A$1:$O$85,15,0))</f>
        <v>0</v>
      </c>
      <c r="W324" s="6">
        <f>IF(ISERROR(VLOOKUP($T$324,'TAR FIN'!$A$1:$O$85,15,0)),0,VLOOKUP($T$324,'TAR FIN'!$A$1:$O$85,15,0))</f>
        <v>293.17</v>
      </c>
      <c r="X324" s="6">
        <f>IF(ISERROR(VLOOKUP($U$324,'TAR FIN'!$A$1:$O$85,15,0)),0,VLOOKUP($U$324,'TAR FIN'!$A$1:$O$85,15,0))</f>
        <v>212.83</v>
      </c>
      <c r="Y324" s="6"/>
      <c r="Z324" s="6">
        <f ca="1">('TUSD BE'!$AM$33+'TUSD BF_350'!$AM$33+'TUSD CVA'!$AM$33)*(1-CUSTOS!$M$38)</f>
        <v>353.56542979146212</v>
      </c>
      <c r="AA324" s="6">
        <f ca="1">('TE BE'!$AB$24+'TE BF_350'!$AB$24+'TE CVA'!$AB$24)*(1-CUSTOS!$M$38)</f>
        <v>213.89756676420583</v>
      </c>
      <c r="AB324" s="6">
        <f>$K$324*$V$324</f>
        <v>0</v>
      </c>
      <c r="AC324" s="6">
        <f>$M$324*$W$324</f>
        <v>1275.2894999999999</v>
      </c>
      <c r="AD324" s="6">
        <f>$O$324*$X$324</f>
        <v>925.81049999999993</v>
      </c>
      <c r="AE324" s="6">
        <f>$K$324*$Y$324</f>
        <v>0</v>
      </c>
      <c r="AF324" s="6">
        <f ca="1">$M$324*$Z$324</f>
        <v>1538.0096195928602</v>
      </c>
      <c r="AG324" s="6">
        <f ca="1">$O$324*$AA$324</f>
        <v>930.45441542429535</v>
      </c>
    </row>
    <row r="325" spans="1:33" ht="11.25" customHeight="1" x14ac:dyDescent="0.25">
      <c r="A325" s="4" t="s">
        <v>21</v>
      </c>
      <c r="B325" s="4" t="s">
        <v>39</v>
      </c>
      <c r="C325" s="4" t="s">
        <v>23</v>
      </c>
      <c r="D325" s="4" t="s">
        <v>40</v>
      </c>
      <c r="E325" s="4" t="s">
        <v>25</v>
      </c>
      <c r="F325" s="4" t="s">
        <v>25</v>
      </c>
      <c r="G325" s="4" t="s">
        <v>25</v>
      </c>
      <c r="H325" s="4" t="s">
        <v>25</v>
      </c>
      <c r="I325" s="5">
        <v>44531</v>
      </c>
      <c r="J325" s="6">
        <v>0</v>
      </c>
      <c r="K325" s="6">
        <v>0</v>
      </c>
      <c r="L325" s="6">
        <v>4.3620000000000001</v>
      </c>
      <c r="M325" s="6">
        <v>4.3620000000000001</v>
      </c>
      <c r="N325" s="6">
        <v>4.3620000000000001</v>
      </c>
      <c r="O325" s="6">
        <v>4.3620000000000001</v>
      </c>
      <c r="P325" s="6">
        <v>13</v>
      </c>
      <c r="Q325" s="4" t="s">
        <v>26</v>
      </c>
      <c r="R325" s="4">
        <v>0</v>
      </c>
      <c r="S325" s="6">
        <v>0</v>
      </c>
      <c r="T325" s="6">
        <v>22</v>
      </c>
      <c r="U325" s="6">
        <v>57</v>
      </c>
      <c r="V325" s="6">
        <f>IF(ISERROR(VLOOKUP($S$325,'TAR FIN'!$A$1:$O$85,15,0)),0,VLOOKUP($S$325,'TAR FIN'!$A$1:$O$85,15,0))</f>
        <v>0</v>
      </c>
      <c r="W325" s="6">
        <f>IF(ISERROR(VLOOKUP($T$325,'TAR FIN'!$A$1:$O$85,15,0)),0,VLOOKUP($T$325,'TAR FIN'!$A$1:$O$85,15,0))</f>
        <v>293.17</v>
      </c>
      <c r="X325" s="6">
        <f>IF(ISERROR(VLOOKUP($U$325,'TAR FIN'!$A$1:$O$85,15,0)),0,VLOOKUP($U$325,'TAR FIN'!$A$1:$O$85,15,0))</f>
        <v>212.83</v>
      </c>
      <c r="Y325" s="6"/>
      <c r="Z325" s="6">
        <f ca="1">('TUSD BE'!$AM$33+'TUSD BF_350'!$AM$33+'TUSD CVA'!$AM$33)*(1-CUSTOS!$M$38)</f>
        <v>353.56542979146212</v>
      </c>
      <c r="AA325" s="6">
        <f ca="1">('TE BE'!$AB$24+'TE BF_350'!$AB$24+'TE CVA'!$AB$24)*(1-CUSTOS!$M$38)</f>
        <v>213.89756676420583</v>
      </c>
      <c r="AB325" s="6">
        <f>$K$325*$V$325</f>
        <v>0</v>
      </c>
      <c r="AC325" s="6">
        <f>$M$325*$W$325</f>
        <v>1278.80754</v>
      </c>
      <c r="AD325" s="6">
        <f>$O$325*$X$325</f>
        <v>928.36446000000012</v>
      </c>
      <c r="AE325" s="6">
        <f>$K$325*$Y$325</f>
        <v>0</v>
      </c>
      <c r="AF325" s="6">
        <f ca="1">$M$325*$Z$325</f>
        <v>1542.2524047503578</v>
      </c>
      <c r="AG325" s="6">
        <f ca="1">$O$325*$AA$325</f>
        <v>933.02118622546584</v>
      </c>
    </row>
    <row r="326" spans="1:33" ht="11.25" customHeight="1" x14ac:dyDescent="0.25">
      <c r="A326" s="4" t="s">
        <v>21</v>
      </c>
      <c r="B326" s="4" t="s">
        <v>39</v>
      </c>
      <c r="C326" s="4" t="s">
        <v>23</v>
      </c>
      <c r="D326" s="4" t="s">
        <v>40</v>
      </c>
      <c r="E326" s="4" t="s">
        <v>25</v>
      </c>
      <c r="F326" s="4" t="s">
        <v>25</v>
      </c>
      <c r="G326" s="4" t="s">
        <v>25</v>
      </c>
      <c r="H326" s="4" t="s">
        <v>25</v>
      </c>
      <c r="I326" s="5">
        <v>44562</v>
      </c>
      <c r="J326" s="6">
        <v>0</v>
      </c>
      <c r="K326" s="6">
        <v>0</v>
      </c>
      <c r="L326" s="6">
        <v>2.8919999999999999</v>
      </c>
      <c r="M326" s="6">
        <v>2.8919999999999999</v>
      </c>
      <c r="N326" s="6">
        <v>2.8919999999999999</v>
      </c>
      <c r="O326" s="6">
        <v>2.8919999999999999</v>
      </c>
      <c r="P326" s="6">
        <v>11</v>
      </c>
      <c r="Q326" s="4" t="s">
        <v>26</v>
      </c>
      <c r="R326" s="4">
        <v>0</v>
      </c>
      <c r="S326" s="6">
        <v>0</v>
      </c>
      <c r="T326" s="6">
        <v>22</v>
      </c>
      <c r="U326" s="6">
        <v>57</v>
      </c>
      <c r="V326" s="6">
        <f>IF(ISERROR(VLOOKUP($S$326,'TAR FIN'!$A$1:$O$85,15,0)),0,VLOOKUP($S$326,'TAR FIN'!$A$1:$O$85,15,0))</f>
        <v>0</v>
      </c>
      <c r="W326" s="6">
        <f>IF(ISERROR(VLOOKUP($T$326,'TAR FIN'!$A$1:$O$85,15,0)),0,VLOOKUP($T$326,'TAR FIN'!$A$1:$O$85,15,0))</f>
        <v>293.17</v>
      </c>
      <c r="X326" s="6">
        <f>IF(ISERROR(VLOOKUP($U$326,'TAR FIN'!$A$1:$O$85,15,0)),0,VLOOKUP($U$326,'TAR FIN'!$A$1:$O$85,15,0))</f>
        <v>212.83</v>
      </c>
      <c r="Y326" s="6"/>
      <c r="Z326" s="6">
        <f ca="1">('TUSD BE'!$AM$33+'TUSD BF_350'!$AM$33+'TUSD CVA'!$AM$33)*(1-CUSTOS!$M$38)</f>
        <v>353.56542979146212</v>
      </c>
      <c r="AA326" s="6">
        <f ca="1">('TE BE'!$AB$24+'TE BF_350'!$AB$24+'TE CVA'!$AB$24)*(1-CUSTOS!$M$38)</f>
        <v>213.89756676420583</v>
      </c>
      <c r="AB326" s="6">
        <f>$K$326*$V$326</f>
        <v>0</v>
      </c>
      <c r="AC326" s="6">
        <f>$M$326*$W$326</f>
        <v>847.84764000000007</v>
      </c>
      <c r="AD326" s="6">
        <f>$O$326*$X$326</f>
        <v>615.50436000000002</v>
      </c>
      <c r="AE326" s="6">
        <f>$K$326*$Y$326</f>
        <v>0</v>
      </c>
      <c r="AF326" s="6">
        <f ca="1">$M$326*$Z$326</f>
        <v>1022.5112229569085</v>
      </c>
      <c r="AG326" s="6">
        <f ca="1">$O$326*$AA$326</f>
        <v>618.59176308208328</v>
      </c>
    </row>
    <row r="327" spans="1:33" ht="11.25" customHeight="1" x14ac:dyDescent="0.25">
      <c r="A327" s="4" t="s">
        <v>27</v>
      </c>
      <c r="B327" s="4" t="s">
        <v>39</v>
      </c>
      <c r="C327" s="4" t="s">
        <v>23</v>
      </c>
      <c r="D327" s="4" t="s">
        <v>40</v>
      </c>
      <c r="E327" s="4" t="s">
        <v>25</v>
      </c>
      <c r="F327" s="4" t="s">
        <v>25</v>
      </c>
      <c r="G327" s="4" t="s">
        <v>25</v>
      </c>
      <c r="H327" s="4" t="s">
        <v>25</v>
      </c>
      <c r="I327" s="5">
        <v>44562</v>
      </c>
      <c r="J327" s="6">
        <v>0</v>
      </c>
      <c r="K327" s="6">
        <v>0</v>
      </c>
      <c r="L327" s="6">
        <v>0.36299999999999999</v>
      </c>
      <c r="M327" s="6">
        <v>0.36299999999999999</v>
      </c>
      <c r="N327" s="6">
        <v>0.36299999999999999</v>
      </c>
      <c r="O327" s="6">
        <v>0.36299999999999999</v>
      </c>
      <c r="P327" s="6">
        <v>1</v>
      </c>
      <c r="Q327" s="4" t="s">
        <v>26</v>
      </c>
      <c r="R327" s="4">
        <v>0</v>
      </c>
      <c r="S327" s="6">
        <v>0</v>
      </c>
      <c r="T327" s="6">
        <v>22</v>
      </c>
      <c r="U327" s="6">
        <v>57</v>
      </c>
      <c r="V327" s="6">
        <f>IF(ISERROR(VLOOKUP($S$327,'TAR FIN'!$A$1:$O$85,15,0)),0,VLOOKUP($S$327,'TAR FIN'!$A$1:$O$85,15,0))</f>
        <v>0</v>
      </c>
      <c r="W327" s="6">
        <f>IF(ISERROR(VLOOKUP($T$327,'TAR FIN'!$A$1:$O$85,15,0)),0,VLOOKUP($T$327,'TAR FIN'!$A$1:$O$85,15,0))</f>
        <v>293.17</v>
      </c>
      <c r="X327" s="6">
        <f>IF(ISERROR(VLOOKUP($U$327,'TAR FIN'!$A$1:$O$85,15,0)),0,VLOOKUP($U$327,'TAR FIN'!$A$1:$O$85,15,0))</f>
        <v>212.83</v>
      </c>
      <c r="Y327" s="6"/>
      <c r="Z327" s="6">
        <f ca="1">('TUSD BE'!$AM$33+'TUSD BF_350'!$AM$33+'TUSD CVA'!$AM$33)*(1-CUSTOS!$M$38)</f>
        <v>353.56542979146212</v>
      </c>
      <c r="AA327" s="6">
        <f ca="1">('TE BE'!$AB$24+'TE BF_350'!$AB$24+'TE CVA'!$AB$24)*(1-CUSTOS!$M$38)</f>
        <v>213.89756676420583</v>
      </c>
      <c r="AB327" s="6">
        <f>$K$327*$V$327</f>
        <v>0</v>
      </c>
      <c r="AC327" s="6">
        <f>$M$327*$W$327</f>
        <v>106.42071</v>
      </c>
      <c r="AD327" s="6">
        <f>$O$327*$X$327</f>
        <v>77.257289999999998</v>
      </c>
      <c r="AE327" s="6">
        <f>$K$327*$Y$327</f>
        <v>0</v>
      </c>
      <c r="AF327" s="6">
        <f ca="1">$M$327*$Z$327</f>
        <v>128.34425101430074</v>
      </c>
      <c r="AG327" s="6">
        <f ca="1">$O$327*$AA$327</f>
        <v>77.644816735406721</v>
      </c>
    </row>
    <row r="328" spans="1:33" ht="11.25" customHeight="1" x14ac:dyDescent="0.25">
      <c r="A328" s="4" t="s">
        <v>21</v>
      </c>
      <c r="B328" s="4" t="s">
        <v>39</v>
      </c>
      <c r="C328" s="4" t="s">
        <v>23</v>
      </c>
      <c r="D328" s="4" t="s">
        <v>40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44593</v>
      </c>
      <c r="J328" s="6">
        <v>0</v>
      </c>
      <c r="K328" s="6">
        <v>0</v>
      </c>
      <c r="L328" s="6">
        <v>3.7050000000000001</v>
      </c>
      <c r="M328" s="6">
        <v>3.7050000000000001</v>
      </c>
      <c r="N328" s="6">
        <v>3.7050000000000001</v>
      </c>
      <c r="O328" s="6">
        <v>3.7050000000000001</v>
      </c>
      <c r="P328" s="6">
        <v>12</v>
      </c>
      <c r="Q328" s="4" t="s">
        <v>26</v>
      </c>
      <c r="R328" s="4">
        <v>0</v>
      </c>
      <c r="S328" s="6">
        <v>0</v>
      </c>
      <c r="T328" s="6">
        <v>22</v>
      </c>
      <c r="U328" s="6">
        <v>57</v>
      </c>
      <c r="V328" s="6">
        <f>IF(ISERROR(VLOOKUP($S$328,'TAR FIN'!$A$1:$O$85,15,0)),0,VLOOKUP($S$328,'TAR FIN'!$A$1:$O$85,15,0))</f>
        <v>0</v>
      </c>
      <c r="W328" s="6">
        <f>IF(ISERROR(VLOOKUP($T$328,'TAR FIN'!$A$1:$O$85,15,0)),0,VLOOKUP($T$328,'TAR FIN'!$A$1:$O$85,15,0))</f>
        <v>293.17</v>
      </c>
      <c r="X328" s="6">
        <f>IF(ISERROR(VLOOKUP($U$328,'TAR FIN'!$A$1:$O$85,15,0)),0,VLOOKUP($U$328,'TAR FIN'!$A$1:$O$85,15,0))</f>
        <v>212.83</v>
      </c>
      <c r="Y328" s="6"/>
      <c r="Z328" s="6">
        <f ca="1">('TUSD BE'!$AM$33+'TUSD BF_350'!$AM$33+'TUSD CVA'!$AM$33)*(1-CUSTOS!$M$38)</f>
        <v>353.56542979146212</v>
      </c>
      <c r="AA328" s="6">
        <f ca="1">('TE BE'!$AB$24+'TE BF_350'!$AB$24+'TE CVA'!$AB$24)*(1-CUSTOS!$M$38)</f>
        <v>213.89756676420583</v>
      </c>
      <c r="AB328" s="6">
        <f>$K$328*$V$328</f>
        <v>0</v>
      </c>
      <c r="AC328" s="6">
        <f>$M$328*$W$328</f>
        <v>1086.1948500000001</v>
      </c>
      <c r="AD328" s="6">
        <f>$O$328*$X$328</f>
        <v>788.53515000000004</v>
      </c>
      <c r="AE328" s="6">
        <f>$K$328*$Y$328</f>
        <v>0</v>
      </c>
      <c r="AF328" s="6">
        <f ca="1">$M$328*$Z$328</f>
        <v>1309.9599173773672</v>
      </c>
      <c r="AG328" s="6">
        <f ca="1">$O$328*$AA$328</f>
        <v>792.49048486138258</v>
      </c>
    </row>
    <row r="329" spans="1:33" ht="11.25" customHeight="1" x14ac:dyDescent="0.25">
      <c r="A329" s="4" t="s">
        <v>27</v>
      </c>
      <c r="B329" s="4" t="s">
        <v>39</v>
      </c>
      <c r="C329" s="4" t="s">
        <v>23</v>
      </c>
      <c r="D329" s="4" t="s">
        <v>40</v>
      </c>
      <c r="E329" s="4" t="s">
        <v>25</v>
      </c>
      <c r="F329" s="4" t="s">
        <v>25</v>
      </c>
      <c r="G329" s="4" t="s">
        <v>25</v>
      </c>
      <c r="H329" s="4" t="s">
        <v>25</v>
      </c>
      <c r="I329" s="5">
        <v>44593</v>
      </c>
      <c r="J329" s="6">
        <v>0</v>
      </c>
      <c r="K329" s="6">
        <v>0</v>
      </c>
      <c r="L329" s="6">
        <v>0.1</v>
      </c>
      <c r="M329" s="6">
        <v>0.1</v>
      </c>
      <c r="N329" s="6">
        <v>0.1</v>
      </c>
      <c r="O329" s="6">
        <v>0.1</v>
      </c>
      <c r="P329" s="6">
        <v>1</v>
      </c>
      <c r="Q329" s="4" t="s">
        <v>26</v>
      </c>
      <c r="R329" s="4">
        <v>0</v>
      </c>
      <c r="S329" s="6">
        <v>0</v>
      </c>
      <c r="T329" s="6">
        <v>22</v>
      </c>
      <c r="U329" s="6">
        <v>57</v>
      </c>
      <c r="V329" s="6">
        <f>IF(ISERROR(VLOOKUP($S$329,'TAR FIN'!$A$1:$O$85,15,0)),0,VLOOKUP($S$329,'TAR FIN'!$A$1:$O$85,15,0))</f>
        <v>0</v>
      </c>
      <c r="W329" s="6">
        <f>IF(ISERROR(VLOOKUP($T$329,'TAR FIN'!$A$1:$O$85,15,0)),0,VLOOKUP($T$329,'TAR FIN'!$A$1:$O$85,15,0))</f>
        <v>293.17</v>
      </c>
      <c r="X329" s="6">
        <f>IF(ISERROR(VLOOKUP($U$329,'TAR FIN'!$A$1:$O$85,15,0)),0,VLOOKUP($U$329,'TAR FIN'!$A$1:$O$85,15,0))</f>
        <v>212.83</v>
      </c>
      <c r="Y329" s="6"/>
      <c r="Z329" s="6">
        <f ca="1">('TUSD BE'!$AM$33+'TUSD BF_350'!$AM$33+'TUSD CVA'!$AM$33)*(1-CUSTOS!$M$38)</f>
        <v>353.56542979146212</v>
      </c>
      <c r="AA329" s="6">
        <f ca="1">('TE BE'!$AB$24+'TE BF_350'!$AB$24+'TE CVA'!$AB$24)*(1-CUSTOS!$M$38)</f>
        <v>213.89756676420583</v>
      </c>
      <c r="AB329" s="6">
        <f>$K$329*$V$329</f>
        <v>0</v>
      </c>
      <c r="AC329" s="6">
        <f>$M$329*$W$329</f>
        <v>29.317000000000004</v>
      </c>
      <c r="AD329" s="6">
        <f>$O$329*$X$329</f>
        <v>21.283000000000001</v>
      </c>
      <c r="AE329" s="6">
        <f>$K$329*$Y$329</f>
        <v>0</v>
      </c>
      <c r="AF329" s="6">
        <f ca="1">$M$329*$Z$329</f>
        <v>35.356542979146212</v>
      </c>
      <c r="AG329" s="6">
        <f ca="1">$O$329*$AA$329</f>
        <v>21.389756676420586</v>
      </c>
    </row>
    <row r="330" spans="1:33" ht="11.25" customHeight="1" x14ac:dyDescent="0.25">
      <c r="A330" s="4" t="s">
        <v>21</v>
      </c>
      <c r="B330" s="4" t="s">
        <v>39</v>
      </c>
      <c r="C330" s="4" t="s">
        <v>23</v>
      </c>
      <c r="D330" s="4" t="s">
        <v>40</v>
      </c>
      <c r="E330" s="4" t="s">
        <v>25</v>
      </c>
      <c r="F330" s="4" t="s">
        <v>25</v>
      </c>
      <c r="G330" s="4" t="s">
        <v>25</v>
      </c>
      <c r="H330" s="4" t="s">
        <v>25</v>
      </c>
      <c r="I330" s="5">
        <v>44621</v>
      </c>
      <c r="J330" s="6">
        <v>0</v>
      </c>
      <c r="K330" s="6">
        <v>0</v>
      </c>
      <c r="L330" s="6">
        <v>3.218</v>
      </c>
      <c r="M330" s="6">
        <v>3.218</v>
      </c>
      <c r="N330" s="6">
        <v>3.218</v>
      </c>
      <c r="O330" s="6">
        <v>3.218</v>
      </c>
      <c r="P330" s="6">
        <v>12</v>
      </c>
      <c r="Q330" s="4" t="s">
        <v>26</v>
      </c>
      <c r="R330" s="4">
        <v>0</v>
      </c>
      <c r="S330" s="6">
        <v>0</v>
      </c>
      <c r="T330" s="6">
        <v>22</v>
      </c>
      <c r="U330" s="6">
        <v>57</v>
      </c>
      <c r="V330" s="6">
        <f>IF(ISERROR(VLOOKUP($S$330,'TAR FIN'!$A$1:$O$85,15,0)),0,VLOOKUP($S$330,'TAR FIN'!$A$1:$O$85,15,0))</f>
        <v>0</v>
      </c>
      <c r="W330" s="6">
        <f>IF(ISERROR(VLOOKUP($T$330,'TAR FIN'!$A$1:$O$85,15,0)),0,VLOOKUP($T$330,'TAR FIN'!$A$1:$O$85,15,0))</f>
        <v>293.17</v>
      </c>
      <c r="X330" s="6">
        <f>IF(ISERROR(VLOOKUP($U$330,'TAR FIN'!$A$1:$O$85,15,0)),0,VLOOKUP($U$330,'TAR FIN'!$A$1:$O$85,15,0))</f>
        <v>212.83</v>
      </c>
      <c r="Y330" s="6"/>
      <c r="Z330" s="6">
        <f ca="1">('TUSD BE'!$AM$33+'TUSD BF_350'!$AM$33+'TUSD CVA'!$AM$33)*(1-CUSTOS!$M$38)</f>
        <v>353.56542979146212</v>
      </c>
      <c r="AA330" s="6">
        <f ca="1">('TE BE'!$AB$24+'TE BF_350'!$AB$24+'TE CVA'!$AB$24)*(1-CUSTOS!$M$38)</f>
        <v>213.89756676420583</v>
      </c>
      <c r="AB330" s="6">
        <f>$K$330*$V$330</f>
        <v>0</v>
      </c>
      <c r="AC330" s="6">
        <f>$M$330*$W$330</f>
        <v>943.42106000000001</v>
      </c>
      <c r="AD330" s="6">
        <f>$O$330*$X$330</f>
        <v>684.88693999999998</v>
      </c>
      <c r="AE330" s="6">
        <f>$K$330*$Y$330</f>
        <v>0</v>
      </c>
      <c r="AF330" s="6">
        <f ca="1">$M$330*$Z$330</f>
        <v>1137.7735530689251</v>
      </c>
      <c r="AG330" s="6">
        <f ca="1">$O$330*$AA$330</f>
        <v>688.32236984721442</v>
      </c>
    </row>
    <row r="331" spans="1:33" ht="11.25" customHeight="1" x14ac:dyDescent="0.25">
      <c r="A331" s="4" t="s">
        <v>27</v>
      </c>
      <c r="B331" s="4" t="s">
        <v>39</v>
      </c>
      <c r="C331" s="4" t="s">
        <v>23</v>
      </c>
      <c r="D331" s="4" t="s">
        <v>40</v>
      </c>
      <c r="E331" s="4" t="s">
        <v>25</v>
      </c>
      <c r="F331" s="4" t="s">
        <v>25</v>
      </c>
      <c r="G331" s="4" t="s">
        <v>25</v>
      </c>
      <c r="H331" s="4" t="s">
        <v>25</v>
      </c>
      <c r="I331" s="5">
        <v>44621</v>
      </c>
      <c r="J331" s="6">
        <v>0</v>
      </c>
      <c r="K331" s="6">
        <v>0</v>
      </c>
      <c r="L331" s="6">
        <v>0.1</v>
      </c>
      <c r="M331" s="6">
        <v>0.1</v>
      </c>
      <c r="N331" s="6">
        <v>0.1</v>
      </c>
      <c r="O331" s="6">
        <v>0.1</v>
      </c>
      <c r="P331" s="6">
        <v>1</v>
      </c>
      <c r="Q331" s="4" t="s">
        <v>26</v>
      </c>
      <c r="R331" s="4">
        <v>0</v>
      </c>
      <c r="S331" s="6">
        <v>0</v>
      </c>
      <c r="T331" s="6">
        <v>22</v>
      </c>
      <c r="U331" s="6">
        <v>57</v>
      </c>
      <c r="V331" s="6">
        <f>IF(ISERROR(VLOOKUP($S$331,'TAR FIN'!$A$1:$O$85,15,0)),0,VLOOKUP($S$331,'TAR FIN'!$A$1:$O$85,15,0))</f>
        <v>0</v>
      </c>
      <c r="W331" s="6">
        <f>IF(ISERROR(VLOOKUP($T$331,'TAR FIN'!$A$1:$O$85,15,0)),0,VLOOKUP($T$331,'TAR FIN'!$A$1:$O$85,15,0))</f>
        <v>293.17</v>
      </c>
      <c r="X331" s="6">
        <f>IF(ISERROR(VLOOKUP($U$331,'TAR FIN'!$A$1:$O$85,15,0)),0,VLOOKUP($U$331,'TAR FIN'!$A$1:$O$85,15,0))</f>
        <v>212.83</v>
      </c>
      <c r="Y331" s="6"/>
      <c r="Z331" s="6">
        <f ca="1">('TUSD BE'!$AM$33+'TUSD BF_350'!$AM$33+'TUSD CVA'!$AM$33)*(1-CUSTOS!$M$38)</f>
        <v>353.56542979146212</v>
      </c>
      <c r="AA331" s="6">
        <f ca="1">('TE BE'!$AB$24+'TE BF_350'!$AB$24+'TE CVA'!$AB$24)*(1-CUSTOS!$M$38)</f>
        <v>213.89756676420583</v>
      </c>
      <c r="AB331" s="6">
        <f>$K$331*$V$331</f>
        <v>0</v>
      </c>
      <c r="AC331" s="6">
        <f>$M$331*$W$331</f>
        <v>29.317000000000004</v>
      </c>
      <c r="AD331" s="6">
        <f>$O$331*$X$331</f>
        <v>21.283000000000001</v>
      </c>
      <c r="AE331" s="6">
        <f>$K$331*$Y$331</f>
        <v>0</v>
      </c>
      <c r="AF331" s="6">
        <f ca="1">$M$331*$Z$331</f>
        <v>35.356542979146212</v>
      </c>
      <c r="AG331" s="6">
        <f ca="1">$O$331*$AA$331</f>
        <v>21.389756676420586</v>
      </c>
    </row>
    <row r="332" spans="1:33" ht="11.25" customHeight="1" x14ac:dyDescent="0.25">
      <c r="A332" s="4" t="s">
        <v>21</v>
      </c>
      <c r="B332" s="4" t="s">
        <v>39</v>
      </c>
      <c r="C332" s="4" t="s">
        <v>23</v>
      </c>
      <c r="D332" s="4" t="s">
        <v>40</v>
      </c>
      <c r="E332" s="4" t="s">
        <v>25</v>
      </c>
      <c r="F332" s="4" t="s">
        <v>25</v>
      </c>
      <c r="G332" s="4" t="s">
        <v>25</v>
      </c>
      <c r="H332" s="4" t="s">
        <v>25</v>
      </c>
      <c r="I332" s="5">
        <v>44652</v>
      </c>
      <c r="J332" s="6">
        <v>0</v>
      </c>
      <c r="K332" s="6">
        <v>0</v>
      </c>
      <c r="L332" s="6">
        <v>3.097</v>
      </c>
      <c r="M332" s="6">
        <v>3.097</v>
      </c>
      <c r="N332" s="6">
        <v>3.097</v>
      </c>
      <c r="O332" s="6">
        <v>3.097</v>
      </c>
      <c r="P332" s="6">
        <v>12</v>
      </c>
      <c r="Q332" s="4" t="s">
        <v>26</v>
      </c>
      <c r="R332" s="4">
        <v>0</v>
      </c>
      <c r="S332" s="6">
        <v>0</v>
      </c>
      <c r="T332" s="6">
        <v>22</v>
      </c>
      <c r="U332" s="6">
        <v>57</v>
      </c>
      <c r="V332" s="6">
        <f>IF(ISERROR(VLOOKUP($S$332,'TAR FIN'!$A$1:$O$85,15,0)),0,VLOOKUP($S$332,'TAR FIN'!$A$1:$O$85,15,0))</f>
        <v>0</v>
      </c>
      <c r="W332" s="6">
        <f>IF(ISERROR(VLOOKUP($T$332,'TAR FIN'!$A$1:$O$85,15,0)),0,VLOOKUP($T$332,'TAR FIN'!$A$1:$O$85,15,0))</f>
        <v>293.17</v>
      </c>
      <c r="X332" s="6">
        <f>IF(ISERROR(VLOOKUP($U$332,'TAR FIN'!$A$1:$O$85,15,0)),0,VLOOKUP($U$332,'TAR FIN'!$A$1:$O$85,15,0))</f>
        <v>212.83</v>
      </c>
      <c r="Y332" s="6"/>
      <c r="Z332" s="6">
        <f ca="1">('TUSD BE'!$AM$33+'TUSD BF_350'!$AM$33+'TUSD CVA'!$AM$33)*(1-CUSTOS!$M$38)</f>
        <v>353.56542979146212</v>
      </c>
      <c r="AA332" s="6">
        <f ca="1">('TE BE'!$AB$24+'TE BF_350'!$AB$24+'TE CVA'!$AB$24)*(1-CUSTOS!$M$38)</f>
        <v>213.89756676420583</v>
      </c>
      <c r="AB332" s="6">
        <f>$K$332*$V$332</f>
        <v>0</v>
      </c>
      <c r="AC332" s="6">
        <f>$M$332*$W$332</f>
        <v>907.94749000000002</v>
      </c>
      <c r="AD332" s="6">
        <f>$O$332*$X$332</f>
        <v>659.13450999999998</v>
      </c>
      <c r="AE332" s="6">
        <f>$K$332*$Y$332</f>
        <v>0</v>
      </c>
      <c r="AF332" s="6">
        <f ca="1">$M$332*$Z$332</f>
        <v>1094.9921360641581</v>
      </c>
      <c r="AG332" s="6">
        <f ca="1">$O$332*$AA$332</f>
        <v>662.44076426874551</v>
      </c>
    </row>
    <row r="333" spans="1:33" ht="11.25" customHeight="1" x14ac:dyDescent="0.25">
      <c r="A333" s="4" t="s">
        <v>27</v>
      </c>
      <c r="B333" s="4" t="s">
        <v>39</v>
      </c>
      <c r="C333" s="4" t="s">
        <v>23</v>
      </c>
      <c r="D333" s="4" t="s">
        <v>40</v>
      </c>
      <c r="E333" s="4" t="s">
        <v>25</v>
      </c>
      <c r="F333" s="4" t="s">
        <v>25</v>
      </c>
      <c r="G333" s="4" t="s">
        <v>25</v>
      </c>
      <c r="H333" s="4" t="s">
        <v>25</v>
      </c>
      <c r="I333" s="5">
        <v>44652</v>
      </c>
      <c r="J333" s="6">
        <v>0</v>
      </c>
      <c r="K333" s="6">
        <v>0</v>
      </c>
      <c r="L333" s="6">
        <v>0.1</v>
      </c>
      <c r="M333" s="6">
        <v>0.1</v>
      </c>
      <c r="N333" s="6">
        <v>0.1</v>
      </c>
      <c r="O333" s="6">
        <v>0.1</v>
      </c>
      <c r="P333" s="6">
        <v>1</v>
      </c>
      <c r="Q333" s="4" t="s">
        <v>26</v>
      </c>
      <c r="R333" s="4">
        <v>0</v>
      </c>
      <c r="S333" s="6">
        <v>0</v>
      </c>
      <c r="T333" s="6">
        <v>22</v>
      </c>
      <c r="U333" s="6">
        <v>57</v>
      </c>
      <c r="V333" s="6">
        <f>IF(ISERROR(VLOOKUP($S$333,'TAR FIN'!$A$1:$O$85,15,0)),0,VLOOKUP($S$333,'TAR FIN'!$A$1:$O$85,15,0))</f>
        <v>0</v>
      </c>
      <c r="W333" s="6">
        <f>IF(ISERROR(VLOOKUP($T$333,'TAR FIN'!$A$1:$O$85,15,0)),0,VLOOKUP($T$333,'TAR FIN'!$A$1:$O$85,15,0))</f>
        <v>293.17</v>
      </c>
      <c r="X333" s="6">
        <f>IF(ISERROR(VLOOKUP($U$333,'TAR FIN'!$A$1:$O$85,15,0)),0,VLOOKUP($U$333,'TAR FIN'!$A$1:$O$85,15,0))</f>
        <v>212.83</v>
      </c>
      <c r="Y333" s="6"/>
      <c r="Z333" s="6">
        <f ca="1">('TUSD BE'!$AM$33+'TUSD BF_350'!$AM$33+'TUSD CVA'!$AM$33)*(1-CUSTOS!$M$38)</f>
        <v>353.56542979146212</v>
      </c>
      <c r="AA333" s="6">
        <f ca="1">('TE BE'!$AB$24+'TE BF_350'!$AB$24+'TE CVA'!$AB$24)*(1-CUSTOS!$M$38)</f>
        <v>213.89756676420583</v>
      </c>
      <c r="AB333" s="6">
        <f>$K$333*$V$333</f>
        <v>0</v>
      </c>
      <c r="AC333" s="6">
        <f>$M$333*$W$333</f>
        <v>29.317000000000004</v>
      </c>
      <c r="AD333" s="6">
        <f>$O$333*$X$333</f>
        <v>21.283000000000001</v>
      </c>
      <c r="AE333" s="6">
        <f>$K$333*$Y$333</f>
        <v>0</v>
      </c>
      <c r="AF333" s="6">
        <f ca="1">$M$333*$Z$333</f>
        <v>35.356542979146212</v>
      </c>
      <c r="AG333" s="6">
        <f ca="1">$O$333*$AA$333</f>
        <v>21.389756676420586</v>
      </c>
    </row>
    <row r="334" spans="1:33" ht="11.25" customHeight="1" x14ac:dyDescent="0.25">
      <c r="A334" s="4" t="s">
        <v>21</v>
      </c>
      <c r="B334" s="4" t="s">
        <v>39</v>
      </c>
      <c r="C334" s="4" t="s">
        <v>23</v>
      </c>
      <c r="D334" s="4" t="s">
        <v>40</v>
      </c>
      <c r="E334" s="4" t="s">
        <v>25</v>
      </c>
      <c r="F334" s="4" t="s">
        <v>25</v>
      </c>
      <c r="G334" s="4" t="s">
        <v>25</v>
      </c>
      <c r="H334" s="4" t="s">
        <v>25</v>
      </c>
      <c r="I334" s="5">
        <v>44682</v>
      </c>
      <c r="J334" s="6">
        <v>0</v>
      </c>
      <c r="K334" s="6">
        <v>0</v>
      </c>
      <c r="L334" s="6">
        <v>3.1269999999999998</v>
      </c>
      <c r="M334" s="6">
        <v>3.1269999999999998</v>
      </c>
      <c r="N334" s="6">
        <v>3.1269999999999998</v>
      </c>
      <c r="O334" s="6">
        <v>3.1269999999999998</v>
      </c>
      <c r="P334" s="6">
        <v>12</v>
      </c>
      <c r="Q334" s="4" t="s">
        <v>26</v>
      </c>
      <c r="R334" s="4">
        <v>0</v>
      </c>
      <c r="S334" s="6">
        <v>0</v>
      </c>
      <c r="T334" s="6">
        <v>22</v>
      </c>
      <c r="U334" s="6">
        <v>57</v>
      </c>
      <c r="V334" s="6">
        <f>IF(ISERROR(VLOOKUP($S$334,'TAR FIN'!$A$1:$O$85,15,0)),0,VLOOKUP($S$334,'TAR FIN'!$A$1:$O$85,15,0))</f>
        <v>0</v>
      </c>
      <c r="W334" s="6">
        <f>IF(ISERROR(VLOOKUP($T$334,'TAR FIN'!$A$1:$O$85,15,0)),0,VLOOKUP($T$334,'TAR FIN'!$A$1:$O$85,15,0))</f>
        <v>293.17</v>
      </c>
      <c r="X334" s="6">
        <f>IF(ISERROR(VLOOKUP($U$334,'TAR FIN'!$A$1:$O$85,15,0)),0,VLOOKUP($U$334,'TAR FIN'!$A$1:$O$85,15,0))</f>
        <v>212.83</v>
      </c>
      <c r="Y334" s="6"/>
      <c r="Z334" s="6">
        <f ca="1">('TUSD BE'!$AM$33+'TUSD BF_350'!$AM$33+'TUSD CVA'!$AM$33)*(1-CUSTOS!$M$38)</f>
        <v>353.56542979146212</v>
      </c>
      <c r="AA334" s="6">
        <f ca="1">('TE BE'!$AB$24+'TE BF_350'!$AB$24+'TE CVA'!$AB$24)*(1-CUSTOS!$M$38)</f>
        <v>213.89756676420583</v>
      </c>
      <c r="AB334" s="6">
        <f>$K$334*$V$334</f>
        <v>0</v>
      </c>
      <c r="AC334" s="6">
        <f>$M$334*$W$334</f>
        <v>916.74258999999995</v>
      </c>
      <c r="AD334" s="6">
        <f>$O$334*$X$334</f>
        <v>665.51940999999999</v>
      </c>
      <c r="AE334" s="6">
        <f>$K$334*$Y$334</f>
        <v>0</v>
      </c>
      <c r="AF334" s="6">
        <f ca="1">$M$334*$Z$334</f>
        <v>1105.599098957902</v>
      </c>
      <c r="AG334" s="6">
        <f ca="1">$O$334*$AA$334</f>
        <v>668.85769127167157</v>
      </c>
    </row>
    <row r="335" spans="1:33" ht="11.25" customHeight="1" x14ac:dyDescent="0.25">
      <c r="A335" s="4" t="s">
        <v>27</v>
      </c>
      <c r="B335" s="4" t="s">
        <v>39</v>
      </c>
      <c r="C335" s="4" t="s">
        <v>23</v>
      </c>
      <c r="D335" s="4" t="s">
        <v>40</v>
      </c>
      <c r="E335" s="4" t="s">
        <v>25</v>
      </c>
      <c r="F335" s="4" t="s">
        <v>25</v>
      </c>
      <c r="G335" s="4" t="s">
        <v>25</v>
      </c>
      <c r="H335" s="4" t="s">
        <v>25</v>
      </c>
      <c r="I335" s="5">
        <v>44682</v>
      </c>
      <c r="J335" s="6">
        <v>0</v>
      </c>
      <c r="K335" s="6">
        <v>0</v>
      </c>
      <c r="L335" s="6">
        <v>0.1</v>
      </c>
      <c r="M335" s="6">
        <v>0.1</v>
      </c>
      <c r="N335" s="6">
        <v>0.1</v>
      </c>
      <c r="O335" s="6">
        <v>0.1</v>
      </c>
      <c r="P335" s="6">
        <v>1</v>
      </c>
      <c r="Q335" s="4" t="s">
        <v>26</v>
      </c>
      <c r="R335" s="4">
        <v>0</v>
      </c>
      <c r="S335" s="6">
        <v>0</v>
      </c>
      <c r="T335" s="6">
        <v>22</v>
      </c>
      <c r="U335" s="6">
        <v>57</v>
      </c>
      <c r="V335" s="6">
        <f>IF(ISERROR(VLOOKUP($S$335,'TAR FIN'!$A$1:$O$85,15,0)),0,VLOOKUP($S$335,'TAR FIN'!$A$1:$O$85,15,0))</f>
        <v>0</v>
      </c>
      <c r="W335" s="6">
        <f>IF(ISERROR(VLOOKUP($T$335,'TAR FIN'!$A$1:$O$85,15,0)),0,VLOOKUP($T$335,'TAR FIN'!$A$1:$O$85,15,0))</f>
        <v>293.17</v>
      </c>
      <c r="X335" s="6">
        <f>IF(ISERROR(VLOOKUP($U$335,'TAR FIN'!$A$1:$O$85,15,0)),0,VLOOKUP($U$335,'TAR FIN'!$A$1:$O$85,15,0))</f>
        <v>212.83</v>
      </c>
      <c r="Y335" s="6"/>
      <c r="Z335" s="6">
        <f ca="1">('TUSD BE'!$AM$33+'TUSD BF_350'!$AM$33+'TUSD CVA'!$AM$33)*(1-CUSTOS!$M$38)</f>
        <v>353.56542979146212</v>
      </c>
      <c r="AA335" s="6">
        <f ca="1">('TE BE'!$AB$24+'TE BF_350'!$AB$24+'TE CVA'!$AB$24)*(1-CUSTOS!$M$38)</f>
        <v>213.89756676420583</v>
      </c>
      <c r="AB335" s="6">
        <f>$K$335*$V$335</f>
        <v>0</v>
      </c>
      <c r="AC335" s="6">
        <f>$M$335*$W$335</f>
        <v>29.317000000000004</v>
      </c>
      <c r="AD335" s="6">
        <f>$O$335*$X$335</f>
        <v>21.283000000000001</v>
      </c>
      <c r="AE335" s="6">
        <f>$K$335*$Y$335</f>
        <v>0</v>
      </c>
      <c r="AF335" s="6">
        <f ca="1">$M$335*$Z$335</f>
        <v>35.356542979146212</v>
      </c>
      <c r="AG335" s="6">
        <f ca="1">$O$335*$AA$335</f>
        <v>21.389756676420586</v>
      </c>
    </row>
    <row r="336" spans="1:33" ht="11.25" customHeight="1" x14ac:dyDescent="0.25">
      <c r="A336" s="4" t="s">
        <v>21</v>
      </c>
      <c r="B336" s="4" t="s">
        <v>39</v>
      </c>
      <c r="C336" s="4" t="s">
        <v>23</v>
      </c>
      <c r="D336" s="4" t="s">
        <v>40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44713</v>
      </c>
      <c r="J336" s="6">
        <v>0</v>
      </c>
      <c r="K336" s="6">
        <v>0</v>
      </c>
      <c r="L336" s="6">
        <v>3.5150000000000001</v>
      </c>
      <c r="M336" s="6">
        <v>3.5150000000000001</v>
      </c>
      <c r="N336" s="6">
        <v>3.5150000000000001</v>
      </c>
      <c r="O336" s="6">
        <v>3.5150000000000001</v>
      </c>
      <c r="P336" s="6">
        <v>12</v>
      </c>
      <c r="Q336" s="4" t="s">
        <v>26</v>
      </c>
      <c r="R336" s="4">
        <v>0</v>
      </c>
      <c r="S336" s="6">
        <v>0</v>
      </c>
      <c r="T336" s="6">
        <v>22</v>
      </c>
      <c r="U336" s="6">
        <v>57</v>
      </c>
      <c r="V336" s="6">
        <f>IF(ISERROR(VLOOKUP($S$336,'TAR FIN'!$A$1:$O$85,15,0)),0,VLOOKUP($S$336,'TAR FIN'!$A$1:$O$85,15,0))</f>
        <v>0</v>
      </c>
      <c r="W336" s="6">
        <f>IF(ISERROR(VLOOKUP($T$336,'TAR FIN'!$A$1:$O$85,15,0)),0,VLOOKUP($T$336,'TAR FIN'!$A$1:$O$85,15,0))</f>
        <v>293.17</v>
      </c>
      <c r="X336" s="6">
        <f>IF(ISERROR(VLOOKUP($U$336,'TAR FIN'!$A$1:$O$85,15,0)),0,VLOOKUP($U$336,'TAR FIN'!$A$1:$O$85,15,0))</f>
        <v>212.83</v>
      </c>
      <c r="Y336" s="6"/>
      <c r="Z336" s="6">
        <f ca="1">('TUSD BE'!$AM$33+'TUSD BF_350'!$AM$33+'TUSD CVA'!$AM$33)*(1-CUSTOS!$M$38)</f>
        <v>353.56542979146212</v>
      </c>
      <c r="AA336" s="6">
        <f ca="1">('TE BE'!$AB$24+'TE BF_350'!$AB$24+'TE CVA'!$AB$24)*(1-CUSTOS!$M$38)</f>
        <v>213.89756676420583</v>
      </c>
      <c r="AB336" s="6">
        <f>$K$336*$V$336</f>
        <v>0</v>
      </c>
      <c r="AC336" s="6">
        <f>$M$336*$W$336</f>
        <v>1030.4925500000002</v>
      </c>
      <c r="AD336" s="6">
        <f>$O$336*$X$336</f>
        <v>748.09745000000009</v>
      </c>
      <c r="AE336" s="6">
        <f>$K$336*$Y$336</f>
        <v>0</v>
      </c>
      <c r="AF336" s="6">
        <f ca="1">$M$336*$Z$336</f>
        <v>1242.7824857169894</v>
      </c>
      <c r="AG336" s="6">
        <f ca="1">$O$336*$AA$336</f>
        <v>751.84994717618349</v>
      </c>
    </row>
    <row r="337" spans="1:33" ht="11.25" customHeight="1" x14ac:dyDescent="0.25">
      <c r="A337" s="4" t="s">
        <v>27</v>
      </c>
      <c r="B337" s="4" t="s">
        <v>39</v>
      </c>
      <c r="C337" s="4" t="s">
        <v>23</v>
      </c>
      <c r="D337" s="4" t="s">
        <v>40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44713</v>
      </c>
      <c r="J337" s="6">
        <v>0</v>
      </c>
      <c r="K337" s="6">
        <v>0</v>
      </c>
      <c r="L337" s="6">
        <v>0.1</v>
      </c>
      <c r="M337" s="6">
        <v>0.1</v>
      </c>
      <c r="N337" s="6">
        <v>0.1</v>
      </c>
      <c r="O337" s="6">
        <v>0.1</v>
      </c>
      <c r="P337" s="6">
        <v>1</v>
      </c>
      <c r="Q337" s="4" t="s">
        <v>26</v>
      </c>
      <c r="R337" s="4">
        <v>0</v>
      </c>
      <c r="S337" s="6">
        <v>0</v>
      </c>
      <c r="T337" s="6">
        <v>22</v>
      </c>
      <c r="U337" s="6">
        <v>57</v>
      </c>
      <c r="V337" s="6">
        <f>IF(ISERROR(VLOOKUP($S$337,'TAR FIN'!$A$1:$O$85,15,0)),0,VLOOKUP($S$337,'TAR FIN'!$A$1:$O$85,15,0))</f>
        <v>0</v>
      </c>
      <c r="W337" s="6">
        <f>IF(ISERROR(VLOOKUP($T$337,'TAR FIN'!$A$1:$O$85,15,0)),0,VLOOKUP($T$337,'TAR FIN'!$A$1:$O$85,15,0))</f>
        <v>293.17</v>
      </c>
      <c r="X337" s="6">
        <f>IF(ISERROR(VLOOKUP($U$337,'TAR FIN'!$A$1:$O$85,15,0)),0,VLOOKUP($U$337,'TAR FIN'!$A$1:$O$85,15,0))</f>
        <v>212.83</v>
      </c>
      <c r="Y337" s="6"/>
      <c r="Z337" s="6">
        <f ca="1">('TUSD BE'!$AM$33+'TUSD BF_350'!$AM$33+'TUSD CVA'!$AM$33)*(1-CUSTOS!$M$38)</f>
        <v>353.56542979146212</v>
      </c>
      <c r="AA337" s="6">
        <f ca="1">('TE BE'!$AB$24+'TE BF_350'!$AB$24+'TE CVA'!$AB$24)*(1-CUSTOS!$M$38)</f>
        <v>213.89756676420583</v>
      </c>
      <c r="AB337" s="6">
        <f>$K$337*$V$337</f>
        <v>0</v>
      </c>
      <c r="AC337" s="6">
        <f>$M$337*$W$337</f>
        <v>29.317000000000004</v>
      </c>
      <c r="AD337" s="6">
        <f>$O$337*$X$337</f>
        <v>21.283000000000001</v>
      </c>
      <c r="AE337" s="6">
        <f>$K$337*$Y$337</f>
        <v>0</v>
      </c>
      <c r="AF337" s="6">
        <f ca="1">$M$337*$Z$337</f>
        <v>35.356542979146212</v>
      </c>
      <c r="AG337" s="6">
        <f ca="1">$O$337*$AA$337</f>
        <v>21.389756676420586</v>
      </c>
    </row>
    <row r="338" spans="1:33" ht="11.25" customHeight="1" x14ac:dyDescent="0.25">
      <c r="A338" s="4" t="s">
        <v>21</v>
      </c>
      <c r="B338" s="4" t="s">
        <v>32</v>
      </c>
      <c r="C338" s="4" t="s">
        <v>49</v>
      </c>
      <c r="D338" s="4" t="s">
        <v>41</v>
      </c>
      <c r="E338" s="4" t="s">
        <v>25</v>
      </c>
      <c r="F338" s="4" t="s">
        <v>25</v>
      </c>
      <c r="G338" s="4" t="s">
        <v>25</v>
      </c>
      <c r="H338" s="4" t="s">
        <v>37</v>
      </c>
      <c r="I338" s="5">
        <v>44621</v>
      </c>
      <c r="J338" s="6">
        <v>0</v>
      </c>
      <c r="K338" s="6">
        <v>0</v>
      </c>
      <c r="L338" s="6">
        <v>0.64600000000000002</v>
      </c>
      <c r="M338" s="6">
        <v>0.64600000000000002</v>
      </c>
      <c r="N338" s="6">
        <v>0.64600000000000002</v>
      </c>
      <c r="O338" s="6">
        <v>0.64600000000000002</v>
      </c>
      <c r="P338" s="6">
        <v>0</v>
      </c>
      <c r="Q338" s="4" t="s">
        <v>26</v>
      </c>
      <c r="R338" s="4">
        <v>0</v>
      </c>
      <c r="S338" s="6">
        <v>0</v>
      </c>
      <c r="T338" s="6">
        <v>44</v>
      </c>
      <c r="U338" s="6">
        <v>84</v>
      </c>
      <c r="V338" s="6">
        <f>IF(ISERROR(VLOOKUP($S$338,'TAR FIN'!$A$1:$O$85,15,0)),0,VLOOKUP($S$338,'TAR FIN'!$A$1:$O$85,15,0))</f>
        <v>0</v>
      </c>
      <c r="W338" s="6">
        <f>IF(ISERROR(VLOOKUP($T$338,'TAR FIN'!$A$1:$O$85,15,0)),0,VLOOKUP($T$338,'TAR FIN'!$A$1:$O$85,15,0))</f>
        <v>252.73</v>
      </c>
      <c r="X338" s="6">
        <f>IF(ISERROR(VLOOKUP($U$338,'TAR FIN'!$A$1:$O$85,15,0)),0,VLOOKUP($U$338,'TAR FIN'!$A$1:$O$85,15,0))</f>
        <v>229.87</v>
      </c>
      <c r="Y338" s="6"/>
      <c r="Z338" s="6">
        <f ca="1">('TUSD BE'!$AM$47+'TUSD BF_350'!$AM$47+'TUSD CVA'!$AM$47)*1</f>
        <v>276.83641112851222</v>
      </c>
      <c r="AA338" s="6">
        <f ca="1">('TE BE'!$AB$38+'TE BF_350'!$AB$38+'TE CVA'!$AB$38)*1</f>
        <v>216.60171770542672</v>
      </c>
      <c r="AB338" s="6">
        <f>$K$338*$V$338</f>
        <v>0</v>
      </c>
      <c r="AC338" s="6">
        <f>$M$338*$W$338</f>
        <v>163.26357999999999</v>
      </c>
      <c r="AD338" s="6">
        <f>$O$338*$X$338</f>
        <v>148.49602000000002</v>
      </c>
      <c r="AE338" s="6">
        <f>$K$338*$Y$338</f>
        <v>0</v>
      </c>
      <c r="AF338" s="6">
        <f ca="1">$M$338*$Z$338</f>
        <v>178.83632158901889</v>
      </c>
      <c r="AG338" s="6">
        <f ca="1">$O$338*$AA$338</f>
        <v>139.92470963770566</v>
      </c>
    </row>
    <row r="339" spans="1:33" ht="11.25" customHeight="1" x14ac:dyDescent="0.25">
      <c r="A339" s="4" t="s">
        <v>21</v>
      </c>
      <c r="B339" s="4" t="s">
        <v>32</v>
      </c>
      <c r="C339" s="4" t="s">
        <v>49</v>
      </c>
      <c r="D339" s="4" t="s">
        <v>41</v>
      </c>
      <c r="E339" s="4" t="s">
        <v>25</v>
      </c>
      <c r="F339" s="4" t="s">
        <v>25</v>
      </c>
      <c r="G339" s="4" t="s">
        <v>25</v>
      </c>
      <c r="H339" s="4" t="s">
        <v>37</v>
      </c>
      <c r="I339" s="5">
        <v>44652</v>
      </c>
      <c r="J339" s="6">
        <v>0</v>
      </c>
      <c r="K339" s="6">
        <v>0</v>
      </c>
      <c r="L339" s="6">
        <v>1.329</v>
      </c>
      <c r="M339" s="6">
        <v>1.329</v>
      </c>
      <c r="N339" s="6">
        <v>1.329</v>
      </c>
      <c r="O339" s="6">
        <v>1.329</v>
      </c>
      <c r="P339" s="6">
        <v>0</v>
      </c>
      <c r="Q339" s="4" t="s">
        <v>26</v>
      </c>
      <c r="R339" s="4">
        <v>0</v>
      </c>
      <c r="S339" s="6">
        <v>0</v>
      </c>
      <c r="T339" s="6">
        <v>44</v>
      </c>
      <c r="U339" s="6">
        <v>84</v>
      </c>
      <c r="V339" s="6">
        <f>IF(ISERROR(VLOOKUP($S$339,'TAR FIN'!$A$1:$O$85,15,0)),0,VLOOKUP($S$339,'TAR FIN'!$A$1:$O$85,15,0))</f>
        <v>0</v>
      </c>
      <c r="W339" s="6">
        <f>IF(ISERROR(VLOOKUP($T$339,'TAR FIN'!$A$1:$O$85,15,0)),0,VLOOKUP($T$339,'TAR FIN'!$A$1:$O$85,15,0))</f>
        <v>252.73</v>
      </c>
      <c r="X339" s="6">
        <f>IF(ISERROR(VLOOKUP($U$339,'TAR FIN'!$A$1:$O$85,15,0)),0,VLOOKUP($U$339,'TAR FIN'!$A$1:$O$85,15,0))</f>
        <v>229.87</v>
      </c>
      <c r="Y339" s="6"/>
      <c r="Z339" s="6">
        <f ca="1">('TUSD BE'!$AM$47+'TUSD BF_350'!$AM$47+'TUSD CVA'!$AM$47)*1</f>
        <v>276.83641112851222</v>
      </c>
      <c r="AA339" s="6">
        <f ca="1">('TE BE'!$AB$38+'TE BF_350'!$AB$38+'TE CVA'!$AB$38)*1</f>
        <v>216.60171770542672</v>
      </c>
      <c r="AB339" s="6">
        <f>$K$339*$V$339</f>
        <v>0</v>
      </c>
      <c r="AC339" s="6">
        <f>$M$339*$W$339</f>
        <v>335.87816999999995</v>
      </c>
      <c r="AD339" s="6">
        <f>$O$339*$X$339</f>
        <v>305.49723</v>
      </c>
      <c r="AE339" s="6">
        <f>$K$339*$Y$339</f>
        <v>0</v>
      </c>
      <c r="AF339" s="6">
        <f ca="1">$M$339*$Z$339</f>
        <v>367.91559038979273</v>
      </c>
      <c r="AG339" s="6">
        <f ca="1">$O$339*$AA$339</f>
        <v>287.86368283051212</v>
      </c>
    </row>
    <row r="340" spans="1:33" ht="11.25" customHeight="1" x14ac:dyDescent="0.25">
      <c r="A340" s="4" t="s">
        <v>21</v>
      </c>
      <c r="B340" s="4" t="s">
        <v>32</v>
      </c>
      <c r="C340" s="4" t="s">
        <v>49</v>
      </c>
      <c r="D340" s="4" t="s">
        <v>41</v>
      </c>
      <c r="E340" s="4" t="s">
        <v>25</v>
      </c>
      <c r="F340" s="4" t="s">
        <v>25</v>
      </c>
      <c r="G340" s="4" t="s">
        <v>25</v>
      </c>
      <c r="H340" s="4" t="s">
        <v>37</v>
      </c>
      <c r="I340" s="5">
        <v>44682</v>
      </c>
      <c r="J340" s="6">
        <v>0</v>
      </c>
      <c r="K340" s="6">
        <v>0</v>
      </c>
      <c r="L340" s="6">
        <v>0.85499999999999998</v>
      </c>
      <c r="M340" s="6">
        <v>0.85499999999999998</v>
      </c>
      <c r="N340" s="6">
        <v>0.85499999999999998</v>
      </c>
      <c r="O340" s="6">
        <v>0.85499999999999998</v>
      </c>
      <c r="P340" s="6">
        <v>0</v>
      </c>
      <c r="Q340" s="4" t="s">
        <v>26</v>
      </c>
      <c r="R340" s="4">
        <v>0</v>
      </c>
      <c r="S340" s="6">
        <v>0</v>
      </c>
      <c r="T340" s="6">
        <v>44</v>
      </c>
      <c r="U340" s="6">
        <v>84</v>
      </c>
      <c r="V340" s="6">
        <f>IF(ISERROR(VLOOKUP($S$340,'TAR FIN'!$A$1:$O$85,15,0)),0,VLOOKUP($S$340,'TAR FIN'!$A$1:$O$85,15,0))</f>
        <v>0</v>
      </c>
      <c r="W340" s="6">
        <f>IF(ISERROR(VLOOKUP($T$340,'TAR FIN'!$A$1:$O$85,15,0)),0,VLOOKUP($T$340,'TAR FIN'!$A$1:$O$85,15,0))</f>
        <v>252.73</v>
      </c>
      <c r="X340" s="6">
        <f>IF(ISERROR(VLOOKUP($U$340,'TAR FIN'!$A$1:$O$85,15,0)),0,VLOOKUP($U$340,'TAR FIN'!$A$1:$O$85,15,0))</f>
        <v>229.87</v>
      </c>
      <c r="Y340" s="6"/>
      <c r="Z340" s="6">
        <f ca="1">('TUSD BE'!$AM$47+'TUSD BF_350'!$AM$47+'TUSD CVA'!$AM$47)*1</f>
        <v>276.83641112851222</v>
      </c>
      <c r="AA340" s="6">
        <f ca="1">('TE BE'!$AB$38+'TE BF_350'!$AB$38+'TE CVA'!$AB$38)*1</f>
        <v>216.60171770542672</v>
      </c>
      <c r="AB340" s="6">
        <f>$K$340*$V$340</f>
        <v>0</v>
      </c>
      <c r="AC340" s="6">
        <f>$M$340*$W$340</f>
        <v>216.08414999999999</v>
      </c>
      <c r="AD340" s="6">
        <f>$O$340*$X$340</f>
        <v>196.53885</v>
      </c>
      <c r="AE340" s="6">
        <f>$K$340*$Y$340</f>
        <v>0</v>
      </c>
      <c r="AF340" s="6">
        <f ca="1">$M$340*$Z$340</f>
        <v>236.69513151487794</v>
      </c>
      <c r="AG340" s="6">
        <f ca="1">$O$340*$AA$340</f>
        <v>185.19446863813985</v>
      </c>
    </row>
    <row r="341" spans="1:33" ht="11.25" customHeight="1" x14ac:dyDescent="0.25">
      <c r="A341" s="4" t="s">
        <v>21</v>
      </c>
      <c r="B341" s="4" t="s">
        <v>32</v>
      </c>
      <c r="C341" s="4" t="s">
        <v>49</v>
      </c>
      <c r="D341" s="4" t="s">
        <v>41</v>
      </c>
      <c r="E341" s="4" t="s">
        <v>25</v>
      </c>
      <c r="F341" s="4" t="s">
        <v>25</v>
      </c>
      <c r="G341" s="4" t="s">
        <v>25</v>
      </c>
      <c r="H341" s="4" t="s">
        <v>37</v>
      </c>
      <c r="I341" s="5">
        <v>44713</v>
      </c>
      <c r="J341" s="6">
        <v>0</v>
      </c>
      <c r="K341" s="6">
        <v>0</v>
      </c>
      <c r="L341" s="6">
        <v>0.91200000000000003</v>
      </c>
      <c r="M341" s="6">
        <v>0.91200000000000003</v>
      </c>
      <c r="N341" s="6">
        <v>0.91200000000000003</v>
      </c>
      <c r="O341" s="6">
        <v>0.91200000000000003</v>
      </c>
      <c r="P341" s="6">
        <v>0</v>
      </c>
      <c r="Q341" s="4" t="s">
        <v>26</v>
      </c>
      <c r="R341" s="4">
        <v>0</v>
      </c>
      <c r="S341" s="6">
        <v>0</v>
      </c>
      <c r="T341" s="6">
        <v>44</v>
      </c>
      <c r="U341" s="6">
        <v>84</v>
      </c>
      <c r="V341" s="6">
        <f>IF(ISERROR(VLOOKUP($S$341,'TAR FIN'!$A$1:$O$85,15,0)),0,VLOOKUP($S$341,'TAR FIN'!$A$1:$O$85,15,0))</f>
        <v>0</v>
      </c>
      <c r="W341" s="6">
        <f>IF(ISERROR(VLOOKUP($T$341,'TAR FIN'!$A$1:$O$85,15,0)),0,VLOOKUP($T$341,'TAR FIN'!$A$1:$O$85,15,0))</f>
        <v>252.73</v>
      </c>
      <c r="X341" s="6">
        <f>IF(ISERROR(VLOOKUP($U$341,'TAR FIN'!$A$1:$O$85,15,0)),0,VLOOKUP($U$341,'TAR FIN'!$A$1:$O$85,15,0))</f>
        <v>229.87</v>
      </c>
      <c r="Y341" s="6"/>
      <c r="Z341" s="6">
        <f ca="1">('TUSD BE'!$AM$47+'TUSD BF_350'!$AM$47+'TUSD CVA'!$AM$47)*1</f>
        <v>276.83641112851222</v>
      </c>
      <c r="AA341" s="6">
        <f ca="1">('TE BE'!$AB$38+'TE BF_350'!$AB$38+'TE CVA'!$AB$38)*1</f>
        <v>216.60171770542672</v>
      </c>
      <c r="AB341" s="6">
        <f>$K$341*$V$341</f>
        <v>0</v>
      </c>
      <c r="AC341" s="6">
        <f>$M$341*$W$341</f>
        <v>230.48975999999999</v>
      </c>
      <c r="AD341" s="6">
        <f>$O$341*$X$341</f>
        <v>209.64144000000002</v>
      </c>
      <c r="AE341" s="6">
        <f>$K$341*$Y$341</f>
        <v>0</v>
      </c>
      <c r="AF341" s="6">
        <f ca="1">$M$341*$Z$341</f>
        <v>252.47480694920316</v>
      </c>
      <c r="AG341" s="6">
        <f ca="1">$O$341*$AA$341</f>
        <v>197.54076654734916</v>
      </c>
    </row>
    <row r="342" spans="1:33" ht="11.25" customHeight="1" x14ac:dyDescent="0.25">
      <c r="A342" s="4" t="s">
        <v>21</v>
      </c>
      <c r="B342" s="4" t="s">
        <v>32</v>
      </c>
      <c r="C342" s="4" t="s">
        <v>49</v>
      </c>
      <c r="D342" s="4" t="s">
        <v>41</v>
      </c>
      <c r="E342" s="4" t="s">
        <v>25</v>
      </c>
      <c r="F342" s="4" t="s">
        <v>25</v>
      </c>
      <c r="G342" s="4" t="s">
        <v>25</v>
      </c>
      <c r="H342" s="4" t="s">
        <v>50</v>
      </c>
      <c r="I342" s="5">
        <v>44621</v>
      </c>
      <c r="J342" s="6">
        <v>0</v>
      </c>
      <c r="K342" s="6">
        <v>0</v>
      </c>
      <c r="L342" s="6">
        <v>3.7999999999999999E-2</v>
      </c>
      <c r="M342" s="6">
        <v>3.7999999999999999E-2</v>
      </c>
      <c r="N342" s="6">
        <v>3.7999999999999999E-2</v>
      </c>
      <c r="O342" s="6">
        <v>3.7999999999999999E-2</v>
      </c>
      <c r="P342" s="6">
        <v>0</v>
      </c>
      <c r="Q342" s="4" t="s">
        <v>26</v>
      </c>
      <c r="R342" s="4">
        <v>0</v>
      </c>
      <c r="S342" s="6">
        <v>0</v>
      </c>
      <c r="T342" s="6">
        <v>54</v>
      </c>
      <c r="U342" s="6">
        <v>80</v>
      </c>
      <c r="V342" s="6">
        <f>IF(ISERROR(VLOOKUP($S$342,'TAR FIN'!$A$1:$O$85,15,0)),0,VLOOKUP($S$342,'TAR FIN'!$A$1:$O$85,15,0))</f>
        <v>0</v>
      </c>
      <c r="W342" s="6">
        <f>IF(ISERROR(VLOOKUP($T$342,'TAR FIN'!$A$1:$O$85,15,0)),0,VLOOKUP($T$342,'TAR FIN'!$A$1:$O$85,15,0))</f>
        <v>564.97</v>
      </c>
      <c r="X342" s="6">
        <f>IF(ISERROR(VLOOKUP($U$342,'TAR FIN'!$A$1:$O$85,15,0)),0,VLOOKUP($U$342,'TAR FIN'!$A$1:$O$85,15,0))</f>
        <v>229.87</v>
      </c>
      <c r="Y342" s="6"/>
      <c r="Z342" s="6">
        <f ca="1">('TUSD BE'!$AM$46+'TUSD BF_350'!$AM$46+'TUSD CVA'!$AM$46)*1</f>
        <v>551.08539382871152</v>
      </c>
      <c r="AA342" s="6">
        <f ca="1">('TE BE'!$AB$37+'TE BF_350'!$AB$37+'TE CVA'!$AB$37)*1</f>
        <v>216.60171770542672</v>
      </c>
      <c r="AB342" s="6">
        <f>$K$342*$V$342</f>
        <v>0</v>
      </c>
      <c r="AC342" s="6">
        <f>$M$342*$W$342</f>
        <v>21.468859999999999</v>
      </c>
      <c r="AD342" s="6">
        <f>$O$342*$X$342</f>
        <v>8.7350600000000007</v>
      </c>
      <c r="AE342" s="6">
        <f>$K$342*$Y$342</f>
        <v>0</v>
      </c>
      <c r="AF342" s="6">
        <f ca="1">$M$342*$Z$342</f>
        <v>20.941244965491038</v>
      </c>
      <c r="AG342" s="6">
        <f ca="1">$O$342*$AA$342</f>
        <v>8.2308652728062146</v>
      </c>
    </row>
    <row r="343" spans="1:33" ht="11.25" customHeight="1" x14ac:dyDescent="0.25">
      <c r="A343" s="4" t="s">
        <v>21</v>
      </c>
      <c r="B343" s="4" t="s">
        <v>32</v>
      </c>
      <c r="C343" s="4" t="s">
        <v>49</v>
      </c>
      <c r="D343" s="4" t="s">
        <v>41</v>
      </c>
      <c r="E343" s="4" t="s">
        <v>25</v>
      </c>
      <c r="F343" s="4" t="s">
        <v>25</v>
      </c>
      <c r="G343" s="4" t="s">
        <v>25</v>
      </c>
      <c r="H343" s="4" t="s">
        <v>50</v>
      </c>
      <c r="I343" s="5">
        <v>44652</v>
      </c>
      <c r="J343" s="6">
        <v>0</v>
      </c>
      <c r="K343" s="6">
        <v>0</v>
      </c>
      <c r="L343" s="6">
        <v>7.3999999999999996E-2</v>
      </c>
      <c r="M343" s="6">
        <v>7.3999999999999996E-2</v>
      </c>
      <c r="N343" s="6">
        <v>7.3999999999999996E-2</v>
      </c>
      <c r="O343" s="6">
        <v>7.3999999999999996E-2</v>
      </c>
      <c r="P343" s="6">
        <v>0</v>
      </c>
      <c r="Q343" s="4" t="s">
        <v>26</v>
      </c>
      <c r="R343" s="4">
        <v>0</v>
      </c>
      <c r="S343" s="6">
        <v>0</v>
      </c>
      <c r="T343" s="6">
        <v>54</v>
      </c>
      <c r="U343" s="6">
        <v>80</v>
      </c>
      <c r="V343" s="6">
        <f>IF(ISERROR(VLOOKUP($S$343,'TAR FIN'!$A$1:$O$85,15,0)),0,VLOOKUP($S$343,'TAR FIN'!$A$1:$O$85,15,0))</f>
        <v>0</v>
      </c>
      <c r="W343" s="6">
        <f>IF(ISERROR(VLOOKUP($T$343,'TAR FIN'!$A$1:$O$85,15,0)),0,VLOOKUP($T$343,'TAR FIN'!$A$1:$O$85,15,0))</f>
        <v>564.97</v>
      </c>
      <c r="X343" s="6">
        <f>IF(ISERROR(VLOOKUP($U$343,'TAR FIN'!$A$1:$O$85,15,0)),0,VLOOKUP($U$343,'TAR FIN'!$A$1:$O$85,15,0))</f>
        <v>229.87</v>
      </c>
      <c r="Y343" s="6"/>
      <c r="Z343" s="6">
        <f ca="1">('TUSD BE'!$AM$46+'TUSD BF_350'!$AM$46+'TUSD CVA'!$AM$46)*1</f>
        <v>551.08539382871152</v>
      </c>
      <c r="AA343" s="6">
        <f ca="1">('TE BE'!$AB$37+'TE BF_350'!$AB$37+'TE CVA'!$AB$37)*1</f>
        <v>216.60171770542672</v>
      </c>
      <c r="AB343" s="6">
        <f>$K$343*$V$343</f>
        <v>0</v>
      </c>
      <c r="AC343" s="6">
        <f>$M$343*$W$343</f>
        <v>41.807780000000001</v>
      </c>
      <c r="AD343" s="6">
        <f>$O$343*$X$343</f>
        <v>17.010379999999998</v>
      </c>
      <c r="AE343" s="6">
        <f>$K$343*$Y$343</f>
        <v>0</v>
      </c>
      <c r="AF343" s="6">
        <f ca="1">$M$343*$Z$343</f>
        <v>40.780319143324647</v>
      </c>
      <c r="AG343" s="6">
        <f ca="1">$O$343*$AA$343</f>
        <v>16.028527110201576</v>
      </c>
    </row>
    <row r="344" spans="1:33" ht="11.25" customHeight="1" x14ac:dyDescent="0.25">
      <c r="A344" s="4" t="s">
        <v>21</v>
      </c>
      <c r="B344" s="4" t="s">
        <v>32</v>
      </c>
      <c r="C344" s="4" t="s">
        <v>49</v>
      </c>
      <c r="D344" s="4" t="s">
        <v>41</v>
      </c>
      <c r="E344" s="4" t="s">
        <v>25</v>
      </c>
      <c r="F344" s="4" t="s">
        <v>25</v>
      </c>
      <c r="G344" s="4" t="s">
        <v>25</v>
      </c>
      <c r="H344" s="4" t="s">
        <v>50</v>
      </c>
      <c r="I344" s="5">
        <v>44682</v>
      </c>
      <c r="J344" s="6">
        <v>0</v>
      </c>
      <c r="K344" s="6">
        <v>0</v>
      </c>
      <c r="L344" s="6">
        <v>6.2E-2</v>
      </c>
      <c r="M344" s="6">
        <v>6.2E-2</v>
      </c>
      <c r="N344" s="6">
        <v>6.2E-2</v>
      </c>
      <c r="O344" s="6">
        <v>6.2E-2</v>
      </c>
      <c r="P344" s="6">
        <v>0</v>
      </c>
      <c r="Q344" s="4" t="s">
        <v>26</v>
      </c>
      <c r="R344" s="4">
        <v>0</v>
      </c>
      <c r="S344" s="6">
        <v>0</v>
      </c>
      <c r="T344" s="6">
        <v>54</v>
      </c>
      <c r="U344" s="6">
        <v>80</v>
      </c>
      <c r="V344" s="6">
        <f>IF(ISERROR(VLOOKUP($S$344,'TAR FIN'!$A$1:$O$85,15,0)),0,VLOOKUP($S$344,'TAR FIN'!$A$1:$O$85,15,0))</f>
        <v>0</v>
      </c>
      <c r="W344" s="6">
        <f>IF(ISERROR(VLOOKUP($T$344,'TAR FIN'!$A$1:$O$85,15,0)),0,VLOOKUP($T$344,'TAR FIN'!$A$1:$O$85,15,0))</f>
        <v>564.97</v>
      </c>
      <c r="X344" s="6">
        <f>IF(ISERROR(VLOOKUP($U$344,'TAR FIN'!$A$1:$O$85,15,0)),0,VLOOKUP($U$344,'TAR FIN'!$A$1:$O$85,15,0))</f>
        <v>229.87</v>
      </c>
      <c r="Y344" s="6"/>
      <c r="Z344" s="6">
        <f ca="1">('TUSD BE'!$AM$46+'TUSD BF_350'!$AM$46+'TUSD CVA'!$AM$46)*1</f>
        <v>551.08539382871152</v>
      </c>
      <c r="AA344" s="6">
        <f ca="1">('TE BE'!$AB$37+'TE BF_350'!$AB$37+'TE CVA'!$AB$37)*1</f>
        <v>216.60171770542672</v>
      </c>
      <c r="AB344" s="6">
        <f>$K$344*$V$344</f>
        <v>0</v>
      </c>
      <c r="AC344" s="6">
        <f>$M$344*$W$344</f>
        <v>35.02814</v>
      </c>
      <c r="AD344" s="6">
        <f>$O$344*$X$344</f>
        <v>14.251939999999999</v>
      </c>
      <c r="AE344" s="6">
        <f>$K$344*$Y$344</f>
        <v>0</v>
      </c>
      <c r="AF344" s="6">
        <f ca="1">$M$344*$Z$344</f>
        <v>34.167294417380113</v>
      </c>
      <c r="AG344" s="6">
        <f ca="1">$O$344*$AA$344</f>
        <v>13.429306497736457</v>
      </c>
    </row>
    <row r="345" spans="1:33" ht="11.25" customHeight="1" x14ac:dyDescent="0.25">
      <c r="A345" s="4" t="s">
        <v>21</v>
      </c>
      <c r="B345" s="4" t="s">
        <v>32</v>
      </c>
      <c r="C345" s="4" t="s">
        <v>49</v>
      </c>
      <c r="D345" s="4" t="s">
        <v>41</v>
      </c>
      <c r="E345" s="4" t="s">
        <v>25</v>
      </c>
      <c r="F345" s="4" t="s">
        <v>25</v>
      </c>
      <c r="G345" s="4" t="s">
        <v>25</v>
      </c>
      <c r="H345" s="4" t="s">
        <v>50</v>
      </c>
      <c r="I345" s="5">
        <v>44713</v>
      </c>
      <c r="J345" s="6">
        <v>0</v>
      </c>
      <c r="K345" s="6">
        <v>0</v>
      </c>
      <c r="L345" s="6">
        <v>6.6000000000000003E-2</v>
      </c>
      <c r="M345" s="6">
        <v>6.6000000000000003E-2</v>
      </c>
      <c r="N345" s="6">
        <v>6.6000000000000003E-2</v>
      </c>
      <c r="O345" s="6">
        <v>6.6000000000000003E-2</v>
      </c>
      <c r="P345" s="6">
        <v>0</v>
      </c>
      <c r="Q345" s="4" t="s">
        <v>26</v>
      </c>
      <c r="R345" s="4">
        <v>0</v>
      </c>
      <c r="S345" s="6">
        <v>0</v>
      </c>
      <c r="T345" s="6">
        <v>54</v>
      </c>
      <c r="U345" s="6">
        <v>80</v>
      </c>
      <c r="V345" s="6">
        <f>IF(ISERROR(VLOOKUP($S$345,'TAR FIN'!$A$1:$O$85,15,0)),0,VLOOKUP($S$345,'TAR FIN'!$A$1:$O$85,15,0))</f>
        <v>0</v>
      </c>
      <c r="W345" s="6">
        <f>IF(ISERROR(VLOOKUP($T$345,'TAR FIN'!$A$1:$O$85,15,0)),0,VLOOKUP($T$345,'TAR FIN'!$A$1:$O$85,15,0))</f>
        <v>564.97</v>
      </c>
      <c r="X345" s="6">
        <f>IF(ISERROR(VLOOKUP($U$345,'TAR FIN'!$A$1:$O$85,15,0)),0,VLOOKUP($U$345,'TAR FIN'!$A$1:$O$85,15,0))</f>
        <v>229.87</v>
      </c>
      <c r="Y345" s="6"/>
      <c r="Z345" s="6">
        <f ca="1">('TUSD BE'!$AM$46+'TUSD BF_350'!$AM$46+'TUSD CVA'!$AM$46)*1</f>
        <v>551.08539382871152</v>
      </c>
      <c r="AA345" s="6">
        <f ca="1">('TE BE'!$AB$37+'TE BF_350'!$AB$37+'TE CVA'!$AB$37)*1</f>
        <v>216.60171770542672</v>
      </c>
      <c r="AB345" s="6">
        <f>$K$345*$V$345</f>
        <v>0</v>
      </c>
      <c r="AC345" s="6">
        <f>$M$345*$W$345</f>
        <v>37.288020000000003</v>
      </c>
      <c r="AD345" s="6">
        <f>$O$345*$X$345</f>
        <v>15.171420000000001</v>
      </c>
      <c r="AE345" s="6">
        <f>$K$345*$Y$345</f>
        <v>0</v>
      </c>
      <c r="AF345" s="6">
        <f ca="1">$M$345*$Z$345</f>
        <v>36.371635992694962</v>
      </c>
      <c r="AG345" s="6">
        <f ca="1">$O$345*$AA$345</f>
        <v>14.295713368558165</v>
      </c>
    </row>
    <row r="346" spans="1:33" ht="11.25" customHeight="1" x14ac:dyDescent="0.25">
      <c r="A346" s="4" t="s">
        <v>21</v>
      </c>
      <c r="B346" s="4" t="s">
        <v>32</v>
      </c>
      <c r="C346" s="4" t="s">
        <v>49</v>
      </c>
      <c r="D346" s="4" t="s">
        <v>41</v>
      </c>
      <c r="E346" s="4" t="s">
        <v>25</v>
      </c>
      <c r="F346" s="4" t="s">
        <v>25</v>
      </c>
      <c r="G346" s="4" t="s">
        <v>25</v>
      </c>
      <c r="H346" s="4" t="s">
        <v>36</v>
      </c>
      <c r="I346" s="5">
        <v>44621</v>
      </c>
      <c r="J346" s="6">
        <v>0</v>
      </c>
      <c r="K346" s="6">
        <v>0</v>
      </c>
      <c r="L346" s="6">
        <v>2.8000000000000001E-2</v>
      </c>
      <c r="M346" s="6">
        <v>2.8000000000000001E-2</v>
      </c>
      <c r="N346" s="6">
        <v>2.8000000000000001E-2</v>
      </c>
      <c r="O346" s="6">
        <v>2.8000000000000001E-2</v>
      </c>
      <c r="P346" s="6">
        <v>0</v>
      </c>
      <c r="Q346" s="4" t="s">
        <v>26</v>
      </c>
      <c r="R346" s="4">
        <v>0</v>
      </c>
      <c r="S346" s="6">
        <v>0</v>
      </c>
      <c r="T346" s="6">
        <v>56</v>
      </c>
      <c r="U346" s="6">
        <v>61</v>
      </c>
      <c r="V346" s="6">
        <f>IF(ISERROR(VLOOKUP($S$346,'TAR FIN'!$A$1:$O$85,15,0)),0,VLOOKUP($S$346,'TAR FIN'!$A$1:$O$85,15,0))</f>
        <v>0</v>
      </c>
      <c r="W346" s="6">
        <f>IF(ISERROR(VLOOKUP($T$346,'TAR FIN'!$A$1:$O$85,15,0)),0,VLOOKUP($T$346,'TAR FIN'!$A$1:$O$85,15,0))</f>
        <v>877.21</v>
      </c>
      <c r="X346" s="6">
        <f>IF(ISERROR(VLOOKUP($U$346,'TAR FIN'!$A$1:$O$85,15,0)),0,VLOOKUP($U$346,'TAR FIN'!$A$1:$O$85,15,0))</f>
        <v>373.71</v>
      </c>
      <c r="Y346" s="6"/>
      <c r="Z346" s="6">
        <f ca="1">('TUSD BE'!$AM$45+'TUSD BF_350'!$AM$45+'TUSD CVA'!$AM$45)*1</f>
        <v>1236.7078812289385</v>
      </c>
      <c r="AA346" s="6">
        <f ca="1">('TE BE'!$AB$36+'TE BF_350'!$AB$36+'TE CVA'!$AB$36)*1</f>
        <v>347.98834052804079</v>
      </c>
      <c r="AB346" s="6">
        <f>$K$346*$V$346</f>
        <v>0</v>
      </c>
      <c r="AC346" s="6">
        <f>$M$346*$W$346</f>
        <v>24.561880000000002</v>
      </c>
      <c r="AD346" s="6">
        <f>$O$346*$X$346</f>
        <v>10.46388</v>
      </c>
      <c r="AE346" s="6">
        <f>$K$346*$Y$346</f>
        <v>0</v>
      </c>
      <c r="AF346" s="6">
        <f ca="1">$M$346*$Z$346</f>
        <v>34.62782067441028</v>
      </c>
      <c r="AG346" s="6">
        <f ca="1">$O$346*$AA$346</f>
        <v>9.7436735347851418</v>
      </c>
    </row>
    <row r="347" spans="1:33" ht="11.25" customHeight="1" x14ac:dyDescent="0.25">
      <c r="A347" s="4" t="s">
        <v>21</v>
      </c>
      <c r="B347" s="4" t="s">
        <v>32</v>
      </c>
      <c r="C347" s="4" t="s">
        <v>49</v>
      </c>
      <c r="D347" s="4" t="s">
        <v>41</v>
      </c>
      <c r="E347" s="4" t="s">
        <v>25</v>
      </c>
      <c r="F347" s="4" t="s">
        <v>25</v>
      </c>
      <c r="G347" s="4" t="s">
        <v>25</v>
      </c>
      <c r="H347" s="4" t="s">
        <v>36</v>
      </c>
      <c r="I347" s="5">
        <v>44652</v>
      </c>
      <c r="J347" s="6">
        <v>0</v>
      </c>
      <c r="K347" s="6">
        <v>0</v>
      </c>
      <c r="L347" s="6">
        <v>5.8999999999999997E-2</v>
      </c>
      <c r="M347" s="6">
        <v>5.8999999999999997E-2</v>
      </c>
      <c r="N347" s="6">
        <v>5.8999999999999997E-2</v>
      </c>
      <c r="O347" s="6">
        <v>5.8999999999999997E-2</v>
      </c>
      <c r="P347" s="6">
        <v>0</v>
      </c>
      <c r="Q347" s="4" t="s">
        <v>26</v>
      </c>
      <c r="R347" s="4">
        <v>0</v>
      </c>
      <c r="S347" s="6">
        <v>0</v>
      </c>
      <c r="T347" s="6">
        <v>56</v>
      </c>
      <c r="U347" s="6">
        <v>61</v>
      </c>
      <c r="V347" s="6">
        <f>IF(ISERROR(VLOOKUP($S$347,'TAR FIN'!$A$1:$O$85,15,0)),0,VLOOKUP($S$347,'TAR FIN'!$A$1:$O$85,15,0))</f>
        <v>0</v>
      </c>
      <c r="W347" s="6">
        <f>IF(ISERROR(VLOOKUP($T$347,'TAR FIN'!$A$1:$O$85,15,0)),0,VLOOKUP($T$347,'TAR FIN'!$A$1:$O$85,15,0))</f>
        <v>877.21</v>
      </c>
      <c r="X347" s="6">
        <f>IF(ISERROR(VLOOKUP($U$347,'TAR FIN'!$A$1:$O$85,15,0)),0,VLOOKUP($U$347,'TAR FIN'!$A$1:$O$85,15,0))</f>
        <v>373.71</v>
      </c>
      <c r="Y347" s="6"/>
      <c r="Z347" s="6">
        <f ca="1">('TUSD BE'!$AM$45+'TUSD BF_350'!$AM$45+'TUSD CVA'!$AM$45)*1</f>
        <v>1236.7078812289385</v>
      </c>
      <c r="AA347" s="6">
        <f ca="1">('TE BE'!$AB$36+'TE BF_350'!$AB$36+'TE CVA'!$AB$36)*1</f>
        <v>347.98834052804079</v>
      </c>
      <c r="AB347" s="6">
        <f>$K$347*$V$347</f>
        <v>0</v>
      </c>
      <c r="AC347" s="6">
        <f>$M$347*$W$347</f>
        <v>51.755389999999998</v>
      </c>
      <c r="AD347" s="6">
        <f>$O$347*$X$347</f>
        <v>22.048889999999997</v>
      </c>
      <c r="AE347" s="6">
        <f>$K$347*$Y$347</f>
        <v>0</v>
      </c>
      <c r="AF347" s="6">
        <f ca="1">$M$347*$Z$347</f>
        <v>72.965764992507374</v>
      </c>
      <c r="AG347" s="6">
        <f ca="1">$O$347*$AA$347</f>
        <v>20.531312091154405</v>
      </c>
    </row>
    <row r="348" spans="1:33" ht="11.25" customHeight="1" x14ac:dyDescent="0.25">
      <c r="A348" s="4" t="s">
        <v>21</v>
      </c>
      <c r="B348" s="4" t="s">
        <v>32</v>
      </c>
      <c r="C348" s="4" t="s">
        <v>49</v>
      </c>
      <c r="D348" s="4" t="s">
        <v>41</v>
      </c>
      <c r="E348" s="4" t="s">
        <v>25</v>
      </c>
      <c r="F348" s="4" t="s">
        <v>25</v>
      </c>
      <c r="G348" s="4" t="s">
        <v>25</v>
      </c>
      <c r="H348" s="4" t="s">
        <v>36</v>
      </c>
      <c r="I348" s="5">
        <v>44682</v>
      </c>
      <c r="J348" s="6">
        <v>0</v>
      </c>
      <c r="K348" s="6">
        <v>0</v>
      </c>
      <c r="L348" s="6">
        <v>6.2E-2</v>
      </c>
      <c r="M348" s="6">
        <v>6.2E-2</v>
      </c>
      <c r="N348" s="6">
        <v>6.2E-2</v>
      </c>
      <c r="O348" s="6">
        <v>6.2E-2</v>
      </c>
      <c r="P348" s="6">
        <v>0</v>
      </c>
      <c r="Q348" s="4" t="s">
        <v>26</v>
      </c>
      <c r="R348" s="4">
        <v>0</v>
      </c>
      <c r="S348" s="6">
        <v>0</v>
      </c>
      <c r="T348" s="6">
        <v>56</v>
      </c>
      <c r="U348" s="6">
        <v>61</v>
      </c>
      <c r="V348" s="6">
        <f>IF(ISERROR(VLOOKUP($S$348,'TAR FIN'!$A$1:$O$85,15,0)),0,VLOOKUP($S$348,'TAR FIN'!$A$1:$O$85,15,0))</f>
        <v>0</v>
      </c>
      <c r="W348" s="6">
        <f>IF(ISERROR(VLOOKUP($T$348,'TAR FIN'!$A$1:$O$85,15,0)),0,VLOOKUP($T$348,'TAR FIN'!$A$1:$O$85,15,0))</f>
        <v>877.21</v>
      </c>
      <c r="X348" s="6">
        <f>IF(ISERROR(VLOOKUP($U$348,'TAR FIN'!$A$1:$O$85,15,0)),0,VLOOKUP($U$348,'TAR FIN'!$A$1:$O$85,15,0))</f>
        <v>373.71</v>
      </c>
      <c r="Y348" s="6"/>
      <c r="Z348" s="6">
        <f ca="1">('TUSD BE'!$AM$45+'TUSD BF_350'!$AM$45+'TUSD CVA'!$AM$45)*1</f>
        <v>1236.7078812289385</v>
      </c>
      <c r="AA348" s="6">
        <f ca="1">('TE BE'!$AB$36+'TE BF_350'!$AB$36+'TE CVA'!$AB$36)*1</f>
        <v>347.98834052804079</v>
      </c>
      <c r="AB348" s="6">
        <f>$K$348*$V$348</f>
        <v>0</v>
      </c>
      <c r="AC348" s="6">
        <f>$M$348*$W$348</f>
        <v>54.38702</v>
      </c>
      <c r="AD348" s="6">
        <f>$O$348*$X$348</f>
        <v>23.170019999999997</v>
      </c>
      <c r="AE348" s="6">
        <f>$K$348*$Y$348</f>
        <v>0</v>
      </c>
      <c r="AF348" s="6">
        <f ca="1">$M$348*$Z$348</f>
        <v>76.675888636194188</v>
      </c>
      <c r="AG348" s="6">
        <f ca="1">$O$348*$AA$348</f>
        <v>21.575277112738529</v>
      </c>
    </row>
    <row r="349" spans="1:33" ht="11.25" customHeight="1" x14ac:dyDescent="0.25">
      <c r="A349" s="4" t="s">
        <v>21</v>
      </c>
      <c r="B349" s="4" t="s">
        <v>32</v>
      </c>
      <c r="C349" s="4" t="s">
        <v>49</v>
      </c>
      <c r="D349" s="4" t="s">
        <v>41</v>
      </c>
      <c r="E349" s="4" t="s">
        <v>25</v>
      </c>
      <c r="F349" s="4" t="s">
        <v>25</v>
      </c>
      <c r="G349" s="4" t="s">
        <v>25</v>
      </c>
      <c r="H349" s="4" t="s">
        <v>36</v>
      </c>
      <c r="I349" s="5">
        <v>44713</v>
      </c>
      <c r="J349" s="6">
        <v>0</v>
      </c>
      <c r="K349" s="6">
        <v>0</v>
      </c>
      <c r="L349" s="6">
        <v>6.7000000000000004E-2</v>
      </c>
      <c r="M349" s="6">
        <v>6.7000000000000004E-2</v>
      </c>
      <c r="N349" s="6">
        <v>6.7000000000000004E-2</v>
      </c>
      <c r="O349" s="6">
        <v>6.7000000000000004E-2</v>
      </c>
      <c r="P349" s="6">
        <v>0</v>
      </c>
      <c r="Q349" s="4" t="s">
        <v>26</v>
      </c>
      <c r="R349" s="4">
        <v>0</v>
      </c>
      <c r="S349" s="6">
        <v>0</v>
      </c>
      <c r="T349" s="6">
        <v>56</v>
      </c>
      <c r="U349" s="6">
        <v>61</v>
      </c>
      <c r="V349" s="6">
        <f>IF(ISERROR(VLOOKUP($S$349,'TAR FIN'!$A$1:$O$85,15,0)),0,VLOOKUP($S$349,'TAR FIN'!$A$1:$O$85,15,0))</f>
        <v>0</v>
      </c>
      <c r="W349" s="6">
        <f>IF(ISERROR(VLOOKUP($T$349,'TAR FIN'!$A$1:$O$85,15,0)),0,VLOOKUP($T$349,'TAR FIN'!$A$1:$O$85,15,0))</f>
        <v>877.21</v>
      </c>
      <c r="X349" s="6">
        <f>IF(ISERROR(VLOOKUP($U$349,'TAR FIN'!$A$1:$O$85,15,0)),0,VLOOKUP($U$349,'TAR FIN'!$A$1:$O$85,15,0))</f>
        <v>373.71</v>
      </c>
      <c r="Y349" s="6"/>
      <c r="Z349" s="6">
        <f ca="1">('TUSD BE'!$AM$45+'TUSD BF_350'!$AM$45+'TUSD CVA'!$AM$45)*1</f>
        <v>1236.7078812289385</v>
      </c>
      <c r="AA349" s="6">
        <f ca="1">('TE BE'!$AB$36+'TE BF_350'!$AB$36+'TE CVA'!$AB$36)*1</f>
        <v>347.98834052804079</v>
      </c>
      <c r="AB349" s="6">
        <f>$K$349*$V$349</f>
        <v>0</v>
      </c>
      <c r="AC349" s="6">
        <f>$M$349*$W$349</f>
        <v>58.773070000000004</v>
      </c>
      <c r="AD349" s="6">
        <f>$O$349*$X$349</f>
        <v>25.03857</v>
      </c>
      <c r="AE349" s="6">
        <f>$K$349*$Y$349</f>
        <v>0</v>
      </c>
      <c r="AF349" s="6">
        <f ca="1">$M$349*$Z$349</f>
        <v>82.859428042338891</v>
      </c>
      <c r="AG349" s="6">
        <f ca="1">$O$349*$AA$349</f>
        <v>23.315218815378735</v>
      </c>
    </row>
    <row r="350" spans="1:33" ht="11.25" customHeight="1" x14ac:dyDescent="0.25">
      <c r="A350" s="4" t="s">
        <v>21</v>
      </c>
      <c r="B350" s="4" t="s">
        <v>32</v>
      </c>
      <c r="C350" s="4" t="s">
        <v>23</v>
      </c>
      <c r="D350" s="4" t="s">
        <v>38</v>
      </c>
      <c r="E350" s="4" t="s">
        <v>25</v>
      </c>
      <c r="F350" s="4" t="s">
        <v>25</v>
      </c>
      <c r="G350" s="4" t="s">
        <v>25</v>
      </c>
      <c r="H350" s="4" t="s">
        <v>25</v>
      </c>
      <c r="I350" s="5">
        <v>44378</v>
      </c>
      <c r="J350" s="6">
        <v>0</v>
      </c>
      <c r="K350" s="6">
        <v>0</v>
      </c>
      <c r="L350" s="6">
        <v>670.90099999999995</v>
      </c>
      <c r="M350" s="6">
        <v>670.90099999999995</v>
      </c>
      <c r="N350" s="6">
        <v>670.90099999999995</v>
      </c>
      <c r="O350" s="6">
        <v>670.90099999999995</v>
      </c>
      <c r="P350" s="6">
        <v>1633</v>
      </c>
      <c r="Q350" s="4" t="s">
        <v>26</v>
      </c>
      <c r="R350" s="4">
        <v>0</v>
      </c>
      <c r="S350" s="6">
        <v>0</v>
      </c>
      <c r="T350" s="6">
        <v>46</v>
      </c>
      <c r="U350" s="6">
        <v>83</v>
      </c>
      <c r="V350" s="6">
        <f>IF(ISERROR(VLOOKUP($S$350,'TAR FIN'!$A$1:$O$85,15,0)),0,VLOOKUP($S$350,'TAR FIN'!$A$1:$O$85,15,0))</f>
        <v>0</v>
      </c>
      <c r="W350" s="6">
        <f>IF(ISERROR(VLOOKUP($T$350,'TAR FIN'!$A$1:$O$85,15,0)),0,VLOOKUP($T$350,'TAR FIN'!$A$1:$O$85,15,0))</f>
        <v>333.15</v>
      </c>
      <c r="X350" s="6">
        <f>IF(ISERROR(VLOOKUP($U$350,'TAR FIN'!$A$1:$O$85,15,0)),0,VLOOKUP($U$350,'TAR FIN'!$A$1:$O$85,15,0))</f>
        <v>241.85</v>
      </c>
      <c r="Y350" s="6"/>
      <c r="Z350" s="6">
        <f ca="1">('TUSD BE'!$AM$48+'TUSD BF_350'!$AM$48+'TUSD CVA'!$AM$48)*1</f>
        <v>376.13343594836397</v>
      </c>
      <c r="AA350" s="6">
        <f ca="1">('TE BE'!$AB$39+'TE BF_350'!$AB$39+'TE CVA'!$AB$39)*1</f>
        <v>227.55060294064452</v>
      </c>
      <c r="AB350" s="6">
        <f>$K$350*$V$350</f>
        <v>0</v>
      </c>
      <c r="AC350" s="6">
        <f>$M$350*$W$350</f>
        <v>223510.66814999998</v>
      </c>
      <c r="AD350" s="6">
        <f>$O$350*$X$350</f>
        <v>162257.40685</v>
      </c>
      <c r="AE350" s="6">
        <f>$K$350*$Y$350</f>
        <v>0</v>
      </c>
      <c r="AF350" s="6">
        <f ca="1">$M$350*$Z$350</f>
        <v>252348.29831119333</v>
      </c>
      <c r="AG350" s="6">
        <f ca="1">$O$350*$AA$350</f>
        <v>152663.92706348133</v>
      </c>
    </row>
    <row r="351" spans="1:33" ht="11.25" customHeight="1" x14ac:dyDescent="0.25">
      <c r="A351" s="4" t="s">
        <v>27</v>
      </c>
      <c r="B351" s="4" t="s">
        <v>32</v>
      </c>
      <c r="C351" s="4" t="s">
        <v>23</v>
      </c>
      <c r="D351" s="4" t="s">
        <v>38</v>
      </c>
      <c r="E351" s="4" t="s">
        <v>25</v>
      </c>
      <c r="F351" s="4" t="s">
        <v>25</v>
      </c>
      <c r="G351" s="4" t="s">
        <v>25</v>
      </c>
      <c r="H351" s="4" t="s">
        <v>25</v>
      </c>
      <c r="I351" s="5">
        <v>44378</v>
      </c>
      <c r="J351" s="6">
        <v>0</v>
      </c>
      <c r="K351" s="6">
        <v>0</v>
      </c>
      <c r="L351" s="6">
        <v>37.423000000000002</v>
      </c>
      <c r="M351" s="6">
        <v>37.423000000000002</v>
      </c>
      <c r="N351" s="6">
        <v>37.423000000000002</v>
      </c>
      <c r="O351" s="6">
        <v>37.423000000000002</v>
      </c>
      <c r="P351" s="6">
        <v>62</v>
      </c>
      <c r="Q351" s="4" t="s">
        <v>26</v>
      </c>
      <c r="R351" s="4">
        <v>0</v>
      </c>
      <c r="S351" s="6">
        <v>0</v>
      </c>
      <c r="T351" s="6">
        <v>46</v>
      </c>
      <c r="U351" s="6">
        <v>83</v>
      </c>
      <c r="V351" s="6">
        <f>IF(ISERROR(VLOOKUP($S$351,'TAR FIN'!$A$1:$O$85,15,0)),0,VLOOKUP($S$351,'TAR FIN'!$A$1:$O$85,15,0))</f>
        <v>0</v>
      </c>
      <c r="W351" s="6">
        <f>IF(ISERROR(VLOOKUP($T$351,'TAR FIN'!$A$1:$O$85,15,0)),0,VLOOKUP($T$351,'TAR FIN'!$A$1:$O$85,15,0))</f>
        <v>333.15</v>
      </c>
      <c r="X351" s="6">
        <f>IF(ISERROR(VLOOKUP($U$351,'TAR FIN'!$A$1:$O$85,15,0)),0,VLOOKUP($U$351,'TAR FIN'!$A$1:$O$85,15,0))</f>
        <v>241.85</v>
      </c>
      <c r="Y351" s="6"/>
      <c r="Z351" s="6">
        <f ca="1">('TUSD BE'!$AM$48+'TUSD BF_350'!$AM$48+'TUSD CVA'!$AM$48)*1</f>
        <v>376.13343594836397</v>
      </c>
      <c r="AA351" s="6">
        <f ca="1">('TE BE'!$AB$39+'TE BF_350'!$AB$39+'TE CVA'!$AB$39)*1</f>
        <v>227.55060294064452</v>
      </c>
      <c r="AB351" s="6">
        <f>$K$351*$V$351</f>
        <v>0</v>
      </c>
      <c r="AC351" s="6">
        <f>$M$351*$W$351</f>
        <v>12467.472449999999</v>
      </c>
      <c r="AD351" s="6">
        <f>$O$351*$X$351</f>
        <v>9050.7525500000011</v>
      </c>
      <c r="AE351" s="6">
        <f>$K$351*$Y$351</f>
        <v>0</v>
      </c>
      <c r="AF351" s="6">
        <f ca="1">$M$351*$Z$351</f>
        <v>14076.041573495626</v>
      </c>
      <c r="AG351" s="6">
        <f ca="1">$O$351*$AA$351</f>
        <v>8515.6262138477396</v>
      </c>
    </row>
    <row r="352" spans="1:33" ht="11.25" customHeight="1" x14ac:dyDescent="0.25">
      <c r="A352" s="4" t="s">
        <v>21</v>
      </c>
      <c r="B352" s="4" t="s">
        <v>32</v>
      </c>
      <c r="C352" s="4" t="s">
        <v>23</v>
      </c>
      <c r="D352" s="4" t="s">
        <v>38</v>
      </c>
      <c r="E352" s="4" t="s">
        <v>25</v>
      </c>
      <c r="F352" s="4" t="s">
        <v>25</v>
      </c>
      <c r="G352" s="4" t="s">
        <v>25</v>
      </c>
      <c r="H352" s="4" t="s">
        <v>25</v>
      </c>
      <c r="I352" s="5">
        <v>44409</v>
      </c>
      <c r="J352" s="6">
        <v>0</v>
      </c>
      <c r="K352" s="6">
        <v>0</v>
      </c>
      <c r="L352" s="6">
        <v>657.50400000000002</v>
      </c>
      <c r="M352" s="6">
        <v>657.50400000000002</v>
      </c>
      <c r="N352" s="6">
        <v>657.50400000000002</v>
      </c>
      <c r="O352" s="6">
        <v>657.50400000000002</v>
      </c>
      <c r="P352" s="6">
        <v>1636</v>
      </c>
      <c r="Q352" s="4" t="s">
        <v>26</v>
      </c>
      <c r="R352" s="4">
        <v>0</v>
      </c>
      <c r="S352" s="6">
        <v>0</v>
      </c>
      <c r="T352" s="6">
        <v>46</v>
      </c>
      <c r="U352" s="6">
        <v>83</v>
      </c>
      <c r="V352" s="6">
        <f>IF(ISERROR(VLOOKUP($S$352,'TAR FIN'!$A$1:$O$85,15,0)),0,VLOOKUP($S$352,'TAR FIN'!$A$1:$O$85,15,0))</f>
        <v>0</v>
      </c>
      <c r="W352" s="6">
        <f>IF(ISERROR(VLOOKUP($T$352,'TAR FIN'!$A$1:$O$85,15,0)),0,VLOOKUP($T$352,'TAR FIN'!$A$1:$O$85,15,0))</f>
        <v>333.15</v>
      </c>
      <c r="X352" s="6">
        <f>IF(ISERROR(VLOOKUP($U$352,'TAR FIN'!$A$1:$O$85,15,0)),0,VLOOKUP($U$352,'TAR FIN'!$A$1:$O$85,15,0))</f>
        <v>241.85</v>
      </c>
      <c r="Y352" s="6"/>
      <c r="Z352" s="6">
        <f ca="1">('TUSD BE'!$AM$48+'TUSD BF_350'!$AM$48+'TUSD CVA'!$AM$48)*1</f>
        <v>376.13343594836397</v>
      </c>
      <c r="AA352" s="6">
        <f ca="1">('TE BE'!$AB$39+'TE BF_350'!$AB$39+'TE CVA'!$AB$39)*1</f>
        <v>227.55060294064452</v>
      </c>
      <c r="AB352" s="6">
        <f>$K$352*$V$352</f>
        <v>0</v>
      </c>
      <c r="AC352" s="6">
        <f>$M$352*$W$352</f>
        <v>219047.45759999999</v>
      </c>
      <c r="AD352" s="6">
        <f>$O$352*$X$352</f>
        <v>159017.34239999999</v>
      </c>
      <c r="AE352" s="6">
        <f>$K$352*$Y$352</f>
        <v>0</v>
      </c>
      <c r="AF352" s="6">
        <f ca="1">$M$352*$Z$352</f>
        <v>247309.23866979312</v>
      </c>
      <c r="AG352" s="6">
        <f ca="1">$O$352*$AA$352</f>
        <v>149615.43163588553</v>
      </c>
    </row>
    <row r="353" spans="1:33" ht="11.25" customHeight="1" x14ac:dyDescent="0.25">
      <c r="A353" s="4" t="s">
        <v>27</v>
      </c>
      <c r="B353" s="4" t="s">
        <v>32</v>
      </c>
      <c r="C353" s="4" t="s">
        <v>23</v>
      </c>
      <c r="D353" s="4" t="s">
        <v>38</v>
      </c>
      <c r="E353" s="4" t="s">
        <v>25</v>
      </c>
      <c r="F353" s="4" t="s">
        <v>25</v>
      </c>
      <c r="G353" s="4" t="s">
        <v>25</v>
      </c>
      <c r="H353" s="4" t="s">
        <v>25</v>
      </c>
      <c r="I353" s="5">
        <v>44409</v>
      </c>
      <c r="J353" s="6">
        <v>0</v>
      </c>
      <c r="K353" s="6">
        <v>0</v>
      </c>
      <c r="L353" s="6">
        <v>35.430999999999997</v>
      </c>
      <c r="M353" s="6">
        <v>35.430999999999997</v>
      </c>
      <c r="N353" s="6">
        <v>35.430999999999997</v>
      </c>
      <c r="O353" s="6">
        <v>35.430999999999997</v>
      </c>
      <c r="P353" s="6">
        <v>65</v>
      </c>
      <c r="Q353" s="4" t="s">
        <v>26</v>
      </c>
      <c r="R353" s="4">
        <v>0</v>
      </c>
      <c r="S353" s="6">
        <v>0</v>
      </c>
      <c r="T353" s="6">
        <v>46</v>
      </c>
      <c r="U353" s="6">
        <v>83</v>
      </c>
      <c r="V353" s="6">
        <f>IF(ISERROR(VLOOKUP($S$353,'TAR FIN'!$A$1:$O$85,15,0)),0,VLOOKUP($S$353,'TAR FIN'!$A$1:$O$85,15,0))</f>
        <v>0</v>
      </c>
      <c r="W353" s="6">
        <f>IF(ISERROR(VLOOKUP($T$353,'TAR FIN'!$A$1:$O$85,15,0)),0,VLOOKUP($T$353,'TAR FIN'!$A$1:$O$85,15,0))</f>
        <v>333.15</v>
      </c>
      <c r="X353" s="6">
        <f>IF(ISERROR(VLOOKUP($U$353,'TAR FIN'!$A$1:$O$85,15,0)),0,VLOOKUP($U$353,'TAR FIN'!$A$1:$O$85,15,0))</f>
        <v>241.85</v>
      </c>
      <c r="Y353" s="6"/>
      <c r="Z353" s="6">
        <f ca="1">('TUSD BE'!$AM$48+'TUSD BF_350'!$AM$48+'TUSD CVA'!$AM$48)*1</f>
        <v>376.13343594836397</v>
      </c>
      <c r="AA353" s="6">
        <f ca="1">('TE BE'!$AB$39+'TE BF_350'!$AB$39+'TE CVA'!$AB$39)*1</f>
        <v>227.55060294064452</v>
      </c>
      <c r="AB353" s="6">
        <f>$K$353*$V$353</f>
        <v>0</v>
      </c>
      <c r="AC353" s="6">
        <f>$M$353*$W$353</f>
        <v>11803.837649999998</v>
      </c>
      <c r="AD353" s="6">
        <f>$O$353*$X$353</f>
        <v>8568.9873499999994</v>
      </c>
      <c r="AE353" s="6">
        <f>$K$353*$Y$353</f>
        <v>0</v>
      </c>
      <c r="AF353" s="6">
        <f ca="1">$M$353*$Z$353</f>
        <v>13326.783769086484</v>
      </c>
      <c r="AG353" s="6">
        <f ca="1">$O$353*$AA$353</f>
        <v>8062.3454127899759</v>
      </c>
    </row>
    <row r="354" spans="1:33" ht="11.25" customHeight="1" x14ac:dyDescent="0.25">
      <c r="A354" s="4" t="s">
        <v>21</v>
      </c>
      <c r="B354" s="4" t="s">
        <v>32</v>
      </c>
      <c r="C354" s="4" t="s">
        <v>23</v>
      </c>
      <c r="D354" s="4" t="s">
        <v>38</v>
      </c>
      <c r="E354" s="4" t="s">
        <v>25</v>
      </c>
      <c r="F354" s="4" t="s">
        <v>25</v>
      </c>
      <c r="G354" s="4" t="s">
        <v>25</v>
      </c>
      <c r="H354" s="4" t="s">
        <v>25</v>
      </c>
      <c r="I354" s="5">
        <v>44440</v>
      </c>
      <c r="J354" s="6">
        <v>0</v>
      </c>
      <c r="K354" s="6">
        <v>0</v>
      </c>
      <c r="L354" s="6">
        <v>613.86199999999997</v>
      </c>
      <c r="M354" s="6">
        <v>613.86199999999997</v>
      </c>
      <c r="N354" s="6">
        <v>613.86199999999997</v>
      </c>
      <c r="O354" s="6">
        <v>613.86199999999997</v>
      </c>
      <c r="P354" s="6">
        <v>1641</v>
      </c>
      <c r="Q354" s="4" t="s">
        <v>26</v>
      </c>
      <c r="R354" s="4">
        <v>0</v>
      </c>
      <c r="S354" s="6">
        <v>0</v>
      </c>
      <c r="T354" s="6">
        <v>46</v>
      </c>
      <c r="U354" s="6">
        <v>83</v>
      </c>
      <c r="V354" s="6">
        <f>IF(ISERROR(VLOOKUP($S$354,'TAR FIN'!$A$1:$O$85,15,0)),0,VLOOKUP($S$354,'TAR FIN'!$A$1:$O$85,15,0))</f>
        <v>0</v>
      </c>
      <c r="W354" s="6">
        <f>IF(ISERROR(VLOOKUP($T$354,'TAR FIN'!$A$1:$O$85,15,0)),0,VLOOKUP($T$354,'TAR FIN'!$A$1:$O$85,15,0))</f>
        <v>333.15</v>
      </c>
      <c r="X354" s="6">
        <f>IF(ISERROR(VLOOKUP($U$354,'TAR FIN'!$A$1:$O$85,15,0)),0,VLOOKUP($U$354,'TAR FIN'!$A$1:$O$85,15,0))</f>
        <v>241.85</v>
      </c>
      <c r="Y354" s="6"/>
      <c r="Z354" s="6">
        <f ca="1">('TUSD BE'!$AM$48+'TUSD BF_350'!$AM$48+'TUSD CVA'!$AM$48)*1</f>
        <v>376.13343594836397</v>
      </c>
      <c r="AA354" s="6">
        <f ca="1">('TE BE'!$AB$39+'TE BF_350'!$AB$39+'TE CVA'!$AB$39)*1</f>
        <v>227.55060294064452</v>
      </c>
      <c r="AB354" s="6">
        <f>$K$354*$V$354</f>
        <v>0</v>
      </c>
      <c r="AC354" s="6">
        <f>$M$354*$W$354</f>
        <v>204508.12529999999</v>
      </c>
      <c r="AD354" s="6">
        <f>$O$354*$X$354</f>
        <v>148462.52469999998</v>
      </c>
      <c r="AE354" s="6">
        <f>$K$354*$Y$354</f>
        <v>0</v>
      </c>
      <c r="AF354" s="6">
        <f ca="1">$M$354*$Z$354</f>
        <v>230894.02325813458</v>
      </c>
      <c r="AG354" s="6">
        <f ca="1">$O$354*$AA$354</f>
        <v>139684.66822234992</v>
      </c>
    </row>
    <row r="355" spans="1:33" ht="11.25" customHeight="1" x14ac:dyDescent="0.25">
      <c r="A355" s="4" t="s">
        <v>27</v>
      </c>
      <c r="B355" s="4" t="s">
        <v>32</v>
      </c>
      <c r="C355" s="4" t="s">
        <v>23</v>
      </c>
      <c r="D355" s="4" t="s">
        <v>38</v>
      </c>
      <c r="E355" s="4" t="s">
        <v>25</v>
      </c>
      <c r="F355" s="4" t="s">
        <v>25</v>
      </c>
      <c r="G355" s="4" t="s">
        <v>25</v>
      </c>
      <c r="H355" s="4" t="s">
        <v>25</v>
      </c>
      <c r="I355" s="5">
        <v>44440</v>
      </c>
      <c r="J355" s="6">
        <v>0</v>
      </c>
      <c r="K355" s="6">
        <v>0</v>
      </c>
      <c r="L355" s="6">
        <v>31.786999999999999</v>
      </c>
      <c r="M355" s="6">
        <v>31.786999999999999</v>
      </c>
      <c r="N355" s="6">
        <v>31.786999999999999</v>
      </c>
      <c r="O355" s="6">
        <v>31.786999999999999</v>
      </c>
      <c r="P355" s="6">
        <v>64</v>
      </c>
      <c r="Q355" s="4" t="s">
        <v>26</v>
      </c>
      <c r="R355" s="4">
        <v>0</v>
      </c>
      <c r="S355" s="6">
        <v>0</v>
      </c>
      <c r="T355" s="6">
        <v>46</v>
      </c>
      <c r="U355" s="6">
        <v>83</v>
      </c>
      <c r="V355" s="6">
        <f>IF(ISERROR(VLOOKUP($S$355,'TAR FIN'!$A$1:$O$85,15,0)),0,VLOOKUP($S$355,'TAR FIN'!$A$1:$O$85,15,0))</f>
        <v>0</v>
      </c>
      <c r="W355" s="6">
        <f>IF(ISERROR(VLOOKUP($T$355,'TAR FIN'!$A$1:$O$85,15,0)),0,VLOOKUP($T$355,'TAR FIN'!$A$1:$O$85,15,0))</f>
        <v>333.15</v>
      </c>
      <c r="X355" s="6">
        <f>IF(ISERROR(VLOOKUP($U$355,'TAR FIN'!$A$1:$O$85,15,0)),0,VLOOKUP($U$355,'TAR FIN'!$A$1:$O$85,15,0))</f>
        <v>241.85</v>
      </c>
      <c r="Y355" s="6"/>
      <c r="Z355" s="6">
        <f ca="1">('TUSD BE'!$AM$48+'TUSD BF_350'!$AM$48+'TUSD CVA'!$AM$48)*1</f>
        <v>376.13343594836397</v>
      </c>
      <c r="AA355" s="6">
        <f ca="1">('TE BE'!$AB$39+'TE BF_350'!$AB$39+'TE CVA'!$AB$39)*1</f>
        <v>227.55060294064452</v>
      </c>
      <c r="AB355" s="6">
        <f>$K$355*$V$355</f>
        <v>0</v>
      </c>
      <c r="AC355" s="6">
        <f>$M$355*$W$355</f>
        <v>10589.839049999999</v>
      </c>
      <c r="AD355" s="6">
        <f>$O$355*$X$355</f>
        <v>7687.6859499999991</v>
      </c>
      <c r="AE355" s="6">
        <f>$K$355*$Y$355</f>
        <v>0</v>
      </c>
      <c r="AF355" s="6">
        <f ca="1">$M$355*$Z$355</f>
        <v>11956.153528490646</v>
      </c>
      <c r="AG355" s="6">
        <f ca="1">$O$355*$AA$355</f>
        <v>7233.151015674267</v>
      </c>
    </row>
    <row r="356" spans="1:33" ht="11.25" customHeight="1" x14ac:dyDescent="0.25">
      <c r="A356" s="4" t="s">
        <v>21</v>
      </c>
      <c r="B356" s="4" t="s">
        <v>32</v>
      </c>
      <c r="C356" s="4" t="s">
        <v>23</v>
      </c>
      <c r="D356" s="4" t="s">
        <v>38</v>
      </c>
      <c r="E356" s="4" t="s">
        <v>25</v>
      </c>
      <c r="F356" s="4" t="s">
        <v>25</v>
      </c>
      <c r="G356" s="4" t="s">
        <v>25</v>
      </c>
      <c r="H356" s="4" t="s">
        <v>25</v>
      </c>
      <c r="I356" s="5">
        <v>44470</v>
      </c>
      <c r="J356" s="6">
        <v>0</v>
      </c>
      <c r="K356" s="6">
        <v>0</v>
      </c>
      <c r="L356" s="6">
        <v>608.11099999999999</v>
      </c>
      <c r="M356" s="6">
        <v>608.11099999999999</v>
      </c>
      <c r="N356" s="6">
        <v>608.11099999999999</v>
      </c>
      <c r="O356" s="6">
        <v>608.11099999999999</v>
      </c>
      <c r="P356" s="6">
        <v>1651</v>
      </c>
      <c r="Q356" s="4" t="s">
        <v>26</v>
      </c>
      <c r="R356" s="4">
        <v>0</v>
      </c>
      <c r="S356" s="6">
        <v>0</v>
      </c>
      <c r="T356" s="6">
        <v>46</v>
      </c>
      <c r="U356" s="6">
        <v>83</v>
      </c>
      <c r="V356" s="6">
        <f>IF(ISERROR(VLOOKUP($S$356,'TAR FIN'!$A$1:$O$85,15,0)),0,VLOOKUP($S$356,'TAR FIN'!$A$1:$O$85,15,0))</f>
        <v>0</v>
      </c>
      <c r="W356" s="6">
        <f>IF(ISERROR(VLOOKUP($T$356,'TAR FIN'!$A$1:$O$85,15,0)),0,VLOOKUP($T$356,'TAR FIN'!$A$1:$O$85,15,0))</f>
        <v>333.15</v>
      </c>
      <c r="X356" s="6">
        <f>IF(ISERROR(VLOOKUP($U$356,'TAR FIN'!$A$1:$O$85,15,0)),0,VLOOKUP($U$356,'TAR FIN'!$A$1:$O$85,15,0))</f>
        <v>241.85</v>
      </c>
      <c r="Y356" s="6"/>
      <c r="Z356" s="6">
        <f ca="1">('TUSD BE'!$AM$48+'TUSD BF_350'!$AM$48+'TUSD CVA'!$AM$48)*1</f>
        <v>376.13343594836397</v>
      </c>
      <c r="AA356" s="6">
        <f ca="1">('TE BE'!$AB$39+'TE BF_350'!$AB$39+'TE CVA'!$AB$39)*1</f>
        <v>227.55060294064452</v>
      </c>
      <c r="AB356" s="6">
        <f>$K$356*$V$356</f>
        <v>0</v>
      </c>
      <c r="AC356" s="6">
        <f>$M$356*$W$356</f>
        <v>202592.17964999998</v>
      </c>
      <c r="AD356" s="6">
        <f>$O$356*$X$356</f>
        <v>147071.64535000001</v>
      </c>
      <c r="AE356" s="6">
        <f>$K$356*$Y$356</f>
        <v>0</v>
      </c>
      <c r="AF356" s="6">
        <f ca="1">$M$356*$Z$356</f>
        <v>228730.87986799557</v>
      </c>
      <c r="AG356" s="6">
        <f ca="1">$O$356*$AA$356</f>
        <v>138376.02470483829</v>
      </c>
    </row>
    <row r="357" spans="1:33" ht="11.25" customHeight="1" x14ac:dyDescent="0.25">
      <c r="A357" s="4" t="s">
        <v>27</v>
      </c>
      <c r="B357" s="4" t="s">
        <v>32</v>
      </c>
      <c r="C357" s="4" t="s">
        <v>23</v>
      </c>
      <c r="D357" s="4" t="s">
        <v>38</v>
      </c>
      <c r="E357" s="4" t="s">
        <v>25</v>
      </c>
      <c r="F357" s="4" t="s">
        <v>25</v>
      </c>
      <c r="G357" s="4" t="s">
        <v>25</v>
      </c>
      <c r="H357" s="4" t="s">
        <v>25</v>
      </c>
      <c r="I357" s="5">
        <v>44470</v>
      </c>
      <c r="J357" s="6">
        <v>0</v>
      </c>
      <c r="K357" s="6">
        <v>0</v>
      </c>
      <c r="L357" s="6">
        <v>29.289000000000001</v>
      </c>
      <c r="M357" s="6">
        <v>29.289000000000001</v>
      </c>
      <c r="N357" s="6">
        <v>29.289000000000001</v>
      </c>
      <c r="O357" s="6">
        <v>29.289000000000001</v>
      </c>
      <c r="P357" s="6">
        <v>70</v>
      </c>
      <c r="Q357" s="4" t="s">
        <v>26</v>
      </c>
      <c r="R357" s="4">
        <v>0</v>
      </c>
      <c r="S357" s="6">
        <v>0</v>
      </c>
      <c r="T357" s="6">
        <v>46</v>
      </c>
      <c r="U357" s="6">
        <v>83</v>
      </c>
      <c r="V357" s="6">
        <f>IF(ISERROR(VLOOKUP($S$357,'TAR FIN'!$A$1:$O$85,15,0)),0,VLOOKUP($S$357,'TAR FIN'!$A$1:$O$85,15,0))</f>
        <v>0</v>
      </c>
      <c r="W357" s="6">
        <f>IF(ISERROR(VLOOKUP($T$357,'TAR FIN'!$A$1:$O$85,15,0)),0,VLOOKUP($T$357,'TAR FIN'!$A$1:$O$85,15,0))</f>
        <v>333.15</v>
      </c>
      <c r="X357" s="6">
        <f>IF(ISERROR(VLOOKUP($U$357,'TAR FIN'!$A$1:$O$85,15,0)),0,VLOOKUP($U$357,'TAR FIN'!$A$1:$O$85,15,0))</f>
        <v>241.85</v>
      </c>
      <c r="Y357" s="6"/>
      <c r="Z357" s="6">
        <f ca="1">('TUSD BE'!$AM$48+'TUSD BF_350'!$AM$48+'TUSD CVA'!$AM$48)*1</f>
        <v>376.13343594836397</v>
      </c>
      <c r="AA357" s="6">
        <f ca="1">('TE BE'!$AB$39+'TE BF_350'!$AB$39+'TE CVA'!$AB$39)*1</f>
        <v>227.55060294064452</v>
      </c>
      <c r="AB357" s="6">
        <f>$K$357*$V$357</f>
        <v>0</v>
      </c>
      <c r="AC357" s="6">
        <f>$M$357*$W$357</f>
        <v>9757.6303499999995</v>
      </c>
      <c r="AD357" s="6">
        <f>$O$357*$X$357</f>
        <v>7083.5446499999998</v>
      </c>
      <c r="AE357" s="6">
        <f>$K$357*$Y$357</f>
        <v>0</v>
      </c>
      <c r="AF357" s="6">
        <f ca="1">$M$357*$Z$357</f>
        <v>11016.572205491633</v>
      </c>
      <c r="AG357" s="6">
        <f ca="1">$O$357*$AA$357</f>
        <v>6664.7296095285374</v>
      </c>
    </row>
    <row r="358" spans="1:33" ht="11.25" customHeight="1" x14ac:dyDescent="0.25">
      <c r="A358" s="4" t="s">
        <v>21</v>
      </c>
      <c r="B358" s="4" t="s">
        <v>32</v>
      </c>
      <c r="C358" s="4" t="s">
        <v>23</v>
      </c>
      <c r="D358" s="4" t="s">
        <v>38</v>
      </c>
      <c r="E358" s="4" t="s">
        <v>25</v>
      </c>
      <c r="F358" s="4" t="s">
        <v>25</v>
      </c>
      <c r="G358" s="4" t="s">
        <v>25</v>
      </c>
      <c r="H358" s="4" t="s">
        <v>25</v>
      </c>
      <c r="I358" s="5">
        <v>44501</v>
      </c>
      <c r="J358" s="6">
        <v>0</v>
      </c>
      <c r="K358" s="6">
        <v>0</v>
      </c>
      <c r="L358" s="6">
        <v>691.02599999999995</v>
      </c>
      <c r="M358" s="6">
        <v>691.02599999999995</v>
      </c>
      <c r="N358" s="6">
        <v>691.02599999999995</v>
      </c>
      <c r="O358" s="6">
        <v>691.02599999999995</v>
      </c>
      <c r="P358" s="6">
        <v>1646</v>
      </c>
      <c r="Q358" s="4" t="s">
        <v>26</v>
      </c>
      <c r="R358" s="4">
        <v>0</v>
      </c>
      <c r="S358" s="6">
        <v>0</v>
      </c>
      <c r="T358" s="6">
        <v>46</v>
      </c>
      <c r="U358" s="6">
        <v>83</v>
      </c>
      <c r="V358" s="6">
        <f>IF(ISERROR(VLOOKUP($S$358,'TAR FIN'!$A$1:$O$85,15,0)),0,VLOOKUP($S$358,'TAR FIN'!$A$1:$O$85,15,0))</f>
        <v>0</v>
      </c>
      <c r="W358" s="6">
        <f>IF(ISERROR(VLOOKUP($T$358,'TAR FIN'!$A$1:$O$85,15,0)),0,VLOOKUP($T$358,'TAR FIN'!$A$1:$O$85,15,0))</f>
        <v>333.15</v>
      </c>
      <c r="X358" s="6">
        <f>IF(ISERROR(VLOOKUP($U$358,'TAR FIN'!$A$1:$O$85,15,0)),0,VLOOKUP($U$358,'TAR FIN'!$A$1:$O$85,15,0))</f>
        <v>241.85</v>
      </c>
      <c r="Y358" s="6"/>
      <c r="Z358" s="6">
        <f ca="1">('TUSD BE'!$AM$48+'TUSD BF_350'!$AM$48+'TUSD CVA'!$AM$48)*1</f>
        <v>376.13343594836397</v>
      </c>
      <c r="AA358" s="6">
        <f ca="1">('TE BE'!$AB$39+'TE BF_350'!$AB$39+'TE CVA'!$AB$39)*1</f>
        <v>227.55060294064452</v>
      </c>
      <c r="AB358" s="6">
        <f>$K$358*$V$358</f>
        <v>0</v>
      </c>
      <c r="AC358" s="6">
        <f>$M$358*$W$358</f>
        <v>230215.31189999997</v>
      </c>
      <c r="AD358" s="6">
        <f>$O$358*$X$358</f>
        <v>167124.63809999998</v>
      </c>
      <c r="AE358" s="6">
        <f>$K$358*$Y$358</f>
        <v>0</v>
      </c>
      <c r="AF358" s="6">
        <f ca="1">$M$358*$Z$358</f>
        <v>259917.98370965413</v>
      </c>
      <c r="AG358" s="6">
        <f ca="1">$O$358*$AA$358</f>
        <v>157243.3829476618</v>
      </c>
    </row>
    <row r="359" spans="1:33" ht="11.25" customHeight="1" x14ac:dyDescent="0.25">
      <c r="A359" s="4" t="s">
        <v>27</v>
      </c>
      <c r="B359" s="4" t="s">
        <v>32</v>
      </c>
      <c r="C359" s="4" t="s">
        <v>23</v>
      </c>
      <c r="D359" s="4" t="s">
        <v>38</v>
      </c>
      <c r="E359" s="4" t="s">
        <v>25</v>
      </c>
      <c r="F359" s="4" t="s">
        <v>25</v>
      </c>
      <c r="G359" s="4" t="s">
        <v>25</v>
      </c>
      <c r="H359" s="4" t="s">
        <v>25</v>
      </c>
      <c r="I359" s="5">
        <v>44501</v>
      </c>
      <c r="J359" s="6">
        <v>0</v>
      </c>
      <c r="K359" s="6">
        <v>0</v>
      </c>
      <c r="L359" s="6">
        <v>25.792000000000002</v>
      </c>
      <c r="M359" s="6">
        <v>25.792000000000002</v>
      </c>
      <c r="N359" s="6">
        <v>25.792000000000002</v>
      </c>
      <c r="O359" s="6">
        <v>25.792000000000002</v>
      </c>
      <c r="P359" s="6">
        <v>74</v>
      </c>
      <c r="Q359" s="4" t="s">
        <v>26</v>
      </c>
      <c r="R359" s="4">
        <v>0</v>
      </c>
      <c r="S359" s="6">
        <v>0</v>
      </c>
      <c r="T359" s="6">
        <v>46</v>
      </c>
      <c r="U359" s="6">
        <v>83</v>
      </c>
      <c r="V359" s="6">
        <f>IF(ISERROR(VLOOKUP($S$359,'TAR FIN'!$A$1:$O$85,15,0)),0,VLOOKUP($S$359,'TAR FIN'!$A$1:$O$85,15,0))</f>
        <v>0</v>
      </c>
      <c r="W359" s="6">
        <f>IF(ISERROR(VLOOKUP($T$359,'TAR FIN'!$A$1:$O$85,15,0)),0,VLOOKUP($T$359,'TAR FIN'!$A$1:$O$85,15,0))</f>
        <v>333.15</v>
      </c>
      <c r="X359" s="6">
        <f>IF(ISERROR(VLOOKUP($U$359,'TAR FIN'!$A$1:$O$85,15,0)),0,VLOOKUP($U$359,'TAR FIN'!$A$1:$O$85,15,0))</f>
        <v>241.85</v>
      </c>
      <c r="Y359" s="6"/>
      <c r="Z359" s="6">
        <f ca="1">('TUSD BE'!$AM$48+'TUSD BF_350'!$AM$48+'TUSD CVA'!$AM$48)*1</f>
        <v>376.13343594836397</v>
      </c>
      <c r="AA359" s="6">
        <f ca="1">('TE BE'!$AB$39+'TE BF_350'!$AB$39+'TE CVA'!$AB$39)*1</f>
        <v>227.55060294064452</v>
      </c>
      <c r="AB359" s="6">
        <f>$K$359*$V$359</f>
        <v>0</v>
      </c>
      <c r="AC359" s="6">
        <f>$M$359*$W$359</f>
        <v>8592.6047999999992</v>
      </c>
      <c r="AD359" s="6">
        <f>$O$359*$X$359</f>
        <v>6237.7952000000005</v>
      </c>
      <c r="AE359" s="6">
        <f>$K$359*$Y$359</f>
        <v>0</v>
      </c>
      <c r="AF359" s="6">
        <f ca="1">$M$359*$Z$359</f>
        <v>9701.233579980204</v>
      </c>
      <c r="AG359" s="6">
        <f ca="1">$O$359*$AA$359</f>
        <v>5868.9851510451035</v>
      </c>
    </row>
    <row r="360" spans="1:33" ht="11.25" customHeight="1" x14ac:dyDescent="0.25">
      <c r="A360" s="4" t="s">
        <v>21</v>
      </c>
      <c r="B360" s="4" t="s">
        <v>32</v>
      </c>
      <c r="C360" s="4" t="s">
        <v>23</v>
      </c>
      <c r="D360" s="4" t="s">
        <v>38</v>
      </c>
      <c r="E360" s="4" t="s">
        <v>25</v>
      </c>
      <c r="F360" s="4" t="s">
        <v>25</v>
      </c>
      <c r="G360" s="4" t="s">
        <v>25</v>
      </c>
      <c r="H360" s="4" t="s">
        <v>25</v>
      </c>
      <c r="I360" s="5">
        <v>44531</v>
      </c>
      <c r="J360" s="6">
        <v>0</v>
      </c>
      <c r="K360" s="6">
        <v>0</v>
      </c>
      <c r="L360" s="6">
        <v>756.05600000000004</v>
      </c>
      <c r="M360" s="6">
        <v>756.05600000000004</v>
      </c>
      <c r="N360" s="6">
        <v>756.05600000000004</v>
      </c>
      <c r="O360" s="6">
        <v>756.05600000000004</v>
      </c>
      <c r="P360" s="6">
        <v>1649</v>
      </c>
      <c r="Q360" s="4" t="s">
        <v>26</v>
      </c>
      <c r="R360" s="4">
        <v>0</v>
      </c>
      <c r="S360" s="6">
        <v>0</v>
      </c>
      <c r="T360" s="6">
        <v>46</v>
      </c>
      <c r="U360" s="6">
        <v>83</v>
      </c>
      <c r="V360" s="6">
        <f>IF(ISERROR(VLOOKUP($S$360,'TAR FIN'!$A$1:$O$85,15,0)),0,VLOOKUP($S$360,'TAR FIN'!$A$1:$O$85,15,0))</f>
        <v>0</v>
      </c>
      <c r="W360" s="6">
        <f>IF(ISERROR(VLOOKUP($T$360,'TAR FIN'!$A$1:$O$85,15,0)),0,VLOOKUP($T$360,'TAR FIN'!$A$1:$O$85,15,0))</f>
        <v>333.15</v>
      </c>
      <c r="X360" s="6">
        <f>IF(ISERROR(VLOOKUP($U$360,'TAR FIN'!$A$1:$O$85,15,0)),0,VLOOKUP($U$360,'TAR FIN'!$A$1:$O$85,15,0))</f>
        <v>241.85</v>
      </c>
      <c r="Y360" s="6"/>
      <c r="Z360" s="6">
        <f ca="1">('TUSD BE'!$AM$48+'TUSD BF_350'!$AM$48+'TUSD CVA'!$AM$48)*1</f>
        <v>376.13343594836397</v>
      </c>
      <c r="AA360" s="6">
        <f ca="1">('TE BE'!$AB$39+'TE BF_350'!$AB$39+'TE CVA'!$AB$39)*1</f>
        <v>227.55060294064452</v>
      </c>
      <c r="AB360" s="6">
        <f>$K$360*$V$360</f>
        <v>0</v>
      </c>
      <c r="AC360" s="6">
        <f>$M$360*$W$360</f>
        <v>251880.0564</v>
      </c>
      <c r="AD360" s="6">
        <f>$O$360*$X$360</f>
        <v>182852.14360000001</v>
      </c>
      <c r="AE360" s="6">
        <f>$K$360*$Y$360</f>
        <v>0</v>
      </c>
      <c r="AF360" s="6">
        <f ca="1">$M$360*$Z$360</f>
        <v>284377.94104937627</v>
      </c>
      <c r="AG360" s="6">
        <f ca="1">$O$360*$AA$360</f>
        <v>172040.99865689196</v>
      </c>
    </row>
    <row r="361" spans="1:33" ht="11.25" customHeight="1" x14ac:dyDescent="0.25">
      <c r="A361" s="4" t="s">
        <v>27</v>
      </c>
      <c r="B361" s="4" t="s">
        <v>32</v>
      </c>
      <c r="C361" s="4" t="s">
        <v>23</v>
      </c>
      <c r="D361" s="4" t="s">
        <v>38</v>
      </c>
      <c r="E361" s="4" t="s">
        <v>25</v>
      </c>
      <c r="F361" s="4" t="s">
        <v>25</v>
      </c>
      <c r="G361" s="4" t="s">
        <v>25</v>
      </c>
      <c r="H361" s="4" t="s">
        <v>25</v>
      </c>
      <c r="I361" s="5">
        <v>44531</v>
      </c>
      <c r="J361" s="6">
        <v>0</v>
      </c>
      <c r="K361" s="6">
        <v>0</v>
      </c>
      <c r="L361" s="6">
        <v>31.087</v>
      </c>
      <c r="M361" s="6">
        <v>31.087</v>
      </c>
      <c r="N361" s="6">
        <v>31.087</v>
      </c>
      <c r="O361" s="6">
        <v>31.087</v>
      </c>
      <c r="P361" s="6">
        <v>77</v>
      </c>
      <c r="Q361" s="4" t="s">
        <v>26</v>
      </c>
      <c r="R361" s="4">
        <v>0</v>
      </c>
      <c r="S361" s="6">
        <v>0</v>
      </c>
      <c r="T361" s="6">
        <v>46</v>
      </c>
      <c r="U361" s="6">
        <v>83</v>
      </c>
      <c r="V361" s="6">
        <f>IF(ISERROR(VLOOKUP($S$361,'TAR FIN'!$A$1:$O$85,15,0)),0,VLOOKUP($S$361,'TAR FIN'!$A$1:$O$85,15,0))</f>
        <v>0</v>
      </c>
      <c r="W361" s="6">
        <f>IF(ISERROR(VLOOKUP($T$361,'TAR FIN'!$A$1:$O$85,15,0)),0,VLOOKUP($T$361,'TAR FIN'!$A$1:$O$85,15,0))</f>
        <v>333.15</v>
      </c>
      <c r="X361" s="6">
        <f>IF(ISERROR(VLOOKUP($U$361,'TAR FIN'!$A$1:$O$85,15,0)),0,VLOOKUP($U$361,'TAR FIN'!$A$1:$O$85,15,0))</f>
        <v>241.85</v>
      </c>
      <c r="Y361" s="6"/>
      <c r="Z361" s="6">
        <f ca="1">('TUSD BE'!$AM$48+'TUSD BF_350'!$AM$48+'TUSD CVA'!$AM$48)*1</f>
        <v>376.13343594836397</v>
      </c>
      <c r="AA361" s="6">
        <f ca="1">('TE BE'!$AB$39+'TE BF_350'!$AB$39+'TE CVA'!$AB$39)*1</f>
        <v>227.55060294064452</v>
      </c>
      <c r="AB361" s="6">
        <f>$K$361*$V$361</f>
        <v>0</v>
      </c>
      <c r="AC361" s="6">
        <f>$M$361*$W$361</f>
        <v>10356.634049999999</v>
      </c>
      <c r="AD361" s="6">
        <f>$O$361*$X$361</f>
        <v>7518.39095</v>
      </c>
      <c r="AE361" s="6">
        <f>$K$361*$Y$361</f>
        <v>0</v>
      </c>
      <c r="AF361" s="6">
        <f ca="1">$M$361*$Z$361</f>
        <v>11692.860123326791</v>
      </c>
      <c r="AG361" s="6">
        <f ca="1">$O$361*$AA$361</f>
        <v>7073.8655936158166</v>
      </c>
    </row>
    <row r="362" spans="1:33" ht="11.25" customHeight="1" x14ac:dyDescent="0.25">
      <c r="A362" s="4" t="s">
        <v>21</v>
      </c>
      <c r="B362" s="4" t="s">
        <v>32</v>
      </c>
      <c r="C362" s="4" t="s">
        <v>23</v>
      </c>
      <c r="D362" s="4" t="s">
        <v>38</v>
      </c>
      <c r="E362" s="4" t="s">
        <v>25</v>
      </c>
      <c r="F362" s="4" t="s">
        <v>25</v>
      </c>
      <c r="G362" s="4" t="s">
        <v>25</v>
      </c>
      <c r="H362" s="4" t="s">
        <v>25</v>
      </c>
      <c r="I362" s="5">
        <v>44562</v>
      </c>
      <c r="J362" s="6">
        <v>0</v>
      </c>
      <c r="K362" s="6">
        <v>0</v>
      </c>
      <c r="L362" s="6">
        <v>808.64599999999996</v>
      </c>
      <c r="M362" s="6">
        <v>808.64599999999996</v>
      </c>
      <c r="N362" s="6">
        <v>808.64599999999996</v>
      </c>
      <c r="O362" s="6">
        <v>808.64599999999996</v>
      </c>
      <c r="P362" s="6">
        <v>1658</v>
      </c>
      <c r="Q362" s="4" t="s">
        <v>26</v>
      </c>
      <c r="R362" s="4">
        <v>0</v>
      </c>
      <c r="S362" s="6">
        <v>0</v>
      </c>
      <c r="T362" s="6">
        <v>46</v>
      </c>
      <c r="U362" s="6">
        <v>83</v>
      </c>
      <c r="V362" s="6">
        <f>IF(ISERROR(VLOOKUP($S$362,'TAR FIN'!$A$1:$O$85,15,0)),0,VLOOKUP($S$362,'TAR FIN'!$A$1:$O$85,15,0))</f>
        <v>0</v>
      </c>
      <c r="W362" s="6">
        <f>IF(ISERROR(VLOOKUP($T$362,'TAR FIN'!$A$1:$O$85,15,0)),0,VLOOKUP($T$362,'TAR FIN'!$A$1:$O$85,15,0))</f>
        <v>333.15</v>
      </c>
      <c r="X362" s="6">
        <f>IF(ISERROR(VLOOKUP($U$362,'TAR FIN'!$A$1:$O$85,15,0)),0,VLOOKUP($U$362,'TAR FIN'!$A$1:$O$85,15,0))</f>
        <v>241.85</v>
      </c>
      <c r="Y362" s="6"/>
      <c r="Z362" s="6">
        <f ca="1">('TUSD BE'!$AM$48+'TUSD BF_350'!$AM$48+'TUSD CVA'!$AM$48)*1</f>
        <v>376.13343594836397</v>
      </c>
      <c r="AA362" s="6">
        <f ca="1">('TE BE'!$AB$39+'TE BF_350'!$AB$39+'TE CVA'!$AB$39)*1</f>
        <v>227.55060294064452</v>
      </c>
      <c r="AB362" s="6">
        <f>$K$362*$V$362</f>
        <v>0</v>
      </c>
      <c r="AC362" s="6">
        <f>$M$362*$W$362</f>
        <v>269400.41489999997</v>
      </c>
      <c r="AD362" s="6">
        <f>$O$362*$X$362</f>
        <v>195571.03509999998</v>
      </c>
      <c r="AE362" s="6">
        <f>$K$362*$Y$362</f>
        <v>0</v>
      </c>
      <c r="AF362" s="6">
        <f ca="1">$M$362*$Z$362</f>
        <v>304158.79844590073</v>
      </c>
      <c r="AG362" s="6">
        <f ca="1">$O$362*$AA$362</f>
        <v>184007.88486554043</v>
      </c>
    </row>
    <row r="363" spans="1:33" ht="11.25" customHeight="1" x14ac:dyDescent="0.25">
      <c r="A363" s="4" t="s">
        <v>27</v>
      </c>
      <c r="B363" s="4" t="s">
        <v>32</v>
      </c>
      <c r="C363" s="4" t="s">
        <v>23</v>
      </c>
      <c r="D363" s="4" t="s">
        <v>38</v>
      </c>
      <c r="E363" s="4" t="s">
        <v>25</v>
      </c>
      <c r="F363" s="4" t="s">
        <v>25</v>
      </c>
      <c r="G363" s="4" t="s">
        <v>25</v>
      </c>
      <c r="H363" s="4" t="s">
        <v>25</v>
      </c>
      <c r="I363" s="5">
        <v>44562</v>
      </c>
      <c r="J363" s="6">
        <v>0</v>
      </c>
      <c r="K363" s="6">
        <v>0</v>
      </c>
      <c r="L363" s="6">
        <v>25.024000000000001</v>
      </c>
      <c r="M363" s="6">
        <v>25.024000000000001</v>
      </c>
      <c r="N363" s="6">
        <v>25.024000000000001</v>
      </c>
      <c r="O363" s="6">
        <v>25.024000000000001</v>
      </c>
      <c r="P363" s="6">
        <v>81</v>
      </c>
      <c r="Q363" s="4" t="s">
        <v>26</v>
      </c>
      <c r="R363" s="4">
        <v>0</v>
      </c>
      <c r="S363" s="6">
        <v>0</v>
      </c>
      <c r="T363" s="6">
        <v>46</v>
      </c>
      <c r="U363" s="6">
        <v>83</v>
      </c>
      <c r="V363" s="6">
        <f>IF(ISERROR(VLOOKUP($S$363,'TAR FIN'!$A$1:$O$85,15,0)),0,VLOOKUP($S$363,'TAR FIN'!$A$1:$O$85,15,0))</f>
        <v>0</v>
      </c>
      <c r="W363" s="6">
        <f>IF(ISERROR(VLOOKUP($T$363,'TAR FIN'!$A$1:$O$85,15,0)),0,VLOOKUP($T$363,'TAR FIN'!$A$1:$O$85,15,0))</f>
        <v>333.15</v>
      </c>
      <c r="X363" s="6">
        <f>IF(ISERROR(VLOOKUP($U$363,'TAR FIN'!$A$1:$O$85,15,0)),0,VLOOKUP($U$363,'TAR FIN'!$A$1:$O$85,15,0))</f>
        <v>241.85</v>
      </c>
      <c r="Y363" s="6"/>
      <c r="Z363" s="6">
        <f ca="1">('TUSD BE'!$AM$48+'TUSD BF_350'!$AM$48+'TUSD CVA'!$AM$48)*1</f>
        <v>376.13343594836397</v>
      </c>
      <c r="AA363" s="6">
        <f ca="1">('TE BE'!$AB$39+'TE BF_350'!$AB$39+'TE CVA'!$AB$39)*1</f>
        <v>227.55060294064452</v>
      </c>
      <c r="AB363" s="6">
        <f>$K$363*$V$363</f>
        <v>0</v>
      </c>
      <c r="AC363" s="6">
        <f>$M$363*$W$363</f>
        <v>8336.7456000000002</v>
      </c>
      <c r="AD363" s="6">
        <f>$O$363*$X$363</f>
        <v>6052.0544</v>
      </c>
      <c r="AE363" s="6">
        <f>$K$363*$Y$363</f>
        <v>0</v>
      </c>
      <c r="AF363" s="6">
        <f ca="1">$M$363*$Z$363</f>
        <v>9412.3631011718608</v>
      </c>
      <c r="AG363" s="6">
        <f ca="1">$O$363*$AA$363</f>
        <v>5694.2262879866885</v>
      </c>
    </row>
    <row r="364" spans="1:33" ht="11.25" customHeight="1" x14ac:dyDescent="0.25">
      <c r="A364" s="4" t="s">
        <v>21</v>
      </c>
      <c r="B364" s="4" t="s">
        <v>32</v>
      </c>
      <c r="C364" s="4" t="s">
        <v>23</v>
      </c>
      <c r="D364" s="4" t="s">
        <v>38</v>
      </c>
      <c r="E364" s="4" t="s">
        <v>25</v>
      </c>
      <c r="F364" s="4" t="s">
        <v>25</v>
      </c>
      <c r="G364" s="4" t="s">
        <v>25</v>
      </c>
      <c r="H364" s="4" t="s">
        <v>25</v>
      </c>
      <c r="I364" s="5">
        <v>44593</v>
      </c>
      <c r="J364" s="6">
        <v>0</v>
      </c>
      <c r="K364" s="6">
        <v>0</v>
      </c>
      <c r="L364" s="6">
        <v>809.22799999999995</v>
      </c>
      <c r="M364" s="6">
        <v>809.22799999999995</v>
      </c>
      <c r="N364" s="6">
        <v>809.22799999999995</v>
      </c>
      <c r="O364" s="6">
        <v>809.22799999999995</v>
      </c>
      <c r="P364" s="6">
        <v>1652</v>
      </c>
      <c r="Q364" s="4" t="s">
        <v>26</v>
      </c>
      <c r="R364" s="4">
        <v>0</v>
      </c>
      <c r="S364" s="6">
        <v>0</v>
      </c>
      <c r="T364" s="6">
        <v>46</v>
      </c>
      <c r="U364" s="6">
        <v>83</v>
      </c>
      <c r="V364" s="6">
        <f>IF(ISERROR(VLOOKUP($S$364,'TAR FIN'!$A$1:$O$85,15,0)),0,VLOOKUP($S$364,'TAR FIN'!$A$1:$O$85,15,0))</f>
        <v>0</v>
      </c>
      <c r="W364" s="6">
        <f>IF(ISERROR(VLOOKUP($T$364,'TAR FIN'!$A$1:$O$85,15,0)),0,VLOOKUP($T$364,'TAR FIN'!$A$1:$O$85,15,0))</f>
        <v>333.15</v>
      </c>
      <c r="X364" s="6">
        <f>IF(ISERROR(VLOOKUP($U$364,'TAR FIN'!$A$1:$O$85,15,0)),0,VLOOKUP($U$364,'TAR FIN'!$A$1:$O$85,15,0))</f>
        <v>241.85</v>
      </c>
      <c r="Y364" s="6"/>
      <c r="Z364" s="6">
        <f ca="1">('TUSD BE'!$AM$48+'TUSD BF_350'!$AM$48+'TUSD CVA'!$AM$48)*1</f>
        <v>376.13343594836397</v>
      </c>
      <c r="AA364" s="6">
        <f ca="1">('TE BE'!$AB$39+'TE BF_350'!$AB$39+'TE CVA'!$AB$39)*1</f>
        <v>227.55060294064452</v>
      </c>
      <c r="AB364" s="6">
        <f>$K$364*$V$364</f>
        <v>0</v>
      </c>
      <c r="AC364" s="6">
        <f>$M$364*$W$364</f>
        <v>269594.30819999997</v>
      </c>
      <c r="AD364" s="6">
        <f>$O$364*$X$364</f>
        <v>195711.79179999998</v>
      </c>
      <c r="AE364" s="6">
        <f>$K$364*$Y$364</f>
        <v>0</v>
      </c>
      <c r="AF364" s="6">
        <f ca="1">$M$364*$Z$364</f>
        <v>304377.70810562267</v>
      </c>
      <c r="AG364" s="6">
        <f ca="1">$O$364*$AA$364</f>
        <v>184140.31931645187</v>
      </c>
    </row>
    <row r="365" spans="1:33" ht="11.25" customHeight="1" x14ac:dyDescent="0.25">
      <c r="A365" s="4" t="s">
        <v>27</v>
      </c>
      <c r="B365" s="4" t="s">
        <v>32</v>
      </c>
      <c r="C365" s="4" t="s">
        <v>23</v>
      </c>
      <c r="D365" s="4" t="s">
        <v>38</v>
      </c>
      <c r="E365" s="4" t="s">
        <v>25</v>
      </c>
      <c r="F365" s="4" t="s">
        <v>25</v>
      </c>
      <c r="G365" s="4" t="s">
        <v>25</v>
      </c>
      <c r="H365" s="4" t="s">
        <v>25</v>
      </c>
      <c r="I365" s="5">
        <v>44593</v>
      </c>
      <c r="J365" s="6">
        <v>0</v>
      </c>
      <c r="K365" s="6">
        <v>0</v>
      </c>
      <c r="L365" s="6">
        <v>33.889000000000003</v>
      </c>
      <c r="M365" s="6">
        <v>33.889000000000003</v>
      </c>
      <c r="N365" s="6">
        <v>33.889000000000003</v>
      </c>
      <c r="O365" s="6">
        <v>33.889000000000003</v>
      </c>
      <c r="P365" s="6">
        <v>89</v>
      </c>
      <c r="Q365" s="4" t="s">
        <v>26</v>
      </c>
      <c r="R365" s="4">
        <v>0</v>
      </c>
      <c r="S365" s="6">
        <v>0</v>
      </c>
      <c r="T365" s="6">
        <v>46</v>
      </c>
      <c r="U365" s="6">
        <v>83</v>
      </c>
      <c r="V365" s="6">
        <f>IF(ISERROR(VLOOKUP($S$365,'TAR FIN'!$A$1:$O$85,15,0)),0,VLOOKUP($S$365,'TAR FIN'!$A$1:$O$85,15,0))</f>
        <v>0</v>
      </c>
      <c r="W365" s="6">
        <f>IF(ISERROR(VLOOKUP($T$365,'TAR FIN'!$A$1:$O$85,15,0)),0,VLOOKUP($T$365,'TAR FIN'!$A$1:$O$85,15,0))</f>
        <v>333.15</v>
      </c>
      <c r="X365" s="6">
        <f>IF(ISERROR(VLOOKUP($U$365,'TAR FIN'!$A$1:$O$85,15,0)),0,VLOOKUP($U$365,'TAR FIN'!$A$1:$O$85,15,0))</f>
        <v>241.85</v>
      </c>
      <c r="Y365" s="6"/>
      <c r="Z365" s="6">
        <f ca="1">('TUSD BE'!$AM$48+'TUSD BF_350'!$AM$48+'TUSD CVA'!$AM$48)*1</f>
        <v>376.13343594836397</v>
      </c>
      <c r="AA365" s="6">
        <f ca="1">('TE BE'!$AB$39+'TE BF_350'!$AB$39+'TE CVA'!$AB$39)*1</f>
        <v>227.55060294064452</v>
      </c>
      <c r="AB365" s="6">
        <f>$K$365*$V$365</f>
        <v>0</v>
      </c>
      <c r="AC365" s="6">
        <f>$M$365*$W$365</f>
        <v>11290.120350000001</v>
      </c>
      <c r="AD365" s="6">
        <f>$O$365*$X$365</f>
        <v>8196.05465</v>
      </c>
      <c r="AE365" s="6">
        <f>$K$365*$Y$365</f>
        <v>0</v>
      </c>
      <c r="AF365" s="6">
        <f ca="1">$M$365*$Z$365</f>
        <v>12746.786010854108</v>
      </c>
      <c r="AG365" s="6">
        <f ca="1">$O$365*$AA$365</f>
        <v>7711.4623830555029</v>
      </c>
    </row>
    <row r="366" spans="1:33" ht="11.25" customHeight="1" x14ac:dyDescent="0.25">
      <c r="A366" s="4" t="s">
        <v>21</v>
      </c>
      <c r="B366" s="4" t="s">
        <v>32</v>
      </c>
      <c r="C366" s="4" t="s">
        <v>23</v>
      </c>
      <c r="D366" s="4" t="s">
        <v>38</v>
      </c>
      <c r="E366" s="4" t="s">
        <v>25</v>
      </c>
      <c r="F366" s="4" t="s">
        <v>25</v>
      </c>
      <c r="G366" s="4" t="s">
        <v>25</v>
      </c>
      <c r="H366" s="4" t="s">
        <v>25</v>
      </c>
      <c r="I366" s="5">
        <v>44621</v>
      </c>
      <c r="J366" s="6">
        <v>0</v>
      </c>
      <c r="K366" s="6">
        <v>0</v>
      </c>
      <c r="L366" s="6">
        <v>735.19200000000001</v>
      </c>
      <c r="M366" s="6">
        <v>735.19200000000001</v>
      </c>
      <c r="N366" s="6">
        <v>735.19200000000001</v>
      </c>
      <c r="O366" s="6">
        <v>735.19200000000001</v>
      </c>
      <c r="P366" s="6">
        <v>1651</v>
      </c>
      <c r="Q366" s="4" t="s">
        <v>26</v>
      </c>
      <c r="R366" s="4">
        <v>0</v>
      </c>
      <c r="S366" s="6">
        <v>0</v>
      </c>
      <c r="T366" s="6">
        <v>46</v>
      </c>
      <c r="U366" s="6">
        <v>83</v>
      </c>
      <c r="V366" s="6">
        <f>IF(ISERROR(VLOOKUP($S$366,'TAR FIN'!$A$1:$O$85,15,0)),0,VLOOKUP($S$366,'TAR FIN'!$A$1:$O$85,15,0))</f>
        <v>0</v>
      </c>
      <c r="W366" s="6">
        <f>IF(ISERROR(VLOOKUP($T$366,'TAR FIN'!$A$1:$O$85,15,0)),0,VLOOKUP($T$366,'TAR FIN'!$A$1:$O$85,15,0))</f>
        <v>333.15</v>
      </c>
      <c r="X366" s="6">
        <f>IF(ISERROR(VLOOKUP($U$366,'TAR FIN'!$A$1:$O$85,15,0)),0,VLOOKUP($U$366,'TAR FIN'!$A$1:$O$85,15,0))</f>
        <v>241.85</v>
      </c>
      <c r="Y366" s="6"/>
      <c r="Z366" s="6">
        <f ca="1">('TUSD BE'!$AM$48+'TUSD BF_350'!$AM$48+'TUSD CVA'!$AM$48)*1</f>
        <v>376.13343594836397</v>
      </c>
      <c r="AA366" s="6">
        <f ca="1">('TE BE'!$AB$39+'TE BF_350'!$AB$39+'TE CVA'!$AB$39)*1</f>
        <v>227.55060294064452</v>
      </c>
      <c r="AB366" s="6">
        <f>$K$366*$V$366</f>
        <v>0</v>
      </c>
      <c r="AC366" s="6">
        <f>$M$366*$W$366</f>
        <v>244929.21479999999</v>
      </c>
      <c r="AD366" s="6">
        <f>$O$366*$X$366</f>
        <v>177806.18520000001</v>
      </c>
      <c r="AE366" s="6">
        <f>$K$366*$Y$366</f>
        <v>0</v>
      </c>
      <c r="AF366" s="6">
        <f ca="1">$M$366*$Z$366</f>
        <v>276530.29304174962</v>
      </c>
      <c r="AG366" s="6">
        <f ca="1">$O$366*$AA$366</f>
        <v>167293.38287713833</v>
      </c>
    </row>
    <row r="367" spans="1:33" ht="11.25" customHeight="1" x14ac:dyDescent="0.25">
      <c r="A367" s="4" t="s">
        <v>27</v>
      </c>
      <c r="B367" s="4" t="s">
        <v>32</v>
      </c>
      <c r="C367" s="4" t="s">
        <v>23</v>
      </c>
      <c r="D367" s="4" t="s">
        <v>38</v>
      </c>
      <c r="E367" s="4" t="s">
        <v>25</v>
      </c>
      <c r="F367" s="4" t="s">
        <v>25</v>
      </c>
      <c r="G367" s="4" t="s">
        <v>25</v>
      </c>
      <c r="H367" s="4" t="s">
        <v>25</v>
      </c>
      <c r="I367" s="5">
        <v>44621</v>
      </c>
      <c r="J367" s="6">
        <v>0</v>
      </c>
      <c r="K367" s="6">
        <v>0</v>
      </c>
      <c r="L367" s="6">
        <v>38.405000000000001</v>
      </c>
      <c r="M367" s="6">
        <v>38.405000000000001</v>
      </c>
      <c r="N367" s="6">
        <v>38.405000000000001</v>
      </c>
      <c r="O367" s="6">
        <v>38.405000000000001</v>
      </c>
      <c r="P367" s="6">
        <v>95</v>
      </c>
      <c r="Q367" s="4" t="s">
        <v>26</v>
      </c>
      <c r="R367" s="4">
        <v>0</v>
      </c>
      <c r="S367" s="6">
        <v>0</v>
      </c>
      <c r="T367" s="6">
        <v>46</v>
      </c>
      <c r="U367" s="6">
        <v>83</v>
      </c>
      <c r="V367" s="6">
        <f>IF(ISERROR(VLOOKUP($S$367,'TAR FIN'!$A$1:$O$85,15,0)),0,VLOOKUP($S$367,'TAR FIN'!$A$1:$O$85,15,0))</f>
        <v>0</v>
      </c>
      <c r="W367" s="6">
        <f>IF(ISERROR(VLOOKUP($T$367,'TAR FIN'!$A$1:$O$85,15,0)),0,VLOOKUP($T$367,'TAR FIN'!$A$1:$O$85,15,0))</f>
        <v>333.15</v>
      </c>
      <c r="X367" s="6">
        <f>IF(ISERROR(VLOOKUP($U$367,'TAR FIN'!$A$1:$O$85,15,0)),0,VLOOKUP($U$367,'TAR FIN'!$A$1:$O$85,15,0))</f>
        <v>241.85</v>
      </c>
      <c r="Y367" s="6"/>
      <c r="Z367" s="6">
        <f ca="1">('TUSD BE'!$AM$48+'TUSD BF_350'!$AM$48+'TUSD CVA'!$AM$48)*1</f>
        <v>376.13343594836397</v>
      </c>
      <c r="AA367" s="6">
        <f ca="1">('TE BE'!$AB$39+'TE BF_350'!$AB$39+'TE CVA'!$AB$39)*1</f>
        <v>227.55060294064452</v>
      </c>
      <c r="AB367" s="6">
        <f>$K$367*$V$367</f>
        <v>0</v>
      </c>
      <c r="AC367" s="6">
        <f>$M$367*$W$367</f>
        <v>12794.625749999999</v>
      </c>
      <c r="AD367" s="6">
        <f>$O$367*$X$367</f>
        <v>9288.2492500000008</v>
      </c>
      <c r="AE367" s="6">
        <f>$K$367*$Y$367</f>
        <v>0</v>
      </c>
      <c r="AF367" s="6">
        <f ca="1">$M$367*$Z$367</f>
        <v>14445.404607596918</v>
      </c>
      <c r="AG367" s="6">
        <f ca="1">$O$367*$AA$367</f>
        <v>8739.0809059354524</v>
      </c>
    </row>
    <row r="368" spans="1:33" ht="11.25" customHeight="1" x14ac:dyDescent="0.25">
      <c r="A368" s="4" t="s">
        <v>21</v>
      </c>
      <c r="B368" s="4" t="s">
        <v>32</v>
      </c>
      <c r="C368" s="4" t="s">
        <v>23</v>
      </c>
      <c r="D368" s="4" t="s">
        <v>38</v>
      </c>
      <c r="E368" s="4" t="s">
        <v>25</v>
      </c>
      <c r="F368" s="4" t="s">
        <v>25</v>
      </c>
      <c r="G368" s="4" t="s">
        <v>25</v>
      </c>
      <c r="H368" s="4" t="s">
        <v>25</v>
      </c>
      <c r="I368" s="5">
        <v>44652</v>
      </c>
      <c r="J368" s="6">
        <v>0</v>
      </c>
      <c r="K368" s="6">
        <v>0</v>
      </c>
      <c r="L368" s="6">
        <v>630.58000000000004</v>
      </c>
      <c r="M368" s="6">
        <v>630.58000000000004</v>
      </c>
      <c r="N368" s="6">
        <v>630.58000000000004</v>
      </c>
      <c r="O368" s="6">
        <v>630.58000000000004</v>
      </c>
      <c r="P368" s="6">
        <v>1641</v>
      </c>
      <c r="Q368" s="4" t="s">
        <v>26</v>
      </c>
      <c r="R368" s="4">
        <v>0</v>
      </c>
      <c r="S368" s="6">
        <v>0</v>
      </c>
      <c r="T368" s="6">
        <v>46</v>
      </c>
      <c r="U368" s="6">
        <v>83</v>
      </c>
      <c r="V368" s="6">
        <f>IF(ISERROR(VLOOKUP($S$368,'TAR FIN'!$A$1:$O$85,15,0)),0,VLOOKUP($S$368,'TAR FIN'!$A$1:$O$85,15,0))</f>
        <v>0</v>
      </c>
      <c r="W368" s="6">
        <f>IF(ISERROR(VLOOKUP($T$368,'TAR FIN'!$A$1:$O$85,15,0)),0,VLOOKUP($T$368,'TAR FIN'!$A$1:$O$85,15,0))</f>
        <v>333.15</v>
      </c>
      <c r="X368" s="6">
        <f>IF(ISERROR(VLOOKUP($U$368,'TAR FIN'!$A$1:$O$85,15,0)),0,VLOOKUP($U$368,'TAR FIN'!$A$1:$O$85,15,0))</f>
        <v>241.85</v>
      </c>
      <c r="Y368" s="6"/>
      <c r="Z368" s="6">
        <f ca="1">('TUSD BE'!$AM$48+'TUSD BF_350'!$AM$48+'TUSD CVA'!$AM$48)*1</f>
        <v>376.13343594836397</v>
      </c>
      <c r="AA368" s="6">
        <f ca="1">('TE BE'!$AB$39+'TE BF_350'!$AB$39+'TE CVA'!$AB$39)*1</f>
        <v>227.55060294064452</v>
      </c>
      <c r="AB368" s="6">
        <f>$K$368*$V$368</f>
        <v>0</v>
      </c>
      <c r="AC368" s="6">
        <f>$M$368*$W$368</f>
        <v>210077.72700000001</v>
      </c>
      <c r="AD368" s="6">
        <f>$O$368*$X$368</f>
        <v>152505.77300000002</v>
      </c>
      <c r="AE368" s="6">
        <f>$K$368*$Y$368</f>
        <v>0</v>
      </c>
      <c r="AF368" s="6">
        <f ca="1">$M$368*$Z$368</f>
        <v>237182.22204031938</v>
      </c>
      <c r="AG368" s="6">
        <f ca="1">$O$368*$AA$368</f>
        <v>143488.85920231164</v>
      </c>
    </row>
    <row r="369" spans="1:33" ht="11.25" customHeight="1" x14ac:dyDescent="0.25">
      <c r="A369" s="4" t="s">
        <v>48</v>
      </c>
      <c r="B369" s="4" t="s">
        <v>32</v>
      </c>
      <c r="C369" s="4" t="s">
        <v>23</v>
      </c>
      <c r="D369" s="4" t="s">
        <v>38</v>
      </c>
      <c r="E369" s="4" t="s">
        <v>25</v>
      </c>
      <c r="F369" s="4" t="s">
        <v>25</v>
      </c>
      <c r="G369" s="4" t="s">
        <v>25</v>
      </c>
      <c r="H369" s="4" t="s">
        <v>25</v>
      </c>
      <c r="I369" s="5">
        <v>44652</v>
      </c>
      <c r="J369" s="6">
        <v>0</v>
      </c>
      <c r="K369" s="6">
        <v>0</v>
      </c>
      <c r="L369" s="6">
        <v>-4.1440000000000001</v>
      </c>
      <c r="M369" s="6">
        <v>-4.1440000000000001</v>
      </c>
      <c r="N369" s="6">
        <v>-4.1440000000000001</v>
      </c>
      <c r="O369" s="6">
        <v>-4.1440000000000001</v>
      </c>
      <c r="P369" s="6">
        <v>0</v>
      </c>
      <c r="Q369" s="4" t="s">
        <v>26</v>
      </c>
      <c r="R369" s="4">
        <v>0</v>
      </c>
      <c r="S369" s="6">
        <v>0</v>
      </c>
      <c r="T369" s="6">
        <v>46</v>
      </c>
      <c r="U369" s="6">
        <v>83</v>
      </c>
      <c r="V369" s="6">
        <f>IF(ISERROR(VLOOKUP($S$369,'TAR FIN'!$A$1:$O$85,15,0)),0,VLOOKUP($S$369,'TAR FIN'!$A$1:$O$85,15,0))</f>
        <v>0</v>
      </c>
      <c r="W369" s="6">
        <f>IF(ISERROR(VLOOKUP($T$369,'TAR FIN'!$A$1:$O$85,15,0)),0,VLOOKUP($T$369,'TAR FIN'!$A$1:$O$85,15,0))</f>
        <v>333.15</v>
      </c>
      <c r="X369" s="6">
        <f>IF(ISERROR(VLOOKUP($U$369,'TAR FIN'!$A$1:$O$85,15,0)),0,VLOOKUP($U$369,'TAR FIN'!$A$1:$O$85,15,0))</f>
        <v>241.85</v>
      </c>
      <c r="Y369" s="6"/>
      <c r="Z369" s="6">
        <f ca="1">('TUSD BE'!$AM$48+'TUSD BF_350'!$AM$48+'TUSD CVA'!$AM$48)*1</f>
        <v>376.13343594836397</v>
      </c>
      <c r="AA369" s="6">
        <f ca="1">('TE BE'!$AB$39+'TE BF_350'!$AB$39+'TE CVA'!$AB$39)*1</f>
        <v>227.55060294064452</v>
      </c>
      <c r="AB369" s="6">
        <f>$K$369*$V$369</f>
        <v>0</v>
      </c>
      <c r="AC369" s="6">
        <f>$M$369*$W$369</f>
        <v>-1380.5735999999999</v>
      </c>
      <c r="AD369" s="6">
        <f>$O$369*$X$369</f>
        <v>-1002.2264</v>
      </c>
      <c r="AE369" s="6">
        <f>$K$369*$Y$369</f>
        <v>0</v>
      </c>
      <c r="AF369" s="6">
        <f ca="1">$M$369*$Z$369</f>
        <v>-1558.6969585700203</v>
      </c>
      <c r="AG369" s="6">
        <f ca="1">$O$369*$AA$369</f>
        <v>-942.96969858603097</v>
      </c>
    </row>
    <row r="370" spans="1:33" ht="11.25" customHeight="1" x14ac:dyDescent="0.25">
      <c r="A370" s="4" t="s">
        <v>27</v>
      </c>
      <c r="B370" s="4" t="s">
        <v>32</v>
      </c>
      <c r="C370" s="4" t="s">
        <v>23</v>
      </c>
      <c r="D370" s="4" t="s">
        <v>38</v>
      </c>
      <c r="E370" s="4" t="s">
        <v>25</v>
      </c>
      <c r="F370" s="4" t="s">
        <v>25</v>
      </c>
      <c r="G370" s="4" t="s">
        <v>25</v>
      </c>
      <c r="H370" s="4" t="s">
        <v>25</v>
      </c>
      <c r="I370" s="5">
        <v>44652</v>
      </c>
      <c r="J370" s="6">
        <v>0</v>
      </c>
      <c r="K370" s="6">
        <v>0</v>
      </c>
      <c r="L370" s="6">
        <v>58.191000000000003</v>
      </c>
      <c r="M370" s="6">
        <v>58.191000000000003</v>
      </c>
      <c r="N370" s="6">
        <v>58.191000000000003</v>
      </c>
      <c r="O370" s="6">
        <v>58.191000000000003</v>
      </c>
      <c r="P370" s="6">
        <v>105</v>
      </c>
      <c r="Q370" s="4" t="s">
        <v>26</v>
      </c>
      <c r="R370" s="4">
        <v>0</v>
      </c>
      <c r="S370" s="6">
        <v>0</v>
      </c>
      <c r="T370" s="6">
        <v>46</v>
      </c>
      <c r="U370" s="6">
        <v>83</v>
      </c>
      <c r="V370" s="6">
        <f>IF(ISERROR(VLOOKUP($S$370,'TAR FIN'!$A$1:$O$85,15,0)),0,VLOOKUP($S$370,'TAR FIN'!$A$1:$O$85,15,0))</f>
        <v>0</v>
      </c>
      <c r="W370" s="6">
        <f>IF(ISERROR(VLOOKUP($T$370,'TAR FIN'!$A$1:$O$85,15,0)),0,VLOOKUP($T$370,'TAR FIN'!$A$1:$O$85,15,0))</f>
        <v>333.15</v>
      </c>
      <c r="X370" s="6">
        <f>IF(ISERROR(VLOOKUP($U$370,'TAR FIN'!$A$1:$O$85,15,0)),0,VLOOKUP($U$370,'TAR FIN'!$A$1:$O$85,15,0))</f>
        <v>241.85</v>
      </c>
      <c r="Y370" s="6"/>
      <c r="Z370" s="6">
        <f ca="1">('TUSD BE'!$AM$48+'TUSD BF_350'!$AM$48+'TUSD CVA'!$AM$48)*1</f>
        <v>376.13343594836397</v>
      </c>
      <c r="AA370" s="6">
        <f ca="1">('TE BE'!$AB$39+'TE BF_350'!$AB$39+'TE CVA'!$AB$39)*1</f>
        <v>227.55060294064452</v>
      </c>
      <c r="AB370" s="6">
        <f>$K$370*$V$370</f>
        <v>0</v>
      </c>
      <c r="AC370" s="6">
        <f>$M$370*$W$370</f>
        <v>19386.33165</v>
      </c>
      <c r="AD370" s="6">
        <f>$O$370*$X$370</f>
        <v>14073.493350000001</v>
      </c>
      <c r="AE370" s="6">
        <f>$K$370*$Y$370</f>
        <v>0</v>
      </c>
      <c r="AF370" s="6">
        <f ca="1">$M$370*$Z$370</f>
        <v>21887.580771271249</v>
      </c>
      <c r="AG370" s="6">
        <f ca="1">$O$370*$AA$370</f>
        <v>13241.397135719046</v>
      </c>
    </row>
    <row r="371" spans="1:33" ht="11.25" customHeight="1" x14ac:dyDescent="0.25">
      <c r="A371" s="4" t="s">
        <v>21</v>
      </c>
      <c r="B371" s="4" t="s">
        <v>32</v>
      </c>
      <c r="C371" s="4" t="s">
        <v>23</v>
      </c>
      <c r="D371" s="4" t="s">
        <v>38</v>
      </c>
      <c r="E371" s="4" t="s">
        <v>25</v>
      </c>
      <c r="F371" s="4" t="s">
        <v>25</v>
      </c>
      <c r="G371" s="4" t="s">
        <v>25</v>
      </c>
      <c r="H371" s="4" t="s">
        <v>25</v>
      </c>
      <c r="I371" s="5">
        <v>44682</v>
      </c>
      <c r="J371" s="6">
        <v>0</v>
      </c>
      <c r="K371" s="6">
        <v>0</v>
      </c>
      <c r="L371" s="6">
        <v>608.14400000000001</v>
      </c>
      <c r="M371" s="6">
        <v>608.14400000000001</v>
      </c>
      <c r="N371" s="6">
        <v>608.14400000000001</v>
      </c>
      <c r="O371" s="6">
        <v>608.14400000000001</v>
      </c>
      <c r="P371" s="6">
        <v>1641</v>
      </c>
      <c r="Q371" s="4" t="s">
        <v>26</v>
      </c>
      <c r="R371" s="4">
        <v>0</v>
      </c>
      <c r="S371" s="6">
        <v>0</v>
      </c>
      <c r="T371" s="6">
        <v>46</v>
      </c>
      <c r="U371" s="6">
        <v>83</v>
      </c>
      <c r="V371" s="6">
        <f>IF(ISERROR(VLOOKUP($S$371,'TAR FIN'!$A$1:$O$85,15,0)),0,VLOOKUP($S$371,'TAR FIN'!$A$1:$O$85,15,0))</f>
        <v>0</v>
      </c>
      <c r="W371" s="6">
        <f>IF(ISERROR(VLOOKUP($T$371,'TAR FIN'!$A$1:$O$85,15,0)),0,VLOOKUP($T$371,'TAR FIN'!$A$1:$O$85,15,0))</f>
        <v>333.15</v>
      </c>
      <c r="X371" s="6">
        <f>IF(ISERROR(VLOOKUP($U$371,'TAR FIN'!$A$1:$O$85,15,0)),0,VLOOKUP($U$371,'TAR FIN'!$A$1:$O$85,15,0))</f>
        <v>241.85</v>
      </c>
      <c r="Y371" s="6"/>
      <c r="Z371" s="6">
        <f ca="1">('TUSD BE'!$AM$48+'TUSD BF_350'!$AM$48+'TUSD CVA'!$AM$48)*1</f>
        <v>376.13343594836397</v>
      </c>
      <c r="AA371" s="6">
        <f ca="1">('TE BE'!$AB$39+'TE BF_350'!$AB$39+'TE CVA'!$AB$39)*1</f>
        <v>227.55060294064452</v>
      </c>
      <c r="AB371" s="6">
        <f>$K$371*$V$371</f>
        <v>0</v>
      </c>
      <c r="AC371" s="6">
        <f>$M$371*$W$371</f>
        <v>202603.17359999998</v>
      </c>
      <c r="AD371" s="6">
        <f>$O$371*$X$371</f>
        <v>147079.62640000001</v>
      </c>
      <c r="AE371" s="6">
        <f>$K$371*$Y$371</f>
        <v>0</v>
      </c>
      <c r="AF371" s="6">
        <f ca="1">$M$371*$Z$371</f>
        <v>228743.29227138186</v>
      </c>
      <c r="AG371" s="6">
        <f ca="1">$O$371*$AA$371</f>
        <v>138383.53387473532</v>
      </c>
    </row>
    <row r="372" spans="1:33" ht="11.25" customHeight="1" x14ac:dyDescent="0.25">
      <c r="A372" s="4" t="s">
        <v>27</v>
      </c>
      <c r="B372" s="4" t="s">
        <v>32</v>
      </c>
      <c r="C372" s="4" t="s">
        <v>23</v>
      </c>
      <c r="D372" s="4" t="s">
        <v>38</v>
      </c>
      <c r="E372" s="4" t="s">
        <v>25</v>
      </c>
      <c r="F372" s="4" t="s">
        <v>25</v>
      </c>
      <c r="G372" s="4" t="s">
        <v>25</v>
      </c>
      <c r="H372" s="4" t="s">
        <v>25</v>
      </c>
      <c r="I372" s="5">
        <v>44682</v>
      </c>
      <c r="J372" s="6">
        <v>0</v>
      </c>
      <c r="K372" s="6">
        <v>0</v>
      </c>
      <c r="L372" s="6">
        <v>64.507000000000005</v>
      </c>
      <c r="M372" s="6">
        <v>64.507000000000005</v>
      </c>
      <c r="N372" s="6">
        <v>64.507000000000005</v>
      </c>
      <c r="O372" s="6">
        <v>64.507000000000005</v>
      </c>
      <c r="P372" s="6">
        <v>111</v>
      </c>
      <c r="Q372" s="4" t="s">
        <v>26</v>
      </c>
      <c r="R372" s="4">
        <v>0</v>
      </c>
      <c r="S372" s="6">
        <v>0</v>
      </c>
      <c r="T372" s="6">
        <v>46</v>
      </c>
      <c r="U372" s="6">
        <v>83</v>
      </c>
      <c r="V372" s="6">
        <f>IF(ISERROR(VLOOKUP($S$372,'TAR FIN'!$A$1:$O$85,15,0)),0,VLOOKUP($S$372,'TAR FIN'!$A$1:$O$85,15,0))</f>
        <v>0</v>
      </c>
      <c r="W372" s="6">
        <f>IF(ISERROR(VLOOKUP($T$372,'TAR FIN'!$A$1:$O$85,15,0)),0,VLOOKUP($T$372,'TAR FIN'!$A$1:$O$85,15,0))</f>
        <v>333.15</v>
      </c>
      <c r="X372" s="6">
        <f>IF(ISERROR(VLOOKUP($U$372,'TAR FIN'!$A$1:$O$85,15,0)),0,VLOOKUP($U$372,'TAR FIN'!$A$1:$O$85,15,0))</f>
        <v>241.85</v>
      </c>
      <c r="Y372" s="6"/>
      <c r="Z372" s="6">
        <f ca="1">('TUSD BE'!$AM$48+'TUSD BF_350'!$AM$48+'TUSD CVA'!$AM$48)*1</f>
        <v>376.13343594836397</v>
      </c>
      <c r="AA372" s="6">
        <f ca="1">('TE BE'!$AB$39+'TE BF_350'!$AB$39+'TE CVA'!$AB$39)*1</f>
        <v>227.55060294064452</v>
      </c>
      <c r="AB372" s="6">
        <f>$K$372*$V$372</f>
        <v>0</v>
      </c>
      <c r="AC372" s="6">
        <f>$M$372*$W$372</f>
        <v>21490.50705</v>
      </c>
      <c r="AD372" s="6">
        <f>$O$372*$X$372</f>
        <v>15601.017950000001</v>
      </c>
      <c r="AE372" s="6">
        <f>$K$372*$Y$372</f>
        <v>0</v>
      </c>
      <c r="AF372" s="6">
        <f ca="1">$M$372*$Z$372</f>
        <v>24263.239552721116</v>
      </c>
      <c r="AG372" s="6">
        <f ca="1">$O$372*$AA$372</f>
        <v>14678.606743892158</v>
      </c>
    </row>
    <row r="373" spans="1:33" ht="11.25" customHeight="1" x14ac:dyDescent="0.25">
      <c r="A373" s="4" t="s">
        <v>21</v>
      </c>
      <c r="B373" s="4" t="s">
        <v>32</v>
      </c>
      <c r="C373" s="4" t="s">
        <v>23</v>
      </c>
      <c r="D373" s="4" t="s">
        <v>38</v>
      </c>
      <c r="E373" s="4" t="s">
        <v>25</v>
      </c>
      <c r="F373" s="4" t="s">
        <v>25</v>
      </c>
      <c r="G373" s="4" t="s">
        <v>25</v>
      </c>
      <c r="H373" s="4" t="s">
        <v>25</v>
      </c>
      <c r="I373" s="5">
        <v>44713</v>
      </c>
      <c r="J373" s="6">
        <v>0</v>
      </c>
      <c r="K373" s="6">
        <v>0</v>
      </c>
      <c r="L373" s="6">
        <v>633.66899999999998</v>
      </c>
      <c r="M373" s="6">
        <v>633.66899999999998</v>
      </c>
      <c r="N373" s="6">
        <v>633.66899999999998</v>
      </c>
      <c r="O373" s="6">
        <v>633.66899999999998</v>
      </c>
      <c r="P373" s="6">
        <v>1644</v>
      </c>
      <c r="Q373" s="4" t="s">
        <v>26</v>
      </c>
      <c r="R373" s="4">
        <v>0</v>
      </c>
      <c r="S373" s="6">
        <v>0</v>
      </c>
      <c r="T373" s="6">
        <v>46</v>
      </c>
      <c r="U373" s="6">
        <v>83</v>
      </c>
      <c r="V373" s="6">
        <f>IF(ISERROR(VLOOKUP($S$373,'TAR FIN'!$A$1:$O$85,15,0)),0,VLOOKUP($S$373,'TAR FIN'!$A$1:$O$85,15,0))</f>
        <v>0</v>
      </c>
      <c r="W373" s="6">
        <f>IF(ISERROR(VLOOKUP($T$373,'TAR FIN'!$A$1:$O$85,15,0)),0,VLOOKUP($T$373,'TAR FIN'!$A$1:$O$85,15,0))</f>
        <v>333.15</v>
      </c>
      <c r="X373" s="6">
        <f>IF(ISERROR(VLOOKUP($U$373,'TAR FIN'!$A$1:$O$85,15,0)),0,VLOOKUP($U$373,'TAR FIN'!$A$1:$O$85,15,0))</f>
        <v>241.85</v>
      </c>
      <c r="Y373" s="6"/>
      <c r="Z373" s="6">
        <f ca="1">('TUSD BE'!$AM$48+'TUSD BF_350'!$AM$48+'TUSD CVA'!$AM$48)*1</f>
        <v>376.13343594836397</v>
      </c>
      <c r="AA373" s="6">
        <f ca="1">('TE BE'!$AB$39+'TE BF_350'!$AB$39+'TE CVA'!$AB$39)*1</f>
        <v>227.55060294064452</v>
      </c>
      <c r="AB373" s="6">
        <f>$K$373*$V$373</f>
        <v>0</v>
      </c>
      <c r="AC373" s="6">
        <f>$M$373*$W$373</f>
        <v>211106.82734999998</v>
      </c>
      <c r="AD373" s="6">
        <f>$O$373*$X$373</f>
        <v>153252.84764999998</v>
      </c>
      <c r="AE373" s="6">
        <f>$K$373*$Y$373</f>
        <v>0</v>
      </c>
      <c r="AF373" s="6">
        <f ca="1">$M$373*$Z$373</f>
        <v>238344.09822396384</v>
      </c>
      <c r="AG373" s="6">
        <f ca="1">$O$373*$AA$373</f>
        <v>144191.76301479526</v>
      </c>
    </row>
    <row r="374" spans="1:33" ht="11.25" customHeight="1" x14ac:dyDescent="0.25">
      <c r="A374" s="4" t="s">
        <v>27</v>
      </c>
      <c r="B374" s="4" t="s">
        <v>32</v>
      </c>
      <c r="C374" s="4" t="s">
        <v>23</v>
      </c>
      <c r="D374" s="4" t="s">
        <v>38</v>
      </c>
      <c r="E374" s="4" t="s">
        <v>25</v>
      </c>
      <c r="F374" s="4" t="s">
        <v>25</v>
      </c>
      <c r="G374" s="4" t="s">
        <v>25</v>
      </c>
      <c r="H374" s="4" t="s">
        <v>25</v>
      </c>
      <c r="I374" s="5">
        <v>44713</v>
      </c>
      <c r="J374" s="6">
        <v>0</v>
      </c>
      <c r="K374" s="6">
        <v>0</v>
      </c>
      <c r="L374" s="6">
        <v>84.56</v>
      </c>
      <c r="M374" s="6">
        <v>84.56</v>
      </c>
      <c r="N374" s="6">
        <v>84.56</v>
      </c>
      <c r="O374" s="6">
        <v>84.56</v>
      </c>
      <c r="P374" s="6">
        <v>115</v>
      </c>
      <c r="Q374" s="4" t="s">
        <v>26</v>
      </c>
      <c r="R374" s="4">
        <v>0</v>
      </c>
      <c r="S374" s="6">
        <v>0</v>
      </c>
      <c r="T374" s="6">
        <v>46</v>
      </c>
      <c r="U374" s="6">
        <v>83</v>
      </c>
      <c r="V374" s="6">
        <f>IF(ISERROR(VLOOKUP($S$374,'TAR FIN'!$A$1:$O$85,15,0)),0,VLOOKUP($S$374,'TAR FIN'!$A$1:$O$85,15,0))</f>
        <v>0</v>
      </c>
      <c r="W374" s="6">
        <f>IF(ISERROR(VLOOKUP($T$374,'TAR FIN'!$A$1:$O$85,15,0)),0,VLOOKUP($T$374,'TAR FIN'!$A$1:$O$85,15,0))</f>
        <v>333.15</v>
      </c>
      <c r="X374" s="6">
        <f>IF(ISERROR(VLOOKUP($U$374,'TAR FIN'!$A$1:$O$85,15,0)),0,VLOOKUP($U$374,'TAR FIN'!$A$1:$O$85,15,0))</f>
        <v>241.85</v>
      </c>
      <c r="Y374" s="6"/>
      <c r="Z374" s="6">
        <f ca="1">('TUSD BE'!$AM$48+'TUSD BF_350'!$AM$48+'TUSD CVA'!$AM$48)*1</f>
        <v>376.13343594836397</v>
      </c>
      <c r="AA374" s="6">
        <f ca="1">('TE BE'!$AB$39+'TE BF_350'!$AB$39+'TE CVA'!$AB$39)*1</f>
        <v>227.55060294064452</v>
      </c>
      <c r="AB374" s="6">
        <f>$K$374*$V$374</f>
        <v>0</v>
      </c>
      <c r="AC374" s="6">
        <f>$M$374*$W$374</f>
        <v>28171.163999999997</v>
      </c>
      <c r="AD374" s="6">
        <f>$O$374*$X$374</f>
        <v>20450.835999999999</v>
      </c>
      <c r="AE374" s="6">
        <f>$K$374*$Y$374</f>
        <v>0</v>
      </c>
      <c r="AF374" s="6">
        <f ca="1">$M$374*$Z$374</f>
        <v>31805.843343793658</v>
      </c>
      <c r="AG374" s="6">
        <f ca="1">$O$374*$AA$374</f>
        <v>19241.678984660903</v>
      </c>
    </row>
    <row r="375" spans="1:33" ht="11.25" customHeight="1" x14ac:dyDescent="0.25">
      <c r="A375" s="4" t="s">
        <v>21</v>
      </c>
      <c r="B375" s="4" t="s">
        <v>32</v>
      </c>
      <c r="C375" s="4" t="s">
        <v>23</v>
      </c>
      <c r="D375" s="4" t="s">
        <v>47</v>
      </c>
      <c r="E375" s="4" t="s">
        <v>25</v>
      </c>
      <c r="F375" s="4" t="s">
        <v>25</v>
      </c>
      <c r="G375" s="4" t="s">
        <v>25</v>
      </c>
      <c r="H375" s="4" t="s">
        <v>25</v>
      </c>
      <c r="I375" s="5">
        <v>44378</v>
      </c>
      <c r="J375" s="6">
        <v>0</v>
      </c>
      <c r="K375" s="6">
        <v>0</v>
      </c>
      <c r="L375" s="6">
        <v>2.2789999999999999</v>
      </c>
      <c r="M375" s="6">
        <v>2.2789999999999999</v>
      </c>
      <c r="N375" s="6">
        <v>2.2789999999999999</v>
      </c>
      <c r="O375" s="6">
        <v>2.2789999999999999</v>
      </c>
      <c r="P375" s="6">
        <v>4</v>
      </c>
      <c r="Q375" s="4" t="s">
        <v>26</v>
      </c>
      <c r="R375" s="4">
        <v>0</v>
      </c>
      <c r="S375" s="6">
        <v>0</v>
      </c>
      <c r="T375" s="6">
        <v>46</v>
      </c>
      <c r="U375" s="6">
        <v>83</v>
      </c>
      <c r="V375" s="6">
        <f>IF(ISERROR(VLOOKUP($S$375,'TAR FIN'!$A$1:$O$85,15,0)),0,VLOOKUP($S$375,'TAR FIN'!$A$1:$O$85,15,0))</f>
        <v>0</v>
      </c>
      <c r="W375" s="6">
        <f>IF(ISERROR(VLOOKUP($T$375,'TAR FIN'!$A$1:$O$85,15,0)),0,VLOOKUP($T$375,'TAR FIN'!$A$1:$O$85,15,0))</f>
        <v>333.15</v>
      </c>
      <c r="X375" s="6">
        <f>IF(ISERROR(VLOOKUP($U$375,'TAR FIN'!$A$1:$O$85,15,0)),0,VLOOKUP($U$375,'TAR FIN'!$A$1:$O$85,15,0))</f>
        <v>241.85</v>
      </c>
      <c r="Y375" s="6"/>
      <c r="Z375" s="6">
        <f ca="1">('TUSD BE'!$AM$48+'TUSD BF_350'!$AM$48+'TUSD CVA'!$AM$48)*1</f>
        <v>376.13343594836397</v>
      </c>
      <c r="AA375" s="6">
        <f ca="1">('TE BE'!$AB$39+'TE BF_350'!$AB$39+'TE CVA'!$AB$39)*1</f>
        <v>227.55060294064452</v>
      </c>
      <c r="AB375" s="6">
        <f>$K$375*$V$375</f>
        <v>0</v>
      </c>
      <c r="AC375" s="6">
        <f>$M$375*$W$375</f>
        <v>759.24884999999995</v>
      </c>
      <c r="AD375" s="6">
        <f>$O$375*$X$375</f>
        <v>551.17615000000001</v>
      </c>
      <c r="AE375" s="6">
        <f>$K$375*$Y$375</f>
        <v>0</v>
      </c>
      <c r="AF375" s="6">
        <f ca="1">$M$375*$Z$375</f>
        <v>857.20810052632146</v>
      </c>
      <c r="AG375" s="6">
        <f ca="1">$O$375*$AA$375</f>
        <v>518.58782410172887</v>
      </c>
    </row>
    <row r="376" spans="1:33" ht="11.25" customHeight="1" x14ac:dyDescent="0.25">
      <c r="A376" s="4" t="s">
        <v>21</v>
      </c>
      <c r="B376" s="4" t="s">
        <v>32</v>
      </c>
      <c r="C376" s="4" t="s">
        <v>23</v>
      </c>
      <c r="D376" s="4" t="s">
        <v>47</v>
      </c>
      <c r="E376" s="4" t="s">
        <v>25</v>
      </c>
      <c r="F376" s="4" t="s">
        <v>25</v>
      </c>
      <c r="G376" s="4" t="s">
        <v>25</v>
      </c>
      <c r="H376" s="4" t="s">
        <v>25</v>
      </c>
      <c r="I376" s="5">
        <v>44409</v>
      </c>
      <c r="J376" s="6">
        <v>0</v>
      </c>
      <c r="K376" s="6">
        <v>0</v>
      </c>
      <c r="L376" s="6">
        <v>2.1070000000000002</v>
      </c>
      <c r="M376" s="6">
        <v>2.1070000000000002</v>
      </c>
      <c r="N376" s="6">
        <v>2.1070000000000002</v>
      </c>
      <c r="O376" s="6">
        <v>2.1070000000000002</v>
      </c>
      <c r="P376" s="6">
        <v>4</v>
      </c>
      <c r="Q376" s="4" t="s">
        <v>26</v>
      </c>
      <c r="R376" s="4">
        <v>0</v>
      </c>
      <c r="S376" s="6">
        <v>0</v>
      </c>
      <c r="T376" s="6">
        <v>46</v>
      </c>
      <c r="U376" s="6">
        <v>83</v>
      </c>
      <c r="V376" s="6">
        <f>IF(ISERROR(VLOOKUP($S$376,'TAR FIN'!$A$1:$O$85,15,0)),0,VLOOKUP($S$376,'TAR FIN'!$A$1:$O$85,15,0))</f>
        <v>0</v>
      </c>
      <c r="W376" s="6">
        <f>IF(ISERROR(VLOOKUP($T$376,'TAR FIN'!$A$1:$O$85,15,0)),0,VLOOKUP($T$376,'TAR FIN'!$A$1:$O$85,15,0))</f>
        <v>333.15</v>
      </c>
      <c r="X376" s="6">
        <f>IF(ISERROR(VLOOKUP($U$376,'TAR FIN'!$A$1:$O$85,15,0)),0,VLOOKUP($U$376,'TAR FIN'!$A$1:$O$85,15,0))</f>
        <v>241.85</v>
      </c>
      <c r="Y376" s="6"/>
      <c r="Z376" s="6">
        <f ca="1">('TUSD BE'!$AM$48+'TUSD BF_350'!$AM$48+'TUSD CVA'!$AM$48)*1</f>
        <v>376.13343594836397</v>
      </c>
      <c r="AA376" s="6">
        <f ca="1">('TE BE'!$AB$39+'TE BF_350'!$AB$39+'TE CVA'!$AB$39)*1</f>
        <v>227.55060294064452</v>
      </c>
      <c r="AB376" s="6">
        <f>$K$376*$V$376</f>
        <v>0</v>
      </c>
      <c r="AC376" s="6">
        <f>$M$376*$W$376</f>
        <v>701.94704999999999</v>
      </c>
      <c r="AD376" s="6">
        <f>$O$376*$X$376</f>
        <v>509.57795000000004</v>
      </c>
      <c r="AE376" s="6">
        <f>$K$376*$Y$376</f>
        <v>0</v>
      </c>
      <c r="AF376" s="6">
        <f ca="1">$M$376*$Z$376</f>
        <v>792.51314954320299</v>
      </c>
      <c r="AG376" s="6">
        <f ca="1">$O$376*$AA$376</f>
        <v>479.44912039593805</v>
      </c>
    </row>
    <row r="377" spans="1:33" ht="11.25" customHeight="1" x14ac:dyDescent="0.25">
      <c r="A377" s="4" t="s">
        <v>21</v>
      </c>
      <c r="B377" s="4" t="s">
        <v>32</v>
      </c>
      <c r="C377" s="4" t="s">
        <v>23</v>
      </c>
      <c r="D377" s="4" t="s">
        <v>47</v>
      </c>
      <c r="E377" s="4" t="s">
        <v>25</v>
      </c>
      <c r="F377" s="4" t="s">
        <v>25</v>
      </c>
      <c r="G377" s="4" t="s">
        <v>25</v>
      </c>
      <c r="H377" s="4" t="s">
        <v>25</v>
      </c>
      <c r="I377" s="5">
        <v>44440</v>
      </c>
      <c r="J377" s="6">
        <v>0</v>
      </c>
      <c r="K377" s="6">
        <v>0</v>
      </c>
      <c r="L377" s="6">
        <v>1.6970000000000001</v>
      </c>
      <c r="M377" s="6">
        <v>1.6970000000000001</v>
      </c>
      <c r="N377" s="6">
        <v>1.6970000000000001</v>
      </c>
      <c r="O377" s="6">
        <v>1.6970000000000001</v>
      </c>
      <c r="P377" s="6">
        <v>4</v>
      </c>
      <c r="Q377" s="4" t="s">
        <v>26</v>
      </c>
      <c r="R377" s="4">
        <v>0</v>
      </c>
      <c r="S377" s="6">
        <v>0</v>
      </c>
      <c r="T377" s="6">
        <v>46</v>
      </c>
      <c r="U377" s="6">
        <v>83</v>
      </c>
      <c r="V377" s="6">
        <f>IF(ISERROR(VLOOKUP($S$377,'TAR FIN'!$A$1:$O$85,15,0)),0,VLOOKUP($S$377,'TAR FIN'!$A$1:$O$85,15,0))</f>
        <v>0</v>
      </c>
      <c r="W377" s="6">
        <f>IF(ISERROR(VLOOKUP($T$377,'TAR FIN'!$A$1:$O$85,15,0)),0,VLOOKUP($T$377,'TAR FIN'!$A$1:$O$85,15,0))</f>
        <v>333.15</v>
      </c>
      <c r="X377" s="6">
        <f>IF(ISERROR(VLOOKUP($U$377,'TAR FIN'!$A$1:$O$85,15,0)),0,VLOOKUP($U$377,'TAR FIN'!$A$1:$O$85,15,0))</f>
        <v>241.85</v>
      </c>
      <c r="Y377" s="6"/>
      <c r="Z377" s="6">
        <f ca="1">('TUSD BE'!$AM$48+'TUSD BF_350'!$AM$48+'TUSD CVA'!$AM$48)*1</f>
        <v>376.13343594836397</v>
      </c>
      <c r="AA377" s="6">
        <f ca="1">('TE BE'!$AB$39+'TE BF_350'!$AB$39+'TE CVA'!$AB$39)*1</f>
        <v>227.55060294064452</v>
      </c>
      <c r="AB377" s="6">
        <f>$K$377*$V$377</f>
        <v>0</v>
      </c>
      <c r="AC377" s="6">
        <f>$M$377*$W$377</f>
        <v>565.35554999999999</v>
      </c>
      <c r="AD377" s="6">
        <f>$O$377*$X$377</f>
        <v>410.41944999999998</v>
      </c>
      <c r="AE377" s="6">
        <f>$K$377*$Y$377</f>
        <v>0</v>
      </c>
      <c r="AF377" s="6">
        <f ca="1">$M$377*$Z$377</f>
        <v>638.29844080437363</v>
      </c>
      <c r="AG377" s="6">
        <f ca="1">$O$377*$AA$377</f>
        <v>386.15337319027378</v>
      </c>
    </row>
    <row r="378" spans="1:33" ht="11.25" customHeight="1" x14ac:dyDescent="0.25">
      <c r="A378" s="4" t="s">
        <v>21</v>
      </c>
      <c r="B378" s="4" t="s">
        <v>32</v>
      </c>
      <c r="C378" s="4" t="s">
        <v>23</v>
      </c>
      <c r="D378" s="4" t="s">
        <v>47</v>
      </c>
      <c r="E378" s="4" t="s">
        <v>25</v>
      </c>
      <c r="F378" s="4" t="s">
        <v>25</v>
      </c>
      <c r="G378" s="4" t="s">
        <v>25</v>
      </c>
      <c r="H378" s="4" t="s">
        <v>25</v>
      </c>
      <c r="I378" s="5">
        <v>44470</v>
      </c>
      <c r="J378" s="6">
        <v>0</v>
      </c>
      <c r="K378" s="6">
        <v>0</v>
      </c>
      <c r="L378" s="6">
        <v>1.669</v>
      </c>
      <c r="M378" s="6">
        <v>1.669</v>
      </c>
      <c r="N378" s="6">
        <v>1.669</v>
      </c>
      <c r="O378" s="6">
        <v>1.669</v>
      </c>
      <c r="P378" s="6">
        <v>4</v>
      </c>
      <c r="Q378" s="4" t="s">
        <v>26</v>
      </c>
      <c r="R378" s="4">
        <v>0</v>
      </c>
      <c r="S378" s="6">
        <v>0</v>
      </c>
      <c r="T378" s="6">
        <v>46</v>
      </c>
      <c r="U378" s="6">
        <v>83</v>
      </c>
      <c r="V378" s="6">
        <f>IF(ISERROR(VLOOKUP($S$378,'TAR FIN'!$A$1:$O$85,15,0)),0,VLOOKUP($S$378,'TAR FIN'!$A$1:$O$85,15,0))</f>
        <v>0</v>
      </c>
      <c r="W378" s="6">
        <f>IF(ISERROR(VLOOKUP($T$378,'TAR FIN'!$A$1:$O$85,15,0)),0,VLOOKUP($T$378,'TAR FIN'!$A$1:$O$85,15,0))</f>
        <v>333.15</v>
      </c>
      <c r="X378" s="6">
        <f>IF(ISERROR(VLOOKUP($U$378,'TAR FIN'!$A$1:$O$85,15,0)),0,VLOOKUP($U$378,'TAR FIN'!$A$1:$O$85,15,0))</f>
        <v>241.85</v>
      </c>
      <c r="Y378" s="6"/>
      <c r="Z378" s="6">
        <f ca="1">('TUSD BE'!$AM$48+'TUSD BF_350'!$AM$48+'TUSD CVA'!$AM$48)*1</f>
        <v>376.13343594836397</v>
      </c>
      <c r="AA378" s="6">
        <f ca="1">('TE BE'!$AB$39+'TE BF_350'!$AB$39+'TE CVA'!$AB$39)*1</f>
        <v>227.55060294064452</v>
      </c>
      <c r="AB378" s="6">
        <f>$K$378*$V$378</f>
        <v>0</v>
      </c>
      <c r="AC378" s="6">
        <f>$M$378*$W$378</f>
        <v>556.02734999999996</v>
      </c>
      <c r="AD378" s="6">
        <f>$O$378*$X$378</f>
        <v>403.64765</v>
      </c>
      <c r="AE378" s="6">
        <f>$K$378*$Y$378</f>
        <v>0</v>
      </c>
      <c r="AF378" s="6">
        <f ca="1">$M$378*$Z$378</f>
        <v>627.76670459781951</v>
      </c>
      <c r="AG378" s="6">
        <f ca="1">$O$378*$AA$378</f>
        <v>379.78195630793573</v>
      </c>
    </row>
    <row r="379" spans="1:33" ht="11.25" customHeight="1" x14ac:dyDescent="0.25">
      <c r="A379" s="4" t="s">
        <v>21</v>
      </c>
      <c r="B379" s="4" t="s">
        <v>32</v>
      </c>
      <c r="C379" s="4" t="s">
        <v>23</v>
      </c>
      <c r="D379" s="4" t="s">
        <v>47</v>
      </c>
      <c r="E379" s="4" t="s">
        <v>25</v>
      </c>
      <c r="F379" s="4" t="s">
        <v>25</v>
      </c>
      <c r="G379" s="4" t="s">
        <v>25</v>
      </c>
      <c r="H379" s="4" t="s">
        <v>25</v>
      </c>
      <c r="I379" s="5">
        <v>44501</v>
      </c>
      <c r="J379" s="6">
        <v>0</v>
      </c>
      <c r="K379" s="6">
        <v>0</v>
      </c>
      <c r="L379" s="6">
        <v>2.1970000000000001</v>
      </c>
      <c r="M379" s="6">
        <v>2.1970000000000001</v>
      </c>
      <c r="N379" s="6">
        <v>2.1970000000000001</v>
      </c>
      <c r="O379" s="6">
        <v>2.1970000000000001</v>
      </c>
      <c r="P379" s="6">
        <v>4</v>
      </c>
      <c r="Q379" s="4" t="s">
        <v>26</v>
      </c>
      <c r="R379" s="4">
        <v>0</v>
      </c>
      <c r="S379" s="6">
        <v>0</v>
      </c>
      <c r="T379" s="6">
        <v>46</v>
      </c>
      <c r="U379" s="6">
        <v>83</v>
      </c>
      <c r="V379" s="6">
        <f>IF(ISERROR(VLOOKUP($S$379,'TAR FIN'!$A$1:$O$85,15,0)),0,VLOOKUP($S$379,'TAR FIN'!$A$1:$O$85,15,0))</f>
        <v>0</v>
      </c>
      <c r="W379" s="6">
        <f>IF(ISERROR(VLOOKUP($T$379,'TAR FIN'!$A$1:$O$85,15,0)),0,VLOOKUP($T$379,'TAR FIN'!$A$1:$O$85,15,0))</f>
        <v>333.15</v>
      </c>
      <c r="X379" s="6">
        <f>IF(ISERROR(VLOOKUP($U$379,'TAR FIN'!$A$1:$O$85,15,0)),0,VLOOKUP($U$379,'TAR FIN'!$A$1:$O$85,15,0))</f>
        <v>241.85</v>
      </c>
      <c r="Y379" s="6"/>
      <c r="Z379" s="6">
        <f ca="1">('TUSD BE'!$AM$48+'TUSD BF_350'!$AM$48+'TUSD CVA'!$AM$48)*1</f>
        <v>376.13343594836397</v>
      </c>
      <c r="AA379" s="6">
        <f ca="1">('TE BE'!$AB$39+'TE BF_350'!$AB$39+'TE CVA'!$AB$39)*1</f>
        <v>227.55060294064452</v>
      </c>
      <c r="AB379" s="6">
        <f>$K$379*$V$379</f>
        <v>0</v>
      </c>
      <c r="AC379" s="6">
        <f>$M$379*$W$379</f>
        <v>731.93054999999993</v>
      </c>
      <c r="AD379" s="6">
        <f>$O$379*$X$379</f>
        <v>531.34445000000005</v>
      </c>
      <c r="AE379" s="6">
        <f>$K$379*$Y$379</f>
        <v>0</v>
      </c>
      <c r="AF379" s="6">
        <f ca="1">$M$379*$Z$379</f>
        <v>826.36515877855561</v>
      </c>
      <c r="AG379" s="6">
        <f ca="1">$O$379*$AA$379</f>
        <v>499.92867466059602</v>
      </c>
    </row>
    <row r="380" spans="1:33" ht="11.25" customHeight="1" x14ac:dyDescent="0.25">
      <c r="A380" s="4" t="s">
        <v>21</v>
      </c>
      <c r="B380" s="4" t="s">
        <v>32</v>
      </c>
      <c r="C380" s="4" t="s">
        <v>23</v>
      </c>
      <c r="D380" s="4" t="s">
        <v>47</v>
      </c>
      <c r="E380" s="4" t="s">
        <v>25</v>
      </c>
      <c r="F380" s="4" t="s">
        <v>25</v>
      </c>
      <c r="G380" s="4" t="s">
        <v>25</v>
      </c>
      <c r="H380" s="4" t="s">
        <v>25</v>
      </c>
      <c r="I380" s="5">
        <v>44531</v>
      </c>
      <c r="J380" s="6">
        <v>0</v>
      </c>
      <c r="K380" s="6">
        <v>0</v>
      </c>
      <c r="L380" s="6">
        <v>2.5529999999999999</v>
      </c>
      <c r="M380" s="6">
        <v>2.5529999999999999</v>
      </c>
      <c r="N380" s="6">
        <v>2.5529999999999999</v>
      </c>
      <c r="O380" s="6">
        <v>2.5529999999999999</v>
      </c>
      <c r="P380" s="6">
        <v>4</v>
      </c>
      <c r="Q380" s="4" t="s">
        <v>26</v>
      </c>
      <c r="R380" s="4">
        <v>0</v>
      </c>
      <c r="S380" s="6">
        <v>0</v>
      </c>
      <c r="T380" s="6">
        <v>46</v>
      </c>
      <c r="U380" s="6">
        <v>83</v>
      </c>
      <c r="V380" s="6">
        <f>IF(ISERROR(VLOOKUP($S$380,'TAR FIN'!$A$1:$O$85,15,0)),0,VLOOKUP($S$380,'TAR FIN'!$A$1:$O$85,15,0))</f>
        <v>0</v>
      </c>
      <c r="W380" s="6">
        <f>IF(ISERROR(VLOOKUP($T$380,'TAR FIN'!$A$1:$O$85,15,0)),0,VLOOKUP($T$380,'TAR FIN'!$A$1:$O$85,15,0))</f>
        <v>333.15</v>
      </c>
      <c r="X380" s="6">
        <f>IF(ISERROR(VLOOKUP($U$380,'TAR FIN'!$A$1:$O$85,15,0)),0,VLOOKUP($U$380,'TAR FIN'!$A$1:$O$85,15,0))</f>
        <v>241.85</v>
      </c>
      <c r="Y380" s="6"/>
      <c r="Z380" s="6">
        <f ca="1">('TUSD BE'!$AM$48+'TUSD BF_350'!$AM$48+'TUSD CVA'!$AM$48)*1</f>
        <v>376.13343594836397</v>
      </c>
      <c r="AA380" s="6">
        <f ca="1">('TE BE'!$AB$39+'TE BF_350'!$AB$39+'TE CVA'!$AB$39)*1</f>
        <v>227.55060294064452</v>
      </c>
      <c r="AB380" s="6">
        <f>$K$380*$V$380</f>
        <v>0</v>
      </c>
      <c r="AC380" s="6">
        <f>$M$380*$W$380</f>
        <v>850.53194999999994</v>
      </c>
      <c r="AD380" s="6">
        <f>$O$380*$X$380</f>
        <v>617.44304999999997</v>
      </c>
      <c r="AE380" s="6">
        <f>$K$380*$Y$380</f>
        <v>0</v>
      </c>
      <c r="AF380" s="6">
        <f ca="1">$M$380*$Z$380</f>
        <v>960.26866197617323</v>
      </c>
      <c r="AG380" s="6">
        <f ca="1">$O$380*$AA$380</f>
        <v>580.93668930746549</v>
      </c>
    </row>
    <row r="381" spans="1:33" ht="11.25" customHeight="1" x14ac:dyDescent="0.25">
      <c r="A381" s="4" t="s">
        <v>21</v>
      </c>
      <c r="B381" s="4" t="s">
        <v>32</v>
      </c>
      <c r="C381" s="4" t="s">
        <v>23</v>
      </c>
      <c r="D381" s="4" t="s">
        <v>47</v>
      </c>
      <c r="E381" s="4" t="s">
        <v>25</v>
      </c>
      <c r="F381" s="4" t="s">
        <v>25</v>
      </c>
      <c r="G381" s="4" t="s">
        <v>25</v>
      </c>
      <c r="H381" s="4" t="s">
        <v>25</v>
      </c>
      <c r="I381" s="5">
        <v>44562</v>
      </c>
      <c r="J381" s="6">
        <v>0</v>
      </c>
      <c r="K381" s="6">
        <v>0</v>
      </c>
      <c r="L381" s="6">
        <v>3.0910000000000002</v>
      </c>
      <c r="M381" s="6">
        <v>3.0910000000000002</v>
      </c>
      <c r="N381" s="6">
        <v>3.0910000000000002</v>
      </c>
      <c r="O381" s="6">
        <v>3.0910000000000002</v>
      </c>
      <c r="P381" s="6">
        <v>4</v>
      </c>
      <c r="Q381" s="4" t="s">
        <v>26</v>
      </c>
      <c r="R381" s="4">
        <v>0</v>
      </c>
      <c r="S381" s="6">
        <v>0</v>
      </c>
      <c r="T381" s="6">
        <v>46</v>
      </c>
      <c r="U381" s="6">
        <v>83</v>
      </c>
      <c r="V381" s="6">
        <f>IF(ISERROR(VLOOKUP($S$381,'TAR FIN'!$A$1:$O$85,15,0)),0,VLOOKUP($S$381,'TAR FIN'!$A$1:$O$85,15,0))</f>
        <v>0</v>
      </c>
      <c r="W381" s="6">
        <f>IF(ISERROR(VLOOKUP($T$381,'TAR FIN'!$A$1:$O$85,15,0)),0,VLOOKUP($T$381,'TAR FIN'!$A$1:$O$85,15,0))</f>
        <v>333.15</v>
      </c>
      <c r="X381" s="6">
        <f>IF(ISERROR(VLOOKUP($U$381,'TAR FIN'!$A$1:$O$85,15,0)),0,VLOOKUP($U$381,'TAR FIN'!$A$1:$O$85,15,0))</f>
        <v>241.85</v>
      </c>
      <c r="Y381" s="6"/>
      <c r="Z381" s="6">
        <f ca="1">('TUSD BE'!$AM$48+'TUSD BF_350'!$AM$48+'TUSD CVA'!$AM$48)*1</f>
        <v>376.13343594836397</v>
      </c>
      <c r="AA381" s="6">
        <f ca="1">('TE BE'!$AB$39+'TE BF_350'!$AB$39+'TE CVA'!$AB$39)*1</f>
        <v>227.55060294064452</v>
      </c>
      <c r="AB381" s="6">
        <f>$K$381*$V$381</f>
        <v>0</v>
      </c>
      <c r="AC381" s="6">
        <f>$M$381*$W$381</f>
        <v>1029.76665</v>
      </c>
      <c r="AD381" s="6">
        <f>$O$381*$X$381</f>
        <v>747.55835000000002</v>
      </c>
      <c r="AE381" s="6">
        <f>$K$381*$Y$381</f>
        <v>0</v>
      </c>
      <c r="AF381" s="6">
        <f ca="1">$M$381*$Z$381</f>
        <v>1162.6284505163931</v>
      </c>
      <c r="AG381" s="6">
        <f ca="1">$O$381*$AA$381</f>
        <v>703.3589136895323</v>
      </c>
    </row>
    <row r="382" spans="1:33" ht="11.25" customHeight="1" x14ac:dyDescent="0.25">
      <c r="A382" s="4" t="s">
        <v>21</v>
      </c>
      <c r="B382" s="4" t="s">
        <v>32</v>
      </c>
      <c r="C382" s="4" t="s">
        <v>23</v>
      </c>
      <c r="D382" s="4" t="s">
        <v>47</v>
      </c>
      <c r="E382" s="4" t="s">
        <v>25</v>
      </c>
      <c r="F382" s="4" t="s">
        <v>25</v>
      </c>
      <c r="G382" s="4" t="s">
        <v>25</v>
      </c>
      <c r="H382" s="4" t="s">
        <v>25</v>
      </c>
      <c r="I382" s="5">
        <v>44593</v>
      </c>
      <c r="J382" s="6">
        <v>0</v>
      </c>
      <c r="K382" s="6">
        <v>0</v>
      </c>
      <c r="L382" s="6">
        <v>3.4940000000000002</v>
      </c>
      <c r="M382" s="6">
        <v>3.4940000000000002</v>
      </c>
      <c r="N382" s="6">
        <v>3.4940000000000002</v>
      </c>
      <c r="O382" s="6">
        <v>3.4940000000000002</v>
      </c>
      <c r="P382" s="6">
        <v>4</v>
      </c>
      <c r="Q382" s="4" t="s">
        <v>26</v>
      </c>
      <c r="R382" s="4">
        <v>0</v>
      </c>
      <c r="S382" s="6">
        <v>0</v>
      </c>
      <c r="T382" s="6">
        <v>46</v>
      </c>
      <c r="U382" s="6">
        <v>83</v>
      </c>
      <c r="V382" s="6">
        <f>IF(ISERROR(VLOOKUP($S$382,'TAR FIN'!$A$1:$O$85,15,0)),0,VLOOKUP($S$382,'TAR FIN'!$A$1:$O$85,15,0))</f>
        <v>0</v>
      </c>
      <c r="W382" s="6">
        <f>IF(ISERROR(VLOOKUP($T$382,'TAR FIN'!$A$1:$O$85,15,0)),0,VLOOKUP($T$382,'TAR FIN'!$A$1:$O$85,15,0))</f>
        <v>333.15</v>
      </c>
      <c r="X382" s="6">
        <f>IF(ISERROR(VLOOKUP($U$382,'TAR FIN'!$A$1:$O$85,15,0)),0,VLOOKUP($U$382,'TAR FIN'!$A$1:$O$85,15,0))</f>
        <v>241.85</v>
      </c>
      <c r="Y382" s="6"/>
      <c r="Z382" s="6">
        <f ca="1">('TUSD BE'!$AM$48+'TUSD BF_350'!$AM$48+'TUSD CVA'!$AM$48)*1</f>
        <v>376.13343594836397</v>
      </c>
      <c r="AA382" s="6">
        <f ca="1">('TE BE'!$AB$39+'TE BF_350'!$AB$39+'TE CVA'!$AB$39)*1</f>
        <v>227.55060294064452</v>
      </c>
      <c r="AB382" s="6">
        <f>$K$382*$V$382</f>
        <v>0</v>
      </c>
      <c r="AC382" s="6">
        <f>$M$382*$W$382</f>
        <v>1164.0261</v>
      </c>
      <c r="AD382" s="6">
        <f>$O$382*$X$382</f>
        <v>845.02390000000003</v>
      </c>
      <c r="AE382" s="6">
        <f>$K$382*$Y$382</f>
        <v>0</v>
      </c>
      <c r="AF382" s="6">
        <f ca="1">$M$382*$Z$382</f>
        <v>1314.2102252035838</v>
      </c>
      <c r="AG382" s="6">
        <f ca="1">$O$382*$AA$382</f>
        <v>795.06180667461206</v>
      </c>
    </row>
    <row r="383" spans="1:33" ht="11.25" customHeight="1" x14ac:dyDescent="0.25">
      <c r="A383" s="4" t="s">
        <v>21</v>
      </c>
      <c r="B383" s="4" t="s">
        <v>32</v>
      </c>
      <c r="C383" s="4" t="s">
        <v>23</v>
      </c>
      <c r="D383" s="4" t="s">
        <v>47</v>
      </c>
      <c r="E383" s="4" t="s">
        <v>25</v>
      </c>
      <c r="F383" s="4" t="s">
        <v>25</v>
      </c>
      <c r="G383" s="4" t="s">
        <v>25</v>
      </c>
      <c r="H383" s="4" t="s">
        <v>25</v>
      </c>
      <c r="I383" s="5">
        <v>44621</v>
      </c>
      <c r="J383" s="6">
        <v>0</v>
      </c>
      <c r="K383" s="6">
        <v>0</v>
      </c>
      <c r="L383" s="6">
        <v>2.7389999999999999</v>
      </c>
      <c r="M383" s="6">
        <v>2.7389999999999999</v>
      </c>
      <c r="N383" s="6">
        <v>2.7389999999999999</v>
      </c>
      <c r="O383" s="6">
        <v>2.7389999999999999</v>
      </c>
      <c r="P383" s="6">
        <v>4</v>
      </c>
      <c r="Q383" s="4" t="s">
        <v>26</v>
      </c>
      <c r="R383" s="4">
        <v>0</v>
      </c>
      <c r="S383" s="6">
        <v>0</v>
      </c>
      <c r="T383" s="6">
        <v>46</v>
      </c>
      <c r="U383" s="6">
        <v>83</v>
      </c>
      <c r="V383" s="6">
        <f>IF(ISERROR(VLOOKUP($S$383,'TAR FIN'!$A$1:$O$85,15,0)),0,VLOOKUP($S$383,'TAR FIN'!$A$1:$O$85,15,0))</f>
        <v>0</v>
      </c>
      <c r="W383" s="6">
        <f>IF(ISERROR(VLOOKUP($T$383,'TAR FIN'!$A$1:$O$85,15,0)),0,VLOOKUP($T$383,'TAR FIN'!$A$1:$O$85,15,0))</f>
        <v>333.15</v>
      </c>
      <c r="X383" s="6">
        <f>IF(ISERROR(VLOOKUP($U$383,'TAR FIN'!$A$1:$O$85,15,0)),0,VLOOKUP($U$383,'TAR FIN'!$A$1:$O$85,15,0))</f>
        <v>241.85</v>
      </c>
      <c r="Y383" s="6"/>
      <c r="Z383" s="6">
        <f ca="1">('TUSD BE'!$AM$48+'TUSD BF_350'!$AM$48+'TUSD CVA'!$AM$48)*1</f>
        <v>376.13343594836397</v>
      </c>
      <c r="AA383" s="6">
        <f ca="1">('TE BE'!$AB$39+'TE BF_350'!$AB$39+'TE CVA'!$AB$39)*1</f>
        <v>227.55060294064452</v>
      </c>
      <c r="AB383" s="6">
        <f>$K$383*$V$383</f>
        <v>0</v>
      </c>
      <c r="AC383" s="6">
        <f>$M$383*$W$383</f>
        <v>912.49784999999986</v>
      </c>
      <c r="AD383" s="6">
        <f>$O$383*$X$383</f>
        <v>662.42714999999998</v>
      </c>
      <c r="AE383" s="6">
        <f>$K$383*$Y$383</f>
        <v>0</v>
      </c>
      <c r="AF383" s="6">
        <f ca="1">$M$383*$Z$383</f>
        <v>1030.2294810625688</v>
      </c>
      <c r="AG383" s="6">
        <f ca="1">$O$383*$AA$383</f>
        <v>623.26110145442533</v>
      </c>
    </row>
    <row r="384" spans="1:33" ht="11.25" customHeight="1" x14ac:dyDescent="0.25">
      <c r="A384" s="4" t="s">
        <v>21</v>
      </c>
      <c r="B384" s="4" t="s">
        <v>32</v>
      </c>
      <c r="C384" s="4" t="s">
        <v>23</v>
      </c>
      <c r="D384" s="4" t="s">
        <v>47</v>
      </c>
      <c r="E384" s="4" t="s">
        <v>25</v>
      </c>
      <c r="F384" s="4" t="s">
        <v>25</v>
      </c>
      <c r="G384" s="4" t="s">
        <v>25</v>
      </c>
      <c r="H384" s="4" t="s">
        <v>25</v>
      </c>
      <c r="I384" s="5">
        <v>44652</v>
      </c>
      <c r="J384" s="6">
        <v>0</v>
      </c>
      <c r="K384" s="6">
        <v>0</v>
      </c>
      <c r="L384" s="6">
        <v>1.863</v>
      </c>
      <c r="M384" s="6">
        <v>1.863</v>
      </c>
      <c r="N384" s="6">
        <v>1.863</v>
      </c>
      <c r="O384" s="6">
        <v>1.863</v>
      </c>
      <c r="P384" s="6">
        <v>4</v>
      </c>
      <c r="Q384" s="4" t="s">
        <v>26</v>
      </c>
      <c r="R384" s="4">
        <v>0</v>
      </c>
      <c r="S384" s="6">
        <v>0</v>
      </c>
      <c r="T384" s="6">
        <v>46</v>
      </c>
      <c r="U384" s="6">
        <v>83</v>
      </c>
      <c r="V384" s="6">
        <f>IF(ISERROR(VLOOKUP($S$384,'TAR FIN'!$A$1:$O$85,15,0)),0,VLOOKUP($S$384,'TAR FIN'!$A$1:$O$85,15,0))</f>
        <v>0</v>
      </c>
      <c r="W384" s="6">
        <f>IF(ISERROR(VLOOKUP($T$384,'TAR FIN'!$A$1:$O$85,15,0)),0,VLOOKUP($T$384,'TAR FIN'!$A$1:$O$85,15,0))</f>
        <v>333.15</v>
      </c>
      <c r="X384" s="6">
        <f>IF(ISERROR(VLOOKUP($U$384,'TAR FIN'!$A$1:$O$85,15,0)),0,VLOOKUP($U$384,'TAR FIN'!$A$1:$O$85,15,0))</f>
        <v>241.85</v>
      </c>
      <c r="Y384" s="6"/>
      <c r="Z384" s="6">
        <f ca="1">('TUSD BE'!$AM$48+'TUSD BF_350'!$AM$48+'TUSD CVA'!$AM$48)*1</f>
        <v>376.13343594836397</v>
      </c>
      <c r="AA384" s="6">
        <f ca="1">('TE BE'!$AB$39+'TE BF_350'!$AB$39+'TE CVA'!$AB$39)*1</f>
        <v>227.55060294064452</v>
      </c>
      <c r="AB384" s="6">
        <f>$K$384*$V$384</f>
        <v>0</v>
      </c>
      <c r="AC384" s="6">
        <f>$M$384*$W$384</f>
        <v>620.6584499999999</v>
      </c>
      <c r="AD384" s="6">
        <f>$O$384*$X$384</f>
        <v>450.56655000000001</v>
      </c>
      <c r="AE384" s="6">
        <f>$K$384*$Y$384</f>
        <v>0</v>
      </c>
      <c r="AF384" s="6">
        <f ca="1">$M$384*$Z$384</f>
        <v>700.73659117180205</v>
      </c>
      <c r="AG384" s="6">
        <f ca="1">$O$384*$AA$384</f>
        <v>423.92677327842074</v>
      </c>
    </row>
    <row r="385" spans="1:33" ht="11.25" customHeight="1" x14ac:dyDescent="0.25">
      <c r="A385" s="4" t="s">
        <v>21</v>
      </c>
      <c r="B385" s="4" t="s">
        <v>32</v>
      </c>
      <c r="C385" s="4" t="s">
        <v>23</v>
      </c>
      <c r="D385" s="4" t="s">
        <v>47</v>
      </c>
      <c r="E385" s="4" t="s">
        <v>25</v>
      </c>
      <c r="F385" s="4" t="s">
        <v>25</v>
      </c>
      <c r="G385" s="4" t="s">
        <v>25</v>
      </c>
      <c r="H385" s="4" t="s">
        <v>25</v>
      </c>
      <c r="I385" s="5">
        <v>44682</v>
      </c>
      <c r="J385" s="6">
        <v>0</v>
      </c>
      <c r="K385" s="6">
        <v>0</v>
      </c>
      <c r="L385" s="6">
        <v>1.839</v>
      </c>
      <c r="M385" s="6">
        <v>1.839</v>
      </c>
      <c r="N385" s="6">
        <v>1.839</v>
      </c>
      <c r="O385" s="6">
        <v>1.839</v>
      </c>
      <c r="P385" s="6">
        <v>4</v>
      </c>
      <c r="Q385" s="4" t="s">
        <v>26</v>
      </c>
      <c r="R385" s="4">
        <v>0</v>
      </c>
      <c r="S385" s="6">
        <v>0</v>
      </c>
      <c r="T385" s="6">
        <v>46</v>
      </c>
      <c r="U385" s="6">
        <v>83</v>
      </c>
      <c r="V385" s="6">
        <f>IF(ISERROR(VLOOKUP($S$385,'TAR FIN'!$A$1:$O$85,15,0)),0,VLOOKUP($S$385,'TAR FIN'!$A$1:$O$85,15,0))</f>
        <v>0</v>
      </c>
      <c r="W385" s="6">
        <f>IF(ISERROR(VLOOKUP($T$385,'TAR FIN'!$A$1:$O$85,15,0)),0,VLOOKUP($T$385,'TAR FIN'!$A$1:$O$85,15,0))</f>
        <v>333.15</v>
      </c>
      <c r="X385" s="6">
        <f>IF(ISERROR(VLOOKUP($U$385,'TAR FIN'!$A$1:$O$85,15,0)),0,VLOOKUP($U$385,'TAR FIN'!$A$1:$O$85,15,0))</f>
        <v>241.85</v>
      </c>
      <c r="Y385" s="6"/>
      <c r="Z385" s="6">
        <f ca="1">('TUSD BE'!$AM$48+'TUSD BF_350'!$AM$48+'TUSD CVA'!$AM$48)*1</f>
        <v>376.13343594836397</v>
      </c>
      <c r="AA385" s="6">
        <f ca="1">('TE BE'!$AB$39+'TE BF_350'!$AB$39+'TE CVA'!$AB$39)*1</f>
        <v>227.55060294064452</v>
      </c>
      <c r="AB385" s="6">
        <f>$K$385*$V$385</f>
        <v>0</v>
      </c>
      <c r="AC385" s="6">
        <f>$M$385*$W$385</f>
        <v>612.66284999999993</v>
      </c>
      <c r="AD385" s="6">
        <f>$O$385*$X$385</f>
        <v>444.76214999999996</v>
      </c>
      <c r="AE385" s="6">
        <f>$K$385*$Y$385</f>
        <v>0</v>
      </c>
      <c r="AF385" s="6">
        <f ca="1">$M$385*$Z$385</f>
        <v>691.70938870904138</v>
      </c>
      <c r="AG385" s="6">
        <f ca="1">$O$385*$AA$385</f>
        <v>418.4655588078453</v>
      </c>
    </row>
    <row r="386" spans="1:33" ht="11.25" customHeight="1" x14ac:dyDescent="0.25">
      <c r="A386" s="4" t="s">
        <v>21</v>
      </c>
      <c r="B386" s="4" t="s">
        <v>32</v>
      </c>
      <c r="C386" s="4" t="s">
        <v>23</v>
      </c>
      <c r="D386" s="4" t="s">
        <v>47</v>
      </c>
      <c r="E386" s="4" t="s">
        <v>25</v>
      </c>
      <c r="F386" s="4" t="s">
        <v>25</v>
      </c>
      <c r="G386" s="4" t="s">
        <v>25</v>
      </c>
      <c r="H386" s="4" t="s">
        <v>25</v>
      </c>
      <c r="I386" s="5">
        <v>44713</v>
      </c>
      <c r="J386" s="6">
        <v>0</v>
      </c>
      <c r="K386" s="6">
        <v>0</v>
      </c>
      <c r="L386" s="6">
        <v>2.1509999999999998</v>
      </c>
      <c r="M386" s="6">
        <v>2.1509999999999998</v>
      </c>
      <c r="N386" s="6">
        <v>2.1509999999999998</v>
      </c>
      <c r="O386" s="6">
        <v>2.1509999999999998</v>
      </c>
      <c r="P386" s="6">
        <v>4</v>
      </c>
      <c r="Q386" s="4" t="s">
        <v>26</v>
      </c>
      <c r="R386" s="4">
        <v>0</v>
      </c>
      <c r="S386" s="6">
        <v>0</v>
      </c>
      <c r="T386" s="6">
        <v>46</v>
      </c>
      <c r="U386" s="6">
        <v>83</v>
      </c>
      <c r="V386" s="6">
        <f>IF(ISERROR(VLOOKUP($S$386,'TAR FIN'!$A$1:$O$85,15,0)),0,VLOOKUP($S$386,'TAR FIN'!$A$1:$O$85,15,0))</f>
        <v>0</v>
      </c>
      <c r="W386" s="6">
        <f>IF(ISERROR(VLOOKUP($T$386,'TAR FIN'!$A$1:$O$85,15,0)),0,VLOOKUP($T$386,'TAR FIN'!$A$1:$O$85,15,0))</f>
        <v>333.15</v>
      </c>
      <c r="X386" s="6">
        <f>IF(ISERROR(VLOOKUP($U$386,'TAR FIN'!$A$1:$O$85,15,0)),0,VLOOKUP($U$386,'TAR FIN'!$A$1:$O$85,15,0))</f>
        <v>241.85</v>
      </c>
      <c r="Y386" s="6"/>
      <c r="Z386" s="6">
        <f ca="1">('TUSD BE'!$AM$48+'TUSD BF_350'!$AM$48+'TUSD CVA'!$AM$48)*1</f>
        <v>376.13343594836397</v>
      </c>
      <c r="AA386" s="6">
        <f ca="1">('TE BE'!$AB$39+'TE BF_350'!$AB$39+'TE CVA'!$AB$39)*1</f>
        <v>227.55060294064452</v>
      </c>
      <c r="AB386" s="6">
        <f>$K$386*$V$386</f>
        <v>0</v>
      </c>
      <c r="AC386" s="6">
        <f>$M$386*$W$386</f>
        <v>716.60564999999986</v>
      </c>
      <c r="AD386" s="6">
        <f>$O$386*$X$386</f>
        <v>520.21934999999996</v>
      </c>
      <c r="AE386" s="6">
        <f>$K$386*$Y$386</f>
        <v>0</v>
      </c>
      <c r="AF386" s="6">
        <f ca="1">$M$386*$Z$386</f>
        <v>809.06302072493077</v>
      </c>
      <c r="AG386" s="6">
        <f ca="1">$O$386*$AA$386</f>
        <v>489.46134692532632</v>
      </c>
    </row>
    <row r="387" spans="1:33" ht="11.25" customHeight="1" x14ac:dyDescent="0.25">
      <c r="A387" s="4" t="s">
        <v>21</v>
      </c>
      <c r="B387" s="4" t="s">
        <v>32</v>
      </c>
      <c r="C387" s="4" t="s">
        <v>23</v>
      </c>
      <c r="D387" s="4" t="s">
        <v>33</v>
      </c>
      <c r="E387" s="4" t="s">
        <v>25</v>
      </c>
      <c r="F387" s="4" t="s">
        <v>25</v>
      </c>
      <c r="G387" s="4" t="s">
        <v>25</v>
      </c>
      <c r="H387" s="4" t="s">
        <v>25</v>
      </c>
      <c r="I387" s="5">
        <v>44378</v>
      </c>
      <c r="J387" s="6">
        <v>0</v>
      </c>
      <c r="K387" s="6">
        <v>0</v>
      </c>
      <c r="L387" s="6">
        <v>77.58</v>
      </c>
      <c r="M387" s="6">
        <v>77.58</v>
      </c>
      <c r="N387" s="6">
        <v>77.58</v>
      </c>
      <c r="O387" s="6">
        <v>77.58</v>
      </c>
      <c r="P387" s="6">
        <v>48</v>
      </c>
      <c r="Q387" s="4" t="s">
        <v>26</v>
      </c>
      <c r="R387" s="4">
        <v>0</v>
      </c>
      <c r="S387" s="6">
        <v>0</v>
      </c>
      <c r="T387" s="6">
        <v>46</v>
      </c>
      <c r="U387" s="6">
        <v>83</v>
      </c>
      <c r="V387" s="6">
        <f>IF(ISERROR(VLOOKUP($S$387,'TAR FIN'!$A$1:$O$85,15,0)),0,VLOOKUP($S$387,'TAR FIN'!$A$1:$O$85,15,0))</f>
        <v>0</v>
      </c>
      <c r="W387" s="6">
        <f>IF(ISERROR(VLOOKUP($T$387,'TAR FIN'!$A$1:$O$85,15,0)),0,VLOOKUP($T$387,'TAR FIN'!$A$1:$O$85,15,0))</f>
        <v>333.15</v>
      </c>
      <c r="X387" s="6">
        <f>IF(ISERROR(VLOOKUP($U$387,'TAR FIN'!$A$1:$O$85,15,0)),0,VLOOKUP($U$387,'TAR FIN'!$A$1:$O$85,15,0))</f>
        <v>241.85</v>
      </c>
      <c r="Y387" s="6"/>
      <c r="Z387" s="6">
        <f ca="1">('TUSD BE'!$AM$48+'TUSD BF_350'!$AM$48+'TUSD CVA'!$AM$48)*1</f>
        <v>376.13343594836397</v>
      </c>
      <c r="AA387" s="6">
        <f ca="1">('TE BE'!$AB$39+'TE BF_350'!$AB$39+'TE CVA'!$AB$39)*1</f>
        <v>227.55060294064452</v>
      </c>
      <c r="AB387" s="6">
        <f>$K$387*$V$387</f>
        <v>0</v>
      </c>
      <c r="AC387" s="6">
        <f>$M$387*$W$387</f>
        <v>25845.776999999998</v>
      </c>
      <c r="AD387" s="6">
        <f>$O$387*$X$387</f>
        <v>18762.722999999998</v>
      </c>
      <c r="AE387" s="6">
        <f>$K$387*$Y$387</f>
        <v>0</v>
      </c>
      <c r="AF387" s="6">
        <f ca="1">$M$387*$Z$387</f>
        <v>29180.431960874077</v>
      </c>
      <c r="AG387" s="6">
        <f ca="1">$O$387*$AA$387</f>
        <v>17653.375776135203</v>
      </c>
    </row>
    <row r="388" spans="1:33" ht="11.25" customHeight="1" x14ac:dyDescent="0.25">
      <c r="A388" s="4" t="s">
        <v>21</v>
      </c>
      <c r="B388" s="4" t="s">
        <v>32</v>
      </c>
      <c r="C388" s="4" t="s">
        <v>23</v>
      </c>
      <c r="D388" s="4" t="s">
        <v>33</v>
      </c>
      <c r="E388" s="4" t="s">
        <v>25</v>
      </c>
      <c r="F388" s="4" t="s">
        <v>25</v>
      </c>
      <c r="G388" s="4" t="s">
        <v>25</v>
      </c>
      <c r="H388" s="4" t="s">
        <v>25</v>
      </c>
      <c r="I388" s="5">
        <v>44409</v>
      </c>
      <c r="J388" s="6">
        <v>0</v>
      </c>
      <c r="K388" s="6">
        <v>0</v>
      </c>
      <c r="L388" s="6">
        <v>84.409000000000006</v>
      </c>
      <c r="M388" s="6">
        <v>84.409000000000006</v>
      </c>
      <c r="N388" s="6">
        <v>84.409000000000006</v>
      </c>
      <c r="O388" s="6">
        <v>84.409000000000006</v>
      </c>
      <c r="P388" s="6">
        <v>53</v>
      </c>
      <c r="Q388" s="4" t="s">
        <v>26</v>
      </c>
      <c r="R388" s="4">
        <v>0</v>
      </c>
      <c r="S388" s="6">
        <v>0</v>
      </c>
      <c r="T388" s="6">
        <v>46</v>
      </c>
      <c r="U388" s="6">
        <v>83</v>
      </c>
      <c r="V388" s="6">
        <f>IF(ISERROR(VLOOKUP($S$388,'TAR FIN'!$A$1:$O$85,15,0)),0,VLOOKUP($S$388,'TAR FIN'!$A$1:$O$85,15,0))</f>
        <v>0</v>
      </c>
      <c r="W388" s="6">
        <f>IF(ISERROR(VLOOKUP($T$388,'TAR FIN'!$A$1:$O$85,15,0)),0,VLOOKUP($T$388,'TAR FIN'!$A$1:$O$85,15,0))</f>
        <v>333.15</v>
      </c>
      <c r="X388" s="6">
        <f>IF(ISERROR(VLOOKUP($U$388,'TAR FIN'!$A$1:$O$85,15,0)),0,VLOOKUP($U$388,'TAR FIN'!$A$1:$O$85,15,0))</f>
        <v>241.85</v>
      </c>
      <c r="Y388" s="6"/>
      <c r="Z388" s="6">
        <f ca="1">('TUSD BE'!$AM$48+'TUSD BF_350'!$AM$48+'TUSD CVA'!$AM$48)*1</f>
        <v>376.13343594836397</v>
      </c>
      <c r="AA388" s="6">
        <f ca="1">('TE BE'!$AB$39+'TE BF_350'!$AB$39+'TE CVA'!$AB$39)*1</f>
        <v>227.55060294064452</v>
      </c>
      <c r="AB388" s="6">
        <f>$K$388*$V$388</f>
        <v>0</v>
      </c>
      <c r="AC388" s="6">
        <f>$M$388*$W$388</f>
        <v>28120.858349999999</v>
      </c>
      <c r="AD388" s="6">
        <f>$O$388*$X$388</f>
        <v>20414.316650000001</v>
      </c>
      <c r="AE388" s="6">
        <f>$K$388*$Y$388</f>
        <v>0</v>
      </c>
      <c r="AF388" s="6">
        <f ca="1">$M$388*$Z$388</f>
        <v>31749.047194965457</v>
      </c>
      <c r="AG388" s="6">
        <f ca="1">$O$388*$AA$388</f>
        <v>19207.318843616864</v>
      </c>
    </row>
    <row r="389" spans="1:33" ht="11.25" customHeight="1" x14ac:dyDescent="0.25">
      <c r="A389" s="4" t="s">
        <v>21</v>
      </c>
      <c r="B389" s="4" t="s">
        <v>32</v>
      </c>
      <c r="C389" s="4" t="s">
        <v>23</v>
      </c>
      <c r="D389" s="4" t="s">
        <v>33</v>
      </c>
      <c r="E389" s="4" t="s">
        <v>25</v>
      </c>
      <c r="F389" s="4" t="s">
        <v>25</v>
      </c>
      <c r="G389" s="4" t="s">
        <v>25</v>
      </c>
      <c r="H389" s="4" t="s">
        <v>25</v>
      </c>
      <c r="I389" s="5">
        <v>44440</v>
      </c>
      <c r="J389" s="6">
        <v>0</v>
      </c>
      <c r="K389" s="6">
        <v>0</v>
      </c>
      <c r="L389" s="6">
        <v>79.796000000000006</v>
      </c>
      <c r="M389" s="6">
        <v>79.796000000000006</v>
      </c>
      <c r="N389" s="6">
        <v>79.796000000000006</v>
      </c>
      <c r="O389" s="6">
        <v>79.796000000000006</v>
      </c>
      <c r="P389" s="6">
        <v>57</v>
      </c>
      <c r="Q389" s="4" t="s">
        <v>26</v>
      </c>
      <c r="R389" s="4">
        <v>0</v>
      </c>
      <c r="S389" s="6">
        <v>0</v>
      </c>
      <c r="T389" s="6">
        <v>46</v>
      </c>
      <c r="U389" s="6">
        <v>83</v>
      </c>
      <c r="V389" s="6">
        <f>IF(ISERROR(VLOOKUP($S$389,'TAR FIN'!$A$1:$O$85,15,0)),0,VLOOKUP($S$389,'TAR FIN'!$A$1:$O$85,15,0))</f>
        <v>0</v>
      </c>
      <c r="W389" s="6">
        <f>IF(ISERROR(VLOOKUP($T$389,'TAR FIN'!$A$1:$O$85,15,0)),0,VLOOKUP($T$389,'TAR FIN'!$A$1:$O$85,15,0))</f>
        <v>333.15</v>
      </c>
      <c r="X389" s="6">
        <f>IF(ISERROR(VLOOKUP($U$389,'TAR FIN'!$A$1:$O$85,15,0)),0,VLOOKUP($U$389,'TAR FIN'!$A$1:$O$85,15,0))</f>
        <v>241.85</v>
      </c>
      <c r="Y389" s="6"/>
      <c r="Z389" s="6">
        <f ca="1">('TUSD BE'!$AM$48+'TUSD BF_350'!$AM$48+'TUSD CVA'!$AM$48)*1</f>
        <v>376.13343594836397</v>
      </c>
      <c r="AA389" s="6">
        <f ca="1">('TE BE'!$AB$39+'TE BF_350'!$AB$39+'TE CVA'!$AB$39)*1</f>
        <v>227.55060294064452</v>
      </c>
      <c r="AB389" s="6">
        <f>$K$389*$V$389</f>
        <v>0</v>
      </c>
      <c r="AC389" s="6">
        <f>$M$389*$W$389</f>
        <v>26584.037400000001</v>
      </c>
      <c r="AD389" s="6">
        <f>$O$389*$X$389</f>
        <v>19298.6626</v>
      </c>
      <c r="AE389" s="6">
        <f>$K$389*$Y$389</f>
        <v>0</v>
      </c>
      <c r="AF389" s="6">
        <f ca="1">$M$389*$Z$389</f>
        <v>30013.943654935654</v>
      </c>
      <c r="AG389" s="6">
        <f ca="1">$O$389*$AA$389</f>
        <v>18157.627912251672</v>
      </c>
    </row>
    <row r="390" spans="1:33" ht="11.25" customHeight="1" x14ac:dyDescent="0.25">
      <c r="A390" s="4" t="s">
        <v>27</v>
      </c>
      <c r="B390" s="4" t="s">
        <v>32</v>
      </c>
      <c r="C390" s="4" t="s">
        <v>23</v>
      </c>
      <c r="D390" s="4" t="s">
        <v>33</v>
      </c>
      <c r="E390" s="4" t="s">
        <v>25</v>
      </c>
      <c r="F390" s="4" t="s">
        <v>25</v>
      </c>
      <c r="G390" s="4" t="s">
        <v>25</v>
      </c>
      <c r="H390" s="4" t="s">
        <v>25</v>
      </c>
      <c r="I390" s="5">
        <v>44440</v>
      </c>
      <c r="J390" s="6">
        <v>0</v>
      </c>
      <c r="K390" s="6">
        <v>0</v>
      </c>
      <c r="L390" s="6">
        <v>0.39500000000000002</v>
      </c>
      <c r="M390" s="6">
        <v>0.39500000000000002</v>
      </c>
      <c r="N390" s="6">
        <v>0.39500000000000002</v>
      </c>
      <c r="O390" s="6">
        <v>0.39500000000000002</v>
      </c>
      <c r="P390" s="6">
        <v>1</v>
      </c>
      <c r="Q390" s="4" t="s">
        <v>26</v>
      </c>
      <c r="R390" s="4">
        <v>0</v>
      </c>
      <c r="S390" s="6">
        <v>0</v>
      </c>
      <c r="T390" s="6">
        <v>46</v>
      </c>
      <c r="U390" s="6">
        <v>83</v>
      </c>
      <c r="V390" s="6">
        <f>IF(ISERROR(VLOOKUP($S$390,'TAR FIN'!$A$1:$O$85,15,0)),0,VLOOKUP($S$390,'TAR FIN'!$A$1:$O$85,15,0))</f>
        <v>0</v>
      </c>
      <c r="W390" s="6">
        <f>IF(ISERROR(VLOOKUP($T$390,'TAR FIN'!$A$1:$O$85,15,0)),0,VLOOKUP($T$390,'TAR FIN'!$A$1:$O$85,15,0))</f>
        <v>333.15</v>
      </c>
      <c r="X390" s="6">
        <f>IF(ISERROR(VLOOKUP($U$390,'TAR FIN'!$A$1:$O$85,15,0)),0,VLOOKUP($U$390,'TAR FIN'!$A$1:$O$85,15,0))</f>
        <v>241.85</v>
      </c>
      <c r="Y390" s="6"/>
      <c r="Z390" s="6">
        <f ca="1">('TUSD BE'!$AM$48+'TUSD BF_350'!$AM$48+'TUSD CVA'!$AM$48)*1</f>
        <v>376.13343594836397</v>
      </c>
      <c r="AA390" s="6">
        <f ca="1">('TE BE'!$AB$39+'TE BF_350'!$AB$39+'TE CVA'!$AB$39)*1</f>
        <v>227.55060294064452</v>
      </c>
      <c r="AB390" s="6">
        <f>$K$390*$V$390</f>
        <v>0</v>
      </c>
      <c r="AC390" s="6">
        <f>$M$390*$W$390</f>
        <v>131.59424999999999</v>
      </c>
      <c r="AD390" s="6">
        <f>$O$390*$X$390</f>
        <v>95.530749999999998</v>
      </c>
      <c r="AE390" s="6">
        <f>$K$390*$Y$390</f>
        <v>0</v>
      </c>
      <c r="AF390" s="6">
        <f ca="1">$M$390*$Z$390</f>
        <v>148.57270719960377</v>
      </c>
      <c r="AG390" s="6">
        <f ca="1">$O$390*$AA$390</f>
        <v>89.882488161554591</v>
      </c>
    </row>
    <row r="391" spans="1:33" ht="11.25" customHeight="1" x14ac:dyDescent="0.25">
      <c r="A391" s="4" t="s">
        <v>21</v>
      </c>
      <c r="B391" s="4" t="s">
        <v>32</v>
      </c>
      <c r="C391" s="4" t="s">
        <v>23</v>
      </c>
      <c r="D391" s="4" t="s">
        <v>33</v>
      </c>
      <c r="E391" s="4" t="s">
        <v>25</v>
      </c>
      <c r="F391" s="4" t="s">
        <v>25</v>
      </c>
      <c r="G391" s="4" t="s">
        <v>25</v>
      </c>
      <c r="H391" s="4" t="s">
        <v>25</v>
      </c>
      <c r="I391" s="5">
        <v>44470</v>
      </c>
      <c r="J391" s="6">
        <v>0</v>
      </c>
      <c r="K391" s="6">
        <v>0</v>
      </c>
      <c r="L391" s="6">
        <v>74.724999999999994</v>
      </c>
      <c r="M391" s="6">
        <v>74.724999999999994</v>
      </c>
      <c r="N391" s="6">
        <v>74.724999999999994</v>
      </c>
      <c r="O391" s="6">
        <v>74.724999999999994</v>
      </c>
      <c r="P391" s="6">
        <v>52</v>
      </c>
      <c r="Q391" s="4" t="s">
        <v>26</v>
      </c>
      <c r="R391" s="4">
        <v>0</v>
      </c>
      <c r="S391" s="6">
        <v>0</v>
      </c>
      <c r="T391" s="6">
        <v>46</v>
      </c>
      <c r="U391" s="6">
        <v>83</v>
      </c>
      <c r="V391" s="6">
        <f>IF(ISERROR(VLOOKUP($S$391,'TAR FIN'!$A$1:$O$85,15,0)),0,VLOOKUP($S$391,'TAR FIN'!$A$1:$O$85,15,0))</f>
        <v>0</v>
      </c>
      <c r="W391" s="6">
        <f>IF(ISERROR(VLOOKUP($T$391,'TAR FIN'!$A$1:$O$85,15,0)),0,VLOOKUP($T$391,'TAR FIN'!$A$1:$O$85,15,0))</f>
        <v>333.15</v>
      </c>
      <c r="X391" s="6">
        <f>IF(ISERROR(VLOOKUP($U$391,'TAR FIN'!$A$1:$O$85,15,0)),0,VLOOKUP($U$391,'TAR FIN'!$A$1:$O$85,15,0))</f>
        <v>241.85</v>
      </c>
      <c r="Y391" s="6"/>
      <c r="Z391" s="6">
        <f ca="1">('TUSD BE'!$AM$48+'TUSD BF_350'!$AM$48+'TUSD CVA'!$AM$48)*1</f>
        <v>376.13343594836397</v>
      </c>
      <c r="AA391" s="6">
        <f ca="1">('TE BE'!$AB$39+'TE BF_350'!$AB$39+'TE CVA'!$AB$39)*1</f>
        <v>227.55060294064452</v>
      </c>
      <c r="AB391" s="6">
        <f>$K$391*$V$391</f>
        <v>0</v>
      </c>
      <c r="AC391" s="6">
        <f>$M$391*$W$391</f>
        <v>24894.633749999997</v>
      </c>
      <c r="AD391" s="6">
        <f>$O$391*$X$391</f>
        <v>18072.241249999999</v>
      </c>
      <c r="AE391" s="6">
        <f>$K$391*$Y$391</f>
        <v>0</v>
      </c>
      <c r="AF391" s="6">
        <f ca="1">$M$391*$Z$391</f>
        <v>28106.571001241497</v>
      </c>
      <c r="AG391" s="6">
        <f ca="1">$O$391*$AA$391</f>
        <v>17003.718804739659</v>
      </c>
    </row>
    <row r="392" spans="1:33" ht="11.25" customHeight="1" x14ac:dyDescent="0.25">
      <c r="A392" s="4" t="s">
        <v>27</v>
      </c>
      <c r="B392" s="4" t="s">
        <v>32</v>
      </c>
      <c r="C392" s="4" t="s">
        <v>23</v>
      </c>
      <c r="D392" s="4" t="s">
        <v>33</v>
      </c>
      <c r="E392" s="4" t="s">
        <v>25</v>
      </c>
      <c r="F392" s="4" t="s">
        <v>25</v>
      </c>
      <c r="G392" s="4" t="s">
        <v>25</v>
      </c>
      <c r="H392" s="4" t="s">
        <v>25</v>
      </c>
      <c r="I392" s="5">
        <v>44470</v>
      </c>
      <c r="J392" s="6">
        <v>0</v>
      </c>
      <c r="K392" s="6">
        <v>0</v>
      </c>
      <c r="L392" s="6">
        <v>0.68400000000000005</v>
      </c>
      <c r="M392" s="6">
        <v>0.68400000000000005</v>
      </c>
      <c r="N392" s="6">
        <v>0.68400000000000005</v>
      </c>
      <c r="O392" s="6">
        <v>0.68400000000000005</v>
      </c>
      <c r="P392" s="6">
        <v>2</v>
      </c>
      <c r="Q392" s="4" t="s">
        <v>26</v>
      </c>
      <c r="R392" s="4">
        <v>0</v>
      </c>
      <c r="S392" s="6">
        <v>0</v>
      </c>
      <c r="T392" s="6">
        <v>46</v>
      </c>
      <c r="U392" s="6">
        <v>83</v>
      </c>
      <c r="V392" s="6">
        <f>IF(ISERROR(VLOOKUP($S$392,'TAR FIN'!$A$1:$O$85,15,0)),0,VLOOKUP($S$392,'TAR FIN'!$A$1:$O$85,15,0))</f>
        <v>0</v>
      </c>
      <c r="W392" s="6">
        <f>IF(ISERROR(VLOOKUP($T$392,'TAR FIN'!$A$1:$O$85,15,0)),0,VLOOKUP($T$392,'TAR FIN'!$A$1:$O$85,15,0))</f>
        <v>333.15</v>
      </c>
      <c r="X392" s="6">
        <f>IF(ISERROR(VLOOKUP($U$392,'TAR FIN'!$A$1:$O$85,15,0)),0,VLOOKUP($U$392,'TAR FIN'!$A$1:$O$85,15,0))</f>
        <v>241.85</v>
      </c>
      <c r="Y392" s="6"/>
      <c r="Z392" s="6">
        <f ca="1">('TUSD BE'!$AM$48+'TUSD BF_350'!$AM$48+'TUSD CVA'!$AM$48)*1</f>
        <v>376.13343594836397</v>
      </c>
      <c r="AA392" s="6">
        <f ca="1">('TE BE'!$AB$39+'TE BF_350'!$AB$39+'TE CVA'!$AB$39)*1</f>
        <v>227.55060294064452</v>
      </c>
      <c r="AB392" s="6">
        <f>$K$392*$V$392</f>
        <v>0</v>
      </c>
      <c r="AC392" s="6">
        <f>$M$392*$W$392</f>
        <v>227.87460000000002</v>
      </c>
      <c r="AD392" s="6">
        <f>$O$392*$X$392</f>
        <v>165.4254</v>
      </c>
      <c r="AE392" s="6">
        <f>$K$392*$Y$392</f>
        <v>0</v>
      </c>
      <c r="AF392" s="6">
        <f ca="1">$M$392*$Z$392</f>
        <v>257.27527018868096</v>
      </c>
      <c r="AG392" s="6">
        <f ca="1">$O$392*$AA$392</f>
        <v>155.64461241140086</v>
      </c>
    </row>
    <row r="393" spans="1:33" ht="11.25" customHeight="1" x14ac:dyDescent="0.25">
      <c r="A393" s="4" t="s">
        <v>21</v>
      </c>
      <c r="B393" s="4" t="s">
        <v>32</v>
      </c>
      <c r="C393" s="4" t="s">
        <v>23</v>
      </c>
      <c r="D393" s="4" t="s">
        <v>33</v>
      </c>
      <c r="E393" s="4" t="s">
        <v>25</v>
      </c>
      <c r="F393" s="4" t="s">
        <v>25</v>
      </c>
      <c r="G393" s="4" t="s">
        <v>25</v>
      </c>
      <c r="H393" s="4" t="s">
        <v>25</v>
      </c>
      <c r="I393" s="5">
        <v>44501</v>
      </c>
      <c r="J393" s="6">
        <v>0</v>
      </c>
      <c r="K393" s="6">
        <v>0</v>
      </c>
      <c r="L393" s="6">
        <v>80.14</v>
      </c>
      <c r="M393" s="6">
        <v>80.14</v>
      </c>
      <c r="N393" s="6">
        <v>80.14</v>
      </c>
      <c r="O393" s="6">
        <v>80.14</v>
      </c>
      <c r="P393" s="6">
        <v>51</v>
      </c>
      <c r="Q393" s="4" t="s">
        <v>26</v>
      </c>
      <c r="R393" s="4">
        <v>0</v>
      </c>
      <c r="S393" s="6">
        <v>0</v>
      </c>
      <c r="T393" s="6">
        <v>46</v>
      </c>
      <c r="U393" s="6">
        <v>83</v>
      </c>
      <c r="V393" s="6">
        <f>IF(ISERROR(VLOOKUP($S$393,'TAR FIN'!$A$1:$O$85,15,0)),0,VLOOKUP($S$393,'TAR FIN'!$A$1:$O$85,15,0))</f>
        <v>0</v>
      </c>
      <c r="W393" s="6">
        <f>IF(ISERROR(VLOOKUP($T$393,'TAR FIN'!$A$1:$O$85,15,0)),0,VLOOKUP($T$393,'TAR FIN'!$A$1:$O$85,15,0))</f>
        <v>333.15</v>
      </c>
      <c r="X393" s="6">
        <f>IF(ISERROR(VLOOKUP($U$393,'TAR FIN'!$A$1:$O$85,15,0)),0,VLOOKUP($U$393,'TAR FIN'!$A$1:$O$85,15,0))</f>
        <v>241.85</v>
      </c>
      <c r="Y393" s="6"/>
      <c r="Z393" s="6">
        <f ca="1">('TUSD BE'!$AM$48+'TUSD BF_350'!$AM$48+'TUSD CVA'!$AM$48)*1</f>
        <v>376.13343594836397</v>
      </c>
      <c r="AA393" s="6">
        <f ca="1">('TE BE'!$AB$39+'TE BF_350'!$AB$39+'TE CVA'!$AB$39)*1</f>
        <v>227.55060294064452</v>
      </c>
      <c r="AB393" s="6">
        <f>$K$393*$V$393</f>
        <v>0</v>
      </c>
      <c r="AC393" s="6">
        <f>$M$393*$W$393</f>
        <v>26698.641</v>
      </c>
      <c r="AD393" s="6">
        <f>$O$393*$X$393</f>
        <v>19381.859</v>
      </c>
      <c r="AE393" s="6">
        <f>$K$393*$Y$393</f>
        <v>0</v>
      </c>
      <c r="AF393" s="6">
        <f ca="1">$M$393*$Z$393</f>
        <v>30143.333556901889</v>
      </c>
      <c r="AG393" s="6">
        <f ca="1">$O$393*$AA$393</f>
        <v>18235.905319663252</v>
      </c>
    </row>
    <row r="394" spans="1:33" ht="11.25" customHeight="1" x14ac:dyDescent="0.25">
      <c r="A394" s="4" t="s">
        <v>27</v>
      </c>
      <c r="B394" s="4" t="s">
        <v>32</v>
      </c>
      <c r="C394" s="4" t="s">
        <v>23</v>
      </c>
      <c r="D394" s="4" t="s">
        <v>33</v>
      </c>
      <c r="E394" s="4" t="s">
        <v>25</v>
      </c>
      <c r="F394" s="4" t="s">
        <v>25</v>
      </c>
      <c r="G394" s="4" t="s">
        <v>25</v>
      </c>
      <c r="H394" s="4" t="s">
        <v>25</v>
      </c>
      <c r="I394" s="5">
        <v>44501</v>
      </c>
      <c r="J394" s="6">
        <v>0</v>
      </c>
      <c r="K394" s="6">
        <v>0</v>
      </c>
      <c r="L394" s="6">
        <v>0.2</v>
      </c>
      <c r="M394" s="6">
        <v>0.2</v>
      </c>
      <c r="N394" s="6">
        <v>0.2</v>
      </c>
      <c r="O394" s="6">
        <v>0.2</v>
      </c>
      <c r="P394" s="6">
        <v>2</v>
      </c>
      <c r="Q394" s="4" t="s">
        <v>26</v>
      </c>
      <c r="R394" s="4">
        <v>0</v>
      </c>
      <c r="S394" s="6">
        <v>0</v>
      </c>
      <c r="T394" s="6">
        <v>46</v>
      </c>
      <c r="U394" s="6">
        <v>83</v>
      </c>
      <c r="V394" s="6">
        <f>IF(ISERROR(VLOOKUP($S$394,'TAR FIN'!$A$1:$O$85,15,0)),0,VLOOKUP($S$394,'TAR FIN'!$A$1:$O$85,15,0))</f>
        <v>0</v>
      </c>
      <c r="W394" s="6">
        <f>IF(ISERROR(VLOOKUP($T$394,'TAR FIN'!$A$1:$O$85,15,0)),0,VLOOKUP($T$394,'TAR FIN'!$A$1:$O$85,15,0))</f>
        <v>333.15</v>
      </c>
      <c r="X394" s="6">
        <f>IF(ISERROR(VLOOKUP($U$394,'TAR FIN'!$A$1:$O$85,15,0)),0,VLOOKUP($U$394,'TAR FIN'!$A$1:$O$85,15,0))</f>
        <v>241.85</v>
      </c>
      <c r="Y394" s="6"/>
      <c r="Z394" s="6">
        <f ca="1">('TUSD BE'!$AM$48+'TUSD BF_350'!$AM$48+'TUSD CVA'!$AM$48)*1</f>
        <v>376.13343594836397</v>
      </c>
      <c r="AA394" s="6">
        <f ca="1">('TE BE'!$AB$39+'TE BF_350'!$AB$39+'TE CVA'!$AB$39)*1</f>
        <v>227.55060294064452</v>
      </c>
      <c r="AB394" s="6">
        <f>$K$394*$V$394</f>
        <v>0</v>
      </c>
      <c r="AC394" s="6">
        <f>$M$394*$W$394</f>
        <v>66.63</v>
      </c>
      <c r="AD394" s="6">
        <f>$O$394*$X$394</f>
        <v>48.370000000000005</v>
      </c>
      <c r="AE394" s="6">
        <f>$K$394*$Y$394</f>
        <v>0</v>
      </c>
      <c r="AF394" s="6">
        <f ca="1">$M$394*$Z$394</f>
        <v>75.226687189672802</v>
      </c>
      <c r="AG394" s="6">
        <f ca="1">$O$394*$AA$394</f>
        <v>45.510120588128906</v>
      </c>
    </row>
    <row r="395" spans="1:33" ht="11.25" customHeight="1" x14ac:dyDescent="0.25">
      <c r="A395" s="4" t="s">
        <v>21</v>
      </c>
      <c r="B395" s="4" t="s">
        <v>32</v>
      </c>
      <c r="C395" s="4" t="s">
        <v>23</v>
      </c>
      <c r="D395" s="4" t="s">
        <v>33</v>
      </c>
      <c r="E395" s="4" t="s">
        <v>25</v>
      </c>
      <c r="F395" s="4" t="s">
        <v>25</v>
      </c>
      <c r="G395" s="4" t="s">
        <v>25</v>
      </c>
      <c r="H395" s="4" t="s">
        <v>25</v>
      </c>
      <c r="I395" s="5">
        <v>44531</v>
      </c>
      <c r="J395" s="6">
        <v>0</v>
      </c>
      <c r="K395" s="6">
        <v>0</v>
      </c>
      <c r="L395" s="6">
        <v>84.402000000000001</v>
      </c>
      <c r="M395" s="6">
        <v>84.402000000000001</v>
      </c>
      <c r="N395" s="6">
        <v>84.402000000000001</v>
      </c>
      <c r="O395" s="6">
        <v>84.402000000000001</v>
      </c>
      <c r="P395" s="6">
        <v>51</v>
      </c>
      <c r="Q395" s="4" t="s">
        <v>26</v>
      </c>
      <c r="R395" s="4">
        <v>0</v>
      </c>
      <c r="S395" s="6">
        <v>0</v>
      </c>
      <c r="T395" s="6">
        <v>46</v>
      </c>
      <c r="U395" s="6">
        <v>83</v>
      </c>
      <c r="V395" s="6">
        <f>IF(ISERROR(VLOOKUP($S$395,'TAR FIN'!$A$1:$O$85,15,0)),0,VLOOKUP($S$395,'TAR FIN'!$A$1:$O$85,15,0))</f>
        <v>0</v>
      </c>
      <c r="W395" s="6">
        <f>IF(ISERROR(VLOOKUP($T$395,'TAR FIN'!$A$1:$O$85,15,0)),0,VLOOKUP($T$395,'TAR FIN'!$A$1:$O$85,15,0))</f>
        <v>333.15</v>
      </c>
      <c r="X395" s="6">
        <f>IF(ISERROR(VLOOKUP($U$395,'TAR FIN'!$A$1:$O$85,15,0)),0,VLOOKUP($U$395,'TAR FIN'!$A$1:$O$85,15,0))</f>
        <v>241.85</v>
      </c>
      <c r="Y395" s="6"/>
      <c r="Z395" s="6">
        <f ca="1">('TUSD BE'!$AM$48+'TUSD BF_350'!$AM$48+'TUSD CVA'!$AM$48)*1</f>
        <v>376.13343594836397</v>
      </c>
      <c r="AA395" s="6">
        <f ca="1">('TE BE'!$AB$39+'TE BF_350'!$AB$39+'TE CVA'!$AB$39)*1</f>
        <v>227.55060294064452</v>
      </c>
      <c r="AB395" s="6">
        <f>$K$395*$V$395</f>
        <v>0</v>
      </c>
      <c r="AC395" s="6">
        <f>$M$395*$W$395</f>
        <v>28118.526299999998</v>
      </c>
      <c r="AD395" s="6">
        <f>$O$395*$X$395</f>
        <v>20412.6237</v>
      </c>
      <c r="AE395" s="6">
        <f>$K$395*$Y$395</f>
        <v>0</v>
      </c>
      <c r="AF395" s="6">
        <f ca="1">$M$395*$Z$395</f>
        <v>31746.414260913814</v>
      </c>
      <c r="AG395" s="6">
        <f ca="1">$O$395*$AA$395</f>
        <v>19205.72598939628</v>
      </c>
    </row>
    <row r="396" spans="1:33" ht="11.25" customHeight="1" x14ac:dyDescent="0.25">
      <c r="A396" s="4" t="s">
        <v>27</v>
      </c>
      <c r="B396" s="4" t="s">
        <v>32</v>
      </c>
      <c r="C396" s="4" t="s">
        <v>23</v>
      </c>
      <c r="D396" s="4" t="s">
        <v>33</v>
      </c>
      <c r="E396" s="4" t="s">
        <v>25</v>
      </c>
      <c r="F396" s="4" t="s">
        <v>25</v>
      </c>
      <c r="G396" s="4" t="s">
        <v>25</v>
      </c>
      <c r="H396" s="4" t="s">
        <v>25</v>
      </c>
      <c r="I396" s="5">
        <v>44531</v>
      </c>
      <c r="J396" s="6">
        <v>0</v>
      </c>
      <c r="K396" s="6">
        <v>0</v>
      </c>
      <c r="L396" s="6">
        <v>0.21299999999999999</v>
      </c>
      <c r="M396" s="6">
        <v>0.21299999999999999</v>
      </c>
      <c r="N396" s="6">
        <v>0.21299999999999999</v>
      </c>
      <c r="O396" s="6">
        <v>0.21299999999999999</v>
      </c>
      <c r="P396" s="6">
        <v>2</v>
      </c>
      <c r="Q396" s="4" t="s">
        <v>26</v>
      </c>
      <c r="R396" s="4">
        <v>0</v>
      </c>
      <c r="S396" s="6">
        <v>0</v>
      </c>
      <c r="T396" s="6">
        <v>46</v>
      </c>
      <c r="U396" s="6">
        <v>83</v>
      </c>
      <c r="V396" s="6">
        <f>IF(ISERROR(VLOOKUP($S$396,'TAR FIN'!$A$1:$O$85,15,0)),0,VLOOKUP($S$396,'TAR FIN'!$A$1:$O$85,15,0))</f>
        <v>0</v>
      </c>
      <c r="W396" s="6">
        <f>IF(ISERROR(VLOOKUP($T$396,'TAR FIN'!$A$1:$O$85,15,0)),0,VLOOKUP($T$396,'TAR FIN'!$A$1:$O$85,15,0))</f>
        <v>333.15</v>
      </c>
      <c r="X396" s="6">
        <f>IF(ISERROR(VLOOKUP($U$396,'TAR FIN'!$A$1:$O$85,15,0)),0,VLOOKUP($U$396,'TAR FIN'!$A$1:$O$85,15,0))</f>
        <v>241.85</v>
      </c>
      <c r="Y396" s="6"/>
      <c r="Z396" s="6">
        <f ca="1">('TUSD BE'!$AM$48+'TUSD BF_350'!$AM$48+'TUSD CVA'!$AM$48)*1</f>
        <v>376.13343594836397</v>
      </c>
      <c r="AA396" s="6">
        <f ca="1">('TE BE'!$AB$39+'TE BF_350'!$AB$39+'TE CVA'!$AB$39)*1</f>
        <v>227.55060294064452</v>
      </c>
      <c r="AB396" s="6">
        <f>$K$396*$V$396</f>
        <v>0</v>
      </c>
      <c r="AC396" s="6">
        <f>$M$396*$W$396</f>
        <v>70.960949999999997</v>
      </c>
      <c r="AD396" s="6">
        <f>$O$396*$X$396</f>
        <v>51.514049999999997</v>
      </c>
      <c r="AE396" s="6">
        <f>$K$396*$Y$396</f>
        <v>0</v>
      </c>
      <c r="AF396" s="6">
        <f ca="1">$M$396*$Z$396</f>
        <v>80.116421857001527</v>
      </c>
      <c r="AG396" s="6">
        <f ca="1">$O$396*$AA$396</f>
        <v>48.46827842635728</v>
      </c>
    </row>
    <row r="397" spans="1:33" ht="11.25" customHeight="1" x14ac:dyDescent="0.25">
      <c r="A397" s="4" t="s">
        <v>21</v>
      </c>
      <c r="B397" s="4" t="s">
        <v>32</v>
      </c>
      <c r="C397" s="4" t="s">
        <v>23</v>
      </c>
      <c r="D397" s="4" t="s">
        <v>33</v>
      </c>
      <c r="E397" s="4" t="s">
        <v>25</v>
      </c>
      <c r="F397" s="4" t="s">
        <v>25</v>
      </c>
      <c r="G397" s="4" t="s">
        <v>25</v>
      </c>
      <c r="H397" s="4" t="s">
        <v>25</v>
      </c>
      <c r="I397" s="5">
        <v>44562</v>
      </c>
      <c r="J397" s="6">
        <v>0</v>
      </c>
      <c r="K397" s="6">
        <v>0</v>
      </c>
      <c r="L397" s="6">
        <v>76.555999999999997</v>
      </c>
      <c r="M397" s="6">
        <v>76.555999999999997</v>
      </c>
      <c r="N397" s="6">
        <v>76.555999999999997</v>
      </c>
      <c r="O397" s="6">
        <v>76.555999999999997</v>
      </c>
      <c r="P397" s="6">
        <v>50</v>
      </c>
      <c r="Q397" s="4" t="s">
        <v>26</v>
      </c>
      <c r="R397" s="4">
        <v>0</v>
      </c>
      <c r="S397" s="6">
        <v>0</v>
      </c>
      <c r="T397" s="6">
        <v>46</v>
      </c>
      <c r="U397" s="6">
        <v>83</v>
      </c>
      <c r="V397" s="6">
        <f>IF(ISERROR(VLOOKUP($S$397,'TAR FIN'!$A$1:$O$85,15,0)),0,VLOOKUP($S$397,'TAR FIN'!$A$1:$O$85,15,0))</f>
        <v>0</v>
      </c>
      <c r="W397" s="6">
        <f>IF(ISERROR(VLOOKUP($T$397,'TAR FIN'!$A$1:$O$85,15,0)),0,VLOOKUP($T$397,'TAR FIN'!$A$1:$O$85,15,0))</f>
        <v>333.15</v>
      </c>
      <c r="X397" s="6">
        <f>IF(ISERROR(VLOOKUP($U$397,'TAR FIN'!$A$1:$O$85,15,0)),0,VLOOKUP($U$397,'TAR FIN'!$A$1:$O$85,15,0))</f>
        <v>241.85</v>
      </c>
      <c r="Y397" s="6"/>
      <c r="Z397" s="6">
        <f ca="1">('TUSD BE'!$AM$48+'TUSD BF_350'!$AM$48+'TUSD CVA'!$AM$48)*1</f>
        <v>376.13343594836397</v>
      </c>
      <c r="AA397" s="6">
        <f ca="1">('TE BE'!$AB$39+'TE BF_350'!$AB$39+'TE CVA'!$AB$39)*1</f>
        <v>227.55060294064452</v>
      </c>
      <c r="AB397" s="6">
        <f>$K$397*$V$397</f>
        <v>0</v>
      </c>
      <c r="AC397" s="6">
        <f>$M$397*$W$397</f>
        <v>25504.631399999998</v>
      </c>
      <c r="AD397" s="6">
        <f>$O$397*$X$397</f>
        <v>18515.068599999999</v>
      </c>
      <c r="AE397" s="6">
        <f>$K$397*$Y$397</f>
        <v>0</v>
      </c>
      <c r="AF397" s="6">
        <f ca="1">$M$397*$Z$397</f>
        <v>28795.271322462952</v>
      </c>
      <c r="AG397" s="6">
        <f ca="1">$O$397*$AA$397</f>
        <v>17420.363958723981</v>
      </c>
    </row>
    <row r="398" spans="1:33" ht="11.25" customHeight="1" x14ac:dyDescent="0.25">
      <c r="A398" s="4" t="s">
        <v>27</v>
      </c>
      <c r="B398" s="4" t="s">
        <v>32</v>
      </c>
      <c r="C398" s="4" t="s">
        <v>23</v>
      </c>
      <c r="D398" s="4" t="s">
        <v>33</v>
      </c>
      <c r="E398" s="4" t="s">
        <v>25</v>
      </c>
      <c r="F398" s="4" t="s">
        <v>25</v>
      </c>
      <c r="G398" s="4" t="s">
        <v>25</v>
      </c>
      <c r="H398" s="4" t="s">
        <v>25</v>
      </c>
      <c r="I398" s="5">
        <v>44562</v>
      </c>
      <c r="J398" s="6">
        <v>0</v>
      </c>
      <c r="K398" s="6">
        <v>0</v>
      </c>
      <c r="L398" s="6">
        <v>0.2</v>
      </c>
      <c r="M398" s="6">
        <v>0.2</v>
      </c>
      <c r="N398" s="6">
        <v>0.2</v>
      </c>
      <c r="O398" s="6">
        <v>0.2</v>
      </c>
      <c r="P398" s="6">
        <v>2</v>
      </c>
      <c r="Q398" s="4" t="s">
        <v>26</v>
      </c>
      <c r="R398" s="4">
        <v>0</v>
      </c>
      <c r="S398" s="6">
        <v>0</v>
      </c>
      <c r="T398" s="6">
        <v>46</v>
      </c>
      <c r="U398" s="6">
        <v>83</v>
      </c>
      <c r="V398" s="6">
        <f>IF(ISERROR(VLOOKUP($S$398,'TAR FIN'!$A$1:$O$85,15,0)),0,VLOOKUP($S$398,'TAR FIN'!$A$1:$O$85,15,0))</f>
        <v>0</v>
      </c>
      <c r="W398" s="6">
        <f>IF(ISERROR(VLOOKUP($T$398,'TAR FIN'!$A$1:$O$85,15,0)),0,VLOOKUP($T$398,'TAR FIN'!$A$1:$O$85,15,0))</f>
        <v>333.15</v>
      </c>
      <c r="X398" s="6">
        <f>IF(ISERROR(VLOOKUP($U$398,'TAR FIN'!$A$1:$O$85,15,0)),0,VLOOKUP($U$398,'TAR FIN'!$A$1:$O$85,15,0))</f>
        <v>241.85</v>
      </c>
      <c r="Y398" s="6"/>
      <c r="Z398" s="6">
        <f ca="1">('TUSD BE'!$AM$48+'TUSD BF_350'!$AM$48+'TUSD CVA'!$AM$48)*1</f>
        <v>376.13343594836397</v>
      </c>
      <c r="AA398" s="6">
        <f ca="1">('TE BE'!$AB$39+'TE BF_350'!$AB$39+'TE CVA'!$AB$39)*1</f>
        <v>227.55060294064452</v>
      </c>
      <c r="AB398" s="6">
        <f>$K$398*$V$398</f>
        <v>0</v>
      </c>
      <c r="AC398" s="6">
        <f>$M$398*$W$398</f>
        <v>66.63</v>
      </c>
      <c r="AD398" s="6">
        <f>$O$398*$X$398</f>
        <v>48.370000000000005</v>
      </c>
      <c r="AE398" s="6">
        <f>$K$398*$Y$398</f>
        <v>0</v>
      </c>
      <c r="AF398" s="6">
        <f ca="1">$M$398*$Z$398</f>
        <v>75.226687189672802</v>
      </c>
      <c r="AG398" s="6">
        <f ca="1">$O$398*$AA$398</f>
        <v>45.510120588128906</v>
      </c>
    </row>
    <row r="399" spans="1:33" ht="11.25" customHeight="1" x14ac:dyDescent="0.25">
      <c r="A399" s="4" t="s">
        <v>21</v>
      </c>
      <c r="B399" s="4" t="s">
        <v>32</v>
      </c>
      <c r="C399" s="4" t="s">
        <v>23</v>
      </c>
      <c r="D399" s="4" t="s">
        <v>33</v>
      </c>
      <c r="E399" s="4" t="s">
        <v>25</v>
      </c>
      <c r="F399" s="4" t="s">
        <v>25</v>
      </c>
      <c r="G399" s="4" t="s">
        <v>25</v>
      </c>
      <c r="H399" s="4" t="s">
        <v>25</v>
      </c>
      <c r="I399" s="5">
        <v>44593</v>
      </c>
      <c r="J399" s="6">
        <v>0</v>
      </c>
      <c r="K399" s="6">
        <v>0</v>
      </c>
      <c r="L399" s="6">
        <v>82.58</v>
      </c>
      <c r="M399" s="6">
        <v>82.58</v>
      </c>
      <c r="N399" s="6">
        <v>82.58</v>
      </c>
      <c r="O399" s="6">
        <v>82.58</v>
      </c>
      <c r="P399" s="6">
        <v>51</v>
      </c>
      <c r="Q399" s="4" t="s">
        <v>26</v>
      </c>
      <c r="R399" s="4">
        <v>0</v>
      </c>
      <c r="S399" s="6">
        <v>0</v>
      </c>
      <c r="T399" s="6">
        <v>46</v>
      </c>
      <c r="U399" s="6">
        <v>83</v>
      </c>
      <c r="V399" s="6">
        <f>IF(ISERROR(VLOOKUP($S$399,'TAR FIN'!$A$1:$O$85,15,0)),0,VLOOKUP($S$399,'TAR FIN'!$A$1:$O$85,15,0))</f>
        <v>0</v>
      </c>
      <c r="W399" s="6">
        <f>IF(ISERROR(VLOOKUP($T$399,'TAR FIN'!$A$1:$O$85,15,0)),0,VLOOKUP($T$399,'TAR FIN'!$A$1:$O$85,15,0))</f>
        <v>333.15</v>
      </c>
      <c r="X399" s="6">
        <f>IF(ISERROR(VLOOKUP($U$399,'TAR FIN'!$A$1:$O$85,15,0)),0,VLOOKUP($U$399,'TAR FIN'!$A$1:$O$85,15,0))</f>
        <v>241.85</v>
      </c>
      <c r="Y399" s="6"/>
      <c r="Z399" s="6">
        <f ca="1">('TUSD BE'!$AM$48+'TUSD BF_350'!$AM$48+'TUSD CVA'!$AM$48)*1</f>
        <v>376.13343594836397</v>
      </c>
      <c r="AA399" s="6">
        <f ca="1">('TE BE'!$AB$39+'TE BF_350'!$AB$39+'TE CVA'!$AB$39)*1</f>
        <v>227.55060294064452</v>
      </c>
      <c r="AB399" s="6">
        <f>$K$399*$V$399</f>
        <v>0</v>
      </c>
      <c r="AC399" s="6">
        <f>$M$399*$W$399</f>
        <v>27511.526999999998</v>
      </c>
      <c r="AD399" s="6">
        <f>$O$399*$X$399</f>
        <v>19971.972999999998</v>
      </c>
      <c r="AE399" s="6">
        <f>$K$399*$Y$399</f>
        <v>0</v>
      </c>
      <c r="AF399" s="6">
        <f ca="1">$M$399*$Z$399</f>
        <v>31061.099140615897</v>
      </c>
      <c r="AG399" s="6">
        <f ca="1">$O$399*$AA$399</f>
        <v>18791.128790838426</v>
      </c>
    </row>
    <row r="400" spans="1:33" ht="11.25" customHeight="1" x14ac:dyDescent="0.25">
      <c r="A400" s="4" t="s">
        <v>27</v>
      </c>
      <c r="B400" s="4" t="s">
        <v>32</v>
      </c>
      <c r="C400" s="4" t="s">
        <v>23</v>
      </c>
      <c r="D400" s="4" t="s">
        <v>33</v>
      </c>
      <c r="E400" s="4" t="s">
        <v>25</v>
      </c>
      <c r="F400" s="4" t="s">
        <v>25</v>
      </c>
      <c r="G400" s="4" t="s">
        <v>25</v>
      </c>
      <c r="H400" s="4" t="s">
        <v>25</v>
      </c>
      <c r="I400" s="5">
        <v>44593</v>
      </c>
      <c r="J400" s="6">
        <v>0</v>
      </c>
      <c r="K400" s="6">
        <v>0</v>
      </c>
      <c r="L400" s="6">
        <v>0.2</v>
      </c>
      <c r="M400" s="6">
        <v>0.2</v>
      </c>
      <c r="N400" s="6">
        <v>0.2</v>
      </c>
      <c r="O400" s="6">
        <v>0.2</v>
      </c>
      <c r="P400" s="6">
        <v>2</v>
      </c>
      <c r="Q400" s="4" t="s">
        <v>26</v>
      </c>
      <c r="R400" s="4">
        <v>0</v>
      </c>
      <c r="S400" s="6">
        <v>0</v>
      </c>
      <c r="T400" s="6">
        <v>46</v>
      </c>
      <c r="U400" s="6">
        <v>83</v>
      </c>
      <c r="V400" s="6">
        <f>IF(ISERROR(VLOOKUP($S$400,'TAR FIN'!$A$1:$O$85,15,0)),0,VLOOKUP($S$400,'TAR FIN'!$A$1:$O$85,15,0))</f>
        <v>0</v>
      </c>
      <c r="W400" s="6">
        <f>IF(ISERROR(VLOOKUP($T$400,'TAR FIN'!$A$1:$O$85,15,0)),0,VLOOKUP($T$400,'TAR FIN'!$A$1:$O$85,15,0))</f>
        <v>333.15</v>
      </c>
      <c r="X400" s="6">
        <f>IF(ISERROR(VLOOKUP($U$400,'TAR FIN'!$A$1:$O$85,15,0)),0,VLOOKUP($U$400,'TAR FIN'!$A$1:$O$85,15,0))</f>
        <v>241.85</v>
      </c>
      <c r="Y400" s="6"/>
      <c r="Z400" s="6">
        <f ca="1">('TUSD BE'!$AM$48+'TUSD BF_350'!$AM$48+'TUSD CVA'!$AM$48)*1</f>
        <v>376.13343594836397</v>
      </c>
      <c r="AA400" s="6">
        <f ca="1">('TE BE'!$AB$39+'TE BF_350'!$AB$39+'TE CVA'!$AB$39)*1</f>
        <v>227.55060294064452</v>
      </c>
      <c r="AB400" s="6">
        <f>$K$400*$V$400</f>
        <v>0</v>
      </c>
      <c r="AC400" s="6">
        <f>$M$400*$W$400</f>
        <v>66.63</v>
      </c>
      <c r="AD400" s="6">
        <f>$O$400*$X$400</f>
        <v>48.370000000000005</v>
      </c>
      <c r="AE400" s="6">
        <f>$K$400*$Y$400</f>
        <v>0</v>
      </c>
      <c r="AF400" s="6">
        <f ca="1">$M$400*$Z$400</f>
        <v>75.226687189672802</v>
      </c>
      <c r="AG400" s="6">
        <f ca="1">$O$400*$AA$400</f>
        <v>45.510120588128906</v>
      </c>
    </row>
    <row r="401" spans="1:33" ht="11.25" customHeight="1" x14ac:dyDescent="0.25">
      <c r="A401" s="4" t="s">
        <v>21</v>
      </c>
      <c r="B401" s="4" t="s">
        <v>32</v>
      </c>
      <c r="C401" s="4" t="s">
        <v>23</v>
      </c>
      <c r="D401" s="4" t="s">
        <v>33</v>
      </c>
      <c r="E401" s="4" t="s">
        <v>25</v>
      </c>
      <c r="F401" s="4" t="s">
        <v>25</v>
      </c>
      <c r="G401" s="4" t="s">
        <v>25</v>
      </c>
      <c r="H401" s="4" t="s">
        <v>25</v>
      </c>
      <c r="I401" s="5">
        <v>44621</v>
      </c>
      <c r="J401" s="6">
        <v>0</v>
      </c>
      <c r="K401" s="6">
        <v>0</v>
      </c>
      <c r="L401" s="6">
        <v>75.680999999999997</v>
      </c>
      <c r="M401" s="6">
        <v>75.680999999999997</v>
      </c>
      <c r="N401" s="6">
        <v>75.680999999999997</v>
      </c>
      <c r="O401" s="6">
        <v>75.680999999999997</v>
      </c>
      <c r="P401" s="6">
        <v>51</v>
      </c>
      <c r="Q401" s="4" t="s">
        <v>26</v>
      </c>
      <c r="R401" s="4">
        <v>0</v>
      </c>
      <c r="S401" s="6">
        <v>0</v>
      </c>
      <c r="T401" s="6">
        <v>46</v>
      </c>
      <c r="U401" s="6">
        <v>83</v>
      </c>
      <c r="V401" s="6">
        <f>IF(ISERROR(VLOOKUP($S$401,'TAR FIN'!$A$1:$O$85,15,0)),0,VLOOKUP($S$401,'TAR FIN'!$A$1:$O$85,15,0))</f>
        <v>0</v>
      </c>
      <c r="W401" s="6">
        <f>IF(ISERROR(VLOOKUP($T$401,'TAR FIN'!$A$1:$O$85,15,0)),0,VLOOKUP($T$401,'TAR FIN'!$A$1:$O$85,15,0))</f>
        <v>333.15</v>
      </c>
      <c r="X401" s="6">
        <f>IF(ISERROR(VLOOKUP($U$401,'TAR FIN'!$A$1:$O$85,15,0)),0,VLOOKUP($U$401,'TAR FIN'!$A$1:$O$85,15,0))</f>
        <v>241.85</v>
      </c>
      <c r="Y401" s="6"/>
      <c r="Z401" s="6">
        <f ca="1">('TUSD BE'!$AM$48+'TUSD BF_350'!$AM$48+'TUSD CVA'!$AM$48)*1</f>
        <v>376.13343594836397</v>
      </c>
      <c r="AA401" s="6">
        <f ca="1">('TE BE'!$AB$39+'TE BF_350'!$AB$39+'TE CVA'!$AB$39)*1</f>
        <v>227.55060294064452</v>
      </c>
      <c r="AB401" s="6">
        <f>$K$401*$V$401</f>
        <v>0</v>
      </c>
      <c r="AC401" s="6">
        <f>$M$401*$W$401</f>
        <v>25213.125149999996</v>
      </c>
      <c r="AD401" s="6">
        <f>$O$401*$X$401</f>
        <v>18303.449849999997</v>
      </c>
      <c r="AE401" s="6">
        <f>$K$401*$Y$401</f>
        <v>0</v>
      </c>
      <c r="AF401" s="6">
        <f ca="1">$M$401*$Z$401</f>
        <v>28466.154566008132</v>
      </c>
      <c r="AG401" s="6">
        <f ca="1">$O$401*$AA$401</f>
        <v>17221.257181150919</v>
      </c>
    </row>
    <row r="402" spans="1:33" ht="11.25" customHeight="1" x14ac:dyDescent="0.25">
      <c r="A402" s="4" t="s">
        <v>27</v>
      </c>
      <c r="B402" s="4" t="s">
        <v>32</v>
      </c>
      <c r="C402" s="4" t="s">
        <v>23</v>
      </c>
      <c r="D402" s="4" t="s">
        <v>33</v>
      </c>
      <c r="E402" s="4" t="s">
        <v>25</v>
      </c>
      <c r="F402" s="4" t="s">
        <v>25</v>
      </c>
      <c r="G402" s="4" t="s">
        <v>25</v>
      </c>
      <c r="H402" s="4" t="s">
        <v>25</v>
      </c>
      <c r="I402" s="5">
        <v>44621</v>
      </c>
      <c r="J402" s="6">
        <v>0</v>
      </c>
      <c r="K402" s="6">
        <v>0</v>
      </c>
      <c r="L402" s="6">
        <v>0.2</v>
      </c>
      <c r="M402" s="6">
        <v>0.2</v>
      </c>
      <c r="N402" s="6">
        <v>0.2</v>
      </c>
      <c r="O402" s="6">
        <v>0.2</v>
      </c>
      <c r="P402" s="6">
        <v>2</v>
      </c>
      <c r="Q402" s="4" t="s">
        <v>26</v>
      </c>
      <c r="R402" s="4">
        <v>0</v>
      </c>
      <c r="S402" s="6">
        <v>0</v>
      </c>
      <c r="T402" s="6">
        <v>46</v>
      </c>
      <c r="U402" s="6">
        <v>83</v>
      </c>
      <c r="V402" s="6">
        <f>IF(ISERROR(VLOOKUP($S$402,'TAR FIN'!$A$1:$O$85,15,0)),0,VLOOKUP($S$402,'TAR FIN'!$A$1:$O$85,15,0))</f>
        <v>0</v>
      </c>
      <c r="W402" s="6">
        <f>IF(ISERROR(VLOOKUP($T$402,'TAR FIN'!$A$1:$O$85,15,0)),0,VLOOKUP($T$402,'TAR FIN'!$A$1:$O$85,15,0))</f>
        <v>333.15</v>
      </c>
      <c r="X402" s="6">
        <f>IF(ISERROR(VLOOKUP($U$402,'TAR FIN'!$A$1:$O$85,15,0)),0,VLOOKUP($U$402,'TAR FIN'!$A$1:$O$85,15,0))</f>
        <v>241.85</v>
      </c>
      <c r="Y402" s="6"/>
      <c r="Z402" s="6">
        <f ca="1">('TUSD BE'!$AM$48+'TUSD BF_350'!$AM$48+'TUSD CVA'!$AM$48)*1</f>
        <v>376.13343594836397</v>
      </c>
      <c r="AA402" s="6">
        <f ca="1">('TE BE'!$AB$39+'TE BF_350'!$AB$39+'TE CVA'!$AB$39)*1</f>
        <v>227.55060294064452</v>
      </c>
      <c r="AB402" s="6">
        <f>$K$402*$V$402</f>
        <v>0</v>
      </c>
      <c r="AC402" s="6">
        <f>$M$402*$W$402</f>
        <v>66.63</v>
      </c>
      <c r="AD402" s="6">
        <f>$O$402*$X$402</f>
        <v>48.370000000000005</v>
      </c>
      <c r="AE402" s="6">
        <f>$K$402*$Y$402</f>
        <v>0</v>
      </c>
      <c r="AF402" s="6">
        <f ca="1">$M$402*$Z$402</f>
        <v>75.226687189672802</v>
      </c>
      <c r="AG402" s="6">
        <f ca="1">$O$402*$AA$402</f>
        <v>45.510120588128906</v>
      </c>
    </row>
    <row r="403" spans="1:33" ht="11.25" customHeight="1" x14ac:dyDescent="0.25">
      <c r="A403" s="4" t="s">
        <v>21</v>
      </c>
      <c r="B403" s="4" t="s">
        <v>32</v>
      </c>
      <c r="C403" s="4" t="s">
        <v>23</v>
      </c>
      <c r="D403" s="4" t="s">
        <v>33</v>
      </c>
      <c r="E403" s="4" t="s">
        <v>25</v>
      </c>
      <c r="F403" s="4" t="s">
        <v>25</v>
      </c>
      <c r="G403" s="4" t="s">
        <v>25</v>
      </c>
      <c r="H403" s="4" t="s">
        <v>25</v>
      </c>
      <c r="I403" s="5">
        <v>44652</v>
      </c>
      <c r="J403" s="6">
        <v>0</v>
      </c>
      <c r="K403" s="6">
        <v>0</v>
      </c>
      <c r="L403" s="6">
        <v>59.23</v>
      </c>
      <c r="M403" s="6">
        <v>59.23</v>
      </c>
      <c r="N403" s="6">
        <v>59.23</v>
      </c>
      <c r="O403" s="6">
        <v>59.23</v>
      </c>
      <c r="P403" s="6">
        <v>50</v>
      </c>
      <c r="Q403" s="4" t="s">
        <v>26</v>
      </c>
      <c r="R403" s="4">
        <v>0</v>
      </c>
      <c r="S403" s="6">
        <v>0</v>
      </c>
      <c r="T403" s="6">
        <v>46</v>
      </c>
      <c r="U403" s="6">
        <v>83</v>
      </c>
      <c r="V403" s="6">
        <f>IF(ISERROR(VLOOKUP($S$403,'TAR FIN'!$A$1:$O$85,15,0)),0,VLOOKUP($S$403,'TAR FIN'!$A$1:$O$85,15,0))</f>
        <v>0</v>
      </c>
      <c r="W403" s="6">
        <f>IF(ISERROR(VLOOKUP($T$403,'TAR FIN'!$A$1:$O$85,15,0)),0,VLOOKUP($T$403,'TAR FIN'!$A$1:$O$85,15,0))</f>
        <v>333.15</v>
      </c>
      <c r="X403" s="6">
        <f>IF(ISERROR(VLOOKUP($U$403,'TAR FIN'!$A$1:$O$85,15,0)),0,VLOOKUP($U$403,'TAR FIN'!$A$1:$O$85,15,0))</f>
        <v>241.85</v>
      </c>
      <c r="Y403" s="6"/>
      <c r="Z403" s="6">
        <f ca="1">('TUSD BE'!$AM$48+'TUSD BF_350'!$AM$48+'TUSD CVA'!$AM$48)*1</f>
        <v>376.13343594836397</v>
      </c>
      <c r="AA403" s="6">
        <f ca="1">('TE BE'!$AB$39+'TE BF_350'!$AB$39+'TE CVA'!$AB$39)*1</f>
        <v>227.55060294064452</v>
      </c>
      <c r="AB403" s="6">
        <f>$K$403*$V$403</f>
        <v>0</v>
      </c>
      <c r="AC403" s="6">
        <f>$M$403*$W$403</f>
        <v>19732.474499999997</v>
      </c>
      <c r="AD403" s="6">
        <f>$O$403*$X$403</f>
        <v>14324.7755</v>
      </c>
      <c r="AE403" s="6">
        <f>$K$403*$Y$403</f>
        <v>0</v>
      </c>
      <c r="AF403" s="6">
        <f ca="1">$M$403*$Z$403</f>
        <v>22278.383411221595</v>
      </c>
      <c r="AG403" s="6">
        <f ca="1">$O$403*$AA$403</f>
        <v>13477.822212174375</v>
      </c>
    </row>
    <row r="404" spans="1:33" ht="11.25" customHeight="1" x14ac:dyDescent="0.25">
      <c r="A404" s="4" t="s">
        <v>27</v>
      </c>
      <c r="B404" s="4" t="s">
        <v>32</v>
      </c>
      <c r="C404" s="4" t="s">
        <v>23</v>
      </c>
      <c r="D404" s="4" t="s">
        <v>33</v>
      </c>
      <c r="E404" s="4" t="s">
        <v>25</v>
      </c>
      <c r="F404" s="4" t="s">
        <v>25</v>
      </c>
      <c r="G404" s="4" t="s">
        <v>25</v>
      </c>
      <c r="H404" s="4" t="s">
        <v>25</v>
      </c>
      <c r="I404" s="5">
        <v>44652</v>
      </c>
      <c r="J404" s="6">
        <v>0</v>
      </c>
      <c r="K404" s="6">
        <v>0</v>
      </c>
      <c r="L404" s="6">
        <v>7.2889999999999997</v>
      </c>
      <c r="M404" s="6">
        <v>7.2889999999999997</v>
      </c>
      <c r="N404" s="6">
        <v>7.2889999999999997</v>
      </c>
      <c r="O404" s="6">
        <v>7.2889999999999997</v>
      </c>
      <c r="P404" s="6">
        <v>3</v>
      </c>
      <c r="Q404" s="4" t="s">
        <v>26</v>
      </c>
      <c r="R404" s="4">
        <v>0</v>
      </c>
      <c r="S404" s="6">
        <v>0</v>
      </c>
      <c r="T404" s="6">
        <v>46</v>
      </c>
      <c r="U404" s="6">
        <v>83</v>
      </c>
      <c r="V404" s="6">
        <f>IF(ISERROR(VLOOKUP($S$404,'TAR FIN'!$A$1:$O$85,15,0)),0,VLOOKUP($S$404,'TAR FIN'!$A$1:$O$85,15,0))</f>
        <v>0</v>
      </c>
      <c r="W404" s="6">
        <f>IF(ISERROR(VLOOKUP($T$404,'TAR FIN'!$A$1:$O$85,15,0)),0,VLOOKUP($T$404,'TAR FIN'!$A$1:$O$85,15,0))</f>
        <v>333.15</v>
      </c>
      <c r="X404" s="6">
        <f>IF(ISERROR(VLOOKUP($U$404,'TAR FIN'!$A$1:$O$85,15,0)),0,VLOOKUP($U$404,'TAR FIN'!$A$1:$O$85,15,0))</f>
        <v>241.85</v>
      </c>
      <c r="Y404" s="6"/>
      <c r="Z404" s="6">
        <f ca="1">('TUSD BE'!$AM$48+'TUSD BF_350'!$AM$48+'TUSD CVA'!$AM$48)*1</f>
        <v>376.13343594836397</v>
      </c>
      <c r="AA404" s="6">
        <f ca="1">('TE BE'!$AB$39+'TE BF_350'!$AB$39+'TE CVA'!$AB$39)*1</f>
        <v>227.55060294064452</v>
      </c>
      <c r="AB404" s="6">
        <f>$K$404*$V$404</f>
        <v>0</v>
      </c>
      <c r="AC404" s="6">
        <f>$M$404*$W$404</f>
        <v>2428.3303499999997</v>
      </c>
      <c r="AD404" s="6">
        <f>$O$404*$X$404</f>
        <v>1762.8446499999998</v>
      </c>
      <c r="AE404" s="6">
        <f>$K$404*$Y$404</f>
        <v>0</v>
      </c>
      <c r="AF404" s="6">
        <f ca="1">$M$404*$Z$404</f>
        <v>2741.636614627625</v>
      </c>
      <c r="AG404" s="6">
        <f ca="1">$O$404*$AA$404</f>
        <v>1658.616344834358</v>
      </c>
    </row>
    <row r="405" spans="1:33" ht="11.25" customHeight="1" x14ac:dyDescent="0.25">
      <c r="A405" s="4" t="s">
        <v>21</v>
      </c>
      <c r="B405" s="4" t="s">
        <v>32</v>
      </c>
      <c r="C405" s="4" t="s">
        <v>23</v>
      </c>
      <c r="D405" s="4" t="s">
        <v>33</v>
      </c>
      <c r="E405" s="4" t="s">
        <v>25</v>
      </c>
      <c r="F405" s="4" t="s">
        <v>25</v>
      </c>
      <c r="G405" s="4" t="s">
        <v>25</v>
      </c>
      <c r="H405" s="4" t="s">
        <v>25</v>
      </c>
      <c r="I405" s="5">
        <v>44682</v>
      </c>
      <c r="J405" s="6">
        <v>0</v>
      </c>
      <c r="K405" s="6">
        <v>0</v>
      </c>
      <c r="L405" s="6">
        <v>56.985999999999997</v>
      </c>
      <c r="M405" s="6">
        <v>56.985999999999997</v>
      </c>
      <c r="N405" s="6">
        <v>56.985999999999997</v>
      </c>
      <c r="O405" s="6">
        <v>56.985999999999997</v>
      </c>
      <c r="P405" s="6">
        <v>50</v>
      </c>
      <c r="Q405" s="4" t="s">
        <v>26</v>
      </c>
      <c r="R405" s="4">
        <v>0</v>
      </c>
      <c r="S405" s="6">
        <v>0</v>
      </c>
      <c r="T405" s="6">
        <v>46</v>
      </c>
      <c r="U405" s="6">
        <v>83</v>
      </c>
      <c r="V405" s="6">
        <f>IF(ISERROR(VLOOKUP($S$405,'TAR FIN'!$A$1:$O$85,15,0)),0,VLOOKUP($S$405,'TAR FIN'!$A$1:$O$85,15,0))</f>
        <v>0</v>
      </c>
      <c r="W405" s="6">
        <f>IF(ISERROR(VLOOKUP($T$405,'TAR FIN'!$A$1:$O$85,15,0)),0,VLOOKUP($T$405,'TAR FIN'!$A$1:$O$85,15,0))</f>
        <v>333.15</v>
      </c>
      <c r="X405" s="6">
        <f>IF(ISERROR(VLOOKUP($U$405,'TAR FIN'!$A$1:$O$85,15,0)),0,VLOOKUP($U$405,'TAR FIN'!$A$1:$O$85,15,0))</f>
        <v>241.85</v>
      </c>
      <c r="Y405" s="6"/>
      <c r="Z405" s="6">
        <f ca="1">('TUSD BE'!$AM$48+'TUSD BF_350'!$AM$48+'TUSD CVA'!$AM$48)*1</f>
        <v>376.13343594836397</v>
      </c>
      <c r="AA405" s="6">
        <f ca="1">('TE BE'!$AB$39+'TE BF_350'!$AB$39+'TE CVA'!$AB$39)*1</f>
        <v>227.55060294064452</v>
      </c>
      <c r="AB405" s="6">
        <f>$K$405*$V$405</f>
        <v>0</v>
      </c>
      <c r="AC405" s="6">
        <f>$M$405*$W$405</f>
        <v>18984.885899999997</v>
      </c>
      <c r="AD405" s="6">
        <f>$O$405*$X$405</f>
        <v>13782.0641</v>
      </c>
      <c r="AE405" s="6">
        <f>$K$405*$Y$405</f>
        <v>0</v>
      </c>
      <c r="AF405" s="6">
        <f ca="1">$M$405*$Z$405</f>
        <v>21434.339980953468</v>
      </c>
      <c r="AG405" s="6">
        <f ca="1">$O$405*$AA$405</f>
        <v>12967.198659175569</v>
      </c>
    </row>
    <row r="406" spans="1:33" ht="11.25" customHeight="1" x14ac:dyDescent="0.25">
      <c r="A406" s="4" t="s">
        <v>27</v>
      </c>
      <c r="B406" s="4" t="s">
        <v>32</v>
      </c>
      <c r="C406" s="4" t="s">
        <v>23</v>
      </c>
      <c r="D406" s="4" t="s">
        <v>33</v>
      </c>
      <c r="E406" s="4" t="s">
        <v>25</v>
      </c>
      <c r="F406" s="4" t="s">
        <v>25</v>
      </c>
      <c r="G406" s="4" t="s">
        <v>25</v>
      </c>
      <c r="H406" s="4" t="s">
        <v>25</v>
      </c>
      <c r="I406" s="5">
        <v>44682</v>
      </c>
      <c r="J406" s="6">
        <v>0</v>
      </c>
      <c r="K406" s="6">
        <v>0</v>
      </c>
      <c r="L406" s="6">
        <v>7.9249999999999998</v>
      </c>
      <c r="M406" s="6">
        <v>7.9249999999999998</v>
      </c>
      <c r="N406" s="6">
        <v>7.9249999999999998</v>
      </c>
      <c r="O406" s="6">
        <v>7.9249999999999998</v>
      </c>
      <c r="P406" s="6">
        <v>3</v>
      </c>
      <c r="Q406" s="4" t="s">
        <v>26</v>
      </c>
      <c r="R406" s="4">
        <v>0</v>
      </c>
      <c r="S406" s="6">
        <v>0</v>
      </c>
      <c r="T406" s="6">
        <v>46</v>
      </c>
      <c r="U406" s="6">
        <v>83</v>
      </c>
      <c r="V406" s="6">
        <f>IF(ISERROR(VLOOKUP($S$406,'TAR FIN'!$A$1:$O$85,15,0)),0,VLOOKUP($S$406,'TAR FIN'!$A$1:$O$85,15,0))</f>
        <v>0</v>
      </c>
      <c r="W406" s="6">
        <f>IF(ISERROR(VLOOKUP($T$406,'TAR FIN'!$A$1:$O$85,15,0)),0,VLOOKUP($T$406,'TAR FIN'!$A$1:$O$85,15,0))</f>
        <v>333.15</v>
      </c>
      <c r="X406" s="6">
        <f>IF(ISERROR(VLOOKUP($U$406,'TAR FIN'!$A$1:$O$85,15,0)),0,VLOOKUP($U$406,'TAR FIN'!$A$1:$O$85,15,0))</f>
        <v>241.85</v>
      </c>
      <c r="Y406" s="6"/>
      <c r="Z406" s="6">
        <f ca="1">('TUSD BE'!$AM$48+'TUSD BF_350'!$AM$48+'TUSD CVA'!$AM$48)*1</f>
        <v>376.13343594836397</v>
      </c>
      <c r="AA406" s="6">
        <f ca="1">('TE BE'!$AB$39+'TE BF_350'!$AB$39+'TE CVA'!$AB$39)*1</f>
        <v>227.55060294064452</v>
      </c>
      <c r="AB406" s="6">
        <f>$K$406*$V$406</f>
        <v>0</v>
      </c>
      <c r="AC406" s="6">
        <f>$M$406*$W$406</f>
        <v>2640.2137499999999</v>
      </c>
      <c r="AD406" s="6">
        <f>$O$406*$X$406</f>
        <v>1916.6612499999999</v>
      </c>
      <c r="AE406" s="6">
        <f>$K$406*$Y$406</f>
        <v>0</v>
      </c>
      <c r="AF406" s="6">
        <f ca="1">$M$406*$Z$406</f>
        <v>2980.8574798907844</v>
      </c>
      <c r="AG406" s="6">
        <f ca="1">$O$406*$AA$406</f>
        <v>1803.3385283046077</v>
      </c>
    </row>
    <row r="407" spans="1:33" ht="11.25" customHeight="1" x14ac:dyDescent="0.25">
      <c r="A407" s="4" t="s">
        <v>21</v>
      </c>
      <c r="B407" s="4" t="s">
        <v>32</v>
      </c>
      <c r="C407" s="4" t="s">
        <v>23</v>
      </c>
      <c r="D407" s="4" t="s">
        <v>33</v>
      </c>
      <c r="E407" s="4" t="s">
        <v>25</v>
      </c>
      <c r="F407" s="4" t="s">
        <v>25</v>
      </c>
      <c r="G407" s="4" t="s">
        <v>25</v>
      </c>
      <c r="H407" s="4" t="s">
        <v>25</v>
      </c>
      <c r="I407" s="5">
        <v>44713</v>
      </c>
      <c r="J407" s="6">
        <v>0</v>
      </c>
      <c r="K407" s="6">
        <v>0</v>
      </c>
      <c r="L407" s="6">
        <v>58.13</v>
      </c>
      <c r="M407" s="6">
        <v>58.13</v>
      </c>
      <c r="N407" s="6">
        <v>58.13</v>
      </c>
      <c r="O407" s="6">
        <v>58.13</v>
      </c>
      <c r="P407" s="6">
        <v>50</v>
      </c>
      <c r="Q407" s="4" t="s">
        <v>26</v>
      </c>
      <c r="R407" s="4">
        <v>0</v>
      </c>
      <c r="S407" s="6">
        <v>0</v>
      </c>
      <c r="T407" s="6">
        <v>46</v>
      </c>
      <c r="U407" s="6">
        <v>83</v>
      </c>
      <c r="V407" s="6">
        <f>IF(ISERROR(VLOOKUP($S$407,'TAR FIN'!$A$1:$O$85,15,0)),0,VLOOKUP($S$407,'TAR FIN'!$A$1:$O$85,15,0))</f>
        <v>0</v>
      </c>
      <c r="W407" s="6">
        <f>IF(ISERROR(VLOOKUP($T$407,'TAR FIN'!$A$1:$O$85,15,0)),0,VLOOKUP($T$407,'TAR FIN'!$A$1:$O$85,15,0))</f>
        <v>333.15</v>
      </c>
      <c r="X407" s="6">
        <f>IF(ISERROR(VLOOKUP($U$407,'TAR FIN'!$A$1:$O$85,15,0)),0,VLOOKUP($U$407,'TAR FIN'!$A$1:$O$85,15,0))</f>
        <v>241.85</v>
      </c>
      <c r="Y407" s="6"/>
      <c r="Z407" s="6">
        <f ca="1">('TUSD BE'!$AM$48+'TUSD BF_350'!$AM$48+'TUSD CVA'!$AM$48)*1</f>
        <v>376.13343594836397</v>
      </c>
      <c r="AA407" s="6">
        <f ca="1">('TE BE'!$AB$39+'TE BF_350'!$AB$39+'TE CVA'!$AB$39)*1</f>
        <v>227.55060294064452</v>
      </c>
      <c r="AB407" s="6">
        <f>$K$407*$V$407</f>
        <v>0</v>
      </c>
      <c r="AC407" s="6">
        <f>$M$407*$W$407</f>
        <v>19366.0095</v>
      </c>
      <c r="AD407" s="6">
        <f>$O$407*$X$407</f>
        <v>14058.7405</v>
      </c>
      <c r="AE407" s="6">
        <f>$K$407*$Y$407</f>
        <v>0</v>
      </c>
      <c r="AF407" s="6">
        <f ca="1">$M$407*$Z$407</f>
        <v>21864.636631678397</v>
      </c>
      <c r="AG407" s="6">
        <f ca="1">$O$407*$AA$407</f>
        <v>13227.516548939666</v>
      </c>
    </row>
    <row r="408" spans="1:33" ht="11.25" customHeight="1" x14ac:dyDescent="0.25">
      <c r="A408" s="4" t="s">
        <v>27</v>
      </c>
      <c r="B408" s="4" t="s">
        <v>32</v>
      </c>
      <c r="C408" s="4" t="s">
        <v>23</v>
      </c>
      <c r="D408" s="4" t="s">
        <v>33</v>
      </c>
      <c r="E408" s="4" t="s">
        <v>25</v>
      </c>
      <c r="F408" s="4" t="s">
        <v>25</v>
      </c>
      <c r="G408" s="4" t="s">
        <v>25</v>
      </c>
      <c r="H408" s="4" t="s">
        <v>25</v>
      </c>
      <c r="I408" s="5">
        <v>44713</v>
      </c>
      <c r="J408" s="6">
        <v>0</v>
      </c>
      <c r="K408" s="6">
        <v>0</v>
      </c>
      <c r="L408" s="6">
        <v>8.8469999999999995</v>
      </c>
      <c r="M408" s="6">
        <v>8.8469999999999995</v>
      </c>
      <c r="N408" s="6">
        <v>8.8469999999999995</v>
      </c>
      <c r="O408" s="6">
        <v>8.8469999999999995</v>
      </c>
      <c r="P408" s="6">
        <v>3</v>
      </c>
      <c r="Q408" s="4" t="s">
        <v>26</v>
      </c>
      <c r="R408" s="4">
        <v>0</v>
      </c>
      <c r="S408" s="6">
        <v>0</v>
      </c>
      <c r="T408" s="6">
        <v>46</v>
      </c>
      <c r="U408" s="6">
        <v>83</v>
      </c>
      <c r="V408" s="6">
        <f>IF(ISERROR(VLOOKUP($S$408,'TAR FIN'!$A$1:$O$85,15,0)),0,VLOOKUP($S$408,'TAR FIN'!$A$1:$O$85,15,0))</f>
        <v>0</v>
      </c>
      <c r="W408" s="6">
        <f>IF(ISERROR(VLOOKUP($T$408,'TAR FIN'!$A$1:$O$85,15,0)),0,VLOOKUP($T$408,'TAR FIN'!$A$1:$O$85,15,0))</f>
        <v>333.15</v>
      </c>
      <c r="X408" s="6">
        <f>IF(ISERROR(VLOOKUP($U$408,'TAR FIN'!$A$1:$O$85,15,0)),0,VLOOKUP($U$408,'TAR FIN'!$A$1:$O$85,15,0))</f>
        <v>241.85</v>
      </c>
      <c r="Y408" s="6"/>
      <c r="Z408" s="6">
        <f ca="1">('TUSD BE'!$AM$48+'TUSD BF_350'!$AM$48+'TUSD CVA'!$AM$48)*1</f>
        <v>376.13343594836397</v>
      </c>
      <c r="AA408" s="6">
        <f ca="1">('TE BE'!$AB$39+'TE BF_350'!$AB$39+'TE CVA'!$AB$39)*1</f>
        <v>227.55060294064452</v>
      </c>
      <c r="AB408" s="6">
        <f>$K$408*$V$408</f>
        <v>0</v>
      </c>
      <c r="AC408" s="6">
        <f>$M$408*$W$408</f>
        <v>2947.3780499999998</v>
      </c>
      <c r="AD408" s="6">
        <f>$O$408*$X$408</f>
        <v>2139.6469499999998</v>
      </c>
      <c r="AE408" s="6">
        <f>$K$408*$Y$408</f>
        <v>0</v>
      </c>
      <c r="AF408" s="6">
        <f ca="1">$M$408*$Z$408</f>
        <v>3327.652507835176</v>
      </c>
      <c r="AG408" s="6">
        <f ca="1">$O$408*$AA$408</f>
        <v>2013.1401842158821</v>
      </c>
    </row>
    <row r="409" spans="1:33" ht="11.25" customHeight="1" x14ac:dyDescent="0.25">
      <c r="A409" s="4" t="s">
        <v>21</v>
      </c>
      <c r="B409" s="4" t="s">
        <v>32</v>
      </c>
      <c r="C409" s="4" t="s">
        <v>23</v>
      </c>
      <c r="D409" s="4" t="s">
        <v>41</v>
      </c>
      <c r="E409" s="4" t="s">
        <v>25</v>
      </c>
      <c r="F409" s="4" t="s">
        <v>25</v>
      </c>
      <c r="G409" s="4" t="s">
        <v>25</v>
      </c>
      <c r="H409" s="4" t="s">
        <v>25</v>
      </c>
      <c r="I409" s="5">
        <v>44378</v>
      </c>
      <c r="J409" s="6">
        <v>0</v>
      </c>
      <c r="K409" s="6">
        <v>0</v>
      </c>
      <c r="L409" s="6">
        <v>75.864999999999995</v>
      </c>
      <c r="M409" s="6">
        <v>75.864999999999995</v>
      </c>
      <c r="N409" s="6">
        <v>75.864999999999995</v>
      </c>
      <c r="O409" s="6">
        <v>75.864999999999995</v>
      </c>
      <c r="P409" s="6">
        <v>74</v>
      </c>
      <c r="Q409" s="4" t="s">
        <v>26</v>
      </c>
      <c r="R409" s="4">
        <v>0</v>
      </c>
      <c r="S409" s="6">
        <v>0</v>
      </c>
      <c r="T409" s="6">
        <v>46</v>
      </c>
      <c r="U409" s="6">
        <v>83</v>
      </c>
      <c r="V409" s="6">
        <f>IF(ISERROR(VLOOKUP($S$409,'TAR FIN'!$A$1:$O$85,15,0)),0,VLOOKUP($S$409,'TAR FIN'!$A$1:$O$85,15,0))</f>
        <v>0</v>
      </c>
      <c r="W409" s="6">
        <f>IF(ISERROR(VLOOKUP($T$409,'TAR FIN'!$A$1:$O$85,15,0)),0,VLOOKUP($T$409,'TAR FIN'!$A$1:$O$85,15,0))</f>
        <v>333.15</v>
      </c>
      <c r="X409" s="6">
        <f>IF(ISERROR(VLOOKUP($U$409,'TAR FIN'!$A$1:$O$85,15,0)),0,VLOOKUP($U$409,'TAR FIN'!$A$1:$O$85,15,0))</f>
        <v>241.85</v>
      </c>
      <c r="Y409" s="6"/>
      <c r="Z409" s="6">
        <f ca="1">('TUSD BE'!$AM$48+'TUSD BF_350'!$AM$48+'TUSD CVA'!$AM$48)*1</f>
        <v>376.13343594836397</v>
      </c>
      <c r="AA409" s="6">
        <f ca="1">('TE BE'!$AB$39+'TE BF_350'!$AB$39+'TE CVA'!$AB$39)*1</f>
        <v>227.55060294064452</v>
      </c>
      <c r="AB409" s="6">
        <f>$K$409*$V$409</f>
        <v>0</v>
      </c>
      <c r="AC409" s="6">
        <f>$M$409*$W$409</f>
        <v>25274.424749999998</v>
      </c>
      <c r="AD409" s="6">
        <f>$O$409*$X$409</f>
        <v>18347.950249999998</v>
      </c>
      <c r="AE409" s="6">
        <f>$K$409*$Y$409</f>
        <v>0</v>
      </c>
      <c r="AF409" s="6">
        <f ca="1">$M$409*$Z$409</f>
        <v>28535.363118222631</v>
      </c>
      <c r="AG409" s="6">
        <f ca="1">$O$409*$AA$409</f>
        <v>17263.126492091997</v>
      </c>
    </row>
    <row r="410" spans="1:33" ht="11.25" customHeight="1" x14ac:dyDescent="0.25">
      <c r="A410" s="4" t="s">
        <v>21</v>
      </c>
      <c r="B410" s="4" t="s">
        <v>32</v>
      </c>
      <c r="C410" s="4" t="s">
        <v>23</v>
      </c>
      <c r="D410" s="4" t="s">
        <v>41</v>
      </c>
      <c r="E410" s="4" t="s">
        <v>25</v>
      </c>
      <c r="F410" s="4" t="s">
        <v>25</v>
      </c>
      <c r="G410" s="4" t="s">
        <v>25</v>
      </c>
      <c r="H410" s="4" t="s">
        <v>25</v>
      </c>
      <c r="I410" s="5">
        <v>44409</v>
      </c>
      <c r="J410" s="6">
        <v>0</v>
      </c>
      <c r="K410" s="6">
        <v>0</v>
      </c>
      <c r="L410" s="6">
        <v>72.569999999999993</v>
      </c>
      <c r="M410" s="6">
        <v>72.569999999999993</v>
      </c>
      <c r="N410" s="6">
        <v>72.569999999999993</v>
      </c>
      <c r="O410" s="6">
        <v>72.569999999999993</v>
      </c>
      <c r="P410" s="6">
        <v>73</v>
      </c>
      <c r="Q410" s="4" t="s">
        <v>26</v>
      </c>
      <c r="R410" s="4">
        <v>0</v>
      </c>
      <c r="S410" s="6">
        <v>0</v>
      </c>
      <c r="T410" s="6">
        <v>46</v>
      </c>
      <c r="U410" s="6">
        <v>83</v>
      </c>
      <c r="V410" s="6">
        <f>IF(ISERROR(VLOOKUP($S$410,'TAR FIN'!$A$1:$O$85,15,0)),0,VLOOKUP($S$410,'TAR FIN'!$A$1:$O$85,15,0))</f>
        <v>0</v>
      </c>
      <c r="W410" s="6">
        <f>IF(ISERROR(VLOOKUP($T$410,'TAR FIN'!$A$1:$O$85,15,0)),0,VLOOKUP($T$410,'TAR FIN'!$A$1:$O$85,15,0))</f>
        <v>333.15</v>
      </c>
      <c r="X410" s="6">
        <f>IF(ISERROR(VLOOKUP($U$410,'TAR FIN'!$A$1:$O$85,15,0)),0,VLOOKUP($U$410,'TAR FIN'!$A$1:$O$85,15,0))</f>
        <v>241.85</v>
      </c>
      <c r="Y410" s="6"/>
      <c r="Z410" s="6">
        <f ca="1">('TUSD BE'!$AM$48+'TUSD BF_350'!$AM$48+'TUSD CVA'!$AM$48)*1</f>
        <v>376.13343594836397</v>
      </c>
      <c r="AA410" s="6">
        <f ca="1">('TE BE'!$AB$39+'TE BF_350'!$AB$39+'TE CVA'!$AB$39)*1</f>
        <v>227.55060294064452</v>
      </c>
      <c r="AB410" s="6">
        <f>$K$410*$V$410</f>
        <v>0</v>
      </c>
      <c r="AC410" s="6">
        <f>$M$410*$W$410</f>
        <v>24176.695499999994</v>
      </c>
      <c r="AD410" s="6">
        <f>$O$410*$X$410</f>
        <v>17551.054499999998</v>
      </c>
      <c r="AE410" s="6">
        <f>$K$410*$Y$410</f>
        <v>0</v>
      </c>
      <c r="AF410" s="6">
        <f ca="1">$M$410*$Z$410</f>
        <v>27296.003446772771</v>
      </c>
      <c r="AG410" s="6">
        <f ca="1">$O$410*$AA$410</f>
        <v>16513.347255402572</v>
      </c>
    </row>
    <row r="411" spans="1:33" ht="11.25" customHeight="1" x14ac:dyDescent="0.25">
      <c r="A411" s="4" t="s">
        <v>21</v>
      </c>
      <c r="B411" s="4" t="s">
        <v>32</v>
      </c>
      <c r="C411" s="4" t="s">
        <v>23</v>
      </c>
      <c r="D411" s="4" t="s">
        <v>41</v>
      </c>
      <c r="E411" s="4" t="s">
        <v>25</v>
      </c>
      <c r="F411" s="4" t="s">
        <v>25</v>
      </c>
      <c r="G411" s="4" t="s">
        <v>25</v>
      </c>
      <c r="H411" s="4" t="s">
        <v>25</v>
      </c>
      <c r="I411" s="5">
        <v>44440</v>
      </c>
      <c r="J411" s="6">
        <v>0</v>
      </c>
      <c r="K411" s="6">
        <v>0</v>
      </c>
      <c r="L411" s="6">
        <v>56.506</v>
      </c>
      <c r="M411" s="6">
        <v>56.506</v>
      </c>
      <c r="N411" s="6">
        <v>56.506</v>
      </c>
      <c r="O411" s="6">
        <v>56.506</v>
      </c>
      <c r="P411" s="6">
        <v>73</v>
      </c>
      <c r="Q411" s="4" t="s">
        <v>26</v>
      </c>
      <c r="R411" s="4">
        <v>0</v>
      </c>
      <c r="S411" s="6">
        <v>0</v>
      </c>
      <c r="T411" s="6">
        <v>46</v>
      </c>
      <c r="U411" s="6">
        <v>83</v>
      </c>
      <c r="V411" s="6">
        <f>IF(ISERROR(VLOOKUP($S$411,'TAR FIN'!$A$1:$O$85,15,0)),0,VLOOKUP($S$411,'TAR FIN'!$A$1:$O$85,15,0))</f>
        <v>0</v>
      </c>
      <c r="W411" s="6">
        <f>IF(ISERROR(VLOOKUP($T$411,'TAR FIN'!$A$1:$O$85,15,0)),0,VLOOKUP($T$411,'TAR FIN'!$A$1:$O$85,15,0))</f>
        <v>333.15</v>
      </c>
      <c r="X411" s="6">
        <f>IF(ISERROR(VLOOKUP($U$411,'TAR FIN'!$A$1:$O$85,15,0)),0,VLOOKUP($U$411,'TAR FIN'!$A$1:$O$85,15,0))</f>
        <v>241.85</v>
      </c>
      <c r="Y411" s="6"/>
      <c r="Z411" s="6">
        <f ca="1">('TUSD BE'!$AM$48+'TUSD BF_350'!$AM$48+'TUSD CVA'!$AM$48)*1</f>
        <v>376.13343594836397</v>
      </c>
      <c r="AA411" s="6">
        <f ca="1">('TE BE'!$AB$39+'TE BF_350'!$AB$39+'TE CVA'!$AB$39)*1</f>
        <v>227.55060294064452</v>
      </c>
      <c r="AB411" s="6">
        <f>$K$411*$V$411</f>
        <v>0</v>
      </c>
      <c r="AC411" s="6">
        <f>$M$411*$W$411</f>
        <v>18824.973899999997</v>
      </c>
      <c r="AD411" s="6">
        <f>$O$411*$X$411</f>
        <v>13665.9761</v>
      </c>
      <c r="AE411" s="6">
        <f>$K$411*$Y$411</f>
        <v>0</v>
      </c>
      <c r="AF411" s="6">
        <f ca="1">$M$411*$Z$411</f>
        <v>21253.795931698256</v>
      </c>
      <c r="AG411" s="6">
        <f ca="1">$O$411*$AA$411</f>
        <v>12857.974369764059</v>
      </c>
    </row>
    <row r="412" spans="1:33" ht="11.25" customHeight="1" x14ac:dyDescent="0.25">
      <c r="A412" s="4" t="s">
        <v>21</v>
      </c>
      <c r="B412" s="4" t="s">
        <v>32</v>
      </c>
      <c r="C412" s="4" t="s">
        <v>23</v>
      </c>
      <c r="D412" s="4" t="s">
        <v>41</v>
      </c>
      <c r="E412" s="4" t="s">
        <v>25</v>
      </c>
      <c r="F412" s="4" t="s">
        <v>25</v>
      </c>
      <c r="G412" s="4" t="s">
        <v>25</v>
      </c>
      <c r="H412" s="4" t="s">
        <v>25</v>
      </c>
      <c r="I412" s="5">
        <v>44470</v>
      </c>
      <c r="J412" s="6">
        <v>0</v>
      </c>
      <c r="K412" s="6">
        <v>0</v>
      </c>
      <c r="L412" s="6">
        <v>51.398000000000003</v>
      </c>
      <c r="M412" s="6">
        <v>51.398000000000003</v>
      </c>
      <c r="N412" s="6">
        <v>51.398000000000003</v>
      </c>
      <c r="O412" s="6">
        <v>51.398000000000003</v>
      </c>
      <c r="P412" s="6">
        <v>72</v>
      </c>
      <c r="Q412" s="4" t="s">
        <v>26</v>
      </c>
      <c r="R412" s="4">
        <v>0</v>
      </c>
      <c r="S412" s="6">
        <v>0</v>
      </c>
      <c r="T412" s="6">
        <v>46</v>
      </c>
      <c r="U412" s="6">
        <v>83</v>
      </c>
      <c r="V412" s="6">
        <f>IF(ISERROR(VLOOKUP($S$412,'TAR FIN'!$A$1:$O$85,15,0)),0,VLOOKUP($S$412,'TAR FIN'!$A$1:$O$85,15,0))</f>
        <v>0</v>
      </c>
      <c r="W412" s="6">
        <f>IF(ISERROR(VLOOKUP($T$412,'TAR FIN'!$A$1:$O$85,15,0)),0,VLOOKUP($T$412,'TAR FIN'!$A$1:$O$85,15,0))</f>
        <v>333.15</v>
      </c>
      <c r="X412" s="6">
        <f>IF(ISERROR(VLOOKUP($U$412,'TAR FIN'!$A$1:$O$85,15,0)),0,VLOOKUP($U$412,'TAR FIN'!$A$1:$O$85,15,0))</f>
        <v>241.85</v>
      </c>
      <c r="Y412" s="6"/>
      <c r="Z412" s="6">
        <f ca="1">('TUSD BE'!$AM$48+'TUSD BF_350'!$AM$48+'TUSD CVA'!$AM$48)*1</f>
        <v>376.13343594836397</v>
      </c>
      <c r="AA412" s="6">
        <f ca="1">('TE BE'!$AB$39+'TE BF_350'!$AB$39+'TE CVA'!$AB$39)*1</f>
        <v>227.55060294064452</v>
      </c>
      <c r="AB412" s="6">
        <f>$K$412*$V$412</f>
        <v>0</v>
      </c>
      <c r="AC412" s="6">
        <f>$M$412*$W$412</f>
        <v>17123.243699999999</v>
      </c>
      <c r="AD412" s="6">
        <f>$O$412*$X$412</f>
        <v>12430.606300000001</v>
      </c>
      <c r="AE412" s="6">
        <f>$K$412*$Y$412</f>
        <v>0</v>
      </c>
      <c r="AF412" s="6">
        <f ca="1">$M$412*$Z$412</f>
        <v>19332.506340874013</v>
      </c>
      <c r="AG412" s="6">
        <f ca="1">$O$412*$AA$412</f>
        <v>11695.645889943247</v>
      </c>
    </row>
    <row r="413" spans="1:33" ht="11.25" customHeight="1" x14ac:dyDescent="0.25">
      <c r="A413" s="4" t="s">
        <v>21</v>
      </c>
      <c r="B413" s="4" t="s">
        <v>32</v>
      </c>
      <c r="C413" s="4" t="s">
        <v>23</v>
      </c>
      <c r="D413" s="4" t="s">
        <v>41</v>
      </c>
      <c r="E413" s="4" t="s">
        <v>25</v>
      </c>
      <c r="F413" s="4" t="s">
        <v>25</v>
      </c>
      <c r="G413" s="4" t="s">
        <v>25</v>
      </c>
      <c r="H413" s="4" t="s">
        <v>25</v>
      </c>
      <c r="I413" s="5">
        <v>44501</v>
      </c>
      <c r="J413" s="6">
        <v>0</v>
      </c>
      <c r="K413" s="6">
        <v>0</v>
      </c>
      <c r="L413" s="6">
        <v>58.618000000000002</v>
      </c>
      <c r="M413" s="6">
        <v>58.618000000000002</v>
      </c>
      <c r="N413" s="6">
        <v>58.618000000000002</v>
      </c>
      <c r="O413" s="6">
        <v>58.618000000000002</v>
      </c>
      <c r="P413" s="6">
        <v>74</v>
      </c>
      <c r="Q413" s="4" t="s">
        <v>26</v>
      </c>
      <c r="R413" s="4">
        <v>0</v>
      </c>
      <c r="S413" s="6">
        <v>0</v>
      </c>
      <c r="T413" s="6">
        <v>46</v>
      </c>
      <c r="U413" s="6">
        <v>83</v>
      </c>
      <c r="V413" s="6">
        <f>IF(ISERROR(VLOOKUP($S$413,'TAR FIN'!$A$1:$O$85,15,0)),0,VLOOKUP($S$413,'TAR FIN'!$A$1:$O$85,15,0))</f>
        <v>0</v>
      </c>
      <c r="W413" s="6">
        <f>IF(ISERROR(VLOOKUP($T$413,'TAR FIN'!$A$1:$O$85,15,0)),0,VLOOKUP($T$413,'TAR FIN'!$A$1:$O$85,15,0))</f>
        <v>333.15</v>
      </c>
      <c r="X413" s="6">
        <f>IF(ISERROR(VLOOKUP($U$413,'TAR FIN'!$A$1:$O$85,15,0)),0,VLOOKUP($U$413,'TAR FIN'!$A$1:$O$85,15,0))</f>
        <v>241.85</v>
      </c>
      <c r="Y413" s="6"/>
      <c r="Z413" s="6">
        <f ca="1">('TUSD BE'!$AM$48+'TUSD BF_350'!$AM$48+'TUSD CVA'!$AM$48)*1</f>
        <v>376.13343594836397</v>
      </c>
      <c r="AA413" s="6">
        <f ca="1">('TE BE'!$AB$39+'TE BF_350'!$AB$39+'TE CVA'!$AB$39)*1</f>
        <v>227.55060294064452</v>
      </c>
      <c r="AB413" s="6">
        <f>$K$413*$V$413</f>
        <v>0</v>
      </c>
      <c r="AC413" s="6">
        <f>$M$413*$W$413</f>
        <v>19528.5867</v>
      </c>
      <c r="AD413" s="6">
        <f>$O$413*$X$413</f>
        <v>14176.763300000001</v>
      </c>
      <c r="AE413" s="6">
        <f>$K$413*$Y$413</f>
        <v>0</v>
      </c>
      <c r="AF413" s="6">
        <f ca="1">$M$413*$Z$413</f>
        <v>22048.189748421199</v>
      </c>
      <c r="AG413" s="6">
        <f ca="1">$O$413*$AA$413</f>
        <v>13338.561243174701</v>
      </c>
    </row>
    <row r="414" spans="1:33" ht="11.25" customHeight="1" x14ac:dyDescent="0.25">
      <c r="A414" s="4" t="s">
        <v>21</v>
      </c>
      <c r="B414" s="4" t="s">
        <v>32</v>
      </c>
      <c r="C414" s="4" t="s">
        <v>23</v>
      </c>
      <c r="D414" s="4" t="s">
        <v>41</v>
      </c>
      <c r="E414" s="4" t="s">
        <v>25</v>
      </c>
      <c r="F414" s="4" t="s">
        <v>25</v>
      </c>
      <c r="G414" s="4" t="s">
        <v>25</v>
      </c>
      <c r="H414" s="4" t="s">
        <v>25</v>
      </c>
      <c r="I414" s="5">
        <v>44531</v>
      </c>
      <c r="J414" s="6">
        <v>0</v>
      </c>
      <c r="K414" s="6">
        <v>0</v>
      </c>
      <c r="L414" s="6">
        <v>73.353999999999999</v>
      </c>
      <c r="M414" s="6">
        <v>73.353999999999999</v>
      </c>
      <c r="N414" s="6">
        <v>73.353999999999999</v>
      </c>
      <c r="O414" s="6">
        <v>73.353999999999999</v>
      </c>
      <c r="P414" s="6">
        <v>75</v>
      </c>
      <c r="Q414" s="4" t="s">
        <v>26</v>
      </c>
      <c r="R414" s="4">
        <v>0</v>
      </c>
      <c r="S414" s="6">
        <v>0</v>
      </c>
      <c r="T414" s="6">
        <v>46</v>
      </c>
      <c r="U414" s="6">
        <v>83</v>
      </c>
      <c r="V414" s="6">
        <f>IF(ISERROR(VLOOKUP($S$414,'TAR FIN'!$A$1:$O$85,15,0)),0,VLOOKUP($S$414,'TAR FIN'!$A$1:$O$85,15,0))</f>
        <v>0</v>
      </c>
      <c r="W414" s="6">
        <f>IF(ISERROR(VLOOKUP($T$414,'TAR FIN'!$A$1:$O$85,15,0)),0,VLOOKUP($T$414,'TAR FIN'!$A$1:$O$85,15,0))</f>
        <v>333.15</v>
      </c>
      <c r="X414" s="6">
        <f>IF(ISERROR(VLOOKUP($U$414,'TAR FIN'!$A$1:$O$85,15,0)),0,VLOOKUP($U$414,'TAR FIN'!$A$1:$O$85,15,0))</f>
        <v>241.85</v>
      </c>
      <c r="Y414" s="6"/>
      <c r="Z414" s="6">
        <f ca="1">('TUSD BE'!$AM$48+'TUSD BF_350'!$AM$48+'TUSD CVA'!$AM$48)*1</f>
        <v>376.13343594836397</v>
      </c>
      <c r="AA414" s="6">
        <f ca="1">('TE BE'!$AB$39+'TE BF_350'!$AB$39+'TE CVA'!$AB$39)*1</f>
        <v>227.55060294064452</v>
      </c>
      <c r="AB414" s="6">
        <f>$K$414*$V$414</f>
        <v>0</v>
      </c>
      <c r="AC414" s="6">
        <f>$M$414*$W$414</f>
        <v>24437.8851</v>
      </c>
      <c r="AD414" s="6">
        <f>$O$414*$X$414</f>
        <v>17740.6649</v>
      </c>
      <c r="AE414" s="6">
        <f>$K$414*$Y$414</f>
        <v>0</v>
      </c>
      <c r="AF414" s="6">
        <f ca="1">$M$414*$Z$414</f>
        <v>27590.892060556289</v>
      </c>
      <c r="AG414" s="6">
        <f ca="1">$O$414*$AA$414</f>
        <v>16691.746928108038</v>
      </c>
    </row>
    <row r="415" spans="1:33" ht="11.25" customHeight="1" x14ac:dyDescent="0.25">
      <c r="A415" s="4" t="s">
        <v>21</v>
      </c>
      <c r="B415" s="4" t="s">
        <v>32</v>
      </c>
      <c r="C415" s="4" t="s">
        <v>23</v>
      </c>
      <c r="D415" s="4" t="s">
        <v>41</v>
      </c>
      <c r="E415" s="4" t="s">
        <v>25</v>
      </c>
      <c r="F415" s="4" t="s">
        <v>25</v>
      </c>
      <c r="G415" s="4" t="s">
        <v>25</v>
      </c>
      <c r="H415" s="4" t="s">
        <v>25</v>
      </c>
      <c r="I415" s="5">
        <v>44562</v>
      </c>
      <c r="J415" s="6">
        <v>0</v>
      </c>
      <c r="K415" s="6">
        <v>0</v>
      </c>
      <c r="L415" s="6">
        <v>61.228999999999999</v>
      </c>
      <c r="M415" s="6">
        <v>61.228999999999999</v>
      </c>
      <c r="N415" s="6">
        <v>61.228999999999999</v>
      </c>
      <c r="O415" s="6">
        <v>61.228999999999999</v>
      </c>
      <c r="P415" s="6">
        <v>75</v>
      </c>
      <c r="Q415" s="4" t="s">
        <v>26</v>
      </c>
      <c r="R415" s="4">
        <v>0</v>
      </c>
      <c r="S415" s="6">
        <v>0</v>
      </c>
      <c r="T415" s="6">
        <v>46</v>
      </c>
      <c r="U415" s="6">
        <v>83</v>
      </c>
      <c r="V415" s="6">
        <f>IF(ISERROR(VLOOKUP($S$415,'TAR FIN'!$A$1:$O$85,15,0)),0,VLOOKUP($S$415,'TAR FIN'!$A$1:$O$85,15,0))</f>
        <v>0</v>
      </c>
      <c r="W415" s="6">
        <f>IF(ISERROR(VLOOKUP($T$415,'TAR FIN'!$A$1:$O$85,15,0)),0,VLOOKUP($T$415,'TAR FIN'!$A$1:$O$85,15,0))</f>
        <v>333.15</v>
      </c>
      <c r="X415" s="6">
        <f>IF(ISERROR(VLOOKUP($U$415,'TAR FIN'!$A$1:$O$85,15,0)),0,VLOOKUP($U$415,'TAR FIN'!$A$1:$O$85,15,0))</f>
        <v>241.85</v>
      </c>
      <c r="Y415" s="6"/>
      <c r="Z415" s="6">
        <f ca="1">('TUSD BE'!$AM$48+'TUSD BF_350'!$AM$48+'TUSD CVA'!$AM$48)*1</f>
        <v>376.13343594836397</v>
      </c>
      <c r="AA415" s="6">
        <f ca="1">('TE BE'!$AB$39+'TE BF_350'!$AB$39+'TE CVA'!$AB$39)*1</f>
        <v>227.55060294064452</v>
      </c>
      <c r="AB415" s="6">
        <f>$K$415*$V$415</f>
        <v>0</v>
      </c>
      <c r="AC415" s="6">
        <f>$M$415*$W$415</f>
        <v>20398.441349999997</v>
      </c>
      <c r="AD415" s="6">
        <f>$O$415*$X$415</f>
        <v>14808.23365</v>
      </c>
      <c r="AE415" s="6">
        <f>$K$415*$Y$415</f>
        <v>0</v>
      </c>
      <c r="AF415" s="6">
        <f ca="1">$M$415*$Z$415</f>
        <v>23030.274149682376</v>
      </c>
      <c r="AG415" s="6">
        <f ca="1">$O$415*$AA$415</f>
        <v>13932.695867452723</v>
      </c>
    </row>
    <row r="416" spans="1:33" ht="11.25" customHeight="1" x14ac:dyDescent="0.25">
      <c r="A416" s="4" t="s">
        <v>21</v>
      </c>
      <c r="B416" s="4" t="s">
        <v>32</v>
      </c>
      <c r="C416" s="4" t="s">
        <v>23</v>
      </c>
      <c r="D416" s="4" t="s">
        <v>41</v>
      </c>
      <c r="E416" s="4" t="s">
        <v>25</v>
      </c>
      <c r="F416" s="4" t="s">
        <v>25</v>
      </c>
      <c r="G416" s="4" t="s">
        <v>25</v>
      </c>
      <c r="H416" s="4" t="s">
        <v>25</v>
      </c>
      <c r="I416" s="5">
        <v>44593</v>
      </c>
      <c r="J416" s="6">
        <v>0</v>
      </c>
      <c r="K416" s="6">
        <v>0</v>
      </c>
      <c r="L416" s="6">
        <v>73.075000000000003</v>
      </c>
      <c r="M416" s="6">
        <v>73.075000000000003</v>
      </c>
      <c r="N416" s="6">
        <v>73.075000000000003</v>
      </c>
      <c r="O416" s="6">
        <v>73.075000000000003</v>
      </c>
      <c r="P416" s="6">
        <v>75</v>
      </c>
      <c r="Q416" s="4" t="s">
        <v>26</v>
      </c>
      <c r="R416" s="4">
        <v>0</v>
      </c>
      <c r="S416" s="6">
        <v>0</v>
      </c>
      <c r="T416" s="6">
        <v>46</v>
      </c>
      <c r="U416" s="6">
        <v>83</v>
      </c>
      <c r="V416" s="6">
        <f>IF(ISERROR(VLOOKUP($S$416,'TAR FIN'!$A$1:$O$85,15,0)),0,VLOOKUP($S$416,'TAR FIN'!$A$1:$O$85,15,0))</f>
        <v>0</v>
      </c>
      <c r="W416" s="6">
        <f>IF(ISERROR(VLOOKUP($T$416,'TAR FIN'!$A$1:$O$85,15,0)),0,VLOOKUP($T$416,'TAR FIN'!$A$1:$O$85,15,0))</f>
        <v>333.15</v>
      </c>
      <c r="X416" s="6">
        <f>IF(ISERROR(VLOOKUP($U$416,'TAR FIN'!$A$1:$O$85,15,0)),0,VLOOKUP($U$416,'TAR FIN'!$A$1:$O$85,15,0))</f>
        <v>241.85</v>
      </c>
      <c r="Y416" s="6"/>
      <c r="Z416" s="6">
        <f ca="1">('TUSD BE'!$AM$48+'TUSD BF_350'!$AM$48+'TUSD CVA'!$AM$48)*1</f>
        <v>376.13343594836397</v>
      </c>
      <c r="AA416" s="6">
        <f ca="1">('TE BE'!$AB$39+'TE BF_350'!$AB$39+'TE CVA'!$AB$39)*1</f>
        <v>227.55060294064452</v>
      </c>
      <c r="AB416" s="6">
        <f>$K$416*$V$416</f>
        <v>0</v>
      </c>
      <c r="AC416" s="6">
        <f>$M$416*$W$416</f>
        <v>24344.936249999999</v>
      </c>
      <c r="AD416" s="6">
        <f>$O$416*$X$416</f>
        <v>17673.188750000001</v>
      </c>
      <c r="AE416" s="6">
        <f>$K$416*$Y$416</f>
        <v>0</v>
      </c>
      <c r="AF416" s="6">
        <f ca="1">$M$416*$Z$416</f>
        <v>27485.950831926697</v>
      </c>
      <c r="AG416" s="6">
        <f ca="1">$O$416*$AA$416</f>
        <v>16628.260309887599</v>
      </c>
    </row>
    <row r="417" spans="1:33" ht="11.25" customHeight="1" x14ac:dyDescent="0.25">
      <c r="A417" s="4" t="s">
        <v>21</v>
      </c>
      <c r="B417" s="4" t="s">
        <v>32</v>
      </c>
      <c r="C417" s="4" t="s">
        <v>23</v>
      </c>
      <c r="D417" s="4" t="s">
        <v>41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44621</v>
      </c>
      <c r="J417" s="6">
        <v>0</v>
      </c>
      <c r="K417" s="6">
        <v>0</v>
      </c>
      <c r="L417" s="6">
        <v>72.114999999999995</v>
      </c>
      <c r="M417" s="6">
        <v>72.114999999999995</v>
      </c>
      <c r="N417" s="6">
        <v>72.114999999999995</v>
      </c>
      <c r="O417" s="6">
        <v>72.114999999999995</v>
      </c>
      <c r="P417" s="6">
        <v>74</v>
      </c>
      <c r="Q417" s="4" t="s">
        <v>26</v>
      </c>
      <c r="R417" s="4">
        <v>0</v>
      </c>
      <c r="S417" s="6">
        <v>0</v>
      </c>
      <c r="T417" s="6">
        <v>46</v>
      </c>
      <c r="U417" s="6">
        <v>83</v>
      </c>
      <c r="V417" s="6">
        <f>IF(ISERROR(VLOOKUP($S$417,'TAR FIN'!$A$1:$O$85,15,0)),0,VLOOKUP($S$417,'TAR FIN'!$A$1:$O$85,15,0))</f>
        <v>0</v>
      </c>
      <c r="W417" s="6">
        <f>IF(ISERROR(VLOOKUP($T$417,'TAR FIN'!$A$1:$O$85,15,0)),0,VLOOKUP($T$417,'TAR FIN'!$A$1:$O$85,15,0))</f>
        <v>333.15</v>
      </c>
      <c r="X417" s="6">
        <f>IF(ISERROR(VLOOKUP($U$417,'TAR FIN'!$A$1:$O$85,15,0)),0,VLOOKUP($U$417,'TAR FIN'!$A$1:$O$85,15,0))</f>
        <v>241.85</v>
      </c>
      <c r="Y417" s="6"/>
      <c r="Z417" s="6">
        <f ca="1">('TUSD BE'!$AM$48+'TUSD BF_350'!$AM$48+'TUSD CVA'!$AM$48)*1</f>
        <v>376.13343594836397</v>
      </c>
      <c r="AA417" s="6">
        <f ca="1">('TE BE'!$AB$39+'TE BF_350'!$AB$39+'TE CVA'!$AB$39)*1</f>
        <v>227.55060294064452</v>
      </c>
      <c r="AB417" s="6">
        <f>$K$417*$V$417</f>
        <v>0</v>
      </c>
      <c r="AC417" s="6">
        <f>$M$417*$W$417</f>
        <v>24025.112249999998</v>
      </c>
      <c r="AD417" s="6">
        <f>$O$417*$X$417</f>
        <v>17441.012749999998</v>
      </c>
      <c r="AE417" s="6">
        <f>$K$417*$Y$417</f>
        <v>0</v>
      </c>
      <c r="AF417" s="6">
        <f ca="1">$M$417*$Z$417</f>
        <v>27124.862733416267</v>
      </c>
      <c r="AG417" s="6">
        <f ca="1">$O$417*$AA$417</f>
        <v>16409.811731064579</v>
      </c>
    </row>
    <row r="418" spans="1:33" ht="11.25" customHeight="1" x14ac:dyDescent="0.25">
      <c r="A418" s="4" t="s">
        <v>21</v>
      </c>
      <c r="B418" s="4" t="s">
        <v>32</v>
      </c>
      <c r="C418" s="4" t="s">
        <v>23</v>
      </c>
      <c r="D418" s="4" t="s">
        <v>41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44652</v>
      </c>
      <c r="J418" s="6">
        <v>0</v>
      </c>
      <c r="K418" s="6">
        <v>0</v>
      </c>
      <c r="L418" s="6">
        <v>65.207999999999998</v>
      </c>
      <c r="M418" s="6">
        <v>65.207999999999998</v>
      </c>
      <c r="N418" s="6">
        <v>65.207999999999998</v>
      </c>
      <c r="O418" s="6">
        <v>65.207999999999998</v>
      </c>
      <c r="P418" s="6">
        <v>74</v>
      </c>
      <c r="Q418" s="4" t="s">
        <v>26</v>
      </c>
      <c r="R418" s="4">
        <v>0</v>
      </c>
      <c r="S418" s="6">
        <v>0</v>
      </c>
      <c r="T418" s="6">
        <v>46</v>
      </c>
      <c r="U418" s="6">
        <v>83</v>
      </c>
      <c r="V418" s="6">
        <f>IF(ISERROR(VLOOKUP($S$418,'TAR FIN'!$A$1:$O$85,15,0)),0,VLOOKUP($S$418,'TAR FIN'!$A$1:$O$85,15,0))</f>
        <v>0</v>
      </c>
      <c r="W418" s="6">
        <f>IF(ISERROR(VLOOKUP($T$418,'TAR FIN'!$A$1:$O$85,15,0)),0,VLOOKUP($T$418,'TAR FIN'!$A$1:$O$85,15,0))</f>
        <v>333.15</v>
      </c>
      <c r="X418" s="6">
        <f>IF(ISERROR(VLOOKUP($U$418,'TAR FIN'!$A$1:$O$85,15,0)),0,VLOOKUP($U$418,'TAR FIN'!$A$1:$O$85,15,0))</f>
        <v>241.85</v>
      </c>
      <c r="Y418" s="6"/>
      <c r="Z418" s="6">
        <f ca="1">('TUSD BE'!$AM$48+'TUSD BF_350'!$AM$48+'TUSD CVA'!$AM$48)*1</f>
        <v>376.13343594836397</v>
      </c>
      <c r="AA418" s="6">
        <f ca="1">('TE BE'!$AB$39+'TE BF_350'!$AB$39+'TE CVA'!$AB$39)*1</f>
        <v>227.55060294064452</v>
      </c>
      <c r="AB418" s="6">
        <f>$K$418*$V$418</f>
        <v>0</v>
      </c>
      <c r="AC418" s="6">
        <f>$M$418*$W$418</f>
        <v>21724.045199999997</v>
      </c>
      <c r="AD418" s="6">
        <f>$O$418*$X$418</f>
        <v>15770.5548</v>
      </c>
      <c r="AE418" s="6">
        <f>$K$418*$Y$418</f>
        <v>0</v>
      </c>
      <c r="AF418" s="6">
        <f ca="1">$M$418*$Z$418</f>
        <v>24526.909091320918</v>
      </c>
      <c r="AG418" s="6">
        <f ca="1">$O$418*$AA$418</f>
        <v>14838.119716553549</v>
      </c>
    </row>
    <row r="419" spans="1:33" ht="11.25" customHeight="1" x14ac:dyDescent="0.25">
      <c r="A419" s="4" t="s">
        <v>21</v>
      </c>
      <c r="B419" s="4" t="s">
        <v>32</v>
      </c>
      <c r="C419" s="4" t="s">
        <v>23</v>
      </c>
      <c r="D419" s="4" t="s">
        <v>41</v>
      </c>
      <c r="E419" s="4" t="s">
        <v>25</v>
      </c>
      <c r="F419" s="4" t="s">
        <v>25</v>
      </c>
      <c r="G419" s="4" t="s">
        <v>25</v>
      </c>
      <c r="H419" s="4" t="s">
        <v>25</v>
      </c>
      <c r="I419" s="5">
        <v>44682</v>
      </c>
      <c r="J419" s="6">
        <v>0</v>
      </c>
      <c r="K419" s="6">
        <v>0</v>
      </c>
      <c r="L419" s="6">
        <v>68.908000000000001</v>
      </c>
      <c r="M419" s="6">
        <v>68.908000000000001</v>
      </c>
      <c r="N419" s="6">
        <v>68.908000000000001</v>
      </c>
      <c r="O419" s="6">
        <v>68.908000000000001</v>
      </c>
      <c r="P419" s="6">
        <v>74</v>
      </c>
      <c r="Q419" s="4" t="s">
        <v>26</v>
      </c>
      <c r="R419" s="4">
        <v>0</v>
      </c>
      <c r="S419" s="6">
        <v>0</v>
      </c>
      <c r="T419" s="6">
        <v>46</v>
      </c>
      <c r="U419" s="6">
        <v>83</v>
      </c>
      <c r="V419" s="6">
        <f>IF(ISERROR(VLOOKUP($S$419,'TAR FIN'!$A$1:$O$85,15,0)),0,VLOOKUP($S$419,'TAR FIN'!$A$1:$O$85,15,0))</f>
        <v>0</v>
      </c>
      <c r="W419" s="6">
        <f>IF(ISERROR(VLOOKUP($T$419,'TAR FIN'!$A$1:$O$85,15,0)),0,VLOOKUP($T$419,'TAR FIN'!$A$1:$O$85,15,0))</f>
        <v>333.15</v>
      </c>
      <c r="X419" s="6">
        <f>IF(ISERROR(VLOOKUP($U$419,'TAR FIN'!$A$1:$O$85,15,0)),0,VLOOKUP($U$419,'TAR FIN'!$A$1:$O$85,15,0))</f>
        <v>241.85</v>
      </c>
      <c r="Y419" s="6"/>
      <c r="Z419" s="6">
        <f ca="1">('TUSD BE'!$AM$48+'TUSD BF_350'!$AM$48+'TUSD CVA'!$AM$48)*1</f>
        <v>376.13343594836397</v>
      </c>
      <c r="AA419" s="6">
        <f ca="1">('TE BE'!$AB$39+'TE BF_350'!$AB$39+'TE CVA'!$AB$39)*1</f>
        <v>227.55060294064452</v>
      </c>
      <c r="AB419" s="6">
        <f>$K$419*$V$419</f>
        <v>0</v>
      </c>
      <c r="AC419" s="6">
        <f>$M$419*$W$419</f>
        <v>22956.700199999999</v>
      </c>
      <c r="AD419" s="6">
        <f>$O$419*$X$419</f>
        <v>16665.399799999999</v>
      </c>
      <c r="AE419" s="6">
        <f>$K$419*$Y$419</f>
        <v>0</v>
      </c>
      <c r="AF419" s="6">
        <f ca="1">$M$419*$Z$419</f>
        <v>25918.602804329865</v>
      </c>
      <c r="AG419" s="6">
        <f ca="1">$O$419*$AA$419</f>
        <v>15680.056947433934</v>
      </c>
    </row>
    <row r="420" spans="1:33" ht="11.25" customHeight="1" x14ac:dyDescent="0.25">
      <c r="A420" s="4" t="s">
        <v>21</v>
      </c>
      <c r="B420" s="4" t="s">
        <v>32</v>
      </c>
      <c r="C420" s="4" t="s">
        <v>23</v>
      </c>
      <c r="D420" s="4" t="s">
        <v>41</v>
      </c>
      <c r="E420" s="4" t="s">
        <v>25</v>
      </c>
      <c r="F420" s="4" t="s">
        <v>25</v>
      </c>
      <c r="G420" s="4" t="s">
        <v>25</v>
      </c>
      <c r="H420" s="4" t="s">
        <v>25</v>
      </c>
      <c r="I420" s="5">
        <v>44713</v>
      </c>
      <c r="J420" s="6">
        <v>0</v>
      </c>
      <c r="K420" s="6">
        <v>0</v>
      </c>
      <c r="L420" s="6">
        <v>89.245000000000005</v>
      </c>
      <c r="M420" s="6">
        <v>89.245000000000005</v>
      </c>
      <c r="N420" s="6">
        <v>89.245000000000005</v>
      </c>
      <c r="O420" s="6">
        <v>89.245000000000005</v>
      </c>
      <c r="P420" s="6">
        <v>74</v>
      </c>
      <c r="Q420" s="4" t="s">
        <v>26</v>
      </c>
      <c r="R420" s="4">
        <v>0</v>
      </c>
      <c r="S420" s="6">
        <v>0</v>
      </c>
      <c r="T420" s="6">
        <v>46</v>
      </c>
      <c r="U420" s="6">
        <v>83</v>
      </c>
      <c r="V420" s="6">
        <f>IF(ISERROR(VLOOKUP($S$420,'TAR FIN'!$A$1:$O$85,15,0)),0,VLOOKUP($S$420,'TAR FIN'!$A$1:$O$85,15,0))</f>
        <v>0</v>
      </c>
      <c r="W420" s="6">
        <f>IF(ISERROR(VLOOKUP($T$420,'TAR FIN'!$A$1:$O$85,15,0)),0,VLOOKUP($T$420,'TAR FIN'!$A$1:$O$85,15,0))</f>
        <v>333.15</v>
      </c>
      <c r="X420" s="6">
        <f>IF(ISERROR(VLOOKUP($U$420,'TAR FIN'!$A$1:$O$85,15,0)),0,VLOOKUP($U$420,'TAR FIN'!$A$1:$O$85,15,0))</f>
        <v>241.85</v>
      </c>
      <c r="Y420" s="6"/>
      <c r="Z420" s="6">
        <f ca="1">('TUSD BE'!$AM$48+'TUSD BF_350'!$AM$48+'TUSD CVA'!$AM$48)*1</f>
        <v>376.13343594836397</v>
      </c>
      <c r="AA420" s="6">
        <f ca="1">('TE BE'!$AB$39+'TE BF_350'!$AB$39+'TE CVA'!$AB$39)*1</f>
        <v>227.55060294064452</v>
      </c>
      <c r="AB420" s="6">
        <f>$K$420*$V$420</f>
        <v>0</v>
      </c>
      <c r="AC420" s="6">
        <f>$M$420*$W$420</f>
        <v>29731.971750000001</v>
      </c>
      <c r="AD420" s="6">
        <f>$O$420*$X$420</f>
        <v>21583.903249999999</v>
      </c>
      <c r="AE420" s="6">
        <f>$K$420*$Y$420</f>
        <v>0</v>
      </c>
      <c r="AF420" s="6">
        <f ca="1">$M$420*$Z$420</f>
        <v>33568.028491211742</v>
      </c>
      <c r="AG420" s="6">
        <f ca="1">$O$420*$AA$420</f>
        <v>20307.753559437821</v>
      </c>
    </row>
    <row r="421" spans="1:33" ht="11.25" customHeight="1" x14ac:dyDescent="0.25">
      <c r="A421" s="4" t="s">
        <v>21</v>
      </c>
      <c r="B421" s="4" t="s">
        <v>32</v>
      </c>
      <c r="C421" s="4" t="s">
        <v>23</v>
      </c>
      <c r="D421" s="4" t="s">
        <v>45</v>
      </c>
      <c r="E421" s="4" t="s">
        <v>46</v>
      </c>
      <c r="F421" s="4" t="s">
        <v>25</v>
      </c>
      <c r="G421" s="4" t="s">
        <v>25</v>
      </c>
      <c r="H421" s="4" t="s">
        <v>25</v>
      </c>
      <c r="I421" s="5">
        <v>44378</v>
      </c>
      <c r="J421" s="6">
        <v>0</v>
      </c>
      <c r="K421" s="65">
        <v>0</v>
      </c>
      <c r="L421" s="6">
        <v>145.33199999999999</v>
      </c>
      <c r="M421" s="65">
        <v>145.33199999999999</v>
      </c>
      <c r="N421" s="6">
        <v>145.33199999999999</v>
      </c>
      <c r="O421" s="65">
        <v>145.33199999999999</v>
      </c>
      <c r="P421" s="6">
        <v>17</v>
      </c>
      <c r="Q421" s="4" t="s">
        <v>26</v>
      </c>
      <c r="R421" s="4">
        <v>0</v>
      </c>
      <c r="S421" s="6">
        <v>0</v>
      </c>
      <c r="T421" s="6">
        <v>46</v>
      </c>
      <c r="U421" s="6">
        <v>83</v>
      </c>
      <c r="V421" s="65">
        <f>IF(ISERROR(VLOOKUP($S$421,'TAR FIN'!$A$1:$O$85,15,0)),0,VLOOKUP($S$421,'TAR FIN'!$A$1:$O$85,15,0))</f>
        <v>0</v>
      </c>
      <c r="W421" s="65">
        <f>IF(ISERROR(VLOOKUP($T$421,'TAR FIN'!$A$1:$O$85,15,0)),0,VLOOKUP($T$421,'TAR FIN'!$A$1:$O$85,15,0))*(1-0.06)</f>
        <v>313.16099999999994</v>
      </c>
      <c r="X421" s="65">
        <f>IF(ISERROR(VLOOKUP($U$421,'TAR FIN'!$A$1:$O$85,15,0)),0,VLOOKUP($U$421,'TAR FIN'!$A$1:$O$85,15,0))*(1-0.06)</f>
        <v>227.33899999999997</v>
      </c>
      <c r="Y421" s="65"/>
      <c r="Z421" s="65">
        <f ca="1">('TUSD BE'!$AM$48+'TUSD BF_350'!$AM$48+'TUSD CVA'!$AM$48)*1*(1-0.03)</f>
        <v>364.84943286991302</v>
      </c>
      <c r="AA421" s="65">
        <f ca="1">('TE BE'!$AB$39+'TE BF_350'!$AB$39+'TE CVA'!$AB$39)*1*(1-0.03)</f>
        <v>220.72408485242519</v>
      </c>
      <c r="AB421" s="6">
        <f>$K$421*$V$421</f>
        <v>0</v>
      </c>
      <c r="AC421" s="6">
        <f>$M$421*$W$421</f>
        <v>45512.314451999991</v>
      </c>
      <c r="AD421" s="6">
        <f>$O$421*$X$421</f>
        <v>33039.631547999998</v>
      </c>
      <c r="AE421" s="6">
        <f>$K$421*$Y$421</f>
        <v>0</v>
      </c>
      <c r="AF421" s="6">
        <f ca="1">$M$421*$Z$421</f>
        <v>53024.297777850195</v>
      </c>
      <c r="AG421" s="6">
        <f ca="1">$O$421*$AA$421</f>
        <v>32078.272699772657</v>
      </c>
    </row>
    <row r="422" spans="1:33" ht="11.25" customHeight="1" x14ac:dyDescent="0.25">
      <c r="A422" s="4" t="s">
        <v>21</v>
      </c>
      <c r="B422" s="4" t="s">
        <v>32</v>
      </c>
      <c r="C422" s="4" t="s">
        <v>23</v>
      </c>
      <c r="D422" s="4" t="s">
        <v>45</v>
      </c>
      <c r="E422" s="4" t="s">
        <v>46</v>
      </c>
      <c r="F422" s="4" t="s">
        <v>25</v>
      </c>
      <c r="G422" s="4" t="s">
        <v>25</v>
      </c>
      <c r="H422" s="4" t="s">
        <v>25</v>
      </c>
      <c r="I422" s="5">
        <v>44409</v>
      </c>
      <c r="J422" s="6">
        <v>0</v>
      </c>
      <c r="K422" s="65">
        <v>0</v>
      </c>
      <c r="L422" s="6">
        <v>154.017</v>
      </c>
      <c r="M422" s="65">
        <v>154.017</v>
      </c>
      <c r="N422" s="6">
        <v>154.017</v>
      </c>
      <c r="O422" s="65">
        <v>154.017</v>
      </c>
      <c r="P422" s="6">
        <v>18</v>
      </c>
      <c r="Q422" s="4" t="s">
        <v>26</v>
      </c>
      <c r="R422" s="4">
        <v>0</v>
      </c>
      <c r="S422" s="6">
        <v>0</v>
      </c>
      <c r="T422" s="6">
        <v>46</v>
      </c>
      <c r="U422" s="6">
        <v>83</v>
      </c>
      <c r="V422" s="65">
        <f>IF(ISERROR(VLOOKUP($S$422,'TAR FIN'!$A$1:$O$85,15,0)),0,VLOOKUP($S$422,'TAR FIN'!$A$1:$O$85,15,0))</f>
        <v>0</v>
      </c>
      <c r="W422" s="65">
        <f>IF(ISERROR(VLOOKUP($T$422,'TAR FIN'!$A$1:$O$85,15,0)),0,VLOOKUP($T$422,'TAR FIN'!$A$1:$O$85,15,0))*(1-0.06)</f>
        <v>313.16099999999994</v>
      </c>
      <c r="X422" s="65">
        <f>IF(ISERROR(VLOOKUP($U$422,'TAR FIN'!$A$1:$O$85,15,0)),0,VLOOKUP($U$422,'TAR FIN'!$A$1:$O$85,15,0))*(1-0.06)</f>
        <v>227.33899999999997</v>
      </c>
      <c r="Y422" s="65"/>
      <c r="Z422" s="65">
        <f ca="1">('TUSD BE'!$AM$48+'TUSD BF_350'!$AM$48+'TUSD CVA'!$AM$48)*1*(1-0.03)</f>
        <v>364.84943286991302</v>
      </c>
      <c r="AA422" s="65">
        <f ca="1">('TE BE'!$AB$39+'TE BF_350'!$AB$39+'TE CVA'!$AB$39)*1*(1-0.03)</f>
        <v>220.72408485242519</v>
      </c>
      <c r="AB422" s="6">
        <f>$K$422*$V$422</f>
        <v>0</v>
      </c>
      <c r="AC422" s="6">
        <f>$M$422*$W$422</f>
        <v>48232.117736999993</v>
      </c>
      <c r="AD422" s="6">
        <f>$O$422*$X$422</f>
        <v>35014.070762999996</v>
      </c>
      <c r="AE422" s="6">
        <f>$K$422*$Y$422</f>
        <v>0</v>
      </c>
      <c r="AF422" s="6">
        <f ca="1">$M$422*$Z$422</f>
        <v>56193.015102325393</v>
      </c>
      <c r="AG422" s="6">
        <f ca="1">$O$422*$AA$422</f>
        <v>33995.261376715971</v>
      </c>
    </row>
    <row r="423" spans="1:33" ht="11.25" customHeight="1" x14ac:dyDescent="0.25">
      <c r="A423" s="4" t="s">
        <v>21</v>
      </c>
      <c r="B423" s="4" t="s">
        <v>32</v>
      </c>
      <c r="C423" s="4" t="s">
        <v>23</v>
      </c>
      <c r="D423" s="4" t="s">
        <v>45</v>
      </c>
      <c r="E423" s="4" t="s">
        <v>46</v>
      </c>
      <c r="F423" s="4" t="s">
        <v>25</v>
      </c>
      <c r="G423" s="4" t="s">
        <v>25</v>
      </c>
      <c r="H423" s="4" t="s">
        <v>25</v>
      </c>
      <c r="I423" s="5">
        <v>44440</v>
      </c>
      <c r="J423" s="6">
        <v>0</v>
      </c>
      <c r="K423" s="65">
        <v>0</v>
      </c>
      <c r="L423" s="6">
        <v>155.10900000000001</v>
      </c>
      <c r="M423" s="65">
        <v>155.10900000000001</v>
      </c>
      <c r="N423" s="6">
        <v>155.10900000000001</v>
      </c>
      <c r="O423" s="65">
        <v>155.10900000000001</v>
      </c>
      <c r="P423" s="6">
        <v>18</v>
      </c>
      <c r="Q423" s="4" t="s">
        <v>26</v>
      </c>
      <c r="R423" s="4">
        <v>0</v>
      </c>
      <c r="S423" s="6">
        <v>0</v>
      </c>
      <c r="T423" s="6">
        <v>46</v>
      </c>
      <c r="U423" s="6">
        <v>83</v>
      </c>
      <c r="V423" s="65">
        <f>IF(ISERROR(VLOOKUP($S$423,'TAR FIN'!$A$1:$O$85,15,0)),0,VLOOKUP($S$423,'TAR FIN'!$A$1:$O$85,15,0))</f>
        <v>0</v>
      </c>
      <c r="W423" s="65">
        <f>IF(ISERROR(VLOOKUP($T$423,'TAR FIN'!$A$1:$O$85,15,0)),0,VLOOKUP($T$423,'TAR FIN'!$A$1:$O$85,15,0))*(1-0.06)</f>
        <v>313.16099999999994</v>
      </c>
      <c r="X423" s="65">
        <f>IF(ISERROR(VLOOKUP($U$423,'TAR FIN'!$A$1:$O$85,15,0)),0,VLOOKUP($U$423,'TAR FIN'!$A$1:$O$85,15,0))*(1-0.06)</f>
        <v>227.33899999999997</v>
      </c>
      <c r="Y423" s="65"/>
      <c r="Z423" s="65">
        <f ca="1">('TUSD BE'!$AM$48+'TUSD BF_350'!$AM$48+'TUSD CVA'!$AM$48)*1*(1-0.03)</f>
        <v>364.84943286991302</v>
      </c>
      <c r="AA423" s="65">
        <f ca="1">('TE BE'!$AB$39+'TE BF_350'!$AB$39+'TE CVA'!$AB$39)*1*(1-0.03)</f>
        <v>220.72408485242519</v>
      </c>
      <c r="AB423" s="6">
        <f>$K$423*$V$423</f>
        <v>0</v>
      </c>
      <c r="AC423" s="6">
        <f>$M$423*$W$423</f>
        <v>48574.089548999997</v>
      </c>
      <c r="AD423" s="6">
        <f>$O$423*$X$423</f>
        <v>35262.324950999995</v>
      </c>
      <c r="AE423" s="6">
        <f>$K$423*$Y$423</f>
        <v>0</v>
      </c>
      <c r="AF423" s="6">
        <f ca="1">$M$423*$Z$423</f>
        <v>56591.430683019338</v>
      </c>
      <c r="AG423" s="6">
        <f ca="1">$O$423*$AA$423</f>
        <v>34236.292077374819</v>
      </c>
    </row>
    <row r="424" spans="1:33" ht="11.25" customHeight="1" x14ac:dyDescent="0.25">
      <c r="A424" s="4" t="s">
        <v>21</v>
      </c>
      <c r="B424" s="4" t="s">
        <v>32</v>
      </c>
      <c r="C424" s="4" t="s">
        <v>23</v>
      </c>
      <c r="D424" s="4" t="s">
        <v>45</v>
      </c>
      <c r="E424" s="4" t="s">
        <v>46</v>
      </c>
      <c r="F424" s="4" t="s">
        <v>25</v>
      </c>
      <c r="G424" s="4" t="s">
        <v>25</v>
      </c>
      <c r="H424" s="4" t="s">
        <v>25</v>
      </c>
      <c r="I424" s="5">
        <v>44470</v>
      </c>
      <c r="J424" s="6">
        <v>0</v>
      </c>
      <c r="K424" s="65">
        <v>0</v>
      </c>
      <c r="L424" s="6">
        <v>151.489</v>
      </c>
      <c r="M424" s="65">
        <v>151.489</v>
      </c>
      <c r="N424" s="6">
        <v>151.489</v>
      </c>
      <c r="O424" s="65">
        <v>151.489</v>
      </c>
      <c r="P424" s="6">
        <v>18</v>
      </c>
      <c r="Q424" s="4" t="s">
        <v>26</v>
      </c>
      <c r="R424" s="4">
        <v>0</v>
      </c>
      <c r="S424" s="6">
        <v>0</v>
      </c>
      <c r="T424" s="6">
        <v>46</v>
      </c>
      <c r="U424" s="6">
        <v>83</v>
      </c>
      <c r="V424" s="65">
        <f>IF(ISERROR(VLOOKUP($S$424,'TAR FIN'!$A$1:$O$85,15,0)),0,VLOOKUP($S$424,'TAR FIN'!$A$1:$O$85,15,0))</f>
        <v>0</v>
      </c>
      <c r="W424" s="65">
        <f>IF(ISERROR(VLOOKUP($T$424,'TAR FIN'!$A$1:$O$85,15,0)),0,VLOOKUP($T$424,'TAR FIN'!$A$1:$O$85,15,0))*(1-0.06)</f>
        <v>313.16099999999994</v>
      </c>
      <c r="X424" s="65">
        <f>IF(ISERROR(VLOOKUP($U$424,'TAR FIN'!$A$1:$O$85,15,0)),0,VLOOKUP($U$424,'TAR FIN'!$A$1:$O$85,15,0))*(1-0.06)</f>
        <v>227.33899999999997</v>
      </c>
      <c r="Y424" s="65"/>
      <c r="Z424" s="65">
        <f ca="1">('TUSD BE'!$AM$48+'TUSD BF_350'!$AM$48+'TUSD CVA'!$AM$48)*1*(1-0.03)</f>
        <v>364.84943286991302</v>
      </c>
      <c r="AA424" s="65">
        <f ca="1">('TE BE'!$AB$39+'TE BF_350'!$AB$39+'TE CVA'!$AB$39)*1*(1-0.03)</f>
        <v>220.72408485242519</v>
      </c>
      <c r="AB424" s="6">
        <f>$K$424*$V$424</f>
        <v>0</v>
      </c>
      <c r="AC424" s="6">
        <f>$M$424*$W$424</f>
        <v>47440.446728999996</v>
      </c>
      <c r="AD424" s="6">
        <f>$O$424*$X$424</f>
        <v>34439.357770999995</v>
      </c>
      <c r="AE424" s="6">
        <f>$K$424*$Y$424</f>
        <v>0</v>
      </c>
      <c r="AF424" s="6">
        <f ca="1">$M$424*$Z$424</f>
        <v>55270.675736030258</v>
      </c>
      <c r="AG424" s="6">
        <f ca="1">$O$424*$AA$424</f>
        <v>33437.270890209038</v>
      </c>
    </row>
    <row r="425" spans="1:33" ht="11.25" customHeight="1" x14ac:dyDescent="0.25">
      <c r="A425" s="4" t="s">
        <v>21</v>
      </c>
      <c r="B425" s="4" t="s">
        <v>32</v>
      </c>
      <c r="C425" s="4" t="s">
        <v>23</v>
      </c>
      <c r="D425" s="4" t="s">
        <v>45</v>
      </c>
      <c r="E425" s="4" t="s">
        <v>46</v>
      </c>
      <c r="F425" s="4" t="s">
        <v>25</v>
      </c>
      <c r="G425" s="4" t="s">
        <v>25</v>
      </c>
      <c r="H425" s="4" t="s">
        <v>25</v>
      </c>
      <c r="I425" s="5">
        <v>44501</v>
      </c>
      <c r="J425" s="6">
        <v>0</v>
      </c>
      <c r="K425" s="65">
        <v>0</v>
      </c>
      <c r="L425" s="6">
        <v>161.55500000000001</v>
      </c>
      <c r="M425" s="65">
        <v>161.55500000000001</v>
      </c>
      <c r="N425" s="6">
        <v>161.55500000000001</v>
      </c>
      <c r="O425" s="65">
        <v>161.55500000000001</v>
      </c>
      <c r="P425" s="6">
        <v>18</v>
      </c>
      <c r="Q425" s="4" t="s">
        <v>26</v>
      </c>
      <c r="R425" s="4">
        <v>0</v>
      </c>
      <c r="S425" s="6">
        <v>0</v>
      </c>
      <c r="T425" s="6">
        <v>46</v>
      </c>
      <c r="U425" s="6">
        <v>83</v>
      </c>
      <c r="V425" s="65">
        <f>IF(ISERROR(VLOOKUP($S$425,'TAR FIN'!$A$1:$O$85,15,0)),0,VLOOKUP($S$425,'TAR FIN'!$A$1:$O$85,15,0))</f>
        <v>0</v>
      </c>
      <c r="W425" s="65">
        <f>IF(ISERROR(VLOOKUP($T$425,'TAR FIN'!$A$1:$O$85,15,0)),0,VLOOKUP($T$425,'TAR FIN'!$A$1:$O$85,15,0))*(1-0.06)</f>
        <v>313.16099999999994</v>
      </c>
      <c r="X425" s="65">
        <f>IF(ISERROR(VLOOKUP($U$425,'TAR FIN'!$A$1:$O$85,15,0)),0,VLOOKUP($U$425,'TAR FIN'!$A$1:$O$85,15,0))*(1-0.06)</f>
        <v>227.33899999999997</v>
      </c>
      <c r="Y425" s="65"/>
      <c r="Z425" s="65">
        <f ca="1">('TUSD BE'!$AM$48+'TUSD BF_350'!$AM$48+'TUSD CVA'!$AM$48)*1*(1-0.03)</f>
        <v>364.84943286991302</v>
      </c>
      <c r="AA425" s="65">
        <f ca="1">('TE BE'!$AB$39+'TE BF_350'!$AB$39+'TE CVA'!$AB$39)*1*(1-0.03)</f>
        <v>220.72408485242519</v>
      </c>
      <c r="AB425" s="6">
        <f>$K$425*$V$425</f>
        <v>0</v>
      </c>
      <c r="AC425" s="6">
        <f>$M$425*$W$425</f>
        <v>50592.725354999995</v>
      </c>
      <c r="AD425" s="6">
        <f>$O$425*$X$425</f>
        <v>36727.752144999999</v>
      </c>
      <c r="AE425" s="6">
        <f>$K$425*$Y$425</f>
        <v>0</v>
      </c>
      <c r="AF425" s="6">
        <f ca="1">$M$425*$Z$425</f>
        <v>58943.250127298801</v>
      </c>
      <c r="AG425" s="6">
        <f ca="1">$O$425*$AA$425</f>
        <v>35659.079528333554</v>
      </c>
    </row>
    <row r="426" spans="1:33" ht="11.25" customHeight="1" x14ac:dyDescent="0.25">
      <c r="A426" s="4" t="s">
        <v>21</v>
      </c>
      <c r="B426" s="4" t="s">
        <v>32</v>
      </c>
      <c r="C426" s="4" t="s">
        <v>23</v>
      </c>
      <c r="D426" s="4" t="s">
        <v>45</v>
      </c>
      <c r="E426" s="4" t="s">
        <v>46</v>
      </c>
      <c r="F426" s="4" t="s">
        <v>25</v>
      </c>
      <c r="G426" s="4" t="s">
        <v>25</v>
      </c>
      <c r="H426" s="4" t="s">
        <v>25</v>
      </c>
      <c r="I426" s="5">
        <v>44531</v>
      </c>
      <c r="J426" s="6">
        <v>0</v>
      </c>
      <c r="K426" s="65">
        <v>0</v>
      </c>
      <c r="L426" s="6">
        <v>156.51300000000001</v>
      </c>
      <c r="M426" s="65">
        <v>156.51300000000001</v>
      </c>
      <c r="N426" s="6">
        <v>156.51300000000001</v>
      </c>
      <c r="O426" s="65">
        <v>156.51300000000001</v>
      </c>
      <c r="P426" s="6">
        <v>18</v>
      </c>
      <c r="Q426" s="4" t="s">
        <v>26</v>
      </c>
      <c r="R426" s="4">
        <v>0</v>
      </c>
      <c r="S426" s="6">
        <v>0</v>
      </c>
      <c r="T426" s="6">
        <v>46</v>
      </c>
      <c r="U426" s="6">
        <v>83</v>
      </c>
      <c r="V426" s="65">
        <f>IF(ISERROR(VLOOKUP($S$426,'TAR FIN'!$A$1:$O$85,15,0)),0,VLOOKUP($S$426,'TAR FIN'!$A$1:$O$85,15,0))</f>
        <v>0</v>
      </c>
      <c r="W426" s="65">
        <f>IF(ISERROR(VLOOKUP($T$426,'TAR FIN'!$A$1:$O$85,15,0)),0,VLOOKUP($T$426,'TAR FIN'!$A$1:$O$85,15,0))*(1-0.06)</f>
        <v>313.16099999999994</v>
      </c>
      <c r="X426" s="65">
        <f>IF(ISERROR(VLOOKUP($U$426,'TAR FIN'!$A$1:$O$85,15,0)),0,VLOOKUP($U$426,'TAR FIN'!$A$1:$O$85,15,0))*(1-0.06)</f>
        <v>227.33899999999997</v>
      </c>
      <c r="Y426" s="65"/>
      <c r="Z426" s="65">
        <f ca="1">('TUSD BE'!$AM$48+'TUSD BF_350'!$AM$48+'TUSD CVA'!$AM$48)*1*(1-0.03)</f>
        <v>364.84943286991302</v>
      </c>
      <c r="AA426" s="65">
        <f ca="1">('TE BE'!$AB$39+'TE BF_350'!$AB$39+'TE CVA'!$AB$39)*1*(1-0.03)</f>
        <v>220.72408485242519</v>
      </c>
      <c r="AB426" s="6">
        <f>$K$426*$V$426</f>
        <v>0</v>
      </c>
      <c r="AC426" s="6">
        <f>$M$426*$W$426</f>
        <v>49013.76759299999</v>
      </c>
      <c r="AD426" s="6">
        <f>$O$426*$X$426</f>
        <v>35581.508906999996</v>
      </c>
      <c r="AE426" s="6">
        <f>$K$426*$Y$426</f>
        <v>0</v>
      </c>
      <c r="AF426" s="6">
        <f ca="1">$M$426*$Z$426</f>
        <v>57103.679286768696</v>
      </c>
      <c r="AG426" s="6">
        <f ca="1">$O$426*$AA$426</f>
        <v>34546.188692507625</v>
      </c>
    </row>
    <row r="427" spans="1:33" ht="11.25" customHeight="1" x14ac:dyDescent="0.25">
      <c r="A427" s="4" t="s">
        <v>21</v>
      </c>
      <c r="B427" s="4" t="s">
        <v>32</v>
      </c>
      <c r="C427" s="4" t="s">
        <v>23</v>
      </c>
      <c r="D427" s="4" t="s">
        <v>45</v>
      </c>
      <c r="E427" s="4" t="s">
        <v>46</v>
      </c>
      <c r="F427" s="4" t="s">
        <v>25</v>
      </c>
      <c r="G427" s="4" t="s">
        <v>25</v>
      </c>
      <c r="H427" s="4" t="s">
        <v>25</v>
      </c>
      <c r="I427" s="5">
        <v>44562</v>
      </c>
      <c r="J427" s="6">
        <v>0</v>
      </c>
      <c r="K427" s="65">
        <v>0</v>
      </c>
      <c r="L427" s="6">
        <v>180.785</v>
      </c>
      <c r="M427" s="65">
        <v>180.785</v>
      </c>
      <c r="N427" s="6">
        <v>180.785</v>
      </c>
      <c r="O427" s="65">
        <v>180.785</v>
      </c>
      <c r="P427" s="6">
        <v>18</v>
      </c>
      <c r="Q427" s="4" t="s">
        <v>26</v>
      </c>
      <c r="R427" s="4">
        <v>0</v>
      </c>
      <c r="S427" s="6">
        <v>0</v>
      </c>
      <c r="T427" s="6">
        <v>46</v>
      </c>
      <c r="U427" s="6">
        <v>83</v>
      </c>
      <c r="V427" s="65">
        <f>IF(ISERROR(VLOOKUP($S$427,'TAR FIN'!$A$1:$O$85,15,0)),0,VLOOKUP($S$427,'TAR FIN'!$A$1:$O$85,15,0))</f>
        <v>0</v>
      </c>
      <c r="W427" s="65">
        <f>IF(ISERROR(VLOOKUP($T$427,'TAR FIN'!$A$1:$O$85,15,0)),0,VLOOKUP($T$427,'TAR FIN'!$A$1:$O$85,15,0))*(1-0.06)</f>
        <v>313.16099999999994</v>
      </c>
      <c r="X427" s="65">
        <f>IF(ISERROR(VLOOKUP($U$427,'TAR FIN'!$A$1:$O$85,15,0)),0,VLOOKUP($U$427,'TAR FIN'!$A$1:$O$85,15,0))*(1-0.06)</f>
        <v>227.33899999999997</v>
      </c>
      <c r="Y427" s="65"/>
      <c r="Z427" s="65">
        <f ca="1">('TUSD BE'!$AM$48+'TUSD BF_350'!$AM$48+'TUSD CVA'!$AM$48)*1*(1-0.03)</f>
        <v>364.84943286991302</v>
      </c>
      <c r="AA427" s="65">
        <f ca="1">('TE BE'!$AB$39+'TE BF_350'!$AB$39+'TE CVA'!$AB$39)*1*(1-0.03)</f>
        <v>220.72408485242519</v>
      </c>
      <c r="AB427" s="6">
        <f>$K$427*$V$427</f>
        <v>0</v>
      </c>
      <c r="AC427" s="6">
        <f>$M$427*$W$427</f>
        <v>56614.811384999986</v>
      </c>
      <c r="AD427" s="6">
        <f>$O$427*$X$427</f>
        <v>41099.481114999995</v>
      </c>
      <c r="AE427" s="6">
        <f>$K$427*$Y$427</f>
        <v>0</v>
      </c>
      <c r="AF427" s="6">
        <f ca="1">$M$427*$Z$427</f>
        <v>65959.30472138722</v>
      </c>
      <c r="AG427" s="6">
        <f ca="1">$O$427*$AA$427</f>
        <v>39903.603680045686</v>
      </c>
    </row>
    <row r="428" spans="1:33" ht="11.25" customHeight="1" x14ac:dyDescent="0.25">
      <c r="A428" s="4" t="s">
        <v>21</v>
      </c>
      <c r="B428" s="4" t="s">
        <v>32</v>
      </c>
      <c r="C428" s="4" t="s">
        <v>23</v>
      </c>
      <c r="D428" s="4" t="s">
        <v>45</v>
      </c>
      <c r="E428" s="4" t="s">
        <v>46</v>
      </c>
      <c r="F428" s="4" t="s">
        <v>25</v>
      </c>
      <c r="G428" s="4" t="s">
        <v>25</v>
      </c>
      <c r="H428" s="4" t="s">
        <v>25</v>
      </c>
      <c r="I428" s="5">
        <v>44593</v>
      </c>
      <c r="J428" s="6">
        <v>0</v>
      </c>
      <c r="K428" s="65">
        <v>0</v>
      </c>
      <c r="L428" s="6">
        <v>169.27</v>
      </c>
      <c r="M428" s="65">
        <v>169.27</v>
      </c>
      <c r="N428" s="6">
        <v>169.27</v>
      </c>
      <c r="O428" s="65">
        <v>169.27</v>
      </c>
      <c r="P428" s="6">
        <v>18</v>
      </c>
      <c r="Q428" s="4" t="s">
        <v>26</v>
      </c>
      <c r="R428" s="4">
        <v>0</v>
      </c>
      <c r="S428" s="6">
        <v>0</v>
      </c>
      <c r="T428" s="6">
        <v>46</v>
      </c>
      <c r="U428" s="6">
        <v>83</v>
      </c>
      <c r="V428" s="65">
        <f>IF(ISERROR(VLOOKUP($S$428,'TAR FIN'!$A$1:$O$85,15,0)),0,VLOOKUP($S$428,'TAR FIN'!$A$1:$O$85,15,0))</f>
        <v>0</v>
      </c>
      <c r="W428" s="65">
        <f>IF(ISERROR(VLOOKUP($T$428,'TAR FIN'!$A$1:$O$85,15,0)),0,VLOOKUP($T$428,'TAR FIN'!$A$1:$O$85,15,0))*(1-0.06)</f>
        <v>313.16099999999994</v>
      </c>
      <c r="X428" s="65">
        <f>IF(ISERROR(VLOOKUP($U$428,'TAR FIN'!$A$1:$O$85,15,0)),0,VLOOKUP($U$428,'TAR FIN'!$A$1:$O$85,15,0))*(1-0.06)</f>
        <v>227.33899999999997</v>
      </c>
      <c r="Y428" s="65"/>
      <c r="Z428" s="65">
        <f ca="1">('TUSD BE'!$AM$48+'TUSD BF_350'!$AM$48+'TUSD CVA'!$AM$48)*1*(1-0.03)</f>
        <v>364.84943286991302</v>
      </c>
      <c r="AA428" s="65">
        <f ca="1">('TE BE'!$AB$39+'TE BF_350'!$AB$39+'TE CVA'!$AB$39)*1*(1-0.03)</f>
        <v>220.72408485242519</v>
      </c>
      <c r="AB428" s="6">
        <f>$K$428*$V$428</f>
        <v>0</v>
      </c>
      <c r="AC428" s="6">
        <f>$M$428*$W$428</f>
        <v>53008.762469999994</v>
      </c>
      <c r="AD428" s="6">
        <f>$O$428*$X$428</f>
        <v>38481.672529999996</v>
      </c>
      <c r="AE428" s="6">
        <f>$K$428*$Y$428</f>
        <v>0</v>
      </c>
      <c r="AF428" s="6">
        <f ca="1">$M$428*$Z$428</f>
        <v>61758.063501890181</v>
      </c>
      <c r="AG428" s="6">
        <f ca="1">$O$428*$AA$428</f>
        <v>37361.965842970014</v>
      </c>
    </row>
    <row r="429" spans="1:33" ht="11.25" customHeight="1" x14ac:dyDescent="0.25">
      <c r="A429" s="4" t="s">
        <v>21</v>
      </c>
      <c r="B429" s="4" t="s">
        <v>32</v>
      </c>
      <c r="C429" s="4" t="s">
        <v>23</v>
      </c>
      <c r="D429" s="4" t="s">
        <v>45</v>
      </c>
      <c r="E429" s="4" t="s">
        <v>46</v>
      </c>
      <c r="F429" s="4" t="s">
        <v>25</v>
      </c>
      <c r="G429" s="4" t="s">
        <v>25</v>
      </c>
      <c r="H429" s="4" t="s">
        <v>25</v>
      </c>
      <c r="I429" s="5">
        <v>44621</v>
      </c>
      <c r="J429" s="6">
        <v>0</v>
      </c>
      <c r="K429" s="65">
        <v>0</v>
      </c>
      <c r="L429" s="6">
        <v>156.37100000000001</v>
      </c>
      <c r="M429" s="65">
        <v>156.37100000000001</v>
      </c>
      <c r="N429" s="6">
        <v>156.37100000000001</v>
      </c>
      <c r="O429" s="65">
        <v>156.37100000000001</v>
      </c>
      <c r="P429" s="6">
        <v>19</v>
      </c>
      <c r="Q429" s="4" t="s">
        <v>26</v>
      </c>
      <c r="R429" s="4">
        <v>0</v>
      </c>
      <c r="S429" s="6">
        <v>0</v>
      </c>
      <c r="T429" s="6">
        <v>46</v>
      </c>
      <c r="U429" s="6">
        <v>83</v>
      </c>
      <c r="V429" s="65">
        <f>IF(ISERROR(VLOOKUP($S$429,'TAR FIN'!$A$1:$O$85,15,0)),0,VLOOKUP($S$429,'TAR FIN'!$A$1:$O$85,15,0))</f>
        <v>0</v>
      </c>
      <c r="W429" s="65">
        <f>IF(ISERROR(VLOOKUP($T$429,'TAR FIN'!$A$1:$O$85,15,0)),0,VLOOKUP($T$429,'TAR FIN'!$A$1:$O$85,15,0))*(1-0.06)</f>
        <v>313.16099999999994</v>
      </c>
      <c r="X429" s="65">
        <f>IF(ISERROR(VLOOKUP($U$429,'TAR FIN'!$A$1:$O$85,15,0)),0,VLOOKUP($U$429,'TAR FIN'!$A$1:$O$85,15,0))*(1-0.06)</f>
        <v>227.33899999999997</v>
      </c>
      <c r="Y429" s="65"/>
      <c r="Z429" s="65">
        <f ca="1">('TUSD BE'!$AM$48+'TUSD BF_350'!$AM$48+'TUSD CVA'!$AM$48)*1*(1-0.03)</f>
        <v>364.84943286991302</v>
      </c>
      <c r="AA429" s="65">
        <f ca="1">('TE BE'!$AB$39+'TE BF_350'!$AB$39+'TE CVA'!$AB$39)*1*(1-0.03)</f>
        <v>220.72408485242519</v>
      </c>
      <c r="AB429" s="6">
        <f>$K$429*$V$429</f>
        <v>0</v>
      </c>
      <c r="AC429" s="6">
        <f>$M$429*$W$429</f>
        <v>48969.298730999995</v>
      </c>
      <c r="AD429" s="6">
        <f>$O$429*$X$429</f>
        <v>35549.226769000001</v>
      </c>
      <c r="AE429" s="6">
        <f>$K$429*$Y$429</f>
        <v>0</v>
      </c>
      <c r="AF429" s="6">
        <f ca="1">$M$429*$Z$429</f>
        <v>57051.870667301169</v>
      </c>
      <c r="AG429" s="6">
        <f ca="1">$O$429*$AA$429</f>
        <v>34514.84587245858</v>
      </c>
    </row>
    <row r="430" spans="1:33" ht="11.25" customHeight="1" x14ac:dyDescent="0.25">
      <c r="A430" s="4" t="s">
        <v>21</v>
      </c>
      <c r="B430" s="4" t="s">
        <v>32</v>
      </c>
      <c r="C430" s="4" t="s">
        <v>23</v>
      </c>
      <c r="D430" s="4" t="s">
        <v>45</v>
      </c>
      <c r="E430" s="4" t="s">
        <v>46</v>
      </c>
      <c r="F430" s="4" t="s">
        <v>25</v>
      </c>
      <c r="G430" s="4" t="s">
        <v>25</v>
      </c>
      <c r="H430" s="4" t="s">
        <v>25</v>
      </c>
      <c r="I430" s="5">
        <v>44652</v>
      </c>
      <c r="J430" s="6">
        <v>0</v>
      </c>
      <c r="K430" s="65">
        <v>0</v>
      </c>
      <c r="L430" s="6">
        <v>163.58500000000001</v>
      </c>
      <c r="M430" s="65">
        <v>163.58500000000001</v>
      </c>
      <c r="N430" s="6">
        <v>163.58500000000001</v>
      </c>
      <c r="O430" s="65">
        <v>163.58500000000001</v>
      </c>
      <c r="P430" s="6">
        <v>19</v>
      </c>
      <c r="Q430" s="4" t="s">
        <v>26</v>
      </c>
      <c r="R430" s="4">
        <v>0</v>
      </c>
      <c r="S430" s="6">
        <v>0</v>
      </c>
      <c r="T430" s="6">
        <v>46</v>
      </c>
      <c r="U430" s="6">
        <v>83</v>
      </c>
      <c r="V430" s="65">
        <f>IF(ISERROR(VLOOKUP($S$430,'TAR FIN'!$A$1:$O$85,15,0)),0,VLOOKUP($S$430,'TAR FIN'!$A$1:$O$85,15,0))</f>
        <v>0</v>
      </c>
      <c r="W430" s="65">
        <f>IF(ISERROR(VLOOKUP($T$430,'TAR FIN'!$A$1:$O$85,15,0)),0,VLOOKUP($T$430,'TAR FIN'!$A$1:$O$85,15,0))*(1-0.06)</f>
        <v>313.16099999999994</v>
      </c>
      <c r="X430" s="65">
        <f>IF(ISERROR(VLOOKUP($U$430,'TAR FIN'!$A$1:$O$85,15,0)),0,VLOOKUP($U$430,'TAR FIN'!$A$1:$O$85,15,0))*(1-0.06)</f>
        <v>227.33899999999997</v>
      </c>
      <c r="Y430" s="65"/>
      <c r="Z430" s="65">
        <f ca="1">('TUSD BE'!$AM$48+'TUSD BF_350'!$AM$48+'TUSD CVA'!$AM$48)*1*(1-0.03)</f>
        <v>364.84943286991302</v>
      </c>
      <c r="AA430" s="65">
        <f ca="1">('TE BE'!$AB$39+'TE BF_350'!$AB$39+'TE CVA'!$AB$39)*1*(1-0.03)</f>
        <v>220.72408485242519</v>
      </c>
      <c r="AB430" s="6">
        <f>$K$430*$V$430</f>
        <v>0</v>
      </c>
      <c r="AC430" s="6">
        <f>$M$430*$W$430</f>
        <v>51228.442184999993</v>
      </c>
      <c r="AD430" s="6">
        <f>$O$430*$X$430</f>
        <v>37189.250314999997</v>
      </c>
      <c r="AE430" s="6">
        <f>$K$430*$Y$430</f>
        <v>0</v>
      </c>
      <c r="AF430" s="6">
        <f ca="1">$M$430*$Z$430</f>
        <v>59683.894476024725</v>
      </c>
      <c r="AG430" s="6">
        <f ca="1">$O$430*$AA$430</f>
        <v>36107.149420583977</v>
      </c>
    </row>
    <row r="431" spans="1:33" ht="11.25" customHeight="1" x14ac:dyDescent="0.25">
      <c r="A431" s="4" t="s">
        <v>21</v>
      </c>
      <c r="B431" s="4" t="s">
        <v>32</v>
      </c>
      <c r="C431" s="4" t="s">
        <v>23</v>
      </c>
      <c r="D431" s="4" t="s">
        <v>45</v>
      </c>
      <c r="E431" s="4" t="s">
        <v>46</v>
      </c>
      <c r="F431" s="4" t="s">
        <v>25</v>
      </c>
      <c r="G431" s="4" t="s">
        <v>25</v>
      </c>
      <c r="H431" s="4" t="s">
        <v>25</v>
      </c>
      <c r="I431" s="5">
        <v>44682</v>
      </c>
      <c r="J431" s="6">
        <v>0</v>
      </c>
      <c r="K431" s="65">
        <v>0</v>
      </c>
      <c r="L431" s="6">
        <v>163.441</v>
      </c>
      <c r="M431" s="65">
        <v>163.441</v>
      </c>
      <c r="N431" s="6">
        <v>163.441</v>
      </c>
      <c r="O431" s="65">
        <v>163.441</v>
      </c>
      <c r="P431" s="6">
        <v>19</v>
      </c>
      <c r="Q431" s="4" t="s">
        <v>26</v>
      </c>
      <c r="R431" s="4">
        <v>0</v>
      </c>
      <c r="S431" s="6">
        <v>0</v>
      </c>
      <c r="T431" s="6">
        <v>46</v>
      </c>
      <c r="U431" s="6">
        <v>83</v>
      </c>
      <c r="V431" s="65">
        <f>IF(ISERROR(VLOOKUP($S$431,'TAR FIN'!$A$1:$O$85,15,0)),0,VLOOKUP($S$431,'TAR FIN'!$A$1:$O$85,15,0))</f>
        <v>0</v>
      </c>
      <c r="W431" s="65">
        <f>IF(ISERROR(VLOOKUP($T$431,'TAR FIN'!$A$1:$O$85,15,0)),0,VLOOKUP($T$431,'TAR FIN'!$A$1:$O$85,15,0))*(1-0.06)</f>
        <v>313.16099999999994</v>
      </c>
      <c r="X431" s="65">
        <f>IF(ISERROR(VLOOKUP($U$431,'TAR FIN'!$A$1:$O$85,15,0)),0,VLOOKUP($U$431,'TAR FIN'!$A$1:$O$85,15,0))*(1-0.06)</f>
        <v>227.33899999999997</v>
      </c>
      <c r="Y431" s="65"/>
      <c r="Z431" s="65">
        <f ca="1">('TUSD BE'!$AM$48+'TUSD BF_350'!$AM$48+'TUSD CVA'!$AM$48)*1*(1-0.03)</f>
        <v>364.84943286991302</v>
      </c>
      <c r="AA431" s="65">
        <f ca="1">('TE BE'!$AB$39+'TE BF_350'!$AB$39+'TE CVA'!$AB$39)*1*(1-0.03)</f>
        <v>220.72408485242519</v>
      </c>
      <c r="AB431" s="6">
        <f>$K$431*$V$431</f>
        <v>0</v>
      </c>
      <c r="AC431" s="6">
        <f>$M$431*$W$431</f>
        <v>51183.347000999995</v>
      </c>
      <c r="AD431" s="6">
        <f>$O$431*$X$431</f>
        <v>37156.513498999993</v>
      </c>
      <c r="AE431" s="6">
        <f>$K$431*$Y$431</f>
        <v>0</v>
      </c>
      <c r="AF431" s="6">
        <f ca="1">$M$431*$Z$431</f>
        <v>59631.356157691451</v>
      </c>
      <c r="AG431" s="6">
        <f ca="1">$O$431*$AA$431</f>
        <v>36075.36515236523</v>
      </c>
    </row>
    <row r="432" spans="1:33" ht="11.25" customHeight="1" x14ac:dyDescent="0.25">
      <c r="A432" s="4" t="s">
        <v>21</v>
      </c>
      <c r="B432" s="4" t="s">
        <v>32</v>
      </c>
      <c r="C432" s="4" t="s">
        <v>23</v>
      </c>
      <c r="D432" s="4" t="s">
        <v>45</v>
      </c>
      <c r="E432" s="4" t="s">
        <v>46</v>
      </c>
      <c r="F432" s="4" t="s">
        <v>25</v>
      </c>
      <c r="G432" s="4" t="s">
        <v>25</v>
      </c>
      <c r="H432" s="4" t="s">
        <v>25</v>
      </c>
      <c r="I432" s="5">
        <v>44713</v>
      </c>
      <c r="J432" s="6">
        <v>0</v>
      </c>
      <c r="K432" s="65">
        <v>0</v>
      </c>
      <c r="L432" s="6">
        <v>165.161</v>
      </c>
      <c r="M432" s="65">
        <v>165.161</v>
      </c>
      <c r="N432" s="6">
        <v>165.161</v>
      </c>
      <c r="O432" s="65">
        <v>165.161</v>
      </c>
      <c r="P432" s="6">
        <v>19</v>
      </c>
      <c r="Q432" s="4" t="s">
        <v>26</v>
      </c>
      <c r="R432" s="4">
        <v>0</v>
      </c>
      <c r="S432" s="6">
        <v>0</v>
      </c>
      <c r="T432" s="6">
        <v>46</v>
      </c>
      <c r="U432" s="6">
        <v>83</v>
      </c>
      <c r="V432" s="65">
        <f>IF(ISERROR(VLOOKUP($S$432,'TAR FIN'!$A$1:$O$85,15,0)),0,VLOOKUP($S$432,'TAR FIN'!$A$1:$O$85,15,0))</f>
        <v>0</v>
      </c>
      <c r="W432" s="65">
        <f>IF(ISERROR(VLOOKUP($T$432,'TAR FIN'!$A$1:$O$85,15,0)),0,VLOOKUP($T$432,'TAR FIN'!$A$1:$O$85,15,0))*(1-0.06)</f>
        <v>313.16099999999994</v>
      </c>
      <c r="X432" s="65">
        <f>IF(ISERROR(VLOOKUP($U$432,'TAR FIN'!$A$1:$O$85,15,0)),0,VLOOKUP($U$432,'TAR FIN'!$A$1:$O$85,15,0))*(1-0.06)</f>
        <v>227.33899999999997</v>
      </c>
      <c r="Y432" s="65"/>
      <c r="Z432" s="65">
        <f ca="1">('TUSD BE'!$AM$48+'TUSD BF_350'!$AM$48+'TUSD CVA'!$AM$48)*1*(1-0.03)</f>
        <v>364.84943286991302</v>
      </c>
      <c r="AA432" s="65">
        <f ca="1">('TE BE'!$AB$39+'TE BF_350'!$AB$39+'TE CVA'!$AB$39)*1*(1-0.03)</f>
        <v>220.72408485242519</v>
      </c>
      <c r="AB432" s="6">
        <f>$K$432*$V$432</f>
        <v>0</v>
      </c>
      <c r="AC432" s="6">
        <f>$M$432*$W$432</f>
        <v>51721.983920999992</v>
      </c>
      <c r="AD432" s="6">
        <f>$O$432*$X$432</f>
        <v>37547.536578999992</v>
      </c>
      <c r="AE432" s="6">
        <f>$K$432*$Y$432</f>
        <v>0</v>
      </c>
      <c r="AF432" s="6">
        <f ca="1">$M$432*$Z$432</f>
        <v>60258.897182227702</v>
      </c>
      <c r="AG432" s="6">
        <f ca="1">$O$432*$AA$432</f>
        <v>36455.010578311398</v>
      </c>
    </row>
    <row r="433" spans="1:33" ht="11.25" customHeight="1" x14ac:dyDescent="0.25">
      <c r="A433" s="4" t="s">
        <v>21</v>
      </c>
      <c r="B433" s="4" t="s">
        <v>42</v>
      </c>
      <c r="C433" s="4" t="s">
        <v>23</v>
      </c>
      <c r="D433" s="4" t="s">
        <v>43</v>
      </c>
      <c r="E433" s="4" t="s">
        <v>44</v>
      </c>
      <c r="F433" s="4" t="s">
        <v>25</v>
      </c>
      <c r="G433" s="4" t="s">
        <v>25</v>
      </c>
      <c r="H433" s="4" t="s">
        <v>25</v>
      </c>
      <c r="I433" s="5">
        <v>44378</v>
      </c>
      <c r="J433" s="6">
        <v>0</v>
      </c>
      <c r="K433" s="6">
        <v>0</v>
      </c>
      <c r="L433" s="6">
        <v>361.29700000000003</v>
      </c>
      <c r="M433" s="6">
        <v>361.29700000000003</v>
      </c>
      <c r="N433" s="6">
        <v>361.29700000000003</v>
      </c>
      <c r="O433" s="6">
        <v>361.29700000000003</v>
      </c>
      <c r="P433" s="6">
        <v>6</v>
      </c>
      <c r="Q433" s="4" t="s">
        <v>26</v>
      </c>
      <c r="R433" s="4">
        <v>0</v>
      </c>
      <c r="S433" s="6">
        <v>0</v>
      </c>
      <c r="T433" s="6">
        <v>20</v>
      </c>
      <c r="U433" s="6">
        <v>70</v>
      </c>
      <c r="V433" s="6">
        <f>IF(ISERROR(VLOOKUP($S$433,'TAR FIN'!$A$1:$O$85,15,0)),0,VLOOKUP($S$433,'TAR FIN'!$A$1:$O$85,15,0))</f>
        <v>0</v>
      </c>
      <c r="W433" s="6">
        <f>IF(ISERROR(VLOOKUP($T$433,'TAR FIN'!$A$1:$O$85,15,0)),0,VLOOKUP($T$433,'TAR FIN'!$A$1:$O$85,15,0))</f>
        <v>183.23</v>
      </c>
      <c r="X433" s="6">
        <f>IF(ISERROR(VLOOKUP($U$433,'TAR FIN'!$A$1:$O$85,15,0)),0,VLOOKUP($U$433,'TAR FIN'!$A$1:$O$85,15,0))</f>
        <v>133.02000000000001</v>
      </c>
      <c r="Y433" s="6"/>
      <c r="Z433" s="6">
        <f ca="1">('TUSD BE'!$AM$50+'TUSD BF_350'!$AM$50+'TUSD CVA'!$AM$50)*1</f>
        <v>206.87338977160022</v>
      </c>
      <c r="AA433" s="6">
        <f ca="1">('TE BE'!$AB$41+'TE BF_350'!$AB$41+'TE CVA'!$AB$41)*1</f>
        <v>125.15283161735451</v>
      </c>
      <c r="AB433" s="6">
        <f>$K$433*$V$433</f>
        <v>0</v>
      </c>
      <c r="AC433" s="6">
        <f>$M$433*$W$433</f>
        <v>66200.449309999996</v>
      </c>
      <c r="AD433" s="6">
        <f>$O$433*$X$433</f>
        <v>48059.726940000008</v>
      </c>
      <c r="AE433" s="6">
        <f>$K$433*$Y$433</f>
        <v>0</v>
      </c>
      <c r="AF433" s="6">
        <f ca="1">$M$433*$Z$433</f>
        <v>74742.735104309846</v>
      </c>
      <c r="AG433" s="6">
        <f ca="1">$O$433*$AA$433</f>
        <v>45217.342604855337</v>
      </c>
    </row>
    <row r="434" spans="1:33" ht="11.25" customHeight="1" x14ac:dyDescent="0.25">
      <c r="A434" s="4" t="s">
        <v>21</v>
      </c>
      <c r="B434" s="4" t="s">
        <v>42</v>
      </c>
      <c r="C434" s="4" t="s">
        <v>23</v>
      </c>
      <c r="D434" s="4" t="s">
        <v>43</v>
      </c>
      <c r="E434" s="4" t="s">
        <v>44</v>
      </c>
      <c r="F434" s="4" t="s">
        <v>25</v>
      </c>
      <c r="G434" s="4" t="s">
        <v>25</v>
      </c>
      <c r="H434" s="4" t="s">
        <v>25</v>
      </c>
      <c r="I434" s="5">
        <v>44409</v>
      </c>
      <c r="J434" s="6">
        <v>0</v>
      </c>
      <c r="K434" s="6">
        <v>0</v>
      </c>
      <c r="L434" s="6">
        <v>323.56400000000002</v>
      </c>
      <c r="M434" s="6">
        <v>323.56400000000002</v>
      </c>
      <c r="N434" s="6">
        <v>323.56400000000002</v>
      </c>
      <c r="O434" s="6">
        <v>323.56400000000002</v>
      </c>
      <c r="P434" s="6">
        <v>6</v>
      </c>
      <c r="Q434" s="4" t="s">
        <v>26</v>
      </c>
      <c r="R434" s="4">
        <v>0</v>
      </c>
      <c r="S434" s="6">
        <v>0</v>
      </c>
      <c r="T434" s="6">
        <v>20</v>
      </c>
      <c r="U434" s="6">
        <v>70</v>
      </c>
      <c r="V434" s="6">
        <f>IF(ISERROR(VLOOKUP($S$434,'TAR FIN'!$A$1:$O$85,15,0)),0,VLOOKUP($S$434,'TAR FIN'!$A$1:$O$85,15,0))</f>
        <v>0</v>
      </c>
      <c r="W434" s="6">
        <f>IF(ISERROR(VLOOKUP($T$434,'TAR FIN'!$A$1:$O$85,15,0)),0,VLOOKUP($T$434,'TAR FIN'!$A$1:$O$85,15,0))</f>
        <v>183.23</v>
      </c>
      <c r="X434" s="6">
        <f>IF(ISERROR(VLOOKUP($U$434,'TAR FIN'!$A$1:$O$85,15,0)),0,VLOOKUP($U$434,'TAR FIN'!$A$1:$O$85,15,0))</f>
        <v>133.02000000000001</v>
      </c>
      <c r="Y434" s="6"/>
      <c r="Z434" s="6">
        <f ca="1">('TUSD BE'!$AM$50+'TUSD BF_350'!$AM$50+'TUSD CVA'!$AM$50)*1</f>
        <v>206.87338977160022</v>
      </c>
      <c r="AA434" s="6">
        <f ca="1">('TE BE'!$AB$41+'TE BF_350'!$AB$41+'TE CVA'!$AB$41)*1</f>
        <v>125.15283161735451</v>
      </c>
      <c r="AB434" s="6">
        <f>$K$434*$V$434</f>
        <v>0</v>
      </c>
      <c r="AC434" s="6">
        <f>$M$434*$W$434</f>
        <v>59286.631719999998</v>
      </c>
      <c r="AD434" s="6">
        <f>$O$434*$X$434</f>
        <v>43040.483280000008</v>
      </c>
      <c r="AE434" s="6">
        <f>$K$434*$Y$434</f>
        <v>0</v>
      </c>
      <c r="AF434" s="6">
        <f ca="1">$M$434*$Z$434</f>
        <v>66936.781488058055</v>
      </c>
      <c r="AG434" s="6">
        <f ca="1">$O$434*$AA$434</f>
        <v>40494.950809437694</v>
      </c>
    </row>
    <row r="435" spans="1:33" ht="11.25" customHeight="1" x14ac:dyDescent="0.25">
      <c r="A435" s="4" t="s">
        <v>21</v>
      </c>
      <c r="B435" s="4" t="s">
        <v>42</v>
      </c>
      <c r="C435" s="4" t="s">
        <v>23</v>
      </c>
      <c r="D435" s="4" t="s">
        <v>43</v>
      </c>
      <c r="E435" s="4" t="s">
        <v>44</v>
      </c>
      <c r="F435" s="4" t="s">
        <v>25</v>
      </c>
      <c r="G435" s="4" t="s">
        <v>25</v>
      </c>
      <c r="H435" s="4" t="s">
        <v>25</v>
      </c>
      <c r="I435" s="5">
        <v>44440</v>
      </c>
      <c r="J435" s="6">
        <v>0</v>
      </c>
      <c r="K435" s="6">
        <v>0</v>
      </c>
      <c r="L435" s="6">
        <v>293.35199999999998</v>
      </c>
      <c r="M435" s="6">
        <v>293.35199999999998</v>
      </c>
      <c r="N435" s="6">
        <v>293.35199999999998</v>
      </c>
      <c r="O435" s="6">
        <v>293.35199999999998</v>
      </c>
      <c r="P435" s="6">
        <v>6</v>
      </c>
      <c r="Q435" s="4" t="s">
        <v>26</v>
      </c>
      <c r="R435" s="4">
        <v>0</v>
      </c>
      <c r="S435" s="6">
        <v>0</v>
      </c>
      <c r="T435" s="6">
        <v>20</v>
      </c>
      <c r="U435" s="6">
        <v>70</v>
      </c>
      <c r="V435" s="6">
        <f>IF(ISERROR(VLOOKUP($S$435,'TAR FIN'!$A$1:$O$85,15,0)),0,VLOOKUP($S$435,'TAR FIN'!$A$1:$O$85,15,0))</f>
        <v>0</v>
      </c>
      <c r="W435" s="6">
        <f>IF(ISERROR(VLOOKUP($T$435,'TAR FIN'!$A$1:$O$85,15,0)),0,VLOOKUP($T$435,'TAR FIN'!$A$1:$O$85,15,0))</f>
        <v>183.23</v>
      </c>
      <c r="X435" s="6">
        <f>IF(ISERROR(VLOOKUP($U$435,'TAR FIN'!$A$1:$O$85,15,0)),0,VLOOKUP($U$435,'TAR FIN'!$A$1:$O$85,15,0))</f>
        <v>133.02000000000001</v>
      </c>
      <c r="Y435" s="6"/>
      <c r="Z435" s="6">
        <f ca="1">('TUSD BE'!$AM$50+'TUSD BF_350'!$AM$50+'TUSD CVA'!$AM$50)*1</f>
        <v>206.87338977160022</v>
      </c>
      <c r="AA435" s="6">
        <f ca="1">('TE BE'!$AB$41+'TE BF_350'!$AB$41+'TE CVA'!$AB$41)*1</f>
        <v>125.15283161735451</v>
      </c>
      <c r="AB435" s="6">
        <f>$K$435*$V$435</f>
        <v>0</v>
      </c>
      <c r="AC435" s="6">
        <f>$M$435*$W$435</f>
        <v>53750.886959999989</v>
      </c>
      <c r="AD435" s="6">
        <f>$O$435*$X$435</f>
        <v>39021.683039999996</v>
      </c>
      <c r="AE435" s="6">
        <f>$K$435*$Y$435</f>
        <v>0</v>
      </c>
      <c r="AF435" s="6">
        <f ca="1">$M$435*$Z$435</f>
        <v>60686.722636278464</v>
      </c>
      <c r="AG435" s="6">
        <f ca="1">$O$435*$AA$435</f>
        <v>36713.83346061418</v>
      </c>
    </row>
    <row r="436" spans="1:33" ht="11.25" customHeight="1" x14ac:dyDescent="0.25">
      <c r="A436" s="4" t="s">
        <v>21</v>
      </c>
      <c r="B436" s="4" t="s">
        <v>42</v>
      </c>
      <c r="C436" s="4" t="s">
        <v>23</v>
      </c>
      <c r="D436" s="4" t="s">
        <v>43</v>
      </c>
      <c r="E436" s="4" t="s">
        <v>44</v>
      </c>
      <c r="F436" s="4" t="s">
        <v>25</v>
      </c>
      <c r="G436" s="4" t="s">
        <v>25</v>
      </c>
      <c r="H436" s="4" t="s">
        <v>25</v>
      </c>
      <c r="I436" s="5">
        <v>44470</v>
      </c>
      <c r="J436" s="6">
        <v>0</v>
      </c>
      <c r="K436" s="6">
        <v>0</v>
      </c>
      <c r="L436" s="6">
        <v>281.81599999999997</v>
      </c>
      <c r="M436" s="6">
        <v>281.81599999999997</v>
      </c>
      <c r="N436" s="6">
        <v>281.81599999999997</v>
      </c>
      <c r="O436" s="6">
        <v>281.81599999999997</v>
      </c>
      <c r="P436" s="6">
        <v>6</v>
      </c>
      <c r="Q436" s="4" t="s">
        <v>26</v>
      </c>
      <c r="R436" s="4">
        <v>0</v>
      </c>
      <c r="S436" s="6">
        <v>0</v>
      </c>
      <c r="T436" s="6">
        <v>20</v>
      </c>
      <c r="U436" s="6">
        <v>70</v>
      </c>
      <c r="V436" s="6">
        <f>IF(ISERROR(VLOOKUP($S$436,'TAR FIN'!$A$1:$O$85,15,0)),0,VLOOKUP($S$436,'TAR FIN'!$A$1:$O$85,15,0))</f>
        <v>0</v>
      </c>
      <c r="W436" s="6">
        <f>IF(ISERROR(VLOOKUP($T$436,'TAR FIN'!$A$1:$O$85,15,0)),0,VLOOKUP($T$436,'TAR FIN'!$A$1:$O$85,15,0))</f>
        <v>183.23</v>
      </c>
      <c r="X436" s="6">
        <f>IF(ISERROR(VLOOKUP($U$436,'TAR FIN'!$A$1:$O$85,15,0)),0,VLOOKUP($U$436,'TAR FIN'!$A$1:$O$85,15,0))</f>
        <v>133.02000000000001</v>
      </c>
      <c r="Y436" s="6"/>
      <c r="Z436" s="6">
        <f ca="1">('TUSD BE'!$AM$50+'TUSD BF_350'!$AM$50+'TUSD CVA'!$AM$50)*1</f>
        <v>206.87338977160022</v>
      </c>
      <c r="AA436" s="6">
        <f ca="1">('TE BE'!$AB$41+'TE BF_350'!$AB$41+'TE CVA'!$AB$41)*1</f>
        <v>125.15283161735451</v>
      </c>
      <c r="AB436" s="6">
        <f>$K$436*$V$436</f>
        <v>0</v>
      </c>
      <c r="AC436" s="6">
        <f>$M$436*$W$436</f>
        <v>51637.145679999994</v>
      </c>
      <c r="AD436" s="6">
        <f>$O$436*$X$436</f>
        <v>37487.164319999996</v>
      </c>
      <c r="AE436" s="6">
        <f>$K$436*$Y$436</f>
        <v>0</v>
      </c>
      <c r="AF436" s="6">
        <f ca="1">$M$436*$Z$436</f>
        <v>58300.231211873281</v>
      </c>
      <c r="AG436" s="6">
        <f ca="1">$O$436*$AA$436</f>
        <v>35270.070395076378</v>
      </c>
    </row>
    <row r="437" spans="1:33" ht="11.25" customHeight="1" x14ac:dyDescent="0.25">
      <c r="A437" s="4" t="s">
        <v>21</v>
      </c>
      <c r="B437" s="4" t="s">
        <v>42</v>
      </c>
      <c r="C437" s="4" t="s">
        <v>23</v>
      </c>
      <c r="D437" s="4" t="s">
        <v>43</v>
      </c>
      <c r="E437" s="4" t="s">
        <v>44</v>
      </c>
      <c r="F437" s="4" t="s">
        <v>25</v>
      </c>
      <c r="G437" s="4" t="s">
        <v>25</v>
      </c>
      <c r="H437" s="4" t="s">
        <v>25</v>
      </c>
      <c r="I437" s="5">
        <v>44501</v>
      </c>
      <c r="J437" s="6">
        <v>0</v>
      </c>
      <c r="K437" s="6">
        <v>0</v>
      </c>
      <c r="L437" s="6">
        <v>258.72500000000002</v>
      </c>
      <c r="M437" s="6">
        <v>258.72500000000002</v>
      </c>
      <c r="N437" s="6">
        <v>258.72500000000002</v>
      </c>
      <c r="O437" s="6">
        <v>258.72500000000002</v>
      </c>
      <c r="P437" s="6">
        <v>5</v>
      </c>
      <c r="Q437" s="4" t="s">
        <v>26</v>
      </c>
      <c r="R437" s="4">
        <v>0</v>
      </c>
      <c r="S437" s="6">
        <v>0</v>
      </c>
      <c r="T437" s="6">
        <v>20</v>
      </c>
      <c r="U437" s="6">
        <v>70</v>
      </c>
      <c r="V437" s="6">
        <f>IF(ISERROR(VLOOKUP($S$437,'TAR FIN'!$A$1:$O$85,15,0)),0,VLOOKUP($S$437,'TAR FIN'!$A$1:$O$85,15,0))</f>
        <v>0</v>
      </c>
      <c r="W437" s="6">
        <f>IF(ISERROR(VLOOKUP($T$437,'TAR FIN'!$A$1:$O$85,15,0)),0,VLOOKUP($T$437,'TAR FIN'!$A$1:$O$85,15,0))</f>
        <v>183.23</v>
      </c>
      <c r="X437" s="6">
        <f>IF(ISERROR(VLOOKUP($U$437,'TAR FIN'!$A$1:$O$85,15,0)),0,VLOOKUP($U$437,'TAR FIN'!$A$1:$O$85,15,0))</f>
        <v>133.02000000000001</v>
      </c>
      <c r="Y437" s="6"/>
      <c r="Z437" s="6">
        <f ca="1">('TUSD BE'!$AM$50+'TUSD BF_350'!$AM$50+'TUSD CVA'!$AM$50)*1</f>
        <v>206.87338977160022</v>
      </c>
      <c r="AA437" s="6">
        <f ca="1">('TE BE'!$AB$41+'TE BF_350'!$AB$41+'TE CVA'!$AB$41)*1</f>
        <v>125.15283161735451</v>
      </c>
      <c r="AB437" s="6">
        <f>$K$437*$V$437</f>
        <v>0</v>
      </c>
      <c r="AC437" s="6">
        <f>$M$437*$W$437</f>
        <v>47406.181750000003</v>
      </c>
      <c r="AD437" s="6">
        <f>$O$437*$X$437</f>
        <v>34415.599500000004</v>
      </c>
      <c r="AE437" s="6">
        <f>$K$437*$Y$437</f>
        <v>0</v>
      </c>
      <c r="AF437" s="6">
        <f ca="1">$M$437*$Z$437</f>
        <v>53523.317768657267</v>
      </c>
      <c r="AG437" s="6">
        <f ca="1">$O$437*$AA$437</f>
        <v>32380.166360200048</v>
      </c>
    </row>
    <row r="438" spans="1:33" ht="11.25" customHeight="1" x14ac:dyDescent="0.25">
      <c r="A438" s="4" t="s">
        <v>21</v>
      </c>
      <c r="B438" s="4" t="s">
        <v>42</v>
      </c>
      <c r="C438" s="4" t="s">
        <v>23</v>
      </c>
      <c r="D438" s="4" t="s">
        <v>43</v>
      </c>
      <c r="E438" s="4" t="s">
        <v>44</v>
      </c>
      <c r="F438" s="4" t="s">
        <v>25</v>
      </c>
      <c r="G438" s="4" t="s">
        <v>25</v>
      </c>
      <c r="H438" s="4" t="s">
        <v>25</v>
      </c>
      <c r="I438" s="5">
        <v>44531</v>
      </c>
      <c r="J438" s="6">
        <v>0</v>
      </c>
      <c r="K438" s="6">
        <v>0</v>
      </c>
      <c r="L438" s="6">
        <v>265.32</v>
      </c>
      <c r="M438" s="6">
        <v>265.32</v>
      </c>
      <c r="N438" s="6">
        <v>265.32</v>
      </c>
      <c r="O438" s="6">
        <v>265.32</v>
      </c>
      <c r="P438" s="6">
        <v>5</v>
      </c>
      <c r="Q438" s="4" t="s">
        <v>26</v>
      </c>
      <c r="R438" s="4">
        <v>0</v>
      </c>
      <c r="S438" s="6">
        <v>0</v>
      </c>
      <c r="T438" s="6">
        <v>20</v>
      </c>
      <c r="U438" s="6">
        <v>70</v>
      </c>
      <c r="V438" s="6">
        <f>IF(ISERROR(VLOOKUP($S$438,'TAR FIN'!$A$1:$O$85,15,0)),0,VLOOKUP($S$438,'TAR FIN'!$A$1:$O$85,15,0))</f>
        <v>0</v>
      </c>
      <c r="W438" s="6">
        <f>IF(ISERROR(VLOOKUP($T$438,'TAR FIN'!$A$1:$O$85,15,0)),0,VLOOKUP($T$438,'TAR FIN'!$A$1:$O$85,15,0))</f>
        <v>183.23</v>
      </c>
      <c r="X438" s="6">
        <f>IF(ISERROR(VLOOKUP($U$438,'TAR FIN'!$A$1:$O$85,15,0)),0,VLOOKUP($U$438,'TAR FIN'!$A$1:$O$85,15,0))</f>
        <v>133.02000000000001</v>
      </c>
      <c r="Y438" s="6"/>
      <c r="Z438" s="6">
        <f ca="1">('TUSD BE'!$AM$50+'TUSD BF_350'!$AM$50+'TUSD CVA'!$AM$50)*1</f>
        <v>206.87338977160022</v>
      </c>
      <c r="AA438" s="6">
        <f ca="1">('TE BE'!$AB$41+'TE BF_350'!$AB$41+'TE CVA'!$AB$41)*1</f>
        <v>125.15283161735451</v>
      </c>
      <c r="AB438" s="6">
        <f>$K$438*$V$438</f>
        <v>0</v>
      </c>
      <c r="AC438" s="6">
        <f>$M$438*$W$438</f>
        <v>48614.583599999998</v>
      </c>
      <c r="AD438" s="6">
        <f>$O$438*$X$438</f>
        <v>35292.866399999999</v>
      </c>
      <c r="AE438" s="6">
        <f>$K$438*$Y$438</f>
        <v>0</v>
      </c>
      <c r="AF438" s="6">
        <f ca="1">$M$438*$Z$438</f>
        <v>54887.647774200967</v>
      </c>
      <c r="AG438" s="6">
        <f ca="1">$O$438*$AA$438</f>
        <v>33205.549284716501</v>
      </c>
    </row>
    <row r="439" spans="1:33" ht="11.25" customHeight="1" x14ac:dyDescent="0.25">
      <c r="A439" s="4" t="s">
        <v>21</v>
      </c>
      <c r="B439" s="4" t="s">
        <v>42</v>
      </c>
      <c r="C439" s="4" t="s">
        <v>23</v>
      </c>
      <c r="D439" s="4" t="s">
        <v>43</v>
      </c>
      <c r="E439" s="4" t="s">
        <v>44</v>
      </c>
      <c r="F439" s="4" t="s">
        <v>25</v>
      </c>
      <c r="G439" s="4" t="s">
        <v>25</v>
      </c>
      <c r="H439" s="4" t="s">
        <v>25</v>
      </c>
      <c r="I439" s="5">
        <v>44562</v>
      </c>
      <c r="J439" s="6">
        <v>0</v>
      </c>
      <c r="K439" s="6">
        <v>0</v>
      </c>
      <c r="L439" s="6">
        <v>260.32100000000003</v>
      </c>
      <c r="M439" s="6">
        <v>260.32100000000003</v>
      </c>
      <c r="N439" s="6">
        <v>260.32100000000003</v>
      </c>
      <c r="O439" s="6">
        <v>260.32100000000003</v>
      </c>
      <c r="P439" s="6">
        <v>5</v>
      </c>
      <c r="Q439" s="4" t="s">
        <v>26</v>
      </c>
      <c r="R439" s="4">
        <v>0</v>
      </c>
      <c r="S439" s="6">
        <v>0</v>
      </c>
      <c r="T439" s="6">
        <v>20</v>
      </c>
      <c r="U439" s="6">
        <v>70</v>
      </c>
      <c r="V439" s="6">
        <f>IF(ISERROR(VLOOKUP($S$439,'TAR FIN'!$A$1:$O$85,15,0)),0,VLOOKUP($S$439,'TAR FIN'!$A$1:$O$85,15,0))</f>
        <v>0</v>
      </c>
      <c r="W439" s="6">
        <f>IF(ISERROR(VLOOKUP($T$439,'TAR FIN'!$A$1:$O$85,15,0)),0,VLOOKUP($T$439,'TAR FIN'!$A$1:$O$85,15,0))</f>
        <v>183.23</v>
      </c>
      <c r="X439" s="6">
        <f>IF(ISERROR(VLOOKUP($U$439,'TAR FIN'!$A$1:$O$85,15,0)),0,VLOOKUP($U$439,'TAR FIN'!$A$1:$O$85,15,0))</f>
        <v>133.02000000000001</v>
      </c>
      <c r="Y439" s="6"/>
      <c r="Z439" s="6">
        <f ca="1">('TUSD BE'!$AM$50+'TUSD BF_350'!$AM$50+'TUSD CVA'!$AM$50)*1</f>
        <v>206.87338977160022</v>
      </c>
      <c r="AA439" s="6">
        <f ca="1">('TE BE'!$AB$41+'TE BF_350'!$AB$41+'TE CVA'!$AB$41)*1</f>
        <v>125.15283161735451</v>
      </c>
      <c r="AB439" s="6">
        <f>$K$439*$V$439</f>
        <v>0</v>
      </c>
      <c r="AC439" s="6">
        <f>$M$439*$W$439</f>
        <v>47698.616829999999</v>
      </c>
      <c r="AD439" s="6">
        <f>$O$439*$X$439</f>
        <v>34627.899420000009</v>
      </c>
      <c r="AE439" s="6">
        <f>$K$439*$Y$439</f>
        <v>0</v>
      </c>
      <c r="AF439" s="6">
        <f ca="1">$M$439*$Z$439</f>
        <v>53853.487698732744</v>
      </c>
      <c r="AG439" s="6">
        <f ca="1">$O$439*$AA$439</f>
        <v>32579.910279461346</v>
      </c>
    </row>
    <row r="440" spans="1:33" ht="11.25" customHeight="1" x14ac:dyDescent="0.25">
      <c r="A440" s="4" t="s">
        <v>21</v>
      </c>
      <c r="B440" s="4" t="s">
        <v>42</v>
      </c>
      <c r="C440" s="4" t="s">
        <v>23</v>
      </c>
      <c r="D440" s="4" t="s">
        <v>43</v>
      </c>
      <c r="E440" s="4" t="s">
        <v>44</v>
      </c>
      <c r="F440" s="4" t="s">
        <v>25</v>
      </c>
      <c r="G440" s="4" t="s">
        <v>25</v>
      </c>
      <c r="H440" s="4" t="s">
        <v>25</v>
      </c>
      <c r="I440" s="5">
        <v>44593</v>
      </c>
      <c r="J440" s="6">
        <v>0</v>
      </c>
      <c r="K440" s="6">
        <v>0</v>
      </c>
      <c r="L440" s="6">
        <v>249.749</v>
      </c>
      <c r="M440" s="6">
        <v>249.749</v>
      </c>
      <c r="N440" s="6">
        <v>249.749</v>
      </c>
      <c r="O440" s="6">
        <v>249.749</v>
      </c>
      <c r="P440" s="6">
        <v>5</v>
      </c>
      <c r="Q440" s="4" t="s">
        <v>26</v>
      </c>
      <c r="R440" s="4">
        <v>0</v>
      </c>
      <c r="S440" s="6">
        <v>0</v>
      </c>
      <c r="T440" s="6">
        <v>20</v>
      </c>
      <c r="U440" s="6">
        <v>70</v>
      </c>
      <c r="V440" s="6">
        <f>IF(ISERROR(VLOOKUP($S$440,'TAR FIN'!$A$1:$O$85,15,0)),0,VLOOKUP($S$440,'TAR FIN'!$A$1:$O$85,15,0))</f>
        <v>0</v>
      </c>
      <c r="W440" s="6">
        <f>IF(ISERROR(VLOOKUP($T$440,'TAR FIN'!$A$1:$O$85,15,0)),0,VLOOKUP($T$440,'TAR FIN'!$A$1:$O$85,15,0))</f>
        <v>183.23</v>
      </c>
      <c r="X440" s="6">
        <f>IF(ISERROR(VLOOKUP($U$440,'TAR FIN'!$A$1:$O$85,15,0)),0,VLOOKUP($U$440,'TAR FIN'!$A$1:$O$85,15,0))</f>
        <v>133.02000000000001</v>
      </c>
      <c r="Y440" s="6"/>
      <c r="Z440" s="6">
        <f ca="1">('TUSD BE'!$AM$50+'TUSD BF_350'!$AM$50+'TUSD CVA'!$AM$50)*1</f>
        <v>206.87338977160022</v>
      </c>
      <c r="AA440" s="6">
        <f ca="1">('TE BE'!$AB$41+'TE BF_350'!$AB$41+'TE CVA'!$AB$41)*1</f>
        <v>125.15283161735451</v>
      </c>
      <c r="AB440" s="6">
        <f>$K$440*$V$440</f>
        <v>0</v>
      </c>
      <c r="AC440" s="6">
        <f>$M$440*$W$440</f>
        <v>45761.509269999995</v>
      </c>
      <c r="AD440" s="6">
        <f>$O$440*$X$440</f>
        <v>33221.611980000001</v>
      </c>
      <c r="AE440" s="6">
        <f>$K$440*$Y$440</f>
        <v>0</v>
      </c>
      <c r="AF440" s="6">
        <f ca="1">$M$440*$Z$440</f>
        <v>51666.422222067384</v>
      </c>
      <c r="AG440" s="6">
        <f ca="1">$O$440*$AA$440</f>
        <v>31256.794543602671</v>
      </c>
    </row>
    <row r="441" spans="1:33" ht="11.25" customHeight="1" x14ac:dyDescent="0.25">
      <c r="A441" s="4" t="s">
        <v>21</v>
      </c>
      <c r="B441" s="4" t="s">
        <v>42</v>
      </c>
      <c r="C441" s="4" t="s">
        <v>23</v>
      </c>
      <c r="D441" s="4" t="s">
        <v>43</v>
      </c>
      <c r="E441" s="4" t="s">
        <v>44</v>
      </c>
      <c r="F441" s="4" t="s">
        <v>25</v>
      </c>
      <c r="G441" s="4" t="s">
        <v>25</v>
      </c>
      <c r="H441" s="4" t="s">
        <v>25</v>
      </c>
      <c r="I441" s="5">
        <v>44621</v>
      </c>
      <c r="J441" s="6">
        <v>0</v>
      </c>
      <c r="K441" s="6">
        <v>0</v>
      </c>
      <c r="L441" s="6">
        <v>298.02699999999999</v>
      </c>
      <c r="M441" s="6">
        <v>298.02699999999999</v>
      </c>
      <c r="N441" s="6">
        <v>298.02699999999999</v>
      </c>
      <c r="O441" s="6">
        <v>298.02699999999999</v>
      </c>
      <c r="P441" s="6">
        <v>5</v>
      </c>
      <c r="Q441" s="4" t="s">
        <v>26</v>
      </c>
      <c r="R441" s="4">
        <v>0</v>
      </c>
      <c r="S441" s="6">
        <v>0</v>
      </c>
      <c r="T441" s="6">
        <v>20</v>
      </c>
      <c r="U441" s="6">
        <v>70</v>
      </c>
      <c r="V441" s="6">
        <f>IF(ISERROR(VLOOKUP($S$441,'TAR FIN'!$A$1:$O$85,15,0)),0,VLOOKUP($S$441,'TAR FIN'!$A$1:$O$85,15,0))</f>
        <v>0</v>
      </c>
      <c r="W441" s="6">
        <f>IF(ISERROR(VLOOKUP($T$441,'TAR FIN'!$A$1:$O$85,15,0)),0,VLOOKUP($T$441,'TAR FIN'!$A$1:$O$85,15,0))</f>
        <v>183.23</v>
      </c>
      <c r="X441" s="6">
        <f>IF(ISERROR(VLOOKUP($U$441,'TAR FIN'!$A$1:$O$85,15,0)),0,VLOOKUP($U$441,'TAR FIN'!$A$1:$O$85,15,0))</f>
        <v>133.02000000000001</v>
      </c>
      <c r="Y441" s="6"/>
      <c r="Z441" s="6">
        <f ca="1">('TUSD BE'!$AM$50+'TUSD BF_350'!$AM$50+'TUSD CVA'!$AM$50)*1</f>
        <v>206.87338977160022</v>
      </c>
      <c r="AA441" s="6">
        <f ca="1">('TE BE'!$AB$41+'TE BF_350'!$AB$41+'TE CVA'!$AB$41)*1</f>
        <v>125.15283161735451</v>
      </c>
      <c r="AB441" s="6">
        <f>$K$441*$V$441</f>
        <v>0</v>
      </c>
      <c r="AC441" s="6">
        <f>$M$441*$W$441</f>
        <v>54607.487209999992</v>
      </c>
      <c r="AD441" s="6">
        <f>$O$441*$X$441</f>
        <v>39643.55154</v>
      </c>
      <c r="AE441" s="6">
        <f>$K$441*$Y$441</f>
        <v>0</v>
      </c>
      <c r="AF441" s="6">
        <f ca="1">$M$441*$Z$441</f>
        <v>61653.855733460696</v>
      </c>
      <c r="AG441" s="6">
        <f ca="1">$O$441*$AA$441</f>
        <v>37298.922948425308</v>
      </c>
    </row>
    <row r="442" spans="1:33" ht="11.25" customHeight="1" x14ac:dyDescent="0.25">
      <c r="A442" s="4" t="s">
        <v>21</v>
      </c>
      <c r="B442" s="4" t="s">
        <v>42</v>
      </c>
      <c r="C442" s="4" t="s">
        <v>23</v>
      </c>
      <c r="D442" s="4" t="s">
        <v>43</v>
      </c>
      <c r="E442" s="4" t="s">
        <v>44</v>
      </c>
      <c r="F442" s="4" t="s">
        <v>25</v>
      </c>
      <c r="G442" s="4" t="s">
        <v>25</v>
      </c>
      <c r="H442" s="4" t="s">
        <v>25</v>
      </c>
      <c r="I442" s="5">
        <v>44652</v>
      </c>
      <c r="J442" s="6">
        <v>0</v>
      </c>
      <c r="K442" s="6">
        <v>0</v>
      </c>
      <c r="L442" s="6">
        <v>310.37</v>
      </c>
      <c r="M442" s="6">
        <v>310.37</v>
      </c>
      <c r="N442" s="6">
        <v>310.37</v>
      </c>
      <c r="O442" s="6">
        <v>310.37</v>
      </c>
      <c r="P442" s="6">
        <v>5</v>
      </c>
      <c r="Q442" s="4" t="s">
        <v>26</v>
      </c>
      <c r="R442" s="4">
        <v>0</v>
      </c>
      <c r="S442" s="6">
        <v>0</v>
      </c>
      <c r="T442" s="6">
        <v>20</v>
      </c>
      <c r="U442" s="6">
        <v>70</v>
      </c>
      <c r="V442" s="6">
        <f>IF(ISERROR(VLOOKUP($S$442,'TAR FIN'!$A$1:$O$85,15,0)),0,VLOOKUP($S$442,'TAR FIN'!$A$1:$O$85,15,0))</f>
        <v>0</v>
      </c>
      <c r="W442" s="6">
        <f>IF(ISERROR(VLOOKUP($T$442,'TAR FIN'!$A$1:$O$85,15,0)),0,VLOOKUP($T$442,'TAR FIN'!$A$1:$O$85,15,0))</f>
        <v>183.23</v>
      </c>
      <c r="X442" s="6">
        <f>IF(ISERROR(VLOOKUP($U$442,'TAR FIN'!$A$1:$O$85,15,0)),0,VLOOKUP($U$442,'TAR FIN'!$A$1:$O$85,15,0))</f>
        <v>133.02000000000001</v>
      </c>
      <c r="Y442" s="6"/>
      <c r="Z442" s="6">
        <f ca="1">('TUSD BE'!$AM$50+'TUSD BF_350'!$AM$50+'TUSD CVA'!$AM$50)*1</f>
        <v>206.87338977160022</v>
      </c>
      <c r="AA442" s="6">
        <f ca="1">('TE BE'!$AB$41+'TE BF_350'!$AB$41+'TE CVA'!$AB$41)*1</f>
        <v>125.15283161735451</v>
      </c>
      <c r="AB442" s="6">
        <f>$K$442*$V$442</f>
        <v>0</v>
      </c>
      <c r="AC442" s="6">
        <f>$M$442*$W$442</f>
        <v>56869.095099999999</v>
      </c>
      <c r="AD442" s="6">
        <f>$O$442*$X$442</f>
        <v>41285.417400000006</v>
      </c>
      <c r="AE442" s="6">
        <f>$K$442*$Y$442</f>
        <v>0</v>
      </c>
      <c r="AF442" s="6">
        <f ca="1">$M$442*$Z$442</f>
        <v>64207.29398341156</v>
      </c>
      <c r="AG442" s="6">
        <f ca="1">$O$442*$AA$442</f>
        <v>38843.684349078321</v>
      </c>
    </row>
    <row r="443" spans="1:33" ht="11.25" customHeight="1" x14ac:dyDescent="0.25">
      <c r="A443" s="4" t="s">
        <v>21</v>
      </c>
      <c r="B443" s="4" t="s">
        <v>42</v>
      </c>
      <c r="C443" s="4" t="s">
        <v>23</v>
      </c>
      <c r="D443" s="4" t="s">
        <v>43</v>
      </c>
      <c r="E443" s="4" t="s">
        <v>44</v>
      </c>
      <c r="F443" s="4" t="s">
        <v>25</v>
      </c>
      <c r="G443" s="4" t="s">
        <v>25</v>
      </c>
      <c r="H443" s="4" t="s">
        <v>25</v>
      </c>
      <c r="I443" s="5">
        <v>44682</v>
      </c>
      <c r="J443" s="6">
        <v>0</v>
      </c>
      <c r="K443" s="6">
        <v>0</v>
      </c>
      <c r="L443" s="6">
        <v>338.00400000000002</v>
      </c>
      <c r="M443" s="6">
        <v>338.00400000000002</v>
      </c>
      <c r="N443" s="6">
        <v>338.00400000000002</v>
      </c>
      <c r="O443" s="6">
        <v>338.00400000000002</v>
      </c>
      <c r="P443" s="6">
        <v>5</v>
      </c>
      <c r="Q443" s="4" t="s">
        <v>26</v>
      </c>
      <c r="R443" s="4">
        <v>0</v>
      </c>
      <c r="S443" s="6">
        <v>0</v>
      </c>
      <c r="T443" s="6">
        <v>20</v>
      </c>
      <c r="U443" s="6">
        <v>70</v>
      </c>
      <c r="V443" s="6">
        <f>IF(ISERROR(VLOOKUP($S$443,'TAR FIN'!$A$1:$O$85,15,0)),0,VLOOKUP($S$443,'TAR FIN'!$A$1:$O$85,15,0))</f>
        <v>0</v>
      </c>
      <c r="W443" s="6">
        <f>IF(ISERROR(VLOOKUP($T$443,'TAR FIN'!$A$1:$O$85,15,0)),0,VLOOKUP($T$443,'TAR FIN'!$A$1:$O$85,15,0))</f>
        <v>183.23</v>
      </c>
      <c r="X443" s="6">
        <f>IF(ISERROR(VLOOKUP($U$443,'TAR FIN'!$A$1:$O$85,15,0)),0,VLOOKUP($U$443,'TAR FIN'!$A$1:$O$85,15,0))</f>
        <v>133.02000000000001</v>
      </c>
      <c r="Y443" s="6"/>
      <c r="Z443" s="6">
        <f ca="1">('TUSD BE'!$AM$50+'TUSD BF_350'!$AM$50+'TUSD CVA'!$AM$50)*1</f>
        <v>206.87338977160022</v>
      </c>
      <c r="AA443" s="6">
        <f ca="1">('TE BE'!$AB$41+'TE BF_350'!$AB$41+'TE CVA'!$AB$41)*1</f>
        <v>125.15283161735451</v>
      </c>
      <c r="AB443" s="6">
        <f>$K$443*$V$443</f>
        <v>0</v>
      </c>
      <c r="AC443" s="6">
        <f>$M$443*$W$443</f>
        <v>61932.47292</v>
      </c>
      <c r="AD443" s="6">
        <f>$O$443*$X$443</f>
        <v>44961.292080000007</v>
      </c>
      <c r="AE443" s="6">
        <f>$K$443*$Y$443</f>
        <v>0</v>
      </c>
      <c r="AF443" s="6">
        <f ca="1">$M$443*$Z$443</f>
        <v>69924.033236359959</v>
      </c>
      <c r="AG443" s="6">
        <f ca="1">$O$443*$AA$443</f>
        <v>42302.157697992297</v>
      </c>
    </row>
    <row r="444" spans="1:33" ht="11.25" customHeight="1" x14ac:dyDescent="0.25">
      <c r="A444" s="4" t="s">
        <v>21</v>
      </c>
      <c r="B444" s="4" t="s">
        <v>42</v>
      </c>
      <c r="C444" s="4" t="s">
        <v>23</v>
      </c>
      <c r="D444" s="4" t="s">
        <v>43</v>
      </c>
      <c r="E444" s="4" t="s">
        <v>44</v>
      </c>
      <c r="F444" s="4" t="s">
        <v>25</v>
      </c>
      <c r="G444" s="4" t="s">
        <v>25</v>
      </c>
      <c r="H444" s="4" t="s">
        <v>25</v>
      </c>
      <c r="I444" s="5">
        <v>44713</v>
      </c>
      <c r="J444" s="6">
        <v>0</v>
      </c>
      <c r="K444" s="6">
        <v>0</v>
      </c>
      <c r="L444" s="6">
        <v>335.22500000000002</v>
      </c>
      <c r="M444" s="6">
        <v>335.22500000000002</v>
      </c>
      <c r="N444" s="6">
        <v>335.22500000000002</v>
      </c>
      <c r="O444" s="6">
        <v>335.22500000000002</v>
      </c>
      <c r="P444" s="6">
        <v>5</v>
      </c>
      <c r="Q444" s="4" t="s">
        <v>26</v>
      </c>
      <c r="R444" s="4">
        <v>0</v>
      </c>
      <c r="S444" s="6">
        <v>0</v>
      </c>
      <c r="T444" s="6">
        <v>20</v>
      </c>
      <c r="U444" s="6">
        <v>70</v>
      </c>
      <c r="V444" s="6">
        <f>IF(ISERROR(VLOOKUP($S$444,'TAR FIN'!$A$1:$O$85,15,0)),0,VLOOKUP($S$444,'TAR FIN'!$A$1:$O$85,15,0))</f>
        <v>0</v>
      </c>
      <c r="W444" s="6">
        <f>IF(ISERROR(VLOOKUP($T$444,'TAR FIN'!$A$1:$O$85,15,0)),0,VLOOKUP($T$444,'TAR FIN'!$A$1:$O$85,15,0))</f>
        <v>183.23</v>
      </c>
      <c r="X444" s="6">
        <f>IF(ISERROR(VLOOKUP($U$444,'TAR FIN'!$A$1:$O$85,15,0)),0,VLOOKUP($U$444,'TAR FIN'!$A$1:$O$85,15,0))</f>
        <v>133.02000000000001</v>
      </c>
      <c r="Y444" s="6"/>
      <c r="Z444" s="6">
        <f ca="1">('TUSD BE'!$AM$50+'TUSD BF_350'!$AM$50+'TUSD CVA'!$AM$50)*1</f>
        <v>206.87338977160022</v>
      </c>
      <c r="AA444" s="6">
        <f ca="1">('TE BE'!$AB$41+'TE BF_350'!$AB$41+'TE CVA'!$AB$41)*1</f>
        <v>125.15283161735451</v>
      </c>
      <c r="AB444" s="6">
        <f>$K$444*$V$444</f>
        <v>0</v>
      </c>
      <c r="AC444" s="6">
        <f>$M$444*$W$444</f>
        <v>61423.276749999997</v>
      </c>
      <c r="AD444" s="6">
        <f>$O$444*$X$444</f>
        <v>44591.62950000001</v>
      </c>
      <c r="AE444" s="6">
        <f>$K$444*$Y$444</f>
        <v>0</v>
      </c>
      <c r="AF444" s="6">
        <f ca="1">$M$444*$Z$444</f>
        <v>69349.132086184691</v>
      </c>
      <c r="AG444" s="6">
        <f ca="1">$O$444*$AA$444</f>
        <v>41954.35797892767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B8900-BAFF-4C6A-84D4-B69EAE1767FC}">
  <sheetPr>
    <tabColor indexed="12" tint="-0.249977111117893"/>
  </sheetPr>
  <dimension ref="B1:AB20"/>
  <sheetViews>
    <sheetView workbookViewId="0">
      <selection activeCell="D20" sqref="D20:E20"/>
    </sheetView>
  </sheetViews>
  <sheetFormatPr defaultRowHeight="15" x14ac:dyDescent="0.25"/>
  <cols>
    <col min="2" max="2" width="15.85546875" bestFit="1" customWidth="1"/>
    <col min="3" max="3" width="11.7109375" bestFit="1" customWidth="1"/>
    <col min="4" max="4" width="13.28515625" bestFit="1" customWidth="1"/>
    <col min="5" max="5" width="11.140625" bestFit="1" customWidth="1"/>
    <col min="6" max="6" width="21.5703125" bestFit="1" customWidth="1"/>
    <col min="7" max="7" width="19.5703125" bestFit="1" customWidth="1"/>
    <col min="8" max="8" width="34" bestFit="1" customWidth="1"/>
    <col min="9" max="9" width="19.42578125" bestFit="1" customWidth="1"/>
    <col min="10" max="10" width="33.85546875" bestFit="1" customWidth="1"/>
    <col min="28" max="28" width="8" bestFit="1" customWidth="1"/>
  </cols>
  <sheetData>
    <row r="1" spans="2:28" x14ac:dyDescent="0.25">
      <c r="AA1" t="s">
        <v>1036</v>
      </c>
      <c r="AB1">
        <v>1000042</v>
      </c>
    </row>
    <row r="2" spans="2:28" x14ac:dyDescent="0.25">
      <c r="AA2" t="s">
        <v>1037</v>
      </c>
      <c r="AB2">
        <v>2022</v>
      </c>
    </row>
    <row r="3" spans="2:28" x14ac:dyDescent="0.25">
      <c r="AA3" t="s">
        <v>546</v>
      </c>
      <c r="AB3">
        <v>1</v>
      </c>
    </row>
    <row r="4" spans="2:28" ht="15.75" thickBot="1" x14ac:dyDescent="0.3">
      <c r="B4" s="70" t="s">
        <v>447</v>
      </c>
      <c r="C4" s="70" t="s">
        <v>60</v>
      </c>
      <c r="D4" s="70" t="s">
        <v>61</v>
      </c>
      <c r="E4" s="70" t="s">
        <v>66</v>
      </c>
      <c r="F4" s="70" t="s">
        <v>1038</v>
      </c>
      <c r="G4" s="70" t="s">
        <v>1039</v>
      </c>
      <c r="H4" s="70" t="s">
        <v>1040</v>
      </c>
      <c r="I4" s="70" t="s">
        <v>1041</v>
      </c>
      <c r="J4" s="70" t="s">
        <v>1042</v>
      </c>
    </row>
    <row r="5" spans="2:28" x14ac:dyDescent="0.25">
      <c r="B5" s="73" t="s">
        <v>408</v>
      </c>
      <c r="C5" s="74" t="s">
        <v>34</v>
      </c>
      <c r="D5" s="74" t="s">
        <v>51</v>
      </c>
      <c r="E5" s="74" t="s">
        <v>1043</v>
      </c>
      <c r="F5" s="77">
        <f>SUMIFS(Mercado_Receita!J:J,Mercado_Receita!B:B,"=A4",Mercado_Receita!C:C,"=AZUL",Mercado_Receita!H:H,"=Ponta")</f>
        <v>20487</v>
      </c>
      <c r="G5" s="77">
        <f ca="1">ROUND('TUSD BE'!$AM$5+'TUSD BF'!$AM$5+'TUSD CVA'!$AM$5,2)</f>
        <v>35.090000000000003</v>
      </c>
      <c r="H5" s="77">
        <v>47.94</v>
      </c>
      <c r="I5" s="77">
        <f t="shared" ref="I5:I14" ca="1" si="0">F5*G5</f>
        <v>718888.83000000007</v>
      </c>
      <c r="J5" s="78">
        <f t="shared" ref="J5:J14" si="1">F5*H5</f>
        <v>982146.77999999991</v>
      </c>
    </row>
    <row r="6" spans="2:28" x14ac:dyDescent="0.25">
      <c r="B6" s="71" t="s">
        <v>408</v>
      </c>
      <c r="C6" s="58" t="s">
        <v>34</v>
      </c>
      <c r="D6" s="58" t="s">
        <v>51</v>
      </c>
      <c r="E6" s="58" t="s">
        <v>1044</v>
      </c>
      <c r="F6" s="79">
        <f>SUMIFS(Mercado_Receita!J:J,Mercado_Receita!B:B,"=A4",Mercado_Receita!C:C,"=AZUL",Mercado_Receita!H:H,"=Fora Ponta")</f>
        <v>21624</v>
      </c>
      <c r="G6" s="79">
        <f ca="1">ROUND('TUSD BE'!$AM$6+'TUSD BF'!$AM$6+'TUSD CVA'!$AM$6,2)</f>
        <v>19.63</v>
      </c>
      <c r="H6" s="79">
        <v>32.31</v>
      </c>
      <c r="I6" s="79">
        <f t="shared" ca="1" si="0"/>
        <v>424479.12</v>
      </c>
      <c r="J6" s="80">
        <f t="shared" si="1"/>
        <v>698671.44000000006</v>
      </c>
    </row>
    <row r="7" spans="2:28" x14ac:dyDescent="0.25">
      <c r="B7" s="71" t="s">
        <v>408</v>
      </c>
      <c r="C7" s="58" t="s">
        <v>34</v>
      </c>
      <c r="D7" s="58" t="s">
        <v>51</v>
      </c>
      <c r="E7" s="58" t="s">
        <v>11</v>
      </c>
      <c r="F7" s="79">
        <f>SUMIFS(Mercado_Receita!L:L,Mercado_Receita!B:B,"=A4",Mercado_Receita!C:C,"=AZUL",Mercado_Receita!H:H,"&lt;&gt;Não se aplica",Mercado_Receita!Q:Q,"=Cativo")+SUMIFS(Mercado_Receita!L:L,Mercado_Receita!B:B,"=A4",Mercado_Receita!C:C,"=AZUL",Mercado_Receita!Q:Q,"=Livre")</f>
        <v>8675.9390000000003</v>
      </c>
      <c r="G7" s="79">
        <f ca="1">ROUND('TUSD BE'!$AM$7+'TUSD BF'!$AM$7+'TUSD CVA'!$AM$7,2)</f>
        <v>114.48</v>
      </c>
      <c r="H7" s="79">
        <v>116.79</v>
      </c>
      <c r="I7" s="79">
        <f t="shared" ca="1" si="0"/>
        <v>993221.49672000005</v>
      </c>
      <c r="J7" s="80">
        <f t="shared" si="1"/>
        <v>1013262.91581</v>
      </c>
    </row>
    <row r="8" spans="2:28" x14ac:dyDescent="0.25">
      <c r="B8" s="71" t="s">
        <v>436</v>
      </c>
      <c r="C8" s="58" t="s">
        <v>34</v>
      </c>
      <c r="D8" s="58" t="s">
        <v>51</v>
      </c>
      <c r="E8" s="58" t="s">
        <v>1045</v>
      </c>
      <c r="F8" s="79">
        <f>SUMIFS(Mercado_Receita!N:N,Mercado_Receita!B:B,"=A4",Mercado_Receita!C:C,"=AZUL",Mercado_Receita!H:H,"=Ponta",Mercado_Receita!Q:Q,"=Cativo")</f>
        <v>0</v>
      </c>
      <c r="G8" s="79">
        <f>ROUND('TE BE'!$AB$5+'TE BF'!$AB$5+'TE CVA'!$AB$5,2)</f>
        <v>347.99</v>
      </c>
      <c r="H8" s="79">
        <v>393.63</v>
      </c>
      <c r="I8" s="79">
        <f t="shared" si="0"/>
        <v>0</v>
      </c>
      <c r="J8" s="80">
        <f t="shared" si="1"/>
        <v>0</v>
      </c>
    </row>
    <row r="9" spans="2:28" ht="15.75" thickBot="1" x14ac:dyDescent="0.3">
      <c r="B9" s="72" t="s">
        <v>436</v>
      </c>
      <c r="C9" s="57" t="s">
        <v>34</v>
      </c>
      <c r="D9" s="57" t="s">
        <v>51</v>
      </c>
      <c r="E9" s="57" t="s">
        <v>1046</v>
      </c>
      <c r="F9" s="84">
        <f>SUMIFS(Mercado_Receita!N:N,Mercado_Receita!B:B,"=A4",Mercado_Receita!C:C,"=AZUL",Mercado_Receita!H:H,"=Fora Ponta",Mercado_Receita!Q:Q,"=Cativo")</f>
        <v>0</v>
      </c>
      <c r="G9" s="84">
        <f>ROUND('TE BE'!$AB$6+'TE BF'!$AB$6+'TE CVA'!$AB$6,2)</f>
        <v>216.6</v>
      </c>
      <c r="H9" s="84">
        <v>249.61</v>
      </c>
      <c r="I9" s="84">
        <f t="shared" si="0"/>
        <v>0</v>
      </c>
      <c r="J9" s="85">
        <f t="shared" si="1"/>
        <v>0</v>
      </c>
    </row>
    <row r="10" spans="2:28" x14ac:dyDescent="0.25">
      <c r="B10" s="73" t="s">
        <v>408</v>
      </c>
      <c r="C10" s="74" t="s">
        <v>34</v>
      </c>
      <c r="D10" s="74" t="s">
        <v>35</v>
      </c>
      <c r="E10" s="74" t="s">
        <v>9</v>
      </c>
      <c r="F10" s="77">
        <f>SUMIFS(Mercado_Receita!J:J,Mercado_Receita!B:B,"=A4",Mercado_Receita!C:C,"=VERDE",Mercado_Receita!H:H,"=Não se aplica")</f>
        <v>83769</v>
      </c>
      <c r="G10" s="77">
        <f ca="1">ROUND('TUSD BE'!$AM$10+'TUSD BF'!$AM$10+'TUSD CVA'!$AM$10,2)</f>
        <v>19.63</v>
      </c>
      <c r="H10" s="77">
        <v>32.31</v>
      </c>
      <c r="I10" s="77">
        <f t="shared" ca="1" si="0"/>
        <v>1644385.47</v>
      </c>
      <c r="J10" s="78">
        <f t="shared" si="1"/>
        <v>2706576.39</v>
      </c>
    </row>
    <row r="11" spans="2:28" x14ac:dyDescent="0.25">
      <c r="B11" s="71" t="s">
        <v>408</v>
      </c>
      <c r="C11" s="58" t="s">
        <v>34</v>
      </c>
      <c r="D11" s="58" t="s">
        <v>35</v>
      </c>
      <c r="E11" s="58" t="s">
        <v>1047</v>
      </c>
      <c r="F11" s="79">
        <f>SUMIFS(Mercado_Receita!L:L,Mercado_Receita!B:B,"=A4",Mercado_Receita!C:C,"=VERDE",Mercado_Receita!H:H,"=Ponta")</f>
        <v>2568.357</v>
      </c>
      <c r="G11" s="79">
        <f ca="1">ROUND('TUSD BE'!$AM$11+'TUSD BF'!$AM$11+'TUSD CVA'!$AM$11,2)</f>
        <v>966.51</v>
      </c>
      <c r="H11" s="79">
        <v>1283.23</v>
      </c>
      <c r="I11" s="79">
        <f t="shared" ca="1" si="0"/>
        <v>2482342.72407</v>
      </c>
      <c r="J11" s="80">
        <f t="shared" si="1"/>
        <v>3295792.7531099999</v>
      </c>
    </row>
    <row r="12" spans="2:28" x14ac:dyDescent="0.25">
      <c r="B12" s="71" t="s">
        <v>408</v>
      </c>
      <c r="C12" s="58" t="s">
        <v>34</v>
      </c>
      <c r="D12" s="58" t="s">
        <v>35</v>
      </c>
      <c r="E12" s="58" t="s">
        <v>1048</v>
      </c>
      <c r="F12" s="79">
        <f>SUMIFS(Mercado_Receita!L:L,Mercado_Receita!B:B,"=A4",Mercado_Receita!C:C,"=VERDE",Mercado_Receita!H:H,"=Fora Ponta")</f>
        <v>26371.821999999993</v>
      </c>
      <c r="G12" s="79">
        <f ca="1">ROUND('TUSD BE'!$AM$12+'TUSD BF'!$AM$12+'TUSD CVA'!$AM$12,2)</f>
        <v>114.48</v>
      </c>
      <c r="H12" s="79">
        <v>116.79</v>
      </c>
      <c r="I12" s="79">
        <f t="shared" ca="1" si="0"/>
        <v>3019046.1825599992</v>
      </c>
      <c r="J12" s="80">
        <f t="shared" si="1"/>
        <v>3079965.0913799992</v>
      </c>
    </row>
    <row r="13" spans="2:28" x14ac:dyDescent="0.25">
      <c r="B13" s="71" t="s">
        <v>436</v>
      </c>
      <c r="C13" s="58" t="s">
        <v>34</v>
      </c>
      <c r="D13" s="58" t="s">
        <v>35</v>
      </c>
      <c r="E13" s="58" t="s">
        <v>1045</v>
      </c>
      <c r="F13" s="79">
        <f>SUMIFS(Mercado_Receita!N:N,Mercado_Receita!B:B,"=A4",Mercado_Receita!C:C,"=VERDE",Mercado_Receita!H:H,"=Ponta",Mercado_Receita!Q:Q,"=Cativo")</f>
        <v>2156.2700000000004</v>
      </c>
      <c r="G13" s="79">
        <f>ROUND('TE BE'!$AB$5+'TE BF'!$AB$5+'TE CVA'!$AB$5,2)</f>
        <v>347.99</v>
      </c>
      <c r="H13" s="79">
        <v>393.63</v>
      </c>
      <c r="I13" s="79">
        <f t="shared" si="0"/>
        <v>750360.39730000019</v>
      </c>
      <c r="J13" s="80">
        <f t="shared" si="1"/>
        <v>848772.56010000012</v>
      </c>
    </row>
    <row r="14" spans="2:28" ht="15.75" thickBot="1" x14ac:dyDescent="0.3">
      <c r="B14" s="75" t="s">
        <v>436</v>
      </c>
      <c r="C14" s="76" t="s">
        <v>34</v>
      </c>
      <c r="D14" s="76" t="s">
        <v>35</v>
      </c>
      <c r="E14" s="76" t="s">
        <v>1046</v>
      </c>
      <c r="F14" s="81">
        <f>SUMIFS(Mercado_Receita!N:N,Mercado_Receita!B:B,"=A4",Mercado_Receita!C:C,"=VERDE",Mercado_Receita!H:H,"=Fora Ponta",Mercado_Receita!Q:Q,"=Cativo")</f>
        <v>23356.772999999994</v>
      </c>
      <c r="G14" s="81">
        <f>ROUND('TE BE'!$AB$6+'TE BF'!$AB$6+'TE CVA'!$AB$6,2)</f>
        <v>216.6</v>
      </c>
      <c r="H14" s="81">
        <v>249.61</v>
      </c>
      <c r="I14" s="81">
        <f t="shared" si="0"/>
        <v>5059077.0317999981</v>
      </c>
      <c r="J14" s="82">
        <f t="shared" si="1"/>
        <v>5830084.1085299989</v>
      </c>
    </row>
    <row r="16" spans="2:28" ht="15.75" thickBot="1" x14ac:dyDescent="0.3">
      <c r="D16" t="s">
        <v>1049</v>
      </c>
      <c r="E16" t="s">
        <v>1050</v>
      </c>
      <c r="F16" t="s">
        <v>1051</v>
      </c>
      <c r="G16" t="s">
        <v>1052</v>
      </c>
    </row>
    <row r="17" spans="2:7" ht="15.75" thickBot="1" x14ac:dyDescent="0.3">
      <c r="B17" t="s">
        <v>1053</v>
      </c>
      <c r="C17" s="86" t="s">
        <v>34</v>
      </c>
      <c r="D17" s="91">
        <f ca="1">SUMIFS($I$5:$I$14,$C$5:$C$14,C17,$B$5:$B$14,"TUSD")/(SUMIFS($F$5:$F$14,$C$5:$C$14,C17,$B$5:$B$14,"TUSD",$E$5:$E$14,"TUSD_E")+SUMIFS($F$5:$F$14,$C$5:$C$14,C17,$B$5:$B$14,"TUSD",$E$5:$E$14,"TUSD_E P")+SUMIFS($F$5:$F$14,$C$5:$C$14,C17,$B$5:$B$14,"TUSD",$E$5:$E$14,"TUSD_E FP"))</f>
        <v>246.76559721952171</v>
      </c>
      <c r="E17" s="91">
        <f>SUMIFS($J$5:$J$14,$C$5:$C$14,C17,$B$5:$B$14,"TUSD")/(SUMIFS($F$5:$F$14,$C$5:$C$14,C17,$B$5:$B$14,"TUSD",$E$5:$E$14,"TUSD_E")+SUMIFS($F$5:$F$14,$C$5:$C$14,C17,$B$5:$B$14,"TUSD",$E$5:$E$14,"TUSD_E P")+SUMIFS($F$5:$F$14,$C$5:$C$14,C17,$B$5:$B$14,"TUSD",$E$5:$E$14,"TUSD_E FP"))</f>
        <v>313.06833337507078</v>
      </c>
      <c r="F17" s="83" t="str">
        <f ca="1">IF(AND(E17&lt;D17,NOT(ISERROR(_xlfn.XMATCH("AVALIAR " &amp;C17,$F$17:$F$20,2)))),"APLICAR","NÃO APLICAR")</f>
        <v>NÃO APLICAR</v>
      </c>
      <c r="G17" s="92">
        <f ca="1">IF(AND(E17&lt;D17,NOT(ISERROR(_xlfn.XMATCH("AVALIAR " &amp;C17,$F$17:$F$20,2)))),1,0)</f>
        <v>0</v>
      </c>
    </row>
    <row r="18" spans="2:7" ht="15.75" thickBot="1" x14ac:dyDescent="0.3">
      <c r="B18" t="s">
        <v>1054</v>
      </c>
      <c r="C18" s="86" t="s">
        <v>34</v>
      </c>
      <c r="D18" s="91">
        <f>IF((SUMIFS($F$5:$F$14,$C$5:$C$14,C18,$B$5:$B$14,"TE",$E$5:$E$14,"TE P")+SUMIFS($F$5:$F$14,$C$5:$C$14,C18,$B$5:$B$14,"TE",$E$5:$E$14,"TE FP") = 0),0,SUMIFS($I$5:$I$14,$C$5:$C$14,C18,$B$5:$B$14,"TE")/(SUMIFS($F$5:$F$14,$C$5:$C$14,C18,$B$5:$B$14,"TUSD",$E$5:$E$14,"TUSD_E")+SUMIFS($F$5:$F$14,$C$5:$C$14,C18,$B$5:$B$14,"TUSD",$E$5:$E$14,"TUSD_E P")+SUMIFS($F$5:$F$14,$C$5:$C$14,C18,$B$5:$B$14,"TUSD",$E$5:$E$14,"TUSD_E FP")))</f>
        <v>154.44011072859774</v>
      </c>
      <c r="E18" s="91">
        <f>IF((SUMIFS($F$5:$F$14,$C$5:$C$14,C18,$B$5:$B$14,"TE",$E$5:$E$14,"TE P")+SUMIFS($F$5:$F$14,$C$5:$C$14,C18,$B$5:$B$14,"TE",$E$5:$E$14,"TE FP") = 0),0,SUMIFS($J$5:$J$14,$C$5:$C$14,C18,$B$5:$B$14,"TE")/(SUMIFS($F$5:$F$14,$C$5:$C$14,C18,$B$5:$B$14,"TUSD",$E$5:$E$14,"TUSD_E")+SUMIFS($F$5:$F$14,$C$5:$C$14,C18,$B$5:$B$14,"TUSD",$E$5:$E$14,"TUSD_E P")+SUMIFS($F$5:$F$14,$C$5:$C$14,C18,$B$5:$B$14,"TUSD",$E$5:$E$14,"TUSD_E FP")))</f>
        <v>177.55305501301331</v>
      </c>
      <c r="F18" s="83" t="str">
        <f ca="1">IF(AND(E18&lt;D18,NOT(ISERROR(_xlfn.XMATCH("AVALIAR " &amp;C18,$F$17:$F$20,2)))),"APLICAR","NÃO APLICAR")</f>
        <v>NÃO APLICAR</v>
      </c>
      <c r="G18" s="92">
        <f ca="1">IF(AND(E18&lt;D18,NOT(ISERROR(_xlfn.XMATCH("AVALIAR " &amp;C18,$F$17:$F$20,2)))),1,0)</f>
        <v>0</v>
      </c>
    </row>
    <row r="19" spans="2:7" ht="15.75" thickBot="1" x14ac:dyDescent="0.3">
      <c r="B19" t="s">
        <v>1055</v>
      </c>
      <c r="C19" s="86" t="s">
        <v>34</v>
      </c>
      <c r="D19" s="91">
        <f ca="1">SUMIFS(D$17:D$18,C$17:C$18,C19)</f>
        <v>401.20570794811943</v>
      </c>
      <c r="E19" s="91">
        <f>SUMIFS(E$17:E$18,C$17:C$18,C19)</f>
        <v>490.62138838808409</v>
      </c>
      <c r="F19" s="83" t="str">
        <f ca="1">IF(E19&lt;D19,"AVALIAR "&amp;C19,"NÃO ALTERAR")</f>
        <v>NÃO ALTERAR</v>
      </c>
      <c r="G19" s="92">
        <f ca="1">IF(E19&lt;D19,1,0)</f>
        <v>0</v>
      </c>
    </row>
    <row r="20" spans="2:7" ht="15.75" thickBot="1" x14ac:dyDescent="0.3">
      <c r="B20" t="s">
        <v>1056</v>
      </c>
      <c r="C20" s="87" t="s">
        <v>1057</v>
      </c>
      <c r="D20" s="90">
        <f ca="1">ROUND('TE BE'!$AB$11+'TE BF'!$AB$11+'TE CVA'!$AB$11,2)+ROUND('TUSD BE'!$AM$20+'TUSD BF'!$AM$20+'TUSD CVA'!$AM$20,2)</f>
        <v>603.68000000000006</v>
      </c>
      <c r="E20" s="90">
        <v>699.16000000000008</v>
      </c>
      <c r="F20" s="88" t="str">
        <f ca="1">IF(D20&lt;=E20,"NÃO ALTERAR","AVALIAR TarB1")</f>
        <v>NÃO ALTERAR</v>
      </c>
      <c r="G20" s="89">
        <f ca="1">IF(E20&lt;D20,1,0)</f>
        <v>0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B8F92-D0DC-4B51-9E45-B2F6787E017A}">
  <dimension ref="B1:U16"/>
  <sheetViews>
    <sheetView showGridLines="0" topLeftCell="K1" workbookViewId="0">
      <selection activeCell="U1" sqref="U1"/>
    </sheetView>
  </sheetViews>
  <sheetFormatPr defaultRowHeight="15" x14ac:dyDescent="0.25"/>
  <sheetData>
    <row r="1" spans="2:21" x14ac:dyDescent="0.25">
      <c r="B1" s="64" t="s">
        <v>635</v>
      </c>
      <c r="C1" s="64" t="s">
        <v>636</v>
      </c>
      <c r="D1" s="64" t="s">
        <v>637</v>
      </c>
      <c r="E1" s="64" t="s">
        <v>2</v>
      </c>
      <c r="F1" s="64" t="s">
        <v>638</v>
      </c>
      <c r="G1" s="64" t="s">
        <v>545</v>
      </c>
      <c r="H1" s="64" t="s">
        <v>3</v>
      </c>
      <c r="I1" s="64" t="s">
        <v>639</v>
      </c>
      <c r="J1" s="64" t="s">
        <v>5</v>
      </c>
      <c r="K1" s="64" t="s">
        <v>1</v>
      </c>
      <c r="L1" s="64" t="s">
        <v>640</v>
      </c>
      <c r="M1" s="64" t="s">
        <v>641</v>
      </c>
      <c r="N1" s="64" t="s">
        <v>642</v>
      </c>
      <c r="O1" s="64" t="s">
        <v>643</v>
      </c>
      <c r="P1" s="64" t="s">
        <v>644</v>
      </c>
      <c r="Q1" s="64" t="s">
        <v>645</v>
      </c>
      <c r="R1" s="64" t="s">
        <v>646</v>
      </c>
      <c r="S1" s="64" t="s">
        <v>647</v>
      </c>
      <c r="T1" s="64" t="s">
        <v>648</v>
      </c>
      <c r="U1" s="64" t="s">
        <v>649</v>
      </c>
    </row>
    <row r="2" spans="2:21" x14ac:dyDescent="0.25">
      <c r="B2" s="63" t="s">
        <v>616</v>
      </c>
      <c r="C2" s="63">
        <v>6617</v>
      </c>
      <c r="D2" s="63">
        <v>401</v>
      </c>
      <c r="E2" s="63" t="s">
        <v>23</v>
      </c>
      <c r="F2" s="63">
        <v>1</v>
      </c>
      <c r="G2" s="63" t="s">
        <v>617</v>
      </c>
      <c r="H2" s="63" t="s">
        <v>40</v>
      </c>
      <c r="I2" s="63" t="s">
        <v>25</v>
      </c>
      <c r="J2" s="63" t="s">
        <v>40</v>
      </c>
      <c r="K2" s="63" t="s">
        <v>39</v>
      </c>
      <c r="L2" s="63">
        <v>0.3</v>
      </c>
      <c r="M2" s="63">
        <v>0.24</v>
      </c>
      <c r="N2" s="63">
        <v>0.18</v>
      </c>
      <c r="O2" s="63">
        <v>0.12</v>
      </c>
      <c r="P2" s="63">
        <v>0.06</v>
      </c>
      <c r="Q2" s="63">
        <v>0</v>
      </c>
      <c r="R2" s="63"/>
      <c r="S2" s="63"/>
      <c r="T2" s="63"/>
      <c r="U2" s="63">
        <v>3</v>
      </c>
    </row>
    <row r="3" spans="2:21" x14ac:dyDescent="0.25">
      <c r="B3" s="63" t="s">
        <v>618</v>
      </c>
      <c r="C3" s="63">
        <v>6618</v>
      </c>
      <c r="D3" s="63">
        <v>401</v>
      </c>
      <c r="E3" s="63" t="s">
        <v>51</v>
      </c>
      <c r="F3" s="63">
        <v>1</v>
      </c>
      <c r="G3" s="63" t="s">
        <v>617</v>
      </c>
      <c r="H3" s="63" t="s">
        <v>40</v>
      </c>
      <c r="I3" s="63" t="s">
        <v>25</v>
      </c>
      <c r="J3" s="63" t="s">
        <v>619</v>
      </c>
      <c r="K3" s="63" t="s">
        <v>34</v>
      </c>
      <c r="L3" s="63">
        <v>0.1</v>
      </c>
      <c r="M3" s="63">
        <v>0.08</v>
      </c>
      <c r="N3" s="63">
        <v>0.06</v>
      </c>
      <c r="O3" s="63">
        <v>0.04</v>
      </c>
      <c r="P3" s="63">
        <v>0.02</v>
      </c>
      <c r="Q3" s="63">
        <v>0</v>
      </c>
      <c r="R3" s="63"/>
      <c r="S3" s="63"/>
      <c r="T3" s="63"/>
      <c r="U3" s="63">
        <v>3</v>
      </c>
    </row>
    <row r="4" spans="2:21" x14ac:dyDescent="0.25">
      <c r="B4" s="63" t="s">
        <v>620</v>
      </c>
      <c r="C4" s="63">
        <v>6619</v>
      </c>
      <c r="D4" s="63">
        <v>401</v>
      </c>
      <c r="E4" s="63" t="s">
        <v>35</v>
      </c>
      <c r="F4" s="63">
        <v>1</v>
      </c>
      <c r="G4" s="63" t="s">
        <v>617</v>
      </c>
      <c r="H4" s="63" t="s">
        <v>40</v>
      </c>
      <c r="I4" s="63" t="s">
        <v>25</v>
      </c>
      <c r="J4" s="63" t="s">
        <v>619</v>
      </c>
      <c r="K4" s="63" t="s">
        <v>34</v>
      </c>
      <c r="L4" s="63">
        <v>0.1</v>
      </c>
      <c r="M4" s="63">
        <v>0.08</v>
      </c>
      <c r="N4" s="63">
        <v>0.06</v>
      </c>
      <c r="O4" s="63">
        <v>0.04</v>
      </c>
      <c r="P4" s="63">
        <v>0.02</v>
      </c>
      <c r="Q4" s="63">
        <v>0</v>
      </c>
      <c r="R4" s="63"/>
      <c r="S4" s="63"/>
      <c r="T4" s="63"/>
      <c r="U4" s="63">
        <v>3</v>
      </c>
    </row>
    <row r="5" spans="2:21" x14ac:dyDescent="0.25">
      <c r="B5" s="63" t="s">
        <v>621</v>
      </c>
      <c r="C5" s="63">
        <v>6620</v>
      </c>
      <c r="D5" s="63">
        <v>401</v>
      </c>
      <c r="E5" s="63" t="s">
        <v>23</v>
      </c>
      <c r="F5" s="63">
        <v>1</v>
      </c>
      <c r="G5" s="63" t="s">
        <v>617</v>
      </c>
      <c r="H5" s="63" t="s">
        <v>40</v>
      </c>
      <c r="I5" s="63" t="s">
        <v>25</v>
      </c>
      <c r="J5" s="63" t="s">
        <v>619</v>
      </c>
      <c r="K5" s="63" t="s">
        <v>34</v>
      </c>
      <c r="L5" s="63">
        <v>0.1</v>
      </c>
      <c r="M5" s="63">
        <v>0.08</v>
      </c>
      <c r="N5" s="63">
        <v>0.06</v>
      </c>
      <c r="O5" s="63">
        <v>0.04</v>
      </c>
      <c r="P5" s="63">
        <v>0.02</v>
      </c>
      <c r="Q5" s="63">
        <v>0</v>
      </c>
      <c r="R5" s="63"/>
      <c r="S5" s="63"/>
      <c r="T5" s="63"/>
      <c r="U5" s="63">
        <v>3</v>
      </c>
    </row>
    <row r="6" spans="2:21" x14ac:dyDescent="0.25">
      <c r="B6" s="63" t="s">
        <v>616</v>
      </c>
      <c r="C6" s="63">
        <v>6621</v>
      </c>
      <c r="D6" s="63">
        <v>401</v>
      </c>
      <c r="E6" s="63" t="s">
        <v>23</v>
      </c>
      <c r="F6" s="63">
        <v>1</v>
      </c>
      <c r="G6" s="63" t="s">
        <v>617</v>
      </c>
      <c r="H6" s="63" t="s">
        <v>40</v>
      </c>
      <c r="I6" s="63" t="s">
        <v>25</v>
      </c>
      <c r="J6" s="63" t="s">
        <v>40</v>
      </c>
      <c r="K6" s="63" t="s">
        <v>39</v>
      </c>
      <c r="L6" s="63">
        <v>0.3</v>
      </c>
      <c r="M6" s="63">
        <v>0.24</v>
      </c>
      <c r="N6" s="63">
        <v>0.18</v>
      </c>
      <c r="O6" s="63">
        <v>0.12</v>
      </c>
      <c r="P6" s="63">
        <v>0.06</v>
      </c>
      <c r="Q6" s="63">
        <v>0</v>
      </c>
      <c r="R6" s="63"/>
      <c r="S6" s="63"/>
      <c r="T6" s="63"/>
      <c r="U6" s="63">
        <v>3</v>
      </c>
    </row>
    <row r="7" spans="2:21" x14ac:dyDescent="0.25">
      <c r="B7" s="63" t="s">
        <v>622</v>
      </c>
      <c r="C7" s="63">
        <v>6622</v>
      </c>
      <c r="D7" s="63">
        <v>401</v>
      </c>
      <c r="E7" s="63" t="s">
        <v>49</v>
      </c>
      <c r="F7" s="63">
        <v>1</v>
      </c>
      <c r="G7" s="63" t="s">
        <v>617</v>
      </c>
      <c r="H7" s="63" t="s">
        <v>40</v>
      </c>
      <c r="I7" s="63" t="s">
        <v>25</v>
      </c>
      <c r="J7" s="63" t="s">
        <v>40</v>
      </c>
      <c r="K7" s="63" t="s">
        <v>39</v>
      </c>
      <c r="L7" s="63">
        <v>0.3</v>
      </c>
      <c r="M7" s="63">
        <v>0.24</v>
      </c>
      <c r="N7" s="63">
        <v>0.18</v>
      </c>
      <c r="O7" s="63">
        <v>0.12</v>
      </c>
      <c r="P7" s="63">
        <v>0.06</v>
      </c>
      <c r="Q7" s="63">
        <v>0</v>
      </c>
      <c r="R7" s="63"/>
      <c r="S7" s="63"/>
      <c r="T7" s="63"/>
      <c r="U7" s="63">
        <v>3</v>
      </c>
    </row>
    <row r="8" spans="2:21" x14ac:dyDescent="0.25">
      <c r="B8" s="63" t="s">
        <v>623</v>
      </c>
      <c r="C8" s="63">
        <v>6623</v>
      </c>
      <c r="D8" s="63">
        <v>401</v>
      </c>
      <c r="E8" s="63" t="s">
        <v>23</v>
      </c>
      <c r="F8" s="63">
        <v>1</v>
      </c>
      <c r="G8" s="63" t="s">
        <v>617</v>
      </c>
      <c r="H8" s="63" t="s">
        <v>40</v>
      </c>
      <c r="I8" s="63" t="s">
        <v>87</v>
      </c>
      <c r="J8" s="63" t="s">
        <v>624</v>
      </c>
      <c r="K8" s="63" t="s">
        <v>39</v>
      </c>
      <c r="L8" s="63">
        <v>0.4</v>
      </c>
      <c r="M8" s="63">
        <v>0.32</v>
      </c>
      <c r="N8" s="63">
        <v>0.24</v>
      </c>
      <c r="O8" s="63">
        <v>0.16</v>
      </c>
      <c r="P8" s="63">
        <v>0.08</v>
      </c>
      <c r="Q8" s="63">
        <v>0</v>
      </c>
      <c r="R8" s="63"/>
      <c r="S8" s="63"/>
      <c r="T8" s="63"/>
      <c r="U8" s="63">
        <v>3</v>
      </c>
    </row>
    <row r="9" spans="2:21" x14ac:dyDescent="0.25">
      <c r="B9" s="63" t="s">
        <v>625</v>
      </c>
      <c r="C9" s="63">
        <v>6624</v>
      </c>
      <c r="D9" s="63">
        <v>401</v>
      </c>
      <c r="E9" s="63" t="s">
        <v>626</v>
      </c>
      <c r="F9" s="63">
        <v>1</v>
      </c>
      <c r="G9" s="63" t="s">
        <v>617</v>
      </c>
      <c r="H9" s="63" t="s">
        <v>40</v>
      </c>
      <c r="I9" s="63" t="s">
        <v>87</v>
      </c>
      <c r="J9" s="63" t="s">
        <v>624</v>
      </c>
      <c r="K9" s="63" t="s">
        <v>39</v>
      </c>
      <c r="L9" s="63">
        <v>0.4</v>
      </c>
      <c r="M9" s="63">
        <v>0.32</v>
      </c>
      <c r="N9" s="63">
        <v>0.24</v>
      </c>
      <c r="O9" s="63">
        <v>0.16</v>
      </c>
      <c r="P9" s="63">
        <v>0.08</v>
      </c>
      <c r="Q9" s="63">
        <v>0</v>
      </c>
      <c r="R9" s="63"/>
      <c r="S9" s="63"/>
      <c r="T9" s="63"/>
      <c r="U9" s="63">
        <v>3</v>
      </c>
    </row>
    <row r="10" spans="2:21" x14ac:dyDescent="0.25">
      <c r="B10" s="63" t="s">
        <v>627</v>
      </c>
      <c r="C10" s="63">
        <v>6610</v>
      </c>
      <c r="D10" s="63">
        <v>401</v>
      </c>
      <c r="E10" s="63" t="s">
        <v>51</v>
      </c>
      <c r="F10" s="63">
        <v>1</v>
      </c>
      <c r="G10" s="63" t="s">
        <v>617</v>
      </c>
      <c r="H10" s="63" t="s">
        <v>45</v>
      </c>
      <c r="I10" s="63" t="s">
        <v>46</v>
      </c>
      <c r="J10" s="63" t="s">
        <v>624</v>
      </c>
      <c r="K10" s="63" t="s">
        <v>34</v>
      </c>
      <c r="L10" s="63">
        <v>0.15</v>
      </c>
      <c r="M10" s="63">
        <v>0.12</v>
      </c>
      <c r="N10" s="63">
        <v>0.09</v>
      </c>
      <c r="O10" s="63">
        <v>0.06</v>
      </c>
      <c r="P10" s="63">
        <v>0.03</v>
      </c>
      <c r="Q10" s="63">
        <v>0</v>
      </c>
      <c r="R10" s="63"/>
      <c r="S10" s="63"/>
      <c r="T10" s="63"/>
      <c r="U10" s="63">
        <v>3</v>
      </c>
    </row>
    <row r="11" spans="2:21" x14ac:dyDescent="0.25">
      <c r="B11" s="63" t="s">
        <v>628</v>
      </c>
      <c r="C11" s="63">
        <v>6611</v>
      </c>
      <c r="D11" s="63">
        <v>401</v>
      </c>
      <c r="E11" s="63" t="s">
        <v>35</v>
      </c>
      <c r="F11" s="63">
        <v>1</v>
      </c>
      <c r="G11" s="63" t="s">
        <v>617</v>
      </c>
      <c r="H11" s="63" t="s">
        <v>45</v>
      </c>
      <c r="I11" s="63" t="s">
        <v>46</v>
      </c>
      <c r="J11" s="63" t="s">
        <v>624</v>
      </c>
      <c r="K11" s="63" t="s">
        <v>34</v>
      </c>
      <c r="L11" s="63">
        <v>0.15</v>
      </c>
      <c r="M11" s="63">
        <v>0.12</v>
      </c>
      <c r="N11" s="63">
        <v>0.09</v>
      </c>
      <c r="O11" s="63">
        <v>0.06</v>
      </c>
      <c r="P11" s="63">
        <v>0.03</v>
      </c>
      <c r="Q11" s="63">
        <v>0</v>
      </c>
      <c r="R11" s="63"/>
      <c r="S11" s="63"/>
      <c r="T11" s="63"/>
      <c r="U11" s="63">
        <v>3</v>
      </c>
    </row>
    <row r="12" spans="2:21" x14ac:dyDescent="0.25">
      <c r="B12" s="63" t="s">
        <v>629</v>
      </c>
      <c r="C12" s="63">
        <v>6612</v>
      </c>
      <c r="D12" s="63">
        <v>401</v>
      </c>
      <c r="E12" s="63" t="s">
        <v>630</v>
      </c>
      <c r="F12" s="63">
        <v>1</v>
      </c>
      <c r="G12" s="63" t="s">
        <v>617</v>
      </c>
      <c r="H12" s="63" t="s">
        <v>45</v>
      </c>
      <c r="I12" s="63" t="s">
        <v>46</v>
      </c>
      <c r="J12" s="63" t="s">
        <v>624</v>
      </c>
      <c r="K12" s="63" t="s">
        <v>34</v>
      </c>
      <c r="L12" s="63">
        <v>0.15</v>
      </c>
      <c r="M12" s="63">
        <v>0.12</v>
      </c>
      <c r="N12" s="63">
        <v>0.09</v>
      </c>
      <c r="O12" s="63">
        <v>0.06</v>
      </c>
      <c r="P12" s="63">
        <v>0.03</v>
      </c>
      <c r="Q12" s="63">
        <v>0</v>
      </c>
      <c r="R12" s="63"/>
      <c r="S12" s="63"/>
      <c r="T12" s="63"/>
      <c r="U12" s="63">
        <v>3</v>
      </c>
    </row>
    <row r="13" spans="2:21" x14ac:dyDescent="0.25">
      <c r="B13" s="63" t="s">
        <v>631</v>
      </c>
      <c r="C13" s="63">
        <v>6613</v>
      </c>
      <c r="D13" s="63">
        <v>401</v>
      </c>
      <c r="E13" s="63" t="s">
        <v>23</v>
      </c>
      <c r="F13" s="63">
        <v>1</v>
      </c>
      <c r="G13" s="63" t="s">
        <v>617</v>
      </c>
      <c r="H13" s="63" t="s">
        <v>45</v>
      </c>
      <c r="I13" s="63" t="s">
        <v>46</v>
      </c>
      <c r="J13" s="63" t="s">
        <v>624</v>
      </c>
      <c r="K13" s="63" t="s">
        <v>32</v>
      </c>
      <c r="L13" s="63">
        <v>0.15</v>
      </c>
      <c r="M13" s="63">
        <v>0.12</v>
      </c>
      <c r="N13" s="63">
        <v>0.09</v>
      </c>
      <c r="O13" s="63">
        <v>0.06</v>
      </c>
      <c r="P13" s="63">
        <v>0.03</v>
      </c>
      <c r="Q13" s="63">
        <v>0</v>
      </c>
      <c r="R13" s="63"/>
      <c r="S13" s="63"/>
      <c r="T13" s="63"/>
      <c r="U13" s="63">
        <v>3</v>
      </c>
    </row>
    <row r="14" spans="2:21" x14ac:dyDescent="0.25">
      <c r="B14" s="63" t="s">
        <v>632</v>
      </c>
      <c r="C14" s="63">
        <v>6614</v>
      </c>
      <c r="D14" s="63">
        <v>401</v>
      </c>
      <c r="E14" s="63" t="s">
        <v>49</v>
      </c>
      <c r="F14" s="63">
        <v>1</v>
      </c>
      <c r="G14" s="63" t="s">
        <v>617</v>
      </c>
      <c r="H14" s="63" t="s">
        <v>45</v>
      </c>
      <c r="I14" s="63" t="s">
        <v>46</v>
      </c>
      <c r="J14" s="63" t="s">
        <v>624</v>
      </c>
      <c r="K14" s="63" t="s">
        <v>32</v>
      </c>
      <c r="L14" s="63">
        <v>0.15</v>
      </c>
      <c r="M14" s="63">
        <v>0.12</v>
      </c>
      <c r="N14" s="63">
        <v>0.09</v>
      </c>
      <c r="O14" s="63">
        <v>0.06</v>
      </c>
      <c r="P14" s="63">
        <v>0.03</v>
      </c>
      <c r="Q14" s="63">
        <v>0</v>
      </c>
      <c r="R14" s="63"/>
      <c r="S14" s="63"/>
      <c r="T14" s="63"/>
      <c r="U14" s="63">
        <v>3</v>
      </c>
    </row>
    <row r="15" spans="2:21" x14ac:dyDescent="0.25">
      <c r="B15" s="63" t="s">
        <v>633</v>
      </c>
      <c r="C15" s="63">
        <v>6615</v>
      </c>
      <c r="D15" s="63">
        <v>401</v>
      </c>
      <c r="E15" s="63" t="s">
        <v>23</v>
      </c>
      <c r="F15" s="63">
        <v>1</v>
      </c>
      <c r="G15" s="63" t="s">
        <v>617</v>
      </c>
      <c r="H15" s="63" t="s">
        <v>40</v>
      </c>
      <c r="I15" s="63" t="s">
        <v>86</v>
      </c>
      <c r="J15" s="63" t="s">
        <v>624</v>
      </c>
      <c r="K15" s="63" t="s">
        <v>39</v>
      </c>
      <c r="L15" s="63">
        <v>0.3</v>
      </c>
      <c r="M15" s="63">
        <v>0.24</v>
      </c>
      <c r="N15" s="63">
        <v>0.18</v>
      </c>
      <c r="O15" s="63">
        <v>0.12</v>
      </c>
      <c r="P15" s="63">
        <v>0.06</v>
      </c>
      <c r="Q15" s="63">
        <v>0</v>
      </c>
      <c r="R15" s="63"/>
      <c r="S15" s="63"/>
      <c r="T15" s="63"/>
      <c r="U15" s="63">
        <v>3</v>
      </c>
    </row>
    <row r="16" spans="2:21" x14ac:dyDescent="0.25">
      <c r="B16" s="63" t="s">
        <v>634</v>
      </c>
      <c r="C16" s="63">
        <v>6616</v>
      </c>
      <c r="D16" s="63">
        <v>401</v>
      </c>
      <c r="E16" s="63" t="s">
        <v>626</v>
      </c>
      <c r="F16" s="63">
        <v>1</v>
      </c>
      <c r="G16" s="63" t="s">
        <v>617</v>
      </c>
      <c r="H16" s="63" t="s">
        <v>40</v>
      </c>
      <c r="I16" s="63" t="s">
        <v>86</v>
      </c>
      <c r="J16" s="63" t="s">
        <v>624</v>
      </c>
      <c r="K16" s="63" t="s">
        <v>39</v>
      </c>
      <c r="L16" s="63">
        <v>0.3</v>
      </c>
      <c r="M16" s="63">
        <v>0.24</v>
      </c>
      <c r="N16" s="63">
        <v>0.18</v>
      </c>
      <c r="O16" s="63">
        <v>0.12</v>
      </c>
      <c r="P16" s="63">
        <v>0.06</v>
      </c>
      <c r="Q16" s="63">
        <v>0</v>
      </c>
      <c r="R16" s="63"/>
      <c r="S16" s="63"/>
      <c r="T16" s="63"/>
      <c r="U16" s="63">
        <v>3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2E175-9659-4B76-B68B-A27218CA5972}">
  <dimension ref="A1:L18"/>
  <sheetViews>
    <sheetView showGridLines="0" workbookViewId="0">
      <selection activeCell="F8" sqref="F8"/>
    </sheetView>
  </sheetViews>
  <sheetFormatPr defaultRowHeight="11.25" x14ac:dyDescent="0.2"/>
  <cols>
    <col min="1" max="1" width="31.42578125" style="14" bestFit="1" customWidth="1"/>
    <col min="2" max="2" width="18.42578125" style="14" customWidth="1"/>
    <col min="3" max="12" width="11" style="14" customWidth="1"/>
    <col min="13" max="16384" width="9.140625" style="14"/>
  </cols>
  <sheetData>
    <row r="1" spans="1:12" ht="12" thickBot="1" x14ac:dyDescent="0.25">
      <c r="A1" s="104" t="s">
        <v>1130</v>
      </c>
      <c r="B1" s="104" t="s">
        <v>22</v>
      </c>
      <c r="C1" s="104" t="s">
        <v>1129</v>
      </c>
      <c r="D1" s="104" t="s">
        <v>1128</v>
      </c>
      <c r="E1" s="104" t="s">
        <v>32</v>
      </c>
      <c r="F1" s="104" t="s">
        <v>1127</v>
      </c>
      <c r="G1" s="104" t="s">
        <v>1126</v>
      </c>
      <c r="H1" s="104" t="s">
        <v>538</v>
      </c>
      <c r="I1" s="104" t="s">
        <v>34</v>
      </c>
      <c r="J1" s="104" t="s">
        <v>537</v>
      </c>
      <c r="K1" s="104" t="s">
        <v>536</v>
      </c>
      <c r="L1" s="104" t="s">
        <v>535</v>
      </c>
    </row>
    <row r="2" spans="1:12" x14ac:dyDescent="0.2">
      <c r="A2" s="100" t="s">
        <v>1125</v>
      </c>
      <c r="B2" s="106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180.44579287843246</v>
      </c>
      <c r="C2" s="106">
        <f t="shared" si="0"/>
        <v>169.64989074040662</v>
      </c>
      <c r="D2" s="106">
        <f t="shared" si="0"/>
        <v>166.1797793388983</v>
      </c>
      <c r="E2" s="106">
        <f t="shared" si="0"/>
        <v>180.44579287843246</v>
      </c>
      <c r="F2" s="106">
        <f t="shared" si="0"/>
        <v>99.090958909737481</v>
      </c>
      <c r="G2" s="106">
        <f t="shared" si="0"/>
        <v>108.34458931375966</v>
      </c>
      <c r="H2" s="106">
        <f t="shared" si="0"/>
        <v>0</v>
      </c>
      <c r="I2" s="106">
        <f t="shared" si="0"/>
        <v>114.47930710886152</v>
      </c>
      <c r="J2" s="106">
        <f t="shared" si="0"/>
        <v>0</v>
      </c>
      <c r="K2" s="106">
        <f t="shared" si="0"/>
        <v>0</v>
      </c>
      <c r="L2" s="106">
        <f t="shared" si="0"/>
        <v>0</v>
      </c>
    </row>
    <row r="3" spans="1:12" ht="12" thickBot="1" x14ac:dyDescent="0.25">
      <c r="A3" s="98" t="s">
        <v>1124</v>
      </c>
      <c r="B3" s="105">
        <v>4.68</v>
      </c>
      <c r="C3" s="105">
        <v>4.4000000000000004</v>
      </c>
      <c r="D3" s="105">
        <v>4.3099999999999996</v>
      </c>
      <c r="E3" s="105">
        <v>4.68</v>
      </c>
      <c r="F3" s="105">
        <v>2.57</v>
      </c>
      <c r="G3" s="105">
        <v>2.81</v>
      </c>
      <c r="H3" s="105">
        <v>0</v>
      </c>
      <c r="I3" s="105">
        <f>'TUSD BE'!$AC$6</f>
        <v>2.9691086099769533</v>
      </c>
      <c r="J3" s="105">
        <v>0</v>
      </c>
      <c r="K3" s="105">
        <v>0</v>
      </c>
      <c r="L3" s="105">
        <v>0</v>
      </c>
    </row>
    <row r="5" spans="1:12" ht="12" thickBot="1" x14ac:dyDescent="0.25">
      <c r="A5" s="104" t="s">
        <v>1123</v>
      </c>
      <c r="B5" s="104" t="s">
        <v>1122</v>
      </c>
    </row>
    <row r="6" spans="1:12" x14ac:dyDescent="0.2">
      <c r="A6" s="100" t="s">
        <v>1121</v>
      </c>
      <c r="B6" s="103">
        <v>0.1082749759</v>
      </c>
    </row>
    <row r="7" spans="1:12" x14ac:dyDescent="0.2">
      <c r="A7" s="102" t="s">
        <v>1120</v>
      </c>
      <c r="B7" s="101">
        <v>0.34</v>
      </c>
    </row>
    <row r="8" spans="1:12" x14ac:dyDescent="0.2">
      <c r="A8" s="100" t="s">
        <v>1119</v>
      </c>
      <c r="B8" s="99">
        <v>6442702.9942399841</v>
      </c>
    </row>
    <row r="9" spans="1:12" x14ac:dyDescent="0.2">
      <c r="A9" s="102" t="s">
        <v>1118</v>
      </c>
      <c r="B9" s="101">
        <v>4.3400000000000001E-2</v>
      </c>
    </row>
    <row r="10" spans="1:12" x14ac:dyDescent="0.2">
      <c r="A10" s="100" t="s">
        <v>1117</v>
      </c>
      <c r="B10" s="99">
        <v>3969875.4340552357</v>
      </c>
    </row>
    <row r="11" spans="1:12" ht="12" thickBot="1" x14ac:dyDescent="0.25">
      <c r="A11" s="98" t="s">
        <v>1116</v>
      </c>
      <c r="B11" s="97">
        <f>(1+$B$6)^(1/IF($B$9&lt;&gt;0,$B$9,1))*$B$6/IF((1+$B$6)^(1/IF($B$9&lt;&gt;0,$B$9,1))-1&lt;&gt;0,(1+$B$6)^(1/IF($B$9&lt;&gt;0,$B$9,1))-1,1)</f>
        <v>0.11945547501703301</v>
      </c>
    </row>
    <row r="18" spans="2:2" x14ac:dyDescent="0.2">
      <c r="B18" s="9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26974-4003-4F80-879E-5A7F32DD043E}">
  <dimension ref="B1:AR50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2" bestFit="1" customWidth="1"/>
    <col min="34" max="34" width="16.5703125" bestFit="1" customWidth="1"/>
    <col min="35" max="35" width="14.5703125" bestFit="1" customWidth="1"/>
    <col min="36" max="36" width="12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56" t="s">
        <v>1168</v>
      </c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7"/>
      <c r="AH1" s="156" t="s">
        <v>1169</v>
      </c>
      <c r="AI1" s="156"/>
      <c r="AJ1" s="156"/>
      <c r="AK1" s="156"/>
      <c r="AL1" s="156"/>
      <c r="AM1" s="156"/>
      <c r="AN1" s="156"/>
      <c r="AO1" s="156"/>
      <c r="AP1" s="156"/>
      <c r="AQ1" s="156"/>
      <c r="AR1" s="156"/>
    </row>
    <row r="2" spans="2:44" ht="12" customHeight="1" x14ac:dyDescent="0.25">
      <c r="L2" s="158" t="s">
        <v>409</v>
      </c>
      <c r="M2" s="158"/>
      <c r="N2" s="158"/>
      <c r="O2" s="158"/>
      <c r="P2" s="158"/>
      <c r="Q2" s="158"/>
      <c r="R2" s="158"/>
      <c r="S2" s="159"/>
      <c r="T2" s="158" t="s">
        <v>418</v>
      </c>
      <c r="U2" s="158"/>
      <c r="V2" s="158"/>
      <c r="W2" s="158"/>
      <c r="X2" s="158"/>
      <c r="Y2" s="158"/>
      <c r="Z2" s="159"/>
      <c r="AA2" s="117" t="s">
        <v>426</v>
      </c>
      <c r="AB2" s="158" t="s">
        <v>25</v>
      </c>
      <c r="AC2" s="159"/>
      <c r="AD2" s="158" t="s">
        <v>1167</v>
      </c>
      <c r="AE2" s="158"/>
      <c r="AF2" s="158"/>
      <c r="AG2" s="159"/>
      <c r="AH2" s="158" t="s">
        <v>409</v>
      </c>
      <c r="AI2" s="158"/>
      <c r="AJ2" s="158"/>
      <c r="AK2" s="158"/>
      <c r="AL2" s="159"/>
      <c r="AM2" s="117" t="s">
        <v>440</v>
      </c>
      <c r="AN2" s="158" t="s">
        <v>418</v>
      </c>
      <c r="AO2" s="158"/>
      <c r="AP2" s="158"/>
      <c r="AQ2" s="159"/>
      <c r="AR2" s="116" t="s">
        <v>1167</v>
      </c>
    </row>
    <row r="3" spans="2:44" ht="12" customHeight="1" x14ac:dyDescent="0.25">
      <c r="B3" s="107" t="s">
        <v>60</v>
      </c>
      <c r="C3" s="108" t="s">
        <v>61</v>
      </c>
      <c r="D3" s="108" t="s">
        <v>62</v>
      </c>
      <c r="E3" s="108" t="s">
        <v>63</v>
      </c>
      <c r="F3" s="108" t="s">
        <v>64</v>
      </c>
      <c r="G3" s="108" t="s">
        <v>66</v>
      </c>
      <c r="H3" s="108" t="s">
        <v>67</v>
      </c>
      <c r="I3" s="108" t="s">
        <v>680</v>
      </c>
      <c r="J3" s="108" t="s">
        <v>1131</v>
      </c>
      <c r="K3" s="108" t="s">
        <v>1132</v>
      </c>
      <c r="L3" s="108" t="s">
        <v>1133</v>
      </c>
      <c r="M3" s="108" t="s">
        <v>1134</v>
      </c>
      <c r="N3" s="108" t="s">
        <v>1135</v>
      </c>
      <c r="O3" s="108" t="s">
        <v>1136</v>
      </c>
      <c r="P3" s="108" t="s">
        <v>1137</v>
      </c>
      <c r="Q3" s="108" t="s">
        <v>1138</v>
      </c>
      <c r="R3" s="108" t="s">
        <v>1139</v>
      </c>
      <c r="S3" s="108" t="s">
        <v>1140</v>
      </c>
      <c r="T3" s="108" t="s">
        <v>1141</v>
      </c>
      <c r="U3" s="108" t="s">
        <v>1142</v>
      </c>
      <c r="V3" s="108" t="s">
        <v>1143</v>
      </c>
      <c r="W3" s="108" t="s">
        <v>1144</v>
      </c>
      <c r="X3" s="108" t="s">
        <v>1145</v>
      </c>
      <c r="Y3" s="108" t="s">
        <v>1146</v>
      </c>
      <c r="Z3" s="108" t="s">
        <v>1147</v>
      </c>
      <c r="AA3" s="108" t="s">
        <v>1148</v>
      </c>
      <c r="AB3" s="108" t="s">
        <v>1149</v>
      </c>
      <c r="AC3" s="108" t="s">
        <v>1150</v>
      </c>
      <c r="AD3" s="108" t="s">
        <v>1151</v>
      </c>
      <c r="AE3" s="108" t="s">
        <v>1152</v>
      </c>
      <c r="AF3" s="108" t="s">
        <v>1153</v>
      </c>
      <c r="AG3" s="108" t="s">
        <v>1154</v>
      </c>
      <c r="AH3" s="108" t="s">
        <v>1155</v>
      </c>
      <c r="AI3" s="108" t="s">
        <v>1156</v>
      </c>
      <c r="AJ3" s="108" t="s">
        <v>1157</v>
      </c>
      <c r="AK3" s="108" t="s">
        <v>1158</v>
      </c>
      <c r="AL3" s="108" t="s">
        <v>1159</v>
      </c>
      <c r="AM3" s="108" t="s">
        <v>1160</v>
      </c>
      <c r="AN3" s="108" t="s">
        <v>1161</v>
      </c>
      <c r="AO3" s="108" t="s">
        <v>1162</v>
      </c>
      <c r="AP3" s="108" t="s">
        <v>1163</v>
      </c>
      <c r="AQ3" s="108" t="s">
        <v>1164</v>
      </c>
      <c r="AR3" s="109" t="s">
        <v>1165</v>
      </c>
    </row>
    <row r="4" spans="2:44" ht="12" customHeight="1" x14ac:dyDescent="0.25">
      <c r="B4" s="110" t="s">
        <v>34</v>
      </c>
      <c r="C4" s="111" t="s">
        <v>51</v>
      </c>
      <c r="D4" s="111" t="s">
        <v>25</v>
      </c>
      <c r="E4" s="111" t="s">
        <v>25</v>
      </c>
      <c r="F4" s="111" t="s">
        <v>78</v>
      </c>
      <c r="G4" s="111" t="s">
        <v>36</v>
      </c>
      <c r="H4" s="111" t="s">
        <v>70</v>
      </c>
      <c r="I4" s="111" t="s">
        <v>25</v>
      </c>
      <c r="J4" s="111">
        <v>11.87</v>
      </c>
      <c r="K4" s="111">
        <v>0</v>
      </c>
      <c r="L4" s="111">
        <v>0</v>
      </c>
      <c r="M4" s="111">
        <v>0.125122195379607</v>
      </c>
      <c r="N4" s="111">
        <v>0.26684288664792799</v>
      </c>
      <c r="O4" s="111">
        <v>0</v>
      </c>
      <c r="P4" s="111">
        <v>0</v>
      </c>
      <c r="Q4" s="111">
        <v>0</v>
      </c>
      <c r="R4" s="111">
        <v>0</v>
      </c>
      <c r="S4" s="111">
        <v>0</v>
      </c>
      <c r="T4" s="111">
        <v>0</v>
      </c>
      <c r="U4" s="111">
        <v>0</v>
      </c>
      <c r="V4" s="111">
        <v>0</v>
      </c>
      <c r="W4" s="111">
        <v>0</v>
      </c>
      <c r="X4" s="111">
        <v>0</v>
      </c>
      <c r="Y4" s="111">
        <v>0</v>
      </c>
      <c r="Z4" s="111">
        <v>0</v>
      </c>
      <c r="AA4" s="111">
        <v>0</v>
      </c>
      <c r="AB4" s="111">
        <v>-1.33129194310118</v>
      </c>
      <c r="AC4" s="111">
        <v>0</v>
      </c>
      <c r="AD4" s="111">
        <v>10.8788293816769</v>
      </c>
      <c r="AE4" s="111">
        <v>0.34984841213095202</v>
      </c>
      <c r="AF4" s="111">
        <v>1.33860683642491</v>
      </c>
      <c r="AG4" s="111">
        <v>0.23831171372417101</v>
      </c>
      <c r="AH4" s="111">
        <v>0</v>
      </c>
      <c r="AI4" s="111">
        <v>0</v>
      </c>
      <c r="AJ4" s="111">
        <v>0</v>
      </c>
      <c r="AK4" s="111">
        <v>0</v>
      </c>
      <c r="AL4" s="111">
        <v>0</v>
      </c>
      <c r="AM4" s="111">
        <v>0</v>
      </c>
      <c r="AN4" s="111">
        <v>0</v>
      </c>
      <c r="AO4" s="111">
        <v>0</v>
      </c>
      <c r="AP4" s="111">
        <v>0</v>
      </c>
      <c r="AQ4" s="111">
        <v>0</v>
      </c>
      <c r="AR4" s="112">
        <v>0</v>
      </c>
    </row>
    <row r="5" spans="2:44" ht="12" customHeight="1" x14ac:dyDescent="0.25">
      <c r="B5" s="110" t="s">
        <v>34</v>
      </c>
      <c r="C5" s="111" t="s">
        <v>51</v>
      </c>
      <c r="D5" s="111" t="s">
        <v>25</v>
      </c>
      <c r="E5" s="111" t="s">
        <v>25</v>
      </c>
      <c r="F5" s="111" t="s">
        <v>78</v>
      </c>
      <c r="G5" s="111" t="s">
        <v>36</v>
      </c>
      <c r="H5" s="111" t="s">
        <v>75</v>
      </c>
      <c r="I5" s="111" t="s">
        <v>25</v>
      </c>
      <c r="J5" s="111">
        <v>35.090000000000003</v>
      </c>
      <c r="K5" s="111">
        <v>0</v>
      </c>
      <c r="L5" s="111">
        <v>0</v>
      </c>
      <c r="M5" s="111">
        <v>0</v>
      </c>
      <c r="N5" s="111">
        <v>0</v>
      </c>
      <c r="O5" s="111">
        <v>0</v>
      </c>
      <c r="P5" s="111">
        <v>0</v>
      </c>
      <c r="Q5" s="111">
        <v>0</v>
      </c>
      <c r="R5" s="111">
        <v>0</v>
      </c>
      <c r="S5" s="111">
        <v>0</v>
      </c>
      <c r="T5" s="111">
        <v>0</v>
      </c>
      <c r="U5" s="111">
        <v>0</v>
      </c>
      <c r="V5" s="111">
        <v>0</v>
      </c>
      <c r="W5" s="111">
        <v>0</v>
      </c>
      <c r="X5" s="111">
        <v>32.353961481145198</v>
      </c>
      <c r="Y5" s="111">
        <v>0</v>
      </c>
      <c r="Z5" s="111">
        <v>0</v>
      </c>
      <c r="AA5" s="111">
        <v>6.7166066216647797</v>
      </c>
      <c r="AB5" s="111">
        <v>-3.9843979689927802</v>
      </c>
      <c r="AC5" s="111">
        <v>0</v>
      </c>
      <c r="AD5" s="111">
        <v>0</v>
      </c>
      <c r="AE5" s="111">
        <v>0</v>
      </c>
      <c r="AF5" s="111">
        <v>0</v>
      </c>
      <c r="AG5" s="111">
        <v>0</v>
      </c>
      <c r="AH5" s="111">
        <v>0</v>
      </c>
      <c r="AI5" s="111">
        <v>0</v>
      </c>
      <c r="AJ5" s="111">
        <v>0</v>
      </c>
      <c r="AK5" s="111">
        <v>0</v>
      </c>
      <c r="AL5" s="111">
        <v>0</v>
      </c>
      <c r="AM5" s="111">
        <v>0</v>
      </c>
      <c r="AN5" s="111">
        <v>0</v>
      </c>
      <c r="AO5" s="111">
        <v>0</v>
      </c>
      <c r="AP5" s="111">
        <v>0</v>
      </c>
      <c r="AQ5" s="111">
        <v>0</v>
      </c>
      <c r="AR5" s="112">
        <v>0</v>
      </c>
    </row>
    <row r="6" spans="2:44" ht="12" customHeight="1" x14ac:dyDescent="0.25">
      <c r="B6" s="110" t="s">
        <v>34</v>
      </c>
      <c r="C6" s="111" t="s">
        <v>51</v>
      </c>
      <c r="D6" s="111" t="s">
        <v>25</v>
      </c>
      <c r="E6" s="111" t="s">
        <v>25</v>
      </c>
      <c r="F6" s="111" t="s">
        <v>78</v>
      </c>
      <c r="G6" s="111" t="s">
        <v>37</v>
      </c>
      <c r="H6" s="111" t="s">
        <v>70</v>
      </c>
      <c r="I6" s="111" t="s">
        <v>25</v>
      </c>
      <c r="J6" s="111">
        <v>11.87</v>
      </c>
      <c r="K6" s="111">
        <v>0</v>
      </c>
      <c r="L6" s="111">
        <v>0</v>
      </c>
      <c r="M6" s="111">
        <v>0.125122195379607</v>
      </c>
      <c r="N6" s="111">
        <v>0.26684288664792799</v>
      </c>
      <c r="O6" s="111">
        <v>0</v>
      </c>
      <c r="P6" s="111">
        <v>0</v>
      </c>
      <c r="Q6" s="111">
        <v>0</v>
      </c>
      <c r="R6" s="111">
        <v>0</v>
      </c>
      <c r="S6" s="111">
        <v>0</v>
      </c>
      <c r="T6" s="111">
        <v>0</v>
      </c>
      <c r="U6" s="111">
        <v>0</v>
      </c>
      <c r="V6" s="111">
        <v>0</v>
      </c>
      <c r="W6" s="111">
        <v>0</v>
      </c>
      <c r="X6" s="111">
        <v>0</v>
      </c>
      <c r="Y6" s="111">
        <v>0</v>
      </c>
      <c r="Z6" s="111">
        <v>0</v>
      </c>
      <c r="AA6" s="111">
        <v>0</v>
      </c>
      <c r="AB6" s="111">
        <v>-1.33129194310118</v>
      </c>
      <c r="AC6" s="111">
        <v>0</v>
      </c>
      <c r="AD6" s="111">
        <v>10.8788293816769</v>
      </c>
      <c r="AE6" s="111">
        <v>0.34984841213095202</v>
      </c>
      <c r="AF6" s="111">
        <v>1.33860683642491</v>
      </c>
      <c r="AG6" s="111">
        <v>0.23831171372417101</v>
      </c>
      <c r="AH6" s="111">
        <v>0</v>
      </c>
      <c r="AI6" s="111">
        <v>0</v>
      </c>
      <c r="AJ6" s="111">
        <v>0</v>
      </c>
      <c r="AK6" s="111">
        <v>0</v>
      </c>
      <c r="AL6" s="111">
        <v>0</v>
      </c>
      <c r="AM6" s="111">
        <v>0</v>
      </c>
      <c r="AN6" s="111">
        <v>0</v>
      </c>
      <c r="AO6" s="111">
        <v>0</v>
      </c>
      <c r="AP6" s="111">
        <v>0</v>
      </c>
      <c r="AQ6" s="111">
        <v>0</v>
      </c>
      <c r="AR6" s="112">
        <v>0</v>
      </c>
    </row>
    <row r="7" spans="2:44" ht="12" customHeight="1" x14ac:dyDescent="0.25">
      <c r="B7" s="110" t="s">
        <v>34</v>
      </c>
      <c r="C7" s="111" t="s">
        <v>51</v>
      </c>
      <c r="D7" s="111" t="s">
        <v>25</v>
      </c>
      <c r="E7" s="111" t="s">
        <v>25</v>
      </c>
      <c r="F7" s="111" t="s">
        <v>78</v>
      </c>
      <c r="G7" s="111" t="s">
        <v>37</v>
      </c>
      <c r="H7" s="111" t="s">
        <v>75</v>
      </c>
      <c r="I7" s="111" t="s">
        <v>25</v>
      </c>
      <c r="J7" s="111">
        <v>19.63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18.937701670567499</v>
      </c>
      <c r="Y7" s="111">
        <v>0</v>
      </c>
      <c r="Z7" s="111">
        <v>0</v>
      </c>
      <c r="AA7" s="111">
        <v>2.92031701535385</v>
      </c>
      <c r="AB7" s="111">
        <v>-2.2237279131182599</v>
      </c>
      <c r="AC7" s="111">
        <v>0</v>
      </c>
      <c r="AD7" s="111">
        <v>0</v>
      </c>
      <c r="AE7" s="111">
        <v>0</v>
      </c>
      <c r="AF7" s="111">
        <v>0</v>
      </c>
      <c r="AG7" s="111">
        <v>0</v>
      </c>
      <c r="AH7" s="111">
        <v>0</v>
      </c>
      <c r="AI7" s="111">
        <v>0</v>
      </c>
      <c r="AJ7" s="111">
        <v>0</v>
      </c>
      <c r="AK7" s="111">
        <v>0</v>
      </c>
      <c r="AL7" s="111">
        <v>0</v>
      </c>
      <c r="AM7" s="111">
        <v>0</v>
      </c>
      <c r="AN7" s="111">
        <v>0</v>
      </c>
      <c r="AO7" s="111">
        <v>0</v>
      </c>
      <c r="AP7" s="111">
        <v>0</v>
      </c>
      <c r="AQ7" s="111">
        <v>0</v>
      </c>
      <c r="AR7" s="112">
        <v>0</v>
      </c>
    </row>
    <row r="8" spans="2:44" ht="12" customHeight="1" x14ac:dyDescent="0.25">
      <c r="B8" s="110" t="s">
        <v>34</v>
      </c>
      <c r="C8" s="111" t="s">
        <v>51</v>
      </c>
      <c r="D8" s="111" t="s">
        <v>25</v>
      </c>
      <c r="E8" s="111" t="s">
        <v>25</v>
      </c>
      <c r="F8" s="111" t="s">
        <v>25</v>
      </c>
      <c r="G8" s="111" t="s">
        <v>36</v>
      </c>
      <c r="H8" s="111" t="s">
        <v>70</v>
      </c>
      <c r="I8" s="111" t="s">
        <v>25</v>
      </c>
      <c r="J8" s="111">
        <v>114.48</v>
      </c>
      <c r="K8" s="111">
        <v>347.99</v>
      </c>
      <c r="L8" s="111">
        <v>2.33334903327669</v>
      </c>
      <c r="M8" s="111">
        <v>0.125122195379607</v>
      </c>
      <c r="N8" s="111">
        <v>0.27810033897589698</v>
      </c>
      <c r="O8" s="111">
        <v>0</v>
      </c>
      <c r="P8" s="111">
        <v>0</v>
      </c>
      <c r="Q8" s="111">
        <v>92.052424795492797</v>
      </c>
      <c r="R8" s="111">
        <v>18.305587130386002</v>
      </c>
      <c r="S8" s="111">
        <v>0</v>
      </c>
      <c r="T8" s="111">
        <v>0</v>
      </c>
      <c r="U8" s="111">
        <v>0</v>
      </c>
      <c r="V8" s="111">
        <v>0</v>
      </c>
      <c r="W8" s="111">
        <v>0</v>
      </c>
      <c r="X8" s="111">
        <v>0</v>
      </c>
      <c r="Y8" s="111">
        <v>0</v>
      </c>
      <c r="Z8" s="111">
        <v>0</v>
      </c>
      <c r="AA8" s="111">
        <v>0</v>
      </c>
      <c r="AB8" s="111">
        <v>-11.419788281754199</v>
      </c>
      <c r="AC8" s="111">
        <v>0</v>
      </c>
      <c r="AD8" s="111">
        <v>10.8788293816769</v>
      </c>
      <c r="AE8" s="111">
        <v>0.34984841213095202</v>
      </c>
      <c r="AF8" s="111">
        <v>1.33860683642491</v>
      </c>
      <c r="AG8" s="111">
        <v>0.23831171372417101</v>
      </c>
      <c r="AH8" s="111">
        <v>2.3960597620650601</v>
      </c>
      <c r="AI8" s="111">
        <v>-16.116674696650598</v>
      </c>
      <c r="AJ8" s="111">
        <v>2.4412324779949399</v>
      </c>
      <c r="AK8" s="111">
        <v>30.354391548386399</v>
      </c>
      <c r="AL8" s="111">
        <v>0</v>
      </c>
      <c r="AM8" s="111">
        <v>349.073252330738</v>
      </c>
      <c r="AN8" s="111">
        <v>7.3196722786819999</v>
      </c>
      <c r="AO8" s="111">
        <v>4.3062353207929904</v>
      </c>
      <c r="AP8" s="111">
        <v>0</v>
      </c>
      <c r="AQ8" s="111">
        <v>-38.007996573099803</v>
      </c>
      <c r="AR8" s="112">
        <v>6.2221680791317704</v>
      </c>
    </row>
    <row r="9" spans="2:44" ht="12" customHeight="1" x14ac:dyDescent="0.25">
      <c r="B9" s="110" t="s">
        <v>34</v>
      </c>
      <c r="C9" s="111" t="s">
        <v>51</v>
      </c>
      <c r="D9" s="111" t="s">
        <v>25</v>
      </c>
      <c r="E9" s="111" t="s">
        <v>25</v>
      </c>
      <c r="F9" s="111" t="s">
        <v>25</v>
      </c>
      <c r="G9" s="111" t="s">
        <v>36</v>
      </c>
      <c r="H9" s="111" t="s">
        <v>75</v>
      </c>
      <c r="I9" s="111" t="s">
        <v>25</v>
      </c>
      <c r="J9" s="111">
        <v>35.090000000000003</v>
      </c>
      <c r="K9" s="111">
        <v>0</v>
      </c>
      <c r="L9" s="111">
        <v>0</v>
      </c>
      <c r="M9" s="111">
        <v>0</v>
      </c>
      <c r="N9" s="111">
        <v>0</v>
      </c>
      <c r="O9" s="111">
        <v>0</v>
      </c>
      <c r="P9" s="111">
        <v>0</v>
      </c>
      <c r="Q9" s="111">
        <v>0</v>
      </c>
      <c r="R9" s="111">
        <v>0</v>
      </c>
      <c r="S9" s="111">
        <v>0</v>
      </c>
      <c r="T9" s="111">
        <v>0</v>
      </c>
      <c r="U9" s="111">
        <v>0</v>
      </c>
      <c r="V9" s="111">
        <v>0</v>
      </c>
      <c r="W9" s="111">
        <v>0</v>
      </c>
      <c r="X9" s="111">
        <v>32.353961481145198</v>
      </c>
      <c r="Y9" s="111">
        <v>0</v>
      </c>
      <c r="Z9" s="111">
        <v>0</v>
      </c>
      <c r="AA9" s="111">
        <v>6.7166066216647797</v>
      </c>
      <c r="AB9" s="111">
        <v>-3.9843979689927802</v>
      </c>
      <c r="AC9" s="111">
        <v>0</v>
      </c>
      <c r="AD9" s="111">
        <v>0</v>
      </c>
      <c r="AE9" s="111">
        <v>0</v>
      </c>
      <c r="AF9" s="111">
        <v>0</v>
      </c>
      <c r="AG9" s="111">
        <v>0</v>
      </c>
      <c r="AH9" s="111">
        <v>0</v>
      </c>
      <c r="AI9" s="111">
        <v>0</v>
      </c>
      <c r="AJ9" s="111">
        <v>0</v>
      </c>
      <c r="AK9" s="111">
        <v>0</v>
      </c>
      <c r="AL9" s="111">
        <v>0</v>
      </c>
      <c r="AM9" s="111">
        <v>0</v>
      </c>
      <c r="AN9" s="111">
        <v>0</v>
      </c>
      <c r="AO9" s="111">
        <v>0</v>
      </c>
      <c r="AP9" s="111">
        <v>0</v>
      </c>
      <c r="AQ9" s="111">
        <v>0</v>
      </c>
      <c r="AR9" s="112">
        <v>0</v>
      </c>
    </row>
    <row r="10" spans="2:44" ht="12" customHeight="1" x14ac:dyDescent="0.25">
      <c r="B10" s="110" t="s">
        <v>34</v>
      </c>
      <c r="C10" s="111" t="s">
        <v>51</v>
      </c>
      <c r="D10" s="111" t="s">
        <v>25</v>
      </c>
      <c r="E10" s="111" t="s">
        <v>25</v>
      </c>
      <c r="F10" s="111" t="s">
        <v>25</v>
      </c>
      <c r="G10" s="111" t="s">
        <v>37</v>
      </c>
      <c r="H10" s="111" t="s">
        <v>70</v>
      </c>
      <c r="I10" s="111" t="s">
        <v>25</v>
      </c>
      <c r="J10" s="111">
        <v>114.48</v>
      </c>
      <c r="K10" s="111">
        <v>216.6</v>
      </c>
      <c r="L10" s="111">
        <v>2.33334903327669</v>
      </c>
      <c r="M10" s="111">
        <v>0.125122195379607</v>
      </c>
      <c r="N10" s="111">
        <v>0.27810033897589698</v>
      </c>
      <c r="O10" s="111">
        <v>0</v>
      </c>
      <c r="P10" s="111">
        <v>0</v>
      </c>
      <c r="Q10" s="111">
        <v>92.052424795492797</v>
      </c>
      <c r="R10" s="111">
        <v>18.305587130386002</v>
      </c>
      <c r="S10" s="111">
        <v>0</v>
      </c>
      <c r="T10" s="111">
        <v>0</v>
      </c>
      <c r="U10" s="111">
        <v>0</v>
      </c>
      <c r="V10" s="111">
        <v>0</v>
      </c>
      <c r="W10" s="111">
        <v>0</v>
      </c>
      <c r="X10" s="111">
        <v>0</v>
      </c>
      <c r="Y10" s="111">
        <v>0</v>
      </c>
      <c r="Z10" s="111">
        <v>0</v>
      </c>
      <c r="AA10" s="111">
        <v>0</v>
      </c>
      <c r="AB10" s="111">
        <v>-11.419788281754199</v>
      </c>
      <c r="AC10" s="111">
        <v>0</v>
      </c>
      <c r="AD10" s="111">
        <v>10.8788293816769</v>
      </c>
      <c r="AE10" s="111">
        <v>0.34984841213095202</v>
      </c>
      <c r="AF10" s="111">
        <v>1.33860683642491</v>
      </c>
      <c r="AG10" s="111">
        <v>0.23831171372417101</v>
      </c>
      <c r="AH10" s="111">
        <v>2.3960597620650601</v>
      </c>
      <c r="AI10" s="111">
        <v>-16.116674696650598</v>
      </c>
      <c r="AJ10" s="111">
        <v>2.4412324779949399</v>
      </c>
      <c r="AK10" s="111">
        <v>30.354391548386399</v>
      </c>
      <c r="AL10" s="111">
        <v>0</v>
      </c>
      <c r="AM10" s="111">
        <v>202.94956530856899</v>
      </c>
      <c r="AN10" s="111">
        <v>7.3196722786819999</v>
      </c>
      <c r="AO10" s="111">
        <v>4.3062353207929904</v>
      </c>
      <c r="AP10" s="111">
        <v>0</v>
      </c>
      <c r="AQ10" s="111">
        <v>-23.2709323735445</v>
      </c>
      <c r="AR10" s="112">
        <v>6.2221680791317704</v>
      </c>
    </row>
    <row r="11" spans="2:44" ht="12" customHeight="1" x14ac:dyDescent="0.25">
      <c r="B11" s="110" t="s">
        <v>34</v>
      </c>
      <c r="C11" s="111" t="s">
        <v>51</v>
      </c>
      <c r="D11" s="111" t="s">
        <v>25</v>
      </c>
      <c r="E11" s="111" t="s">
        <v>25</v>
      </c>
      <c r="F11" s="111" t="s">
        <v>25</v>
      </c>
      <c r="G11" s="111" t="s">
        <v>37</v>
      </c>
      <c r="H11" s="111" t="s">
        <v>75</v>
      </c>
      <c r="I11" s="111" t="s">
        <v>25</v>
      </c>
      <c r="J11" s="111">
        <v>19.63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18.937701670567499</v>
      </c>
      <c r="Y11" s="111">
        <v>0</v>
      </c>
      <c r="Z11" s="111">
        <v>0</v>
      </c>
      <c r="AA11" s="111">
        <v>2.92031701535385</v>
      </c>
      <c r="AB11" s="111">
        <v>-2.2237279131182599</v>
      </c>
      <c r="AC11" s="111">
        <v>0</v>
      </c>
      <c r="AD11" s="111">
        <v>0</v>
      </c>
      <c r="AE11" s="111">
        <v>0</v>
      </c>
      <c r="AF11" s="111">
        <v>0</v>
      </c>
      <c r="AG11" s="111">
        <v>0</v>
      </c>
      <c r="AH11" s="111">
        <v>0</v>
      </c>
      <c r="AI11" s="111">
        <v>0</v>
      </c>
      <c r="AJ11" s="111">
        <v>0</v>
      </c>
      <c r="AK11" s="111">
        <v>0</v>
      </c>
      <c r="AL11" s="111">
        <v>0</v>
      </c>
      <c r="AM11" s="111">
        <v>0</v>
      </c>
      <c r="AN11" s="111">
        <v>0</v>
      </c>
      <c r="AO11" s="111">
        <v>0</v>
      </c>
      <c r="AP11" s="111">
        <v>0</v>
      </c>
      <c r="AQ11" s="111">
        <v>0</v>
      </c>
      <c r="AR11" s="112">
        <v>0</v>
      </c>
    </row>
    <row r="12" spans="2:44" ht="12" customHeight="1" x14ac:dyDescent="0.25">
      <c r="B12" s="110" t="s">
        <v>34</v>
      </c>
      <c r="C12" s="111" t="s">
        <v>23</v>
      </c>
      <c r="D12" s="111" t="s">
        <v>25</v>
      </c>
      <c r="E12" s="111" t="s">
        <v>25</v>
      </c>
      <c r="F12" s="111" t="s">
        <v>25</v>
      </c>
      <c r="G12" s="111" t="s">
        <v>25</v>
      </c>
      <c r="H12" s="111" t="s">
        <v>70</v>
      </c>
      <c r="I12" s="111" t="s">
        <v>25</v>
      </c>
      <c r="J12" s="111">
        <v>0</v>
      </c>
      <c r="K12" s="111">
        <v>227.55</v>
      </c>
      <c r="L12" s="111">
        <v>0</v>
      </c>
      <c r="M12" s="111">
        <v>0</v>
      </c>
      <c r="N12" s="111">
        <v>0</v>
      </c>
      <c r="O12" s="111">
        <v>0</v>
      </c>
      <c r="P12" s="111">
        <v>0</v>
      </c>
      <c r="Q12" s="111">
        <v>0</v>
      </c>
      <c r="R12" s="111">
        <v>0</v>
      </c>
      <c r="S12" s="111">
        <v>0</v>
      </c>
      <c r="T12" s="111">
        <v>0</v>
      </c>
      <c r="U12" s="111">
        <v>0</v>
      </c>
      <c r="V12" s="111">
        <v>0</v>
      </c>
      <c r="W12" s="111">
        <v>0</v>
      </c>
      <c r="X12" s="111">
        <v>0</v>
      </c>
      <c r="Y12" s="111">
        <v>0</v>
      </c>
      <c r="Z12" s="111">
        <v>0</v>
      </c>
      <c r="AA12" s="111">
        <v>0</v>
      </c>
      <c r="AB12" s="111">
        <v>0</v>
      </c>
      <c r="AC12" s="111">
        <v>0</v>
      </c>
      <c r="AD12" s="111">
        <v>0</v>
      </c>
      <c r="AE12" s="111">
        <v>0</v>
      </c>
      <c r="AF12" s="111">
        <v>0</v>
      </c>
      <c r="AG12" s="111">
        <v>0</v>
      </c>
      <c r="AH12" s="111">
        <v>2.3960597620650601</v>
      </c>
      <c r="AI12" s="111">
        <v>-16.116674696650598</v>
      </c>
      <c r="AJ12" s="111">
        <v>2.4412324779949399</v>
      </c>
      <c r="AK12" s="111">
        <v>30.354391548386399</v>
      </c>
      <c r="AL12" s="111">
        <v>0</v>
      </c>
      <c r="AM12" s="111">
        <v>215.12653922708299</v>
      </c>
      <c r="AN12" s="111">
        <v>7.3196722786819999</v>
      </c>
      <c r="AO12" s="111">
        <v>4.3062353207929904</v>
      </c>
      <c r="AP12" s="111">
        <v>0</v>
      </c>
      <c r="AQ12" s="111">
        <v>-24.4990210568408</v>
      </c>
      <c r="AR12" s="112">
        <v>6.2221680791317704</v>
      </c>
    </row>
    <row r="13" spans="2:44" ht="12" customHeight="1" x14ac:dyDescent="0.25">
      <c r="B13" s="110" t="s">
        <v>34</v>
      </c>
      <c r="C13" s="111" t="s">
        <v>79</v>
      </c>
      <c r="D13" s="111" t="s">
        <v>25</v>
      </c>
      <c r="E13" s="111" t="s">
        <v>25</v>
      </c>
      <c r="F13" s="111" t="s">
        <v>25</v>
      </c>
      <c r="G13" s="111" t="s">
        <v>25</v>
      </c>
      <c r="H13" s="111" t="s">
        <v>75</v>
      </c>
      <c r="I13" s="111" t="s">
        <v>25</v>
      </c>
      <c r="J13" s="111">
        <v>2.99</v>
      </c>
      <c r="K13" s="111">
        <v>0</v>
      </c>
      <c r="L13" s="111">
        <v>0</v>
      </c>
      <c r="M13" s="111">
        <v>1.30955264193742E-2</v>
      </c>
      <c r="N13" s="111">
        <v>3.6474145542618797E-2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3.2997009486867799</v>
      </c>
      <c r="AB13" s="111">
        <v>-0.35919762593769899</v>
      </c>
      <c r="AC13" s="111">
        <v>0</v>
      </c>
      <c r="AD13" s="111">
        <v>0</v>
      </c>
      <c r="AE13" s="111">
        <v>0</v>
      </c>
      <c r="AF13" s="111">
        <v>0</v>
      </c>
      <c r="AG13" s="111">
        <v>0</v>
      </c>
      <c r="AH13" s="111">
        <v>0</v>
      </c>
      <c r="AI13" s="111">
        <v>0</v>
      </c>
      <c r="AJ13" s="111">
        <v>0</v>
      </c>
      <c r="AK13" s="111">
        <v>0</v>
      </c>
      <c r="AL13" s="111">
        <v>0</v>
      </c>
      <c r="AM13" s="111">
        <v>0</v>
      </c>
      <c r="AN13" s="111">
        <v>0</v>
      </c>
      <c r="AO13" s="111">
        <v>0</v>
      </c>
      <c r="AP13" s="111">
        <v>0</v>
      </c>
      <c r="AQ13" s="111">
        <v>0</v>
      </c>
      <c r="AR13" s="112">
        <v>0</v>
      </c>
    </row>
    <row r="14" spans="2:44" ht="12" customHeight="1" x14ac:dyDescent="0.25">
      <c r="B14" s="110" t="s">
        <v>34</v>
      </c>
      <c r="C14" s="111" t="s">
        <v>35</v>
      </c>
      <c r="D14" s="111" t="s">
        <v>25</v>
      </c>
      <c r="E14" s="111" t="s">
        <v>25</v>
      </c>
      <c r="F14" s="111" t="s">
        <v>78</v>
      </c>
      <c r="G14" s="111" t="s">
        <v>36</v>
      </c>
      <c r="H14" s="111" t="s">
        <v>70</v>
      </c>
      <c r="I14" s="111" t="s">
        <v>25</v>
      </c>
      <c r="J14" s="111">
        <v>863.89</v>
      </c>
      <c r="K14" s="111">
        <v>0</v>
      </c>
      <c r="L14" s="111">
        <v>0</v>
      </c>
      <c r="M14" s="111">
        <v>0.125122195379607</v>
      </c>
      <c r="N14" s="111">
        <v>9.4383973697864292</v>
      </c>
      <c r="O14" s="111">
        <v>0</v>
      </c>
      <c r="P14" s="111">
        <v>0</v>
      </c>
      <c r="Q14" s="111">
        <v>0</v>
      </c>
      <c r="R14" s="111">
        <v>0</v>
      </c>
      <c r="S14" s="111">
        <v>0</v>
      </c>
      <c r="T14" s="111">
        <v>0</v>
      </c>
      <c r="U14" s="111">
        <v>0</v>
      </c>
      <c r="V14" s="111">
        <v>0</v>
      </c>
      <c r="W14" s="111">
        <v>0</v>
      </c>
      <c r="X14" s="111">
        <v>778.11379295006805</v>
      </c>
      <c r="Y14" s="111">
        <v>0</v>
      </c>
      <c r="Z14" s="111">
        <v>0</v>
      </c>
      <c r="AA14" s="111">
        <v>161.53496098139999</v>
      </c>
      <c r="AB14" s="111">
        <v>-98.123831808847598</v>
      </c>
      <c r="AC14" s="111">
        <v>0</v>
      </c>
      <c r="AD14" s="111">
        <v>10.8788293816769</v>
      </c>
      <c r="AE14" s="111">
        <v>0.34984841213095202</v>
      </c>
      <c r="AF14" s="111">
        <v>1.33860683642491</v>
      </c>
      <c r="AG14" s="111">
        <v>0.23831171372417101</v>
      </c>
      <c r="AH14" s="111">
        <v>0</v>
      </c>
      <c r="AI14" s="111">
        <v>0</v>
      </c>
      <c r="AJ14" s="111">
        <v>0</v>
      </c>
      <c r="AK14" s="111">
        <v>0</v>
      </c>
      <c r="AL14" s="111">
        <v>0</v>
      </c>
      <c r="AM14" s="111">
        <v>0</v>
      </c>
      <c r="AN14" s="111">
        <v>0</v>
      </c>
      <c r="AO14" s="111">
        <v>0</v>
      </c>
      <c r="AP14" s="111">
        <v>0</v>
      </c>
      <c r="AQ14" s="111">
        <v>0</v>
      </c>
      <c r="AR14" s="112">
        <v>0</v>
      </c>
    </row>
    <row r="15" spans="2:44" ht="12" customHeight="1" x14ac:dyDescent="0.25">
      <c r="B15" s="110" t="s">
        <v>34</v>
      </c>
      <c r="C15" s="111" t="s">
        <v>35</v>
      </c>
      <c r="D15" s="111" t="s">
        <v>25</v>
      </c>
      <c r="E15" s="111" t="s">
        <v>25</v>
      </c>
      <c r="F15" s="111" t="s">
        <v>78</v>
      </c>
      <c r="G15" s="111" t="s">
        <v>25</v>
      </c>
      <c r="H15" s="111" t="s">
        <v>75</v>
      </c>
      <c r="I15" s="111" t="s">
        <v>25</v>
      </c>
      <c r="J15" s="111">
        <v>19.63</v>
      </c>
      <c r="K15" s="111">
        <v>0</v>
      </c>
      <c r="L15" s="111">
        <v>0</v>
      </c>
      <c r="M15" s="111">
        <v>0</v>
      </c>
      <c r="N15" s="111">
        <v>0</v>
      </c>
      <c r="O15" s="111">
        <v>0</v>
      </c>
      <c r="P15" s="111">
        <v>0</v>
      </c>
      <c r="Q15" s="111">
        <v>0</v>
      </c>
      <c r="R15" s="111">
        <v>0</v>
      </c>
      <c r="S15" s="111">
        <v>0</v>
      </c>
      <c r="T15" s="111">
        <v>0</v>
      </c>
      <c r="U15" s="111">
        <v>0</v>
      </c>
      <c r="V15" s="111">
        <v>0</v>
      </c>
      <c r="W15" s="111">
        <v>0</v>
      </c>
      <c r="X15" s="111">
        <v>18.937701670567499</v>
      </c>
      <c r="Y15" s="111">
        <v>0</v>
      </c>
      <c r="Z15" s="111">
        <v>0</v>
      </c>
      <c r="AA15" s="111">
        <v>2.92031701535385</v>
      </c>
      <c r="AB15" s="111">
        <v>-2.2237279131182599</v>
      </c>
      <c r="AC15" s="111">
        <v>0</v>
      </c>
      <c r="AD15" s="111">
        <v>0</v>
      </c>
      <c r="AE15" s="111">
        <v>0</v>
      </c>
      <c r="AF15" s="111">
        <v>0</v>
      </c>
      <c r="AG15" s="111">
        <v>0</v>
      </c>
      <c r="AH15" s="111">
        <v>0</v>
      </c>
      <c r="AI15" s="111">
        <v>0</v>
      </c>
      <c r="AJ15" s="111">
        <v>0</v>
      </c>
      <c r="AK15" s="111">
        <v>0</v>
      </c>
      <c r="AL15" s="111">
        <v>0</v>
      </c>
      <c r="AM15" s="111">
        <v>0</v>
      </c>
      <c r="AN15" s="111">
        <v>0</v>
      </c>
      <c r="AO15" s="111">
        <v>0</v>
      </c>
      <c r="AP15" s="111">
        <v>0</v>
      </c>
      <c r="AQ15" s="111">
        <v>0</v>
      </c>
      <c r="AR15" s="112">
        <v>0</v>
      </c>
    </row>
    <row r="16" spans="2:44" ht="12" customHeight="1" x14ac:dyDescent="0.25">
      <c r="B16" s="110" t="s">
        <v>34</v>
      </c>
      <c r="C16" s="111" t="s">
        <v>35</v>
      </c>
      <c r="D16" s="111" t="s">
        <v>25</v>
      </c>
      <c r="E16" s="111" t="s">
        <v>25</v>
      </c>
      <c r="F16" s="111" t="s">
        <v>78</v>
      </c>
      <c r="G16" s="111" t="s">
        <v>37</v>
      </c>
      <c r="H16" s="111" t="s">
        <v>70</v>
      </c>
      <c r="I16" s="111" t="s">
        <v>25</v>
      </c>
      <c r="J16" s="111">
        <v>11.87</v>
      </c>
      <c r="K16" s="111">
        <v>0</v>
      </c>
      <c r="L16" s="111">
        <v>0</v>
      </c>
      <c r="M16" s="111">
        <v>0.125122195379607</v>
      </c>
      <c r="N16" s="111">
        <v>0.26684288664792799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-1.33129194310118</v>
      </c>
      <c r="AC16" s="111">
        <v>0</v>
      </c>
      <c r="AD16" s="111">
        <v>10.8788293816769</v>
      </c>
      <c r="AE16" s="111">
        <v>0.34984841213095202</v>
      </c>
      <c r="AF16" s="111">
        <v>1.33860683642491</v>
      </c>
      <c r="AG16" s="111">
        <v>0.23831171372417101</v>
      </c>
      <c r="AH16" s="111">
        <v>0</v>
      </c>
      <c r="AI16" s="111">
        <v>0</v>
      </c>
      <c r="AJ16" s="111">
        <v>0</v>
      </c>
      <c r="AK16" s="111">
        <v>0</v>
      </c>
      <c r="AL16" s="111">
        <v>0</v>
      </c>
      <c r="AM16" s="111">
        <v>0</v>
      </c>
      <c r="AN16" s="111">
        <v>0</v>
      </c>
      <c r="AO16" s="111">
        <v>0</v>
      </c>
      <c r="AP16" s="111">
        <v>0</v>
      </c>
      <c r="AQ16" s="111">
        <v>0</v>
      </c>
      <c r="AR16" s="112">
        <v>0</v>
      </c>
    </row>
    <row r="17" spans="2:44" ht="12" customHeight="1" x14ac:dyDescent="0.25">
      <c r="B17" s="110" t="s">
        <v>34</v>
      </c>
      <c r="C17" s="111" t="s">
        <v>35</v>
      </c>
      <c r="D17" s="111" t="s">
        <v>25</v>
      </c>
      <c r="E17" s="111" t="s">
        <v>25</v>
      </c>
      <c r="F17" s="111" t="s">
        <v>25</v>
      </c>
      <c r="G17" s="111" t="s">
        <v>36</v>
      </c>
      <c r="H17" s="111" t="s">
        <v>70</v>
      </c>
      <c r="I17" s="111" t="s">
        <v>25</v>
      </c>
      <c r="J17" s="111">
        <v>966.51</v>
      </c>
      <c r="K17" s="111">
        <v>347.99</v>
      </c>
      <c r="L17" s="111">
        <v>2.33334903327669</v>
      </c>
      <c r="M17" s="111">
        <v>0.125122195379607</v>
      </c>
      <c r="N17" s="111">
        <v>9.4496548221144003</v>
      </c>
      <c r="O17" s="111">
        <v>0</v>
      </c>
      <c r="P17" s="111">
        <v>0</v>
      </c>
      <c r="Q17" s="111">
        <v>92.052424795492797</v>
      </c>
      <c r="R17" s="111">
        <v>18.305587130386002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778.11379295006805</v>
      </c>
      <c r="Y17" s="111">
        <v>0</v>
      </c>
      <c r="Z17" s="111">
        <v>0</v>
      </c>
      <c r="AA17" s="111">
        <v>161.53496098139999</v>
      </c>
      <c r="AB17" s="111">
        <v>-108.212328147501</v>
      </c>
      <c r="AC17" s="111">
        <v>0</v>
      </c>
      <c r="AD17" s="111">
        <v>10.8788293816769</v>
      </c>
      <c r="AE17" s="111">
        <v>0.34984841213095202</v>
      </c>
      <c r="AF17" s="111">
        <v>1.33860683642491</v>
      </c>
      <c r="AG17" s="111">
        <v>0.23831171372417101</v>
      </c>
      <c r="AH17" s="111">
        <v>2.3960597620650601</v>
      </c>
      <c r="AI17" s="111">
        <v>-16.116674696650598</v>
      </c>
      <c r="AJ17" s="111">
        <v>2.4412324779949399</v>
      </c>
      <c r="AK17" s="111">
        <v>30.354391548386399</v>
      </c>
      <c r="AL17" s="111">
        <v>0</v>
      </c>
      <c r="AM17" s="111">
        <v>349.073252330738</v>
      </c>
      <c r="AN17" s="111">
        <v>7.3196722786819999</v>
      </c>
      <c r="AO17" s="111">
        <v>4.3062353207929904</v>
      </c>
      <c r="AP17" s="111">
        <v>0</v>
      </c>
      <c r="AQ17" s="111">
        <v>-38.007996573099803</v>
      </c>
      <c r="AR17" s="112">
        <v>6.2221680791317704</v>
      </c>
    </row>
    <row r="18" spans="2:44" ht="12" customHeight="1" x14ac:dyDescent="0.25">
      <c r="B18" s="110" t="s">
        <v>34</v>
      </c>
      <c r="C18" s="111" t="s">
        <v>35</v>
      </c>
      <c r="D18" s="111" t="s">
        <v>25</v>
      </c>
      <c r="E18" s="111" t="s">
        <v>25</v>
      </c>
      <c r="F18" s="111" t="s">
        <v>25</v>
      </c>
      <c r="G18" s="111" t="s">
        <v>25</v>
      </c>
      <c r="H18" s="111" t="s">
        <v>75</v>
      </c>
      <c r="I18" s="111" t="s">
        <v>25</v>
      </c>
      <c r="J18" s="111">
        <v>19.63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18.937701670567499</v>
      </c>
      <c r="Y18" s="111">
        <v>0</v>
      </c>
      <c r="Z18" s="111">
        <v>0</v>
      </c>
      <c r="AA18" s="111">
        <v>2.92031701535385</v>
      </c>
      <c r="AB18" s="111">
        <v>-2.2237279131182599</v>
      </c>
      <c r="AC18" s="111">
        <v>0</v>
      </c>
      <c r="AD18" s="111">
        <v>0</v>
      </c>
      <c r="AE18" s="111">
        <v>0</v>
      </c>
      <c r="AF18" s="111">
        <v>0</v>
      </c>
      <c r="AG18" s="111">
        <v>0</v>
      </c>
      <c r="AH18" s="111">
        <v>0</v>
      </c>
      <c r="AI18" s="111">
        <v>0</v>
      </c>
      <c r="AJ18" s="111">
        <v>0</v>
      </c>
      <c r="AK18" s="111">
        <v>0</v>
      </c>
      <c r="AL18" s="111">
        <v>0</v>
      </c>
      <c r="AM18" s="111">
        <v>0</v>
      </c>
      <c r="AN18" s="111">
        <v>0</v>
      </c>
      <c r="AO18" s="111">
        <v>0</v>
      </c>
      <c r="AP18" s="111">
        <v>0</v>
      </c>
      <c r="AQ18" s="111">
        <v>0</v>
      </c>
      <c r="AR18" s="112">
        <v>0</v>
      </c>
    </row>
    <row r="19" spans="2:44" ht="12" customHeight="1" x14ac:dyDescent="0.25">
      <c r="B19" s="110" t="s">
        <v>34</v>
      </c>
      <c r="C19" s="111" t="s">
        <v>35</v>
      </c>
      <c r="D19" s="111" t="s">
        <v>25</v>
      </c>
      <c r="E19" s="111" t="s">
        <v>25</v>
      </c>
      <c r="F19" s="111" t="s">
        <v>25</v>
      </c>
      <c r="G19" s="111" t="s">
        <v>37</v>
      </c>
      <c r="H19" s="111" t="s">
        <v>70</v>
      </c>
      <c r="I19" s="111" t="s">
        <v>25</v>
      </c>
      <c r="J19" s="111">
        <v>114.48</v>
      </c>
      <c r="K19" s="111">
        <v>216.6</v>
      </c>
      <c r="L19" s="111">
        <v>2.33334903327669</v>
      </c>
      <c r="M19" s="111">
        <v>0.125122195379607</v>
      </c>
      <c r="N19" s="111">
        <v>0.27810033897589698</v>
      </c>
      <c r="O19" s="111">
        <v>0</v>
      </c>
      <c r="P19" s="111">
        <v>0</v>
      </c>
      <c r="Q19" s="111">
        <v>92.052424795492797</v>
      </c>
      <c r="R19" s="111">
        <v>18.305587130386002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-11.419788281754199</v>
      </c>
      <c r="AC19" s="111">
        <v>0</v>
      </c>
      <c r="AD19" s="111">
        <v>10.8788293816769</v>
      </c>
      <c r="AE19" s="111">
        <v>0.34984841213095202</v>
      </c>
      <c r="AF19" s="111">
        <v>1.33860683642491</v>
      </c>
      <c r="AG19" s="111">
        <v>0.23831171372417101</v>
      </c>
      <c r="AH19" s="111">
        <v>2.3960597620650601</v>
      </c>
      <c r="AI19" s="111">
        <v>-16.116674696650598</v>
      </c>
      <c r="AJ19" s="111">
        <v>2.4412324779949399</v>
      </c>
      <c r="AK19" s="111">
        <v>30.354391548386399</v>
      </c>
      <c r="AL19" s="111">
        <v>0</v>
      </c>
      <c r="AM19" s="111">
        <v>202.94956530856899</v>
      </c>
      <c r="AN19" s="111">
        <v>7.3196722786819999</v>
      </c>
      <c r="AO19" s="111">
        <v>4.3062353207929904</v>
      </c>
      <c r="AP19" s="111">
        <v>0</v>
      </c>
      <c r="AQ19" s="111">
        <v>-23.2709323735445</v>
      </c>
      <c r="AR19" s="112">
        <v>6.2221680791317704</v>
      </c>
    </row>
    <row r="20" spans="2:44" ht="12" customHeight="1" x14ac:dyDescent="0.25">
      <c r="B20" s="110" t="s">
        <v>80</v>
      </c>
      <c r="C20" s="111" t="s">
        <v>79</v>
      </c>
      <c r="D20" s="111" t="s">
        <v>25</v>
      </c>
      <c r="E20" s="111" t="s">
        <v>25</v>
      </c>
      <c r="F20" s="111" t="s">
        <v>81</v>
      </c>
      <c r="G20" s="111" t="s">
        <v>25</v>
      </c>
      <c r="H20" s="111" t="s">
        <v>75</v>
      </c>
      <c r="I20" s="111" t="s">
        <v>25</v>
      </c>
      <c r="J20" s="111">
        <v>4.6100000000000003</v>
      </c>
      <c r="K20" s="111">
        <v>0</v>
      </c>
      <c r="L20" s="111">
        <v>0</v>
      </c>
      <c r="M20" s="111">
        <v>2.02016260267865E-2</v>
      </c>
      <c r="N20" s="111">
        <v>5.6287261639843801E-2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5.0847248158538401</v>
      </c>
      <c r="AB20" s="111">
        <v>-0.55352209099003002</v>
      </c>
      <c r="AC20" s="111">
        <v>0</v>
      </c>
      <c r="AD20" s="111">
        <v>0</v>
      </c>
      <c r="AE20" s="111">
        <v>0</v>
      </c>
      <c r="AF20" s="111">
        <v>0</v>
      </c>
      <c r="AG20" s="111">
        <v>0</v>
      </c>
      <c r="AH20" s="111">
        <v>0</v>
      </c>
      <c r="AI20" s="111">
        <v>0</v>
      </c>
      <c r="AJ20" s="111">
        <v>0</v>
      </c>
      <c r="AK20" s="111">
        <v>0</v>
      </c>
      <c r="AL20" s="111">
        <v>0</v>
      </c>
      <c r="AM20" s="111">
        <v>0</v>
      </c>
      <c r="AN20" s="111">
        <v>0</v>
      </c>
      <c r="AO20" s="111">
        <v>0</v>
      </c>
      <c r="AP20" s="111">
        <v>0</v>
      </c>
      <c r="AQ20" s="111">
        <v>0</v>
      </c>
      <c r="AR20" s="112">
        <v>0</v>
      </c>
    </row>
    <row r="21" spans="2:44" ht="12" customHeight="1" x14ac:dyDescent="0.25">
      <c r="B21" s="110" t="s">
        <v>80</v>
      </c>
      <c r="C21" s="111" t="s">
        <v>79</v>
      </c>
      <c r="D21" s="111" t="s">
        <v>25</v>
      </c>
      <c r="E21" s="111" t="s">
        <v>25</v>
      </c>
      <c r="F21" s="111" t="s">
        <v>82</v>
      </c>
      <c r="G21" s="111" t="s">
        <v>25</v>
      </c>
      <c r="H21" s="111" t="s">
        <v>75</v>
      </c>
      <c r="I21" s="111" t="s">
        <v>25</v>
      </c>
      <c r="J21" s="111">
        <v>7.88</v>
      </c>
      <c r="K21" s="111">
        <v>0</v>
      </c>
      <c r="L21" s="111">
        <v>0</v>
      </c>
      <c r="M21" s="111">
        <v>2.02016260267865E-2</v>
      </c>
      <c r="N21" s="111">
        <v>5.6287261639843801E-2</v>
      </c>
      <c r="O21" s="111">
        <v>0</v>
      </c>
      <c r="P21" s="111">
        <v>0</v>
      </c>
      <c r="Q21" s="111">
        <v>0</v>
      </c>
      <c r="R21" s="111">
        <v>0</v>
      </c>
      <c r="S21" s="111">
        <v>0</v>
      </c>
      <c r="T21" s="111">
        <v>0</v>
      </c>
      <c r="U21" s="111">
        <v>0</v>
      </c>
      <c r="V21" s="111">
        <v>0</v>
      </c>
      <c r="W21" s="111">
        <v>0</v>
      </c>
      <c r="X21" s="111">
        <v>0</v>
      </c>
      <c r="Y21" s="111">
        <v>0</v>
      </c>
      <c r="Z21" s="111">
        <v>0</v>
      </c>
      <c r="AA21" s="111">
        <v>8.7490059652757797</v>
      </c>
      <c r="AB21" s="111">
        <v>-0.94656494849152994</v>
      </c>
      <c r="AC21" s="111">
        <v>0</v>
      </c>
      <c r="AD21" s="111">
        <v>0</v>
      </c>
      <c r="AE21" s="111">
        <v>0</v>
      </c>
      <c r="AF21" s="111">
        <v>0</v>
      </c>
      <c r="AG21" s="111">
        <v>0</v>
      </c>
      <c r="AH21" s="111">
        <v>0</v>
      </c>
      <c r="AI21" s="111">
        <v>0</v>
      </c>
      <c r="AJ21" s="111">
        <v>0</v>
      </c>
      <c r="AK21" s="111">
        <v>0</v>
      </c>
      <c r="AL21" s="111">
        <v>0</v>
      </c>
      <c r="AM21" s="111">
        <v>0</v>
      </c>
      <c r="AN21" s="111">
        <v>0</v>
      </c>
      <c r="AO21" s="111">
        <v>0</v>
      </c>
      <c r="AP21" s="111">
        <v>0</v>
      </c>
      <c r="AQ21" s="111">
        <v>0</v>
      </c>
      <c r="AR21" s="112">
        <v>0</v>
      </c>
    </row>
    <row r="22" spans="2:44" ht="12" customHeight="1" x14ac:dyDescent="0.25">
      <c r="B22" s="110" t="s">
        <v>22</v>
      </c>
      <c r="C22" s="111" t="s">
        <v>49</v>
      </c>
      <c r="D22" s="111" t="s">
        <v>24</v>
      </c>
      <c r="E22" s="111" t="s">
        <v>24</v>
      </c>
      <c r="F22" s="111" t="s">
        <v>25</v>
      </c>
      <c r="G22" s="111" t="s">
        <v>36</v>
      </c>
      <c r="H22" s="111" t="s">
        <v>70</v>
      </c>
      <c r="I22" s="111" t="s">
        <v>25</v>
      </c>
      <c r="J22" s="111">
        <v>967.19</v>
      </c>
      <c r="K22" s="111">
        <v>347.99</v>
      </c>
      <c r="L22" s="111">
        <v>2.7777964681865299</v>
      </c>
      <c r="M22" s="111">
        <v>0.74341751902097497</v>
      </c>
      <c r="N22" s="111">
        <v>9.8769888976846794</v>
      </c>
      <c r="O22" s="111">
        <v>0</v>
      </c>
      <c r="P22" s="111">
        <v>0</v>
      </c>
      <c r="Q22" s="111">
        <v>109.58621999463401</v>
      </c>
      <c r="R22" s="111">
        <v>18.305587130386002</v>
      </c>
      <c r="S22" s="111">
        <v>0</v>
      </c>
      <c r="T22" s="111">
        <v>0</v>
      </c>
      <c r="U22" s="111">
        <v>0</v>
      </c>
      <c r="V22" s="111">
        <v>0</v>
      </c>
      <c r="W22" s="111">
        <v>0</v>
      </c>
      <c r="X22" s="111">
        <v>438.74353204330498</v>
      </c>
      <c r="Y22" s="111">
        <v>0</v>
      </c>
      <c r="Z22" s="111">
        <v>0</v>
      </c>
      <c r="AA22" s="111">
        <v>475.588286750382</v>
      </c>
      <c r="AB22" s="111">
        <v>-110.311227384746</v>
      </c>
      <c r="AC22" s="111">
        <v>0</v>
      </c>
      <c r="AD22" s="111">
        <v>18.913114700663598</v>
      </c>
      <c r="AE22" s="111">
        <v>0.60822014155514204</v>
      </c>
      <c r="AF22" s="111">
        <v>1.9993404138402799</v>
      </c>
      <c r="AG22" s="111">
        <v>0.35594188478283301</v>
      </c>
      <c r="AH22" s="111">
        <v>2.3960597620650601</v>
      </c>
      <c r="AI22" s="111">
        <v>-16.116674696650598</v>
      </c>
      <c r="AJ22" s="111">
        <v>2.4412324779949399</v>
      </c>
      <c r="AK22" s="111">
        <v>30.354391548386399</v>
      </c>
      <c r="AL22" s="111">
        <v>0</v>
      </c>
      <c r="AM22" s="111">
        <v>349.073252330738</v>
      </c>
      <c r="AN22" s="111">
        <v>7.3196722786819999</v>
      </c>
      <c r="AO22" s="111">
        <v>4.3062353207929904</v>
      </c>
      <c r="AP22" s="111">
        <v>0</v>
      </c>
      <c r="AQ22" s="111">
        <v>-38.007996573099803</v>
      </c>
      <c r="AR22" s="112">
        <v>6.2221680791317704</v>
      </c>
    </row>
    <row r="23" spans="2:44" ht="12" customHeight="1" x14ac:dyDescent="0.25">
      <c r="B23" s="110" t="s">
        <v>22</v>
      </c>
      <c r="C23" s="111" t="s">
        <v>49</v>
      </c>
      <c r="D23" s="111" t="s">
        <v>24</v>
      </c>
      <c r="E23" s="111" t="s">
        <v>24</v>
      </c>
      <c r="F23" s="111" t="s">
        <v>25</v>
      </c>
      <c r="G23" s="111" t="s">
        <v>50</v>
      </c>
      <c r="H23" s="111" t="s">
        <v>70</v>
      </c>
      <c r="I23" s="111" t="s">
        <v>25</v>
      </c>
      <c r="J23" s="111">
        <v>553.45000000000005</v>
      </c>
      <c r="K23" s="111">
        <v>216.6</v>
      </c>
      <c r="L23" s="111">
        <v>2.7777964681865299</v>
      </c>
      <c r="M23" s="111">
        <v>0.74341751902097497</v>
      </c>
      <c r="N23" s="111">
        <v>5.1714019682245498</v>
      </c>
      <c r="O23" s="111">
        <v>0</v>
      </c>
      <c r="P23" s="111">
        <v>0</v>
      </c>
      <c r="Q23" s="111">
        <v>109.58621999463401</v>
      </c>
      <c r="R23" s="111">
        <v>18.305587130386002</v>
      </c>
      <c r="S23" s="111">
        <v>0</v>
      </c>
      <c r="T23" s="111">
        <v>0</v>
      </c>
      <c r="U23" s="111">
        <v>0</v>
      </c>
      <c r="V23" s="111">
        <v>0</v>
      </c>
      <c r="W23" s="111">
        <v>0</v>
      </c>
      <c r="X23" s="111">
        <v>219.37182528493901</v>
      </c>
      <c r="Y23" s="111">
        <v>0</v>
      </c>
      <c r="Z23" s="111">
        <v>0</v>
      </c>
      <c r="AA23" s="111">
        <v>237.79419442254499</v>
      </c>
      <c r="AB23" s="111">
        <v>-62.177413933916398</v>
      </c>
      <c r="AC23" s="111">
        <v>0</v>
      </c>
      <c r="AD23" s="111">
        <v>18.913114700663598</v>
      </c>
      <c r="AE23" s="111">
        <v>0.60822014155514204</v>
      </c>
      <c r="AF23" s="111">
        <v>1.9993404138402799</v>
      </c>
      <c r="AG23" s="111">
        <v>0.35594188478283301</v>
      </c>
      <c r="AH23" s="111">
        <v>2.3960597620650601</v>
      </c>
      <c r="AI23" s="111">
        <v>-16.116674696650598</v>
      </c>
      <c r="AJ23" s="111">
        <v>2.4412324779949399</v>
      </c>
      <c r="AK23" s="111">
        <v>30.354391548386399</v>
      </c>
      <c r="AL23" s="111">
        <v>0</v>
      </c>
      <c r="AM23" s="111">
        <v>202.94956530856899</v>
      </c>
      <c r="AN23" s="111">
        <v>7.3196722786819999</v>
      </c>
      <c r="AO23" s="111">
        <v>4.3062353207929904</v>
      </c>
      <c r="AP23" s="111">
        <v>0</v>
      </c>
      <c r="AQ23" s="111">
        <v>-23.2709323735445</v>
      </c>
      <c r="AR23" s="112">
        <v>6.2221680791317704</v>
      </c>
    </row>
    <row r="24" spans="2:44" ht="12" customHeight="1" x14ac:dyDescent="0.25">
      <c r="B24" s="110" t="s">
        <v>22</v>
      </c>
      <c r="C24" s="111" t="s">
        <v>49</v>
      </c>
      <c r="D24" s="111" t="s">
        <v>24</v>
      </c>
      <c r="E24" s="111" t="s">
        <v>24</v>
      </c>
      <c r="F24" s="111" t="s">
        <v>25</v>
      </c>
      <c r="G24" s="111" t="s">
        <v>37</v>
      </c>
      <c r="H24" s="111" t="s">
        <v>70</v>
      </c>
      <c r="I24" s="111" t="s">
        <v>25</v>
      </c>
      <c r="J24" s="111">
        <v>222.46</v>
      </c>
      <c r="K24" s="111">
        <v>216.6</v>
      </c>
      <c r="L24" s="111">
        <v>2.7777964681865299</v>
      </c>
      <c r="M24" s="111">
        <v>0.74341751902097497</v>
      </c>
      <c r="N24" s="111">
        <v>1.4069312989112199</v>
      </c>
      <c r="O24" s="111">
        <v>0</v>
      </c>
      <c r="P24" s="111">
        <v>0</v>
      </c>
      <c r="Q24" s="111">
        <v>109.58621999463401</v>
      </c>
      <c r="R24" s="111">
        <v>18.305587130386002</v>
      </c>
      <c r="S24" s="111">
        <v>0</v>
      </c>
      <c r="T24" s="111">
        <v>0</v>
      </c>
      <c r="U24" s="111">
        <v>0</v>
      </c>
      <c r="V24" s="111">
        <v>0</v>
      </c>
      <c r="W24" s="111">
        <v>0</v>
      </c>
      <c r="X24" s="111">
        <v>43.874388762302303</v>
      </c>
      <c r="Y24" s="111">
        <v>0</v>
      </c>
      <c r="Z24" s="111">
        <v>0</v>
      </c>
      <c r="AA24" s="111">
        <v>47.558879722392</v>
      </c>
      <c r="AB24" s="111">
        <v>-23.670351499717</v>
      </c>
      <c r="AC24" s="111">
        <v>0</v>
      </c>
      <c r="AD24" s="111">
        <v>18.913114700663598</v>
      </c>
      <c r="AE24" s="111">
        <v>0.60822014155514204</v>
      </c>
      <c r="AF24" s="111">
        <v>1.9993404138402799</v>
      </c>
      <c r="AG24" s="111">
        <v>0.35594188478283301</v>
      </c>
      <c r="AH24" s="111">
        <v>2.3960597620650601</v>
      </c>
      <c r="AI24" s="111">
        <v>-16.116674696650598</v>
      </c>
      <c r="AJ24" s="111">
        <v>2.4412324779949399</v>
      </c>
      <c r="AK24" s="111">
        <v>30.354391548386399</v>
      </c>
      <c r="AL24" s="111">
        <v>0</v>
      </c>
      <c r="AM24" s="111">
        <v>202.94956530856899</v>
      </c>
      <c r="AN24" s="111">
        <v>7.3196722786819999</v>
      </c>
      <c r="AO24" s="111">
        <v>4.3062353207929904</v>
      </c>
      <c r="AP24" s="111">
        <v>0</v>
      </c>
      <c r="AQ24" s="111">
        <v>-23.2709323735445</v>
      </c>
      <c r="AR24" s="112">
        <v>6.2221680791317704</v>
      </c>
    </row>
    <row r="25" spans="2:44" ht="12" customHeight="1" x14ac:dyDescent="0.25">
      <c r="B25" s="110" t="s">
        <v>22</v>
      </c>
      <c r="C25" s="111" t="s">
        <v>23</v>
      </c>
      <c r="D25" s="111" t="s">
        <v>24</v>
      </c>
      <c r="E25" s="111" t="s">
        <v>1166</v>
      </c>
      <c r="F25" s="111" t="s">
        <v>25</v>
      </c>
      <c r="G25" s="111" t="s">
        <v>25</v>
      </c>
      <c r="H25" s="111" t="s">
        <v>70</v>
      </c>
      <c r="I25" s="111" t="s">
        <v>25</v>
      </c>
      <c r="J25" s="111">
        <v>257.16000000000003</v>
      </c>
      <c r="K25" s="111">
        <v>227.55</v>
      </c>
      <c r="L25" s="111">
        <v>0</v>
      </c>
      <c r="M25" s="111">
        <v>0.74341751902097497</v>
      </c>
      <c r="N25" s="111">
        <v>3.1434631167048299</v>
      </c>
      <c r="O25" s="111">
        <v>0</v>
      </c>
      <c r="P25" s="111">
        <v>0</v>
      </c>
      <c r="Q25" s="111">
        <v>0</v>
      </c>
      <c r="R25" s="111">
        <v>0</v>
      </c>
      <c r="S25" s="111">
        <v>0</v>
      </c>
      <c r="T25" s="111">
        <v>0</v>
      </c>
      <c r="U25" s="111">
        <v>0</v>
      </c>
      <c r="V25" s="111">
        <v>0</v>
      </c>
      <c r="W25" s="111">
        <v>0</v>
      </c>
      <c r="X25" s="111">
        <v>125.35536259898601</v>
      </c>
      <c r="Y25" s="111">
        <v>0</v>
      </c>
      <c r="Z25" s="111">
        <v>0</v>
      </c>
      <c r="AA25" s="111">
        <v>135.88233847305</v>
      </c>
      <c r="AB25" s="111">
        <v>-29.836778054260598</v>
      </c>
      <c r="AC25" s="111">
        <v>0</v>
      </c>
      <c r="AD25" s="111">
        <v>18.913114700663598</v>
      </c>
      <c r="AE25" s="111">
        <v>0.60822014155514204</v>
      </c>
      <c r="AF25" s="111">
        <v>1.9993404138402799</v>
      </c>
      <c r="AG25" s="111">
        <v>0.35594188478283301</v>
      </c>
      <c r="AH25" s="111">
        <v>2.3960597620650601</v>
      </c>
      <c r="AI25" s="111">
        <v>-16.116674696650598</v>
      </c>
      <c r="AJ25" s="111">
        <v>2.4412324779949399</v>
      </c>
      <c r="AK25" s="111">
        <v>30.354391548386399</v>
      </c>
      <c r="AL25" s="111">
        <v>0</v>
      </c>
      <c r="AM25" s="111">
        <v>215.12653922708299</v>
      </c>
      <c r="AN25" s="111">
        <v>7.3196722786819999</v>
      </c>
      <c r="AO25" s="111">
        <v>4.3062353207929904</v>
      </c>
      <c r="AP25" s="111">
        <v>0</v>
      </c>
      <c r="AQ25" s="111">
        <v>-24.4990210568408</v>
      </c>
      <c r="AR25" s="112">
        <v>6.2221680791317704</v>
      </c>
    </row>
    <row r="26" spans="2:44" ht="12" customHeight="1" x14ac:dyDescent="0.25">
      <c r="B26" s="110" t="s">
        <v>22</v>
      </c>
      <c r="C26" s="111" t="s">
        <v>23</v>
      </c>
      <c r="D26" s="111" t="s">
        <v>24</v>
      </c>
      <c r="E26" s="111" t="s">
        <v>24</v>
      </c>
      <c r="F26" s="111" t="s">
        <v>25</v>
      </c>
      <c r="G26" s="111" t="s">
        <v>25</v>
      </c>
      <c r="H26" s="111" t="s">
        <v>70</v>
      </c>
      <c r="I26" s="111" t="s">
        <v>25</v>
      </c>
      <c r="J26" s="111">
        <v>376.13</v>
      </c>
      <c r="K26" s="111">
        <v>227.55</v>
      </c>
      <c r="L26" s="111">
        <v>2.7777964681865299</v>
      </c>
      <c r="M26" s="111">
        <v>0.74341751902097497</v>
      </c>
      <c r="N26" s="111">
        <v>3.1547205690328002</v>
      </c>
      <c r="O26" s="111">
        <v>0</v>
      </c>
      <c r="P26" s="111">
        <v>0</v>
      </c>
      <c r="Q26" s="111">
        <v>109.58621999463401</v>
      </c>
      <c r="R26" s="111">
        <v>18.305587130386002</v>
      </c>
      <c r="S26" s="111">
        <v>0</v>
      </c>
      <c r="T26" s="111">
        <v>0</v>
      </c>
      <c r="U26" s="111">
        <v>0</v>
      </c>
      <c r="V26" s="111">
        <v>0</v>
      </c>
      <c r="W26" s="111">
        <v>0</v>
      </c>
      <c r="X26" s="111">
        <v>125.35536259898601</v>
      </c>
      <c r="Y26" s="111">
        <v>0</v>
      </c>
      <c r="Z26" s="111">
        <v>0</v>
      </c>
      <c r="AA26" s="111">
        <v>135.88233847305</v>
      </c>
      <c r="AB26" s="111">
        <v>-41.548623945774203</v>
      </c>
      <c r="AC26" s="111">
        <v>0</v>
      </c>
      <c r="AD26" s="111">
        <v>18.913114700663598</v>
      </c>
      <c r="AE26" s="111">
        <v>0.60822014155514204</v>
      </c>
      <c r="AF26" s="111">
        <v>1.9993404138402799</v>
      </c>
      <c r="AG26" s="111">
        <v>0.35594188478283301</v>
      </c>
      <c r="AH26" s="111">
        <v>2.3960597620650601</v>
      </c>
      <c r="AI26" s="111">
        <v>-16.116674696650598</v>
      </c>
      <c r="AJ26" s="111">
        <v>2.4412324779949399</v>
      </c>
      <c r="AK26" s="111">
        <v>30.354391548386399</v>
      </c>
      <c r="AL26" s="111">
        <v>0</v>
      </c>
      <c r="AM26" s="111">
        <v>215.12653922708299</v>
      </c>
      <c r="AN26" s="111">
        <v>7.3196722786819999</v>
      </c>
      <c r="AO26" s="111">
        <v>4.3062353207929904</v>
      </c>
      <c r="AP26" s="111">
        <v>0</v>
      </c>
      <c r="AQ26" s="111">
        <v>-24.4990210568408</v>
      </c>
      <c r="AR26" s="112">
        <v>6.2221680791317704</v>
      </c>
    </row>
    <row r="27" spans="2:44" ht="12" customHeight="1" x14ac:dyDescent="0.25">
      <c r="B27" s="110" t="s">
        <v>22</v>
      </c>
      <c r="C27" s="111" t="s">
        <v>85</v>
      </c>
      <c r="D27" s="111" t="s">
        <v>24</v>
      </c>
      <c r="E27" s="111" t="s">
        <v>1166</v>
      </c>
      <c r="F27" s="111" t="s">
        <v>25</v>
      </c>
      <c r="G27" s="111" t="s">
        <v>25</v>
      </c>
      <c r="H27" s="111" t="s">
        <v>70</v>
      </c>
      <c r="I27" s="111" t="s">
        <v>25</v>
      </c>
      <c r="J27" s="111">
        <v>257.16000000000003</v>
      </c>
      <c r="K27" s="111">
        <v>227.55</v>
      </c>
      <c r="L27" s="111">
        <v>0</v>
      </c>
      <c r="M27" s="111">
        <v>0.74341751902097497</v>
      </c>
      <c r="N27" s="111">
        <v>3.1434631167048299</v>
      </c>
      <c r="O27" s="111">
        <v>0</v>
      </c>
      <c r="P27" s="111">
        <v>0</v>
      </c>
      <c r="Q27" s="111">
        <v>0</v>
      </c>
      <c r="R27" s="111">
        <v>0</v>
      </c>
      <c r="S27" s="111">
        <v>0</v>
      </c>
      <c r="T27" s="111">
        <v>0</v>
      </c>
      <c r="U27" s="111">
        <v>0</v>
      </c>
      <c r="V27" s="111">
        <v>0</v>
      </c>
      <c r="W27" s="111">
        <v>0</v>
      </c>
      <c r="X27" s="111">
        <v>125.35536259898601</v>
      </c>
      <c r="Y27" s="111">
        <v>0</v>
      </c>
      <c r="Z27" s="111">
        <v>0</v>
      </c>
      <c r="AA27" s="111">
        <v>135.88233847305</v>
      </c>
      <c r="AB27" s="111">
        <v>-29.836778054260598</v>
      </c>
      <c r="AC27" s="111">
        <v>0</v>
      </c>
      <c r="AD27" s="111">
        <v>18.913114700663598</v>
      </c>
      <c r="AE27" s="111">
        <v>0.60822014155514204</v>
      </c>
      <c r="AF27" s="111">
        <v>1.9993404138402799</v>
      </c>
      <c r="AG27" s="111">
        <v>0.35594188478283301</v>
      </c>
      <c r="AH27" s="111">
        <v>2.3960597620650601</v>
      </c>
      <c r="AI27" s="111">
        <v>-16.116674696650598</v>
      </c>
      <c r="AJ27" s="111">
        <v>2.4412324779949399</v>
      </c>
      <c r="AK27" s="111">
        <v>30.354391548386399</v>
      </c>
      <c r="AL27" s="111">
        <v>0</v>
      </c>
      <c r="AM27" s="111">
        <v>215.12653922708299</v>
      </c>
      <c r="AN27" s="111">
        <v>7.3196722786819999</v>
      </c>
      <c r="AO27" s="111">
        <v>4.3062353207929904</v>
      </c>
      <c r="AP27" s="111">
        <v>0</v>
      </c>
      <c r="AQ27" s="111">
        <v>-24.4990210568408</v>
      </c>
      <c r="AR27" s="112">
        <v>6.2221680791317704</v>
      </c>
    </row>
    <row r="28" spans="2:44" ht="12" customHeight="1" x14ac:dyDescent="0.25">
      <c r="B28" s="110" t="s">
        <v>22</v>
      </c>
      <c r="C28" s="111" t="s">
        <v>85</v>
      </c>
      <c r="D28" s="111" t="s">
        <v>24</v>
      </c>
      <c r="E28" s="111" t="s">
        <v>24</v>
      </c>
      <c r="F28" s="111" t="s">
        <v>25</v>
      </c>
      <c r="G28" s="111" t="s">
        <v>25</v>
      </c>
      <c r="H28" s="111" t="s">
        <v>70</v>
      </c>
      <c r="I28" s="111" t="s">
        <v>25</v>
      </c>
      <c r="J28" s="111">
        <v>376.13</v>
      </c>
      <c r="K28" s="111">
        <v>227.55</v>
      </c>
      <c r="L28" s="111">
        <v>2.7777964681865299</v>
      </c>
      <c r="M28" s="111">
        <v>0.74341751902097497</v>
      </c>
      <c r="N28" s="111">
        <v>3.1547205690328002</v>
      </c>
      <c r="O28" s="111">
        <v>0</v>
      </c>
      <c r="P28" s="111">
        <v>0</v>
      </c>
      <c r="Q28" s="111">
        <v>109.58621999463401</v>
      </c>
      <c r="R28" s="111">
        <v>18.305587130386002</v>
      </c>
      <c r="S28" s="111">
        <v>0</v>
      </c>
      <c r="T28" s="111">
        <v>0</v>
      </c>
      <c r="U28" s="111">
        <v>0</v>
      </c>
      <c r="V28" s="111">
        <v>0</v>
      </c>
      <c r="W28" s="111">
        <v>0</v>
      </c>
      <c r="X28" s="111">
        <v>125.35536259898601</v>
      </c>
      <c r="Y28" s="111">
        <v>0</v>
      </c>
      <c r="Z28" s="111">
        <v>0</v>
      </c>
      <c r="AA28" s="111">
        <v>135.88233847305</v>
      </c>
      <c r="AB28" s="111">
        <v>-41.548623945774203</v>
      </c>
      <c r="AC28" s="111">
        <v>0</v>
      </c>
      <c r="AD28" s="111">
        <v>18.913114700663598</v>
      </c>
      <c r="AE28" s="111">
        <v>0.60822014155514204</v>
      </c>
      <c r="AF28" s="111">
        <v>1.9993404138402799</v>
      </c>
      <c r="AG28" s="111">
        <v>0.35594188478283301</v>
      </c>
      <c r="AH28" s="111">
        <v>2.3960597620650601</v>
      </c>
      <c r="AI28" s="111">
        <v>-16.116674696650598</v>
      </c>
      <c r="AJ28" s="111">
        <v>2.4412324779949399</v>
      </c>
      <c r="AK28" s="111">
        <v>30.354391548386399</v>
      </c>
      <c r="AL28" s="111">
        <v>0</v>
      </c>
      <c r="AM28" s="111">
        <v>215.12653922708299</v>
      </c>
      <c r="AN28" s="111">
        <v>7.3196722786819999</v>
      </c>
      <c r="AO28" s="111">
        <v>4.3062353207929904</v>
      </c>
      <c r="AP28" s="111">
        <v>0</v>
      </c>
      <c r="AQ28" s="111">
        <v>-24.4990210568408</v>
      </c>
      <c r="AR28" s="112">
        <v>6.2221680791317704</v>
      </c>
    </row>
    <row r="29" spans="2:44" ht="12" customHeight="1" x14ac:dyDescent="0.25">
      <c r="B29" s="110" t="s">
        <v>39</v>
      </c>
      <c r="C29" s="111" t="s">
        <v>49</v>
      </c>
      <c r="D29" s="111" t="s">
        <v>40</v>
      </c>
      <c r="E29" s="111" t="s">
        <v>86</v>
      </c>
      <c r="F29" s="111" t="s">
        <v>25</v>
      </c>
      <c r="G29" s="111" t="s">
        <v>36</v>
      </c>
      <c r="H29" s="111" t="s">
        <v>70</v>
      </c>
      <c r="I29" s="111" t="s">
        <v>25</v>
      </c>
      <c r="J29" s="111">
        <v>720.26</v>
      </c>
      <c r="K29" s="111">
        <v>327.11</v>
      </c>
      <c r="L29" s="111">
        <v>2.6111286800953399</v>
      </c>
      <c r="M29" s="111">
        <v>0.69881246787971596</v>
      </c>
      <c r="N29" s="111">
        <v>7.1359336218589604</v>
      </c>
      <c r="O29" s="111">
        <v>0</v>
      </c>
      <c r="P29" s="111">
        <v>0</v>
      </c>
      <c r="Q29" s="111">
        <v>103.011046794956</v>
      </c>
      <c r="R29" s="111">
        <v>17.207251902562799</v>
      </c>
      <c r="S29" s="111">
        <v>0</v>
      </c>
      <c r="T29" s="111">
        <v>0</v>
      </c>
      <c r="U29" s="111">
        <v>0</v>
      </c>
      <c r="V29" s="111">
        <v>0</v>
      </c>
      <c r="W29" s="111">
        <v>0</v>
      </c>
      <c r="X29" s="111">
        <v>312.26008567759698</v>
      </c>
      <c r="Y29" s="111">
        <v>0</v>
      </c>
      <c r="Z29" s="111">
        <v>0</v>
      </c>
      <c r="AA29" s="111">
        <v>338.48303949300202</v>
      </c>
      <c r="AB29" s="111">
        <v>-81.716035880030404</v>
      </c>
      <c r="AC29" s="111">
        <v>0</v>
      </c>
      <c r="AD29" s="111">
        <v>17.778327818623801</v>
      </c>
      <c r="AE29" s="111">
        <v>0.57172693306183298</v>
      </c>
      <c r="AF29" s="111">
        <v>1.8793799890098599</v>
      </c>
      <c r="AG29" s="111">
        <v>0.334585371695863</v>
      </c>
      <c r="AH29" s="111">
        <v>2.25229617634115</v>
      </c>
      <c r="AI29" s="111">
        <v>-15.149674214851601</v>
      </c>
      <c r="AJ29" s="111">
        <v>2.2947585293152502</v>
      </c>
      <c r="AK29" s="111">
        <v>28.5331280554832</v>
      </c>
      <c r="AL29" s="111">
        <v>0</v>
      </c>
      <c r="AM29" s="111">
        <v>328.128857190894</v>
      </c>
      <c r="AN29" s="111">
        <v>6.8804919419610799</v>
      </c>
      <c r="AO29" s="111">
        <v>4.0478612015454196</v>
      </c>
      <c r="AP29" s="111">
        <v>0</v>
      </c>
      <c r="AQ29" s="111">
        <v>-35.727516778713799</v>
      </c>
      <c r="AR29" s="112">
        <v>5.84883799438387</v>
      </c>
    </row>
    <row r="30" spans="2:44" ht="12" customHeight="1" x14ac:dyDescent="0.25">
      <c r="B30" s="110" t="s">
        <v>39</v>
      </c>
      <c r="C30" s="111" t="s">
        <v>49</v>
      </c>
      <c r="D30" s="111" t="s">
        <v>40</v>
      </c>
      <c r="E30" s="111" t="s">
        <v>86</v>
      </c>
      <c r="F30" s="111" t="s">
        <v>25</v>
      </c>
      <c r="G30" s="111" t="s">
        <v>50</v>
      </c>
      <c r="H30" s="111" t="s">
        <v>70</v>
      </c>
      <c r="I30" s="111" t="s">
        <v>25</v>
      </c>
      <c r="J30" s="111">
        <v>484.68</v>
      </c>
      <c r="K30" s="111">
        <v>203.61</v>
      </c>
      <c r="L30" s="111">
        <v>2.6111286800953399</v>
      </c>
      <c r="M30" s="111">
        <v>0.69881246787971596</v>
      </c>
      <c r="N30" s="111">
        <v>4.4567064160506904</v>
      </c>
      <c r="O30" s="111">
        <v>0</v>
      </c>
      <c r="P30" s="111">
        <v>0</v>
      </c>
      <c r="Q30" s="111">
        <v>103.011046794956</v>
      </c>
      <c r="R30" s="111">
        <v>17.207251902562799</v>
      </c>
      <c r="S30" s="111">
        <v>0</v>
      </c>
      <c r="T30" s="111">
        <v>0</v>
      </c>
      <c r="U30" s="111">
        <v>0</v>
      </c>
      <c r="V30" s="111">
        <v>0</v>
      </c>
      <c r="W30" s="111">
        <v>0</v>
      </c>
      <c r="X30" s="111">
        <v>187.35609597255001</v>
      </c>
      <c r="Y30" s="111">
        <v>0</v>
      </c>
      <c r="Z30" s="111">
        <v>0</v>
      </c>
      <c r="AA30" s="111">
        <v>203.08984288960701</v>
      </c>
      <c r="AB30" s="111">
        <v>-54.3100132285401</v>
      </c>
      <c r="AC30" s="111">
        <v>0</v>
      </c>
      <c r="AD30" s="111">
        <v>17.778327818623801</v>
      </c>
      <c r="AE30" s="111">
        <v>0.57172693306183298</v>
      </c>
      <c r="AF30" s="111">
        <v>1.8793799890098599</v>
      </c>
      <c r="AG30" s="111">
        <v>0.334585371695863</v>
      </c>
      <c r="AH30" s="111">
        <v>2.25229617634115</v>
      </c>
      <c r="AI30" s="111">
        <v>-15.149674214851601</v>
      </c>
      <c r="AJ30" s="111">
        <v>2.2947585293152502</v>
      </c>
      <c r="AK30" s="111">
        <v>28.5331280554832</v>
      </c>
      <c r="AL30" s="111">
        <v>0</v>
      </c>
      <c r="AM30" s="111">
        <v>190.772591390055</v>
      </c>
      <c r="AN30" s="111">
        <v>6.8804919419610799</v>
      </c>
      <c r="AO30" s="111">
        <v>4.0478612015454196</v>
      </c>
      <c r="AP30" s="111">
        <v>0</v>
      </c>
      <c r="AQ30" s="111">
        <v>-21.874676431131899</v>
      </c>
      <c r="AR30" s="112">
        <v>5.84883799438387</v>
      </c>
    </row>
    <row r="31" spans="2:44" ht="12" customHeight="1" x14ac:dyDescent="0.25">
      <c r="B31" s="110" t="s">
        <v>39</v>
      </c>
      <c r="C31" s="111" t="s">
        <v>49</v>
      </c>
      <c r="D31" s="111" t="s">
        <v>40</v>
      </c>
      <c r="E31" s="111" t="s">
        <v>86</v>
      </c>
      <c r="F31" s="111" t="s">
        <v>25</v>
      </c>
      <c r="G31" s="111" t="s">
        <v>37</v>
      </c>
      <c r="H31" s="111" t="s">
        <v>70</v>
      </c>
      <c r="I31" s="111" t="s">
        <v>25</v>
      </c>
      <c r="J31" s="111">
        <v>249.11</v>
      </c>
      <c r="K31" s="111">
        <v>203.61</v>
      </c>
      <c r="L31" s="111">
        <v>2.6111286800953399</v>
      </c>
      <c r="M31" s="111">
        <v>0.69881246787971596</v>
      </c>
      <c r="N31" s="111">
        <v>1.7774781520419101</v>
      </c>
      <c r="O31" s="111">
        <v>0</v>
      </c>
      <c r="P31" s="111">
        <v>0</v>
      </c>
      <c r="Q31" s="111">
        <v>103.011046794956</v>
      </c>
      <c r="R31" s="111">
        <v>17.207251902562799</v>
      </c>
      <c r="S31" s="111">
        <v>0</v>
      </c>
      <c r="T31" s="111">
        <v>0</v>
      </c>
      <c r="U31" s="111">
        <v>0</v>
      </c>
      <c r="V31" s="111">
        <v>0</v>
      </c>
      <c r="W31" s="111">
        <v>0</v>
      </c>
      <c r="X31" s="111">
        <v>62.451994852523796</v>
      </c>
      <c r="Y31" s="111">
        <v>0</v>
      </c>
      <c r="Z31" s="111">
        <v>0</v>
      </c>
      <c r="AA31" s="111">
        <v>67.696646286210495</v>
      </c>
      <c r="AB31" s="111">
        <v>-26.903979225573199</v>
      </c>
      <c r="AC31" s="111">
        <v>0</v>
      </c>
      <c r="AD31" s="111">
        <v>17.778327818623801</v>
      </c>
      <c r="AE31" s="111">
        <v>0.57172693306183298</v>
      </c>
      <c r="AF31" s="111">
        <v>1.8793799890098599</v>
      </c>
      <c r="AG31" s="111">
        <v>0.334585371695863</v>
      </c>
      <c r="AH31" s="111">
        <v>2.25229617634115</v>
      </c>
      <c r="AI31" s="111">
        <v>-15.149674214851601</v>
      </c>
      <c r="AJ31" s="111">
        <v>2.2947585293152502</v>
      </c>
      <c r="AK31" s="111">
        <v>28.5331280554832</v>
      </c>
      <c r="AL31" s="111">
        <v>0</v>
      </c>
      <c r="AM31" s="111">
        <v>190.772591390055</v>
      </c>
      <c r="AN31" s="111">
        <v>6.8804919419610799</v>
      </c>
      <c r="AO31" s="111">
        <v>4.0478612015454196</v>
      </c>
      <c r="AP31" s="111">
        <v>0</v>
      </c>
      <c r="AQ31" s="111">
        <v>-21.874676431131899</v>
      </c>
      <c r="AR31" s="112">
        <v>5.84883799438387</v>
      </c>
    </row>
    <row r="32" spans="2:44" ht="12" customHeight="1" x14ac:dyDescent="0.25">
      <c r="B32" s="110" t="s">
        <v>39</v>
      </c>
      <c r="C32" s="111" t="s">
        <v>49</v>
      </c>
      <c r="D32" s="111" t="s">
        <v>40</v>
      </c>
      <c r="E32" s="111" t="s">
        <v>25</v>
      </c>
      <c r="F32" s="111" t="s">
        <v>25</v>
      </c>
      <c r="G32" s="111" t="s">
        <v>36</v>
      </c>
      <c r="H32" s="111" t="s">
        <v>70</v>
      </c>
      <c r="I32" s="111" t="s">
        <v>25</v>
      </c>
      <c r="J32" s="111">
        <v>720.26</v>
      </c>
      <c r="K32" s="111">
        <v>327.11</v>
      </c>
      <c r="L32" s="111">
        <v>2.6111286800953399</v>
      </c>
      <c r="M32" s="111">
        <v>0.69881246787971596</v>
      </c>
      <c r="N32" s="111">
        <v>7.1359336218589604</v>
      </c>
      <c r="O32" s="111">
        <v>0</v>
      </c>
      <c r="P32" s="111">
        <v>0</v>
      </c>
      <c r="Q32" s="111">
        <v>103.011046794956</v>
      </c>
      <c r="R32" s="111">
        <v>17.207251902562799</v>
      </c>
      <c r="S32" s="111">
        <v>0</v>
      </c>
      <c r="T32" s="111">
        <v>0</v>
      </c>
      <c r="U32" s="111">
        <v>0</v>
      </c>
      <c r="V32" s="111">
        <v>0</v>
      </c>
      <c r="W32" s="111">
        <v>0</v>
      </c>
      <c r="X32" s="111">
        <v>312.26008567759698</v>
      </c>
      <c r="Y32" s="111">
        <v>0</v>
      </c>
      <c r="Z32" s="111">
        <v>0</v>
      </c>
      <c r="AA32" s="111">
        <v>338.48303949300202</v>
      </c>
      <c r="AB32" s="111">
        <v>-81.716035880030404</v>
      </c>
      <c r="AC32" s="111">
        <v>0</v>
      </c>
      <c r="AD32" s="111">
        <v>17.778327818623801</v>
      </c>
      <c r="AE32" s="111">
        <v>0.57172693306183298</v>
      </c>
      <c r="AF32" s="111">
        <v>1.8793799890098599</v>
      </c>
      <c r="AG32" s="111">
        <v>0.334585371695863</v>
      </c>
      <c r="AH32" s="111">
        <v>2.25229617634115</v>
      </c>
      <c r="AI32" s="111">
        <v>-15.149674214851601</v>
      </c>
      <c r="AJ32" s="111">
        <v>2.2947585293152502</v>
      </c>
      <c r="AK32" s="111">
        <v>28.5331280554832</v>
      </c>
      <c r="AL32" s="111">
        <v>0</v>
      </c>
      <c r="AM32" s="111">
        <v>328.128857190894</v>
      </c>
      <c r="AN32" s="111">
        <v>6.8804919419610799</v>
      </c>
      <c r="AO32" s="111">
        <v>4.0478612015454196</v>
      </c>
      <c r="AP32" s="111">
        <v>0</v>
      </c>
      <c r="AQ32" s="111">
        <v>-35.727516778713799</v>
      </c>
      <c r="AR32" s="112">
        <v>5.84883799438387</v>
      </c>
    </row>
    <row r="33" spans="2:44" ht="12" customHeight="1" x14ac:dyDescent="0.25">
      <c r="B33" s="110" t="s">
        <v>39</v>
      </c>
      <c r="C33" s="111" t="s">
        <v>49</v>
      </c>
      <c r="D33" s="111" t="s">
        <v>40</v>
      </c>
      <c r="E33" s="111" t="s">
        <v>25</v>
      </c>
      <c r="F33" s="111" t="s">
        <v>25</v>
      </c>
      <c r="G33" s="111" t="s">
        <v>50</v>
      </c>
      <c r="H33" s="111" t="s">
        <v>70</v>
      </c>
      <c r="I33" s="111" t="s">
        <v>25</v>
      </c>
      <c r="J33" s="111">
        <v>484.68</v>
      </c>
      <c r="K33" s="111">
        <v>203.61</v>
      </c>
      <c r="L33" s="111">
        <v>2.6111286800953399</v>
      </c>
      <c r="M33" s="111">
        <v>0.69881246787971596</v>
      </c>
      <c r="N33" s="111">
        <v>4.4567064160506904</v>
      </c>
      <c r="O33" s="111">
        <v>0</v>
      </c>
      <c r="P33" s="111">
        <v>0</v>
      </c>
      <c r="Q33" s="111">
        <v>103.011046794956</v>
      </c>
      <c r="R33" s="111">
        <v>17.207251902562799</v>
      </c>
      <c r="S33" s="111">
        <v>0</v>
      </c>
      <c r="T33" s="111">
        <v>0</v>
      </c>
      <c r="U33" s="111">
        <v>0</v>
      </c>
      <c r="V33" s="111">
        <v>0</v>
      </c>
      <c r="W33" s="111">
        <v>0</v>
      </c>
      <c r="X33" s="111">
        <v>187.35609597255001</v>
      </c>
      <c r="Y33" s="111">
        <v>0</v>
      </c>
      <c r="Z33" s="111">
        <v>0</v>
      </c>
      <c r="AA33" s="111">
        <v>203.08984288960701</v>
      </c>
      <c r="AB33" s="111">
        <v>-54.3100132285401</v>
      </c>
      <c r="AC33" s="111">
        <v>0</v>
      </c>
      <c r="AD33" s="111">
        <v>17.778327818623801</v>
      </c>
      <c r="AE33" s="111">
        <v>0.57172693306183298</v>
      </c>
      <c r="AF33" s="111">
        <v>1.8793799890098599</v>
      </c>
      <c r="AG33" s="111">
        <v>0.334585371695863</v>
      </c>
      <c r="AH33" s="111">
        <v>2.25229617634115</v>
      </c>
      <c r="AI33" s="111">
        <v>-15.149674214851601</v>
      </c>
      <c r="AJ33" s="111">
        <v>2.2947585293152502</v>
      </c>
      <c r="AK33" s="111">
        <v>28.5331280554832</v>
      </c>
      <c r="AL33" s="111">
        <v>0</v>
      </c>
      <c r="AM33" s="111">
        <v>190.772591390055</v>
      </c>
      <c r="AN33" s="111">
        <v>6.8804919419610799</v>
      </c>
      <c r="AO33" s="111">
        <v>4.0478612015454196</v>
      </c>
      <c r="AP33" s="111">
        <v>0</v>
      </c>
      <c r="AQ33" s="111">
        <v>-21.874676431131899</v>
      </c>
      <c r="AR33" s="112">
        <v>5.84883799438387</v>
      </c>
    </row>
    <row r="34" spans="2:44" ht="12" customHeight="1" x14ac:dyDescent="0.25">
      <c r="B34" s="110" t="s">
        <v>39</v>
      </c>
      <c r="C34" s="111" t="s">
        <v>49</v>
      </c>
      <c r="D34" s="111" t="s">
        <v>40</v>
      </c>
      <c r="E34" s="111" t="s">
        <v>25</v>
      </c>
      <c r="F34" s="111" t="s">
        <v>25</v>
      </c>
      <c r="G34" s="111" t="s">
        <v>37</v>
      </c>
      <c r="H34" s="111" t="s">
        <v>70</v>
      </c>
      <c r="I34" s="111" t="s">
        <v>25</v>
      </c>
      <c r="J34" s="111">
        <v>249.11</v>
      </c>
      <c r="K34" s="111">
        <v>203.61</v>
      </c>
      <c r="L34" s="111">
        <v>2.6111286800953399</v>
      </c>
      <c r="M34" s="111">
        <v>0.69881246787971596</v>
      </c>
      <c r="N34" s="111">
        <v>1.7774781520419101</v>
      </c>
      <c r="O34" s="111">
        <v>0</v>
      </c>
      <c r="P34" s="111">
        <v>0</v>
      </c>
      <c r="Q34" s="111">
        <v>103.011046794956</v>
      </c>
      <c r="R34" s="111">
        <v>17.207251902562799</v>
      </c>
      <c r="S34" s="111">
        <v>0</v>
      </c>
      <c r="T34" s="111">
        <v>0</v>
      </c>
      <c r="U34" s="111">
        <v>0</v>
      </c>
      <c r="V34" s="111">
        <v>0</v>
      </c>
      <c r="W34" s="111">
        <v>0</v>
      </c>
      <c r="X34" s="111">
        <v>62.451994852523796</v>
      </c>
      <c r="Y34" s="111">
        <v>0</v>
      </c>
      <c r="Z34" s="111">
        <v>0</v>
      </c>
      <c r="AA34" s="111">
        <v>67.696646286210495</v>
      </c>
      <c r="AB34" s="111">
        <v>-26.903979225573199</v>
      </c>
      <c r="AC34" s="111">
        <v>0</v>
      </c>
      <c r="AD34" s="111">
        <v>17.778327818623801</v>
      </c>
      <c r="AE34" s="111">
        <v>0.57172693306183298</v>
      </c>
      <c r="AF34" s="111">
        <v>1.8793799890098599</v>
      </c>
      <c r="AG34" s="111">
        <v>0.334585371695863</v>
      </c>
      <c r="AH34" s="111">
        <v>2.25229617634115</v>
      </c>
      <c r="AI34" s="111">
        <v>-15.149674214851601</v>
      </c>
      <c r="AJ34" s="111">
        <v>2.2947585293152502</v>
      </c>
      <c r="AK34" s="111">
        <v>28.5331280554832</v>
      </c>
      <c r="AL34" s="111">
        <v>0</v>
      </c>
      <c r="AM34" s="111">
        <v>190.772591390055</v>
      </c>
      <c r="AN34" s="111">
        <v>6.8804919419610799</v>
      </c>
      <c r="AO34" s="111">
        <v>4.0478612015454196</v>
      </c>
      <c r="AP34" s="111">
        <v>0</v>
      </c>
      <c r="AQ34" s="111">
        <v>-21.874676431131899</v>
      </c>
      <c r="AR34" s="112">
        <v>5.84883799438387</v>
      </c>
    </row>
    <row r="35" spans="2:44" ht="12" customHeight="1" x14ac:dyDescent="0.25">
      <c r="B35" s="110" t="s">
        <v>39</v>
      </c>
      <c r="C35" s="111" t="s">
        <v>49</v>
      </c>
      <c r="D35" s="111" t="s">
        <v>40</v>
      </c>
      <c r="E35" s="111" t="s">
        <v>87</v>
      </c>
      <c r="F35" s="111" t="s">
        <v>25</v>
      </c>
      <c r="G35" s="111" t="s">
        <v>36</v>
      </c>
      <c r="H35" s="111" t="s">
        <v>70</v>
      </c>
      <c r="I35" s="111" t="s">
        <v>25</v>
      </c>
      <c r="J35" s="111">
        <v>704.93</v>
      </c>
      <c r="K35" s="111">
        <v>320.14999999999998</v>
      </c>
      <c r="L35" s="111">
        <v>2.5555727507316099</v>
      </c>
      <c r="M35" s="111">
        <v>0.68394411749929696</v>
      </c>
      <c r="N35" s="111">
        <v>6.9841052469257896</v>
      </c>
      <c r="O35" s="111">
        <v>0</v>
      </c>
      <c r="P35" s="111">
        <v>0</v>
      </c>
      <c r="Q35" s="111">
        <v>100.81932239506401</v>
      </c>
      <c r="R35" s="111">
        <v>16.841140159955099</v>
      </c>
      <c r="S35" s="111">
        <v>0</v>
      </c>
      <c r="T35" s="111">
        <v>0</v>
      </c>
      <c r="U35" s="111">
        <v>0</v>
      </c>
      <c r="V35" s="111">
        <v>0</v>
      </c>
      <c r="W35" s="111">
        <v>0</v>
      </c>
      <c r="X35" s="111">
        <v>305.61625406743599</v>
      </c>
      <c r="Y35" s="111">
        <v>0</v>
      </c>
      <c r="Z35" s="111">
        <v>0</v>
      </c>
      <c r="AA35" s="111">
        <v>331.28127269527897</v>
      </c>
      <c r="AB35" s="111">
        <v>-79.977396818753206</v>
      </c>
      <c r="AC35" s="111">
        <v>0</v>
      </c>
      <c r="AD35" s="111">
        <v>17.4000655246105</v>
      </c>
      <c r="AE35" s="111">
        <v>0.55956253023072999</v>
      </c>
      <c r="AF35" s="111">
        <v>1.8393931807330499</v>
      </c>
      <c r="AG35" s="111">
        <v>0.32746653400020698</v>
      </c>
      <c r="AH35" s="111">
        <v>2.2043749810998499</v>
      </c>
      <c r="AI35" s="111">
        <v>-14.827340720918601</v>
      </c>
      <c r="AJ35" s="111">
        <v>2.2459338797553499</v>
      </c>
      <c r="AK35" s="111">
        <v>27.9260402245155</v>
      </c>
      <c r="AL35" s="111">
        <v>0</v>
      </c>
      <c r="AM35" s="111">
        <v>321.14739214427902</v>
      </c>
      <c r="AN35" s="111">
        <v>6.73409849638744</v>
      </c>
      <c r="AO35" s="111">
        <v>3.9617364951295602</v>
      </c>
      <c r="AP35" s="111">
        <v>0</v>
      </c>
      <c r="AQ35" s="111">
        <v>-34.9673568472518</v>
      </c>
      <c r="AR35" s="112">
        <v>5.7243946328012303</v>
      </c>
    </row>
    <row r="36" spans="2:44" ht="12" customHeight="1" x14ac:dyDescent="0.25">
      <c r="B36" s="110" t="s">
        <v>39</v>
      </c>
      <c r="C36" s="111" t="s">
        <v>49</v>
      </c>
      <c r="D36" s="111" t="s">
        <v>40</v>
      </c>
      <c r="E36" s="111" t="s">
        <v>87</v>
      </c>
      <c r="F36" s="111" t="s">
        <v>25</v>
      </c>
      <c r="G36" s="111" t="s">
        <v>50</v>
      </c>
      <c r="H36" s="111" t="s">
        <v>70</v>
      </c>
      <c r="I36" s="111" t="s">
        <v>25</v>
      </c>
      <c r="J36" s="111">
        <v>474.37</v>
      </c>
      <c r="K36" s="111">
        <v>199.27</v>
      </c>
      <c r="L36" s="111">
        <v>2.5555727507316099</v>
      </c>
      <c r="M36" s="111">
        <v>0.68394411749929696</v>
      </c>
      <c r="N36" s="111">
        <v>4.3618828752836603</v>
      </c>
      <c r="O36" s="111">
        <v>0</v>
      </c>
      <c r="P36" s="111">
        <v>0</v>
      </c>
      <c r="Q36" s="111">
        <v>100.81932239506401</v>
      </c>
      <c r="R36" s="111">
        <v>16.841140159955099</v>
      </c>
      <c r="S36" s="111">
        <v>0</v>
      </c>
      <c r="T36" s="111">
        <v>0</v>
      </c>
      <c r="U36" s="111">
        <v>0</v>
      </c>
      <c r="V36" s="111">
        <v>0</v>
      </c>
      <c r="W36" s="111">
        <v>0</v>
      </c>
      <c r="X36" s="111">
        <v>183.36979605824001</v>
      </c>
      <c r="Y36" s="111">
        <v>0</v>
      </c>
      <c r="Z36" s="111">
        <v>0</v>
      </c>
      <c r="AA36" s="111">
        <v>198.76878240259401</v>
      </c>
      <c r="AB36" s="111">
        <v>-53.154481032188201</v>
      </c>
      <c r="AC36" s="111">
        <v>0</v>
      </c>
      <c r="AD36" s="111">
        <v>17.4000655246105</v>
      </c>
      <c r="AE36" s="111">
        <v>0.55956253023072999</v>
      </c>
      <c r="AF36" s="111">
        <v>1.8393931807330499</v>
      </c>
      <c r="AG36" s="111">
        <v>0.32746653400020698</v>
      </c>
      <c r="AH36" s="111">
        <v>2.2043749810998499</v>
      </c>
      <c r="AI36" s="111">
        <v>-14.827340720918601</v>
      </c>
      <c r="AJ36" s="111">
        <v>2.2459338797553499</v>
      </c>
      <c r="AK36" s="111">
        <v>27.9260402245155</v>
      </c>
      <c r="AL36" s="111">
        <v>0</v>
      </c>
      <c r="AM36" s="111">
        <v>186.71360008388299</v>
      </c>
      <c r="AN36" s="111">
        <v>6.73409849638744</v>
      </c>
      <c r="AO36" s="111">
        <v>3.9617364951295602</v>
      </c>
      <c r="AP36" s="111">
        <v>0</v>
      </c>
      <c r="AQ36" s="111">
        <v>-21.409257783661001</v>
      </c>
      <c r="AR36" s="112">
        <v>5.7243946328012303</v>
      </c>
    </row>
    <row r="37" spans="2:44" ht="12" customHeight="1" x14ac:dyDescent="0.25">
      <c r="B37" s="110" t="s">
        <v>39</v>
      </c>
      <c r="C37" s="111" t="s">
        <v>49</v>
      </c>
      <c r="D37" s="111" t="s">
        <v>40</v>
      </c>
      <c r="E37" s="111" t="s">
        <v>87</v>
      </c>
      <c r="F37" s="111" t="s">
        <v>25</v>
      </c>
      <c r="G37" s="111" t="s">
        <v>37</v>
      </c>
      <c r="H37" s="111" t="s">
        <v>70</v>
      </c>
      <c r="I37" s="111" t="s">
        <v>25</v>
      </c>
      <c r="J37" s="111">
        <v>243.81</v>
      </c>
      <c r="K37" s="111">
        <v>199.27</v>
      </c>
      <c r="L37" s="111">
        <v>2.5555727507316099</v>
      </c>
      <c r="M37" s="111">
        <v>0.68394411749929696</v>
      </c>
      <c r="N37" s="111">
        <v>1.7396594679559201</v>
      </c>
      <c r="O37" s="111">
        <v>0</v>
      </c>
      <c r="P37" s="111">
        <v>0</v>
      </c>
      <c r="Q37" s="111">
        <v>100.81932239506401</v>
      </c>
      <c r="R37" s="111">
        <v>16.841140159955099</v>
      </c>
      <c r="S37" s="111">
        <v>0</v>
      </c>
      <c r="T37" s="111">
        <v>0</v>
      </c>
      <c r="U37" s="111">
        <v>0</v>
      </c>
      <c r="V37" s="111">
        <v>0</v>
      </c>
      <c r="W37" s="111">
        <v>0</v>
      </c>
      <c r="X37" s="111">
        <v>61.123229004597803</v>
      </c>
      <c r="Y37" s="111">
        <v>0</v>
      </c>
      <c r="Z37" s="111">
        <v>0</v>
      </c>
      <c r="AA37" s="111">
        <v>66.256292109908202</v>
      </c>
      <c r="AB37" s="111">
        <v>-26.3315541356674</v>
      </c>
      <c r="AC37" s="111">
        <v>0</v>
      </c>
      <c r="AD37" s="111">
        <v>17.4000655246105</v>
      </c>
      <c r="AE37" s="111">
        <v>0.55956253023072999</v>
      </c>
      <c r="AF37" s="111">
        <v>1.8393931807330499</v>
      </c>
      <c r="AG37" s="111">
        <v>0.32746653400020698</v>
      </c>
      <c r="AH37" s="111">
        <v>2.2043749810998499</v>
      </c>
      <c r="AI37" s="111">
        <v>-14.827340720918601</v>
      </c>
      <c r="AJ37" s="111">
        <v>2.2459338797553499</v>
      </c>
      <c r="AK37" s="111">
        <v>27.9260402245155</v>
      </c>
      <c r="AL37" s="111">
        <v>0</v>
      </c>
      <c r="AM37" s="111">
        <v>186.71360008388299</v>
      </c>
      <c r="AN37" s="111">
        <v>6.73409849638744</v>
      </c>
      <c r="AO37" s="111">
        <v>3.9617364951295602</v>
      </c>
      <c r="AP37" s="111">
        <v>0</v>
      </c>
      <c r="AQ37" s="111">
        <v>-21.409257783661001</v>
      </c>
      <c r="AR37" s="112">
        <v>5.7243946328012303</v>
      </c>
    </row>
    <row r="38" spans="2:44" ht="12" customHeight="1" x14ac:dyDescent="0.25">
      <c r="B38" s="110" t="s">
        <v>39</v>
      </c>
      <c r="C38" s="111" t="s">
        <v>23</v>
      </c>
      <c r="D38" s="111" t="s">
        <v>40</v>
      </c>
      <c r="E38" s="111" t="s">
        <v>86</v>
      </c>
      <c r="F38" s="111" t="s">
        <v>25</v>
      </c>
      <c r="G38" s="111" t="s">
        <v>25</v>
      </c>
      <c r="H38" s="111" t="s">
        <v>70</v>
      </c>
      <c r="I38" s="111" t="s">
        <v>25</v>
      </c>
      <c r="J38" s="111">
        <v>353.57</v>
      </c>
      <c r="K38" s="111">
        <v>213.9</v>
      </c>
      <c r="L38" s="111">
        <v>2.6111286800953399</v>
      </c>
      <c r="M38" s="111">
        <v>0.69881246787971596</v>
      </c>
      <c r="N38" s="111">
        <v>2.96543733489084</v>
      </c>
      <c r="O38" s="111">
        <v>0</v>
      </c>
      <c r="P38" s="111">
        <v>0</v>
      </c>
      <c r="Q38" s="111">
        <v>103.011046794956</v>
      </c>
      <c r="R38" s="111">
        <v>17.207251902562799</v>
      </c>
      <c r="S38" s="111">
        <v>0</v>
      </c>
      <c r="T38" s="111">
        <v>0</v>
      </c>
      <c r="U38" s="111">
        <v>0</v>
      </c>
      <c r="V38" s="111">
        <v>0</v>
      </c>
      <c r="W38" s="111">
        <v>0</v>
      </c>
      <c r="X38" s="111">
        <v>117.83404084304701</v>
      </c>
      <c r="Y38" s="111">
        <v>0</v>
      </c>
      <c r="Z38" s="111">
        <v>0</v>
      </c>
      <c r="AA38" s="111">
        <v>127.729398164667</v>
      </c>
      <c r="AB38" s="111">
        <v>-39.055706509027701</v>
      </c>
      <c r="AC38" s="111">
        <v>0</v>
      </c>
      <c r="AD38" s="111">
        <v>17.778327818623801</v>
      </c>
      <c r="AE38" s="111">
        <v>0.57172693306183298</v>
      </c>
      <c r="AF38" s="111">
        <v>1.8793799890098599</v>
      </c>
      <c r="AG38" s="111">
        <v>0.334585371695863</v>
      </c>
      <c r="AH38" s="111">
        <v>2.25229617634115</v>
      </c>
      <c r="AI38" s="111">
        <v>-15.149674214851601</v>
      </c>
      <c r="AJ38" s="111">
        <v>2.2947585293152502</v>
      </c>
      <c r="AK38" s="111">
        <v>28.5331280554832</v>
      </c>
      <c r="AL38" s="111">
        <v>0</v>
      </c>
      <c r="AM38" s="111">
        <v>202.21894687345801</v>
      </c>
      <c r="AN38" s="111">
        <v>6.8804919419610799</v>
      </c>
      <c r="AO38" s="111">
        <v>4.0478612015454196</v>
      </c>
      <c r="AP38" s="111">
        <v>0</v>
      </c>
      <c r="AQ38" s="111">
        <v>-23.029079793430402</v>
      </c>
      <c r="AR38" s="112">
        <v>5.84883799438387</v>
      </c>
    </row>
    <row r="39" spans="2:44" ht="12" customHeight="1" x14ac:dyDescent="0.25">
      <c r="B39" s="110" t="s">
        <v>39</v>
      </c>
      <c r="C39" s="111" t="s">
        <v>23</v>
      </c>
      <c r="D39" s="111" t="s">
        <v>40</v>
      </c>
      <c r="E39" s="111" t="s">
        <v>25</v>
      </c>
      <c r="F39" s="111" t="s">
        <v>25</v>
      </c>
      <c r="G39" s="111" t="s">
        <v>25</v>
      </c>
      <c r="H39" s="111" t="s">
        <v>70</v>
      </c>
      <c r="I39" s="111" t="s">
        <v>25</v>
      </c>
      <c r="J39" s="111">
        <v>353.57</v>
      </c>
      <c r="K39" s="111">
        <v>213.9</v>
      </c>
      <c r="L39" s="111">
        <v>2.6111286800953399</v>
      </c>
      <c r="M39" s="111">
        <v>0.69881246787971596</v>
      </c>
      <c r="N39" s="111">
        <v>2.96543733489084</v>
      </c>
      <c r="O39" s="111">
        <v>0</v>
      </c>
      <c r="P39" s="111">
        <v>0</v>
      </c>
      <c r="Q39" s="111">
        <v>103.011046794956</v>
      </c>
      <c r="R39" s="111">
        <v>17.207251902562799</v>
      </c>
      <c r="S39" s="111">
        <v>0</v>
      </c>
      <c r="T39" s="111">
        <v>0</v>
      </c>
      <c r="U39" s="111">
        <v>0</v>
      </c>
      <c r="V39" s="111">
        <v>0</v>
      </c>
      <c r="W39" s="111">
        <v>0</v>
      </c>
      <c r="X39" s="111">
        <v>117.83404084304701</v>
      </c>
      <c r="Y39" s="111">
        <v>0</v>
      </c>
      <c r="Z39" s="111">
        <v>0</v>
      </c>
      <c r="AA39" s="111">
        <v>127.729398164667</v>
      </c>
      <c r="AB39" s="111">
        <v>-39.055706509027701</v>
      </c>
      <c r="AC39" s="111">
        <v>0</v>
      </c>
      <c r="AD39" s="111">
        <v>17.778327818623801</v>
      </c>
      <c r="AE39" s="111">
        <v>0.57172693306183298</v>
      </c>
      <c r="AF39" s="111">
        <v>1.8793799890098599</v>
      </c>
      <c r="AG39" s="111">
        <v>0.334585371695863</v>
      </c>
      <c r="AH39" s="111">
        <v>2.25229617634115</v>
      </c>
      <c r="AI39" s="111">
        <v>-15.149674214851601</v>
      </c>
      <c r="AJ39" s="111">
        <v>2.2947585293152502</v>
      </c>
      <c r="AK39" s="111">
        <v>28.5331280554832</v>
      </c>
      <c r="AL39" s="111">
        <v>0</v>
      </c>
      <c r="AM39" s="111">
        <v>202.21894687345801</v>
      </c>
      <c r="AN39" s="111">
        <v>6.8804919419610799</v>
      </c>
      <c r="AO39" s="111">
        <v>4.0478612015454196</v>
      </c>
      <c r="AP39" s="111">
        <v>0</v>
      </c>
      <c r="AQ39" s="111">
        <v>-23.029079793430402</v>
      </c>
      <c r="AR39" s="112">
        <v>5.84883799438387</v>
      </c>
    </row>
    <row r="40" spans="2:44" ht="12" customHeight="1" x14ac:dyDescent="0.25">
      <c r="B40" s="110" t="s">
        <v>39</v>
      </c>
      <c r="C40" s="111" t="s">
        <v>23</v>
      </c>
      <c r="D40" s="111" t="s">
        <v>40</v>
      </c>
      <c r="E40" s="111" t="s">
        <v>87</v>
      </c>
      <c r="F40" s="111" t="s">
        <v>25</v>
      </c>
      <c r="G40" s="111" t="s">
        <v>25</v>
      </c>
      <c r="H40" s="111" t="s">
        <v>70</v>
      </c>
      <c r="I40" s="111" t="s">
        <v>25</v>
      </c>
      <c r="J40" s="111">
        <v>346.04</v>
      </c>
      <c r="K40" s="111">
        <v>209.35</v>
      </c>
      <c r="L40" s="111">
        <v>2.5555727507316099</v>
      </c>
      <c r="M40" s="111">
        <v>0.68394411749929696</v>
      </c>
      <c r="N40" s="111">
        <v>2.9023429235101799</v>
      </c>
      <c r="O40" s="111">
        <v>0</v>
      </c>
      <c r="P40" s="111">
        <v>0</v>
      </c>
      <c r="Q40" s="111">
        <v>100.81932239506401</v>
      </c>
      <c r="R40" s="111">
        <v>16.841140159955099</v>
      </c>
      <c r="S40" s="111">
        <v>0</v>
      </c>
      <c r="T40" s="111">
        <v>0</v>
      </c>
      <c r="U40" s="111">
        <v>0</v>
      </c>
      <c r="V40" s="111">
        <v>0</v>
      </c>
      <c r="W40" s="111">
        <v>0</v>
      </c>
      <c r="X40" s="111">
        <v>115.326933591067</v>
      </c>
      <c r="Y40" s="111">
        <v>0</v>
      </c>
      <c r="Z40" s="111">
        <v>0</v>
      </c>
      <c r="AA40" s="111">
        <v>125.01175139520601</v>
      </c>
      <c r="AB40" s="111">
        <v>-38.224734030112202</v>
      </c>
      <c r="AC40" s="111">
        <v>0</v>
      </c>
      <c r="AD40" s="111">
        <v>17.4000655246105</v>
      </c>
      <c r="AE40" s="111">
        <v>0.55956253023072999</v>
      </c>
      <c r="AF40" s="111">
        <v>1.8393931807330499</v>
      </c>
      <c r="AG40" s="111">
        <v>0.32746653400020698</v>
      </c>
      <c r="AH40" s="111">
        <v>2.2043749810998499</v>
      </c>
      <c r="AI40" s="111">
        <v>-14.827340720918601</v>
      </c>
      <c r="AJ40" s="111">
        <v>2.2459338797553499</v>
      </c>
      <c r="AK40" s="111">
        <v>27.9260402245155</v>
      </c>
      <c r="AL40" s="111">
        <v>0</v>
      </c>
      <c r="AM40" s="111">
        <v>197.91641608891601</v>
      </c>
      <c r="AN40" s="111">
        <v>6.73409849638744</v>
      </c>
      <c r="AO40" s="111">
        <v>3.9617364951295602</v>
      </c>
      <c r="AP40" s="111">
        <v>0</v>
      </c>
      <c r="AQ40" s="111">
        <v>-22.539099372293499</v>
      </c>
      <c r="AR40" s="112">
        <v>5.7243946328012303</v>
      </c>
    </row>
    <row r="41" spans="2:44" ht="12" customHeight="1" x14ac:dyDescent="0.25">
      <c r="B41" s="110" t="s">
        <v>39</v>
      </c>
      <c r="C41" s="111" t="s">
        <v>85</v>
      </c>
      <c r="D41" s="111" t="s">
        <v>40</v>
      </c>
      <c r="E41" s="111" t="s">
        <v>86</v>
      </c>
      <c r="F41" s="111" t="s">
        <v>25</v>
      </c>
      <c r="G41" s="111" t="s">
        <v>25</v>
      </c>
      <c r="H41" s="111" t="s">
        <v>70</v>
      </c>
      <c r="I41" s="111" t="s">
        <v>25</v>
      </c>
      <c r="J41" s="111">
        <v>353.57</v>
      </c>
      <c r="K41" s="111">
        <v>213.9</v>
      </c>
      <c r="L41" s="111">
        <v>2.6111286800953399</v>
      </c>
      <c r="M41" s="111">
        <v>0.69881246787971596</v>
      </c>
      <c r="N41" s="111">
        <v>2.96543733489084</v>
      </c>
      <c r="O41" s="111">
        <v>0</v>
      </c>
      <c r="P41" s="111">
        <v>0</v>
      </c>
      <c r="Q41" s="111">
        <v>103.011046794956</v>
      </c>
      <c r="R41" s="111">
        <v>17.207251902562799</v>
      </c>
      <c r="S41" s="111">
        <v>0</v>
      </c>
      <c r="T41" s="111">
        <v>0</v>
      </c>
      <c r="U41" s="111">
        <v>0</v>
      </c>
      <c r="V41" s="111">
        <v>0</v>
      </c>
      <c r="W41" s="111">
        <v>0</v>
      </c>
      <c r="X41" s="111">
        <v>117.83404084304701</v>
      </c>
      <c r="Y41" s="111">
        <v>0</v>
      </c>
      <c r="Z41" s="111">
        <v>0</v>
      </c>
      <c r="AA41" s="111">
        <v>127.729398164667</v>
      </c>
      <c r="AB41" s="111">
        <v>-39.055706509027701</v>
      </c>
      <c r="AC41" s="111">
        <v>0</v>
      </c>
      <c r="AD41" s="111">
        <v>17.778327818623801</v>
      </c>
      <c r="AE41" s="111">
        <v>0.57172693306183298</v>
      </c>
      <c r="AF41" s="111">
        <v>1.8793799890098599</v>
      </c>
      <c r="AG41" s="111">
        <v>0.334585371695863</v>
      </c>
      <c r="AH41" s="111">
        <v>2.25229617634115</v>
      </c>
      <c r="AI41" s="111">
        <v>-15.149674214851601</v>
      </c>
      <c r="AJ41" s="111">
        <v>2.2947585293152502</v>
      </c>
      <c r="AK41" s="111">
        <v>28.5331280554832</v>
      </c>
      <c r="AL41" s="111">
        <v>0</v>
      </c>
      <c r="AM41" s="111">
        <v>202.21894687345801</v>
      </c>
      <c r="AN41" s="111">
        <v>6.8804919419610799</v>
      </c>
      <c r="AO41" s="111">
        <v>4.0478612015454196</v>
      </c>
      <c r="AP41" s="111">
        <v>0</v>
      </c>
      <c r="AQ41" s="111">
        <v>-23.029079793430402</v>
      </c>
      <c r="AR41" s="112">
        <v>5.84883799438387</v>
      </c>
    </row>
    <row r="42" spans="2:44" ht="12" customHeight="1" x14ac:dyDescent="0.25">
      <c r="B42" s="110" t="s">
        <v>39</v>
      </c>
      <c r="C42" s="111" t="s">
        <v>85</v>
      </c>
      <c r="D42" s="111" t="s">
        <v>40</v>
      </c>
      <c r="E42" s="111" t="s">
        <v>25</v>
      </c>
      <c r="F42" s="111" t="s">
        <v>25</v>
      </c>
      <c r="G42" s="111" t="s">
        <v>25</v>
      </c>
      <c r="H42" s="111" t="s">
        <v>70</v>
      </c>
      <c r="I42" s="111" t="s">
        <v>25</v>
      </c>
      <c r="J42" s="111">
        <v>353.57</v>
      </c>
      <c r="K42" s="111">
        <v>213.9</v>
      </c>
      <c r="L42" s="111">
        <v>2.6111286800953399</v>
      </c>
      <c r="M42" s="111">
        <v>0.69881246787971596</v>
      </c>
      <c r="N42" s="111">
        <v>2.96543733489084</v>
      </c>
      <c r="O42" s="111">
        <v>0</v>
      </c>
      <c r="P42" s="111">
        <v>0</v>
      </c>
      <c r="Q42" s="111">
        <v>103.011046794956</v>
      </c>
      <c r="R42" s="111">
        <v>17.207251902562799</v>
      </c>
      <c r="S42" s="111">
        <v>0</v>
      </c>
      <c r="T42" s="111">
        <v>0</v>
      </c>
      <c r="U42" s="111">
        <v>0</v>
      </c>
      <c r="V42" s="111">
        <v>0</v>
      </c>
      <c r="W42" s="111">
        <v>0</v>
      </c>
      <c r="X42" s="111">
        <v>117.83404084304701</v>
      </c>
      <c r="Y42" s="111">
        <v>0</v>
      </c>
      <c r="Z42" s="111">
        <v>0</v>
      </c>
      <c r="AA42" s="111">
        <v>127.729398164667</v>
      </c>
      <c r="AB42" s="111">
        <v>-39.055706509027701</v>
      </c>
      <c r="AC42" s="111">
        <v>0</v>
      </c>
      <c r="AD42" s="111">
        <v>17.778327818623801</v>
      </c>
      <c r="AE42" s="111">
        <v>0.57172693306183298</v>
      </c>
      <c r="AF42" s="111">
        <v>1.8793799890098599</v>
      </c>
      <c r="AG42" s="111">
        <v>0.334585371695863</v>
      </c>
      <c r="AH42" s="111">
        <v>2.25229617634115</v>
      </c>
      <c r="AI42" s="111">
        <v>-15.149674214851601</v>
      </c>
      <c r="AJ42" s="111">
        <v>2.2947585293152502</v>
      </c>
      <c r="AK42" s="111">
        <v>28.5331280554832</v>
      </c>
      <c r="AL42" s="111">
        <v>0</v>
      </c>
      <c r="AM42" s="111">
        <v>202.21894687345801</v>
      </c>
      <c r="AN42" s="111">
        <v>6.8804919419610799</v>
      </c>
      <c r="AO42" s="111">
        <v>4.0478612015454196</v>
      </c>
      <c r="AP42" s="111">
        <v>0</v>
      </c>
      <c r="AQ42" s="111">
        <v>-23.029079793430402</v>
      </c>
      <c r="AR42" s="112">
        <v>5.84883799438387</v>
      </c>
    </row>
    <row r="43" spans="2:44" ht="12" customHeight="1" x14ac:dyDescent="0.25">
      <c r="B43" s="110" t="s">
        <v>39</v>
      </c>
      <c r="C43" s="111" t="s">
        <v>85</v>
      </c>
      <c r="D43" s="111" t="s">
        <v>40</v>
      </c>
      <c r="E43" s="111" t="s">
        <v>87</v>
      </c>
      <c r="F43" s="111" t="s">
        <v>25</v>
      </c>
      <c r="G43" s="111" t="s">
        <v>25</v>
      </c>
      <c r="H43" s="111" t="s">
        <v>70</v>
      </c>
      <c r="I43" s="111" t="s">
        <v>25</v>
      </c>
      <c r="J43" s="111">
        <v>346.04</v>
      </c>
      <c r="K43" s="111">
        <v>209.35</v>
      </c>
      <c r="L43" s="111">
        <v>2.5555727507316099</v>
      </c>
      <c r="M43" s="111">
        <v>0.68394411749929696</v>
      </c>
      <c r="N43" s="111">
        <v>2.9023429235101799</v>
      </c>
      <c r="O43" s="111">
        <v>0</v>
      </c>
      <c r="P43" s="111">
        <v>0</v>
      </c>
      <c r="Q43" s="111">
        <v>100.81932239506401</v>
      </c>
      <c r="R43" s="111">
        <v>16.841140159955099</v>
      </c>
      <c r="S43" s="111">
        <v>0</v>
      </c>
      <c r="T43" s="111">
        <v>0</v>
      </c>
      <c r="U43" s="111">
        <v>0</v>
      </c>
      <c r="V43" s="111">
        <v>0</v>
      </c>
      <c r="W43" s="111">
        <v>0</v>
      </c>
      <c r="X43" s="111">
        <v>115.326933591067</v>
      </c>
      <c r="Y43" s="111">
        <v>0</v>
      </c>
      <c r="Z43" s="111">
        <v>0</v>
      </c>
      <c r="AA43" s="111">
        <v>125.01175139520601</v>
      </c>
      <c r="AB43" s="111">
        <v>-38.224734030112202</v>
      </c>
      <c r="AC43" s="111">
        <v>0</v>
      </c>
      <c r="AD43" s="111">
        <v>17.4000655246105</v>
      </c>
      <c r="AE43" s="111">
        <v>0.55956253023072999</v>
      </c>
      <c r="AF43" s="111">
        <v>1.8393931807330499</v>
      </c>
      <c r="AG43" s="111">
        <v>0.32746653400020698</v>
      </c>
      <c r="AH43" s="111">
        <v>2.2043749810998499</v>
      </c>
      <c r="AI43" s="111">
        <v>-14.827340720918601</v>
      </c>
      <c r="AJ43" s="111">
        <v>2.2459338797553499</v>
      </c>
      <c r="AK43" s="111">
        <v>27.9260402245155</v>
      </c>
      <c r="AL43" s="111">
        <v>0</v>
      </c>
      <c r="AM43" s="111">
        <v>197.91641608891601</v>
      </c>
      <c r="AN43" s="111">
        <v>6.73409849638744</v>
      </c>
      <c r="AO43" s="111">
        <v>3.9617364951295602</v>
      </c>
      <c r="AP43" s="111">
        <v>0</v>
      </c>
      <c r="AQ43" s="111">
        <v>-22.539099372293499</v>
      </c>
      <c r="AR43" s="112">
        <v>5.7243946328012303</v>
      </c>
    </row>
    <row r="44" spans="2:44" ht="12" customHeight="1" x14ac:dyDescent="0.25">
      <c r="B44" s="110" t="s">
        <v>32</v>
      </c>
      <c r="C44" s="111" t="s">
        <v>49</v>
      </c>
      <c r="D44" s="111" t="s">
        <v>25</v>
      </c>
      <c r="E44" s="111" t="s">
        <v>25</v>
      </c>
      <c r="F44" s="111" t="s">
        <v>25</v>
      </c>
      <c r="G44" s="111" t="s">
        <v>36</v>
      </c>
      <c r="H44" s="111" t="s">
        <v>70</v>
      </c>
      <c r="I44" s="111" t="s">
        <v>25</v>
      </c>
      <c r="J44" s="111">
        <v>1236.71</v>
      </c>
      <c r="K44" s="111">
        <v>347.99</v>
      </c>
      <c r="L44" s="111">
        <v>2.7777964681865299</v>
      </c>
      <c r="M44" s="111">
        <v>0.74341751902097497</v>
      </c>
      <c r="N44" s="111">
        <v>12.9423447595456</v>
      </c>
      <c r="O44" s="111">
        <v>0</v>
      </c>
      <c r="P44" s="111">
        <v>0</v>
      </c>
      <c r="Q44" s="111">
        <v>109.58621999463401</v>
      </c>
      <c r="R44" s="111">
        <v>18.305587130386002</v>
      </c>
      <c r="S44" s="111">
        <v>0</v>
      </c>
      <c r="T44" s="111">
        <v>0</v>
      </c>
      <c r="U44" s="111">
        <v>0</v>
      </c>
      <c r="V44" s="111">
        <v>0</v>
      </c>
      <c r="W44" s="111">
        <v>0</v>
      </c>
      <c r="X44" s="111">
        <v>581.64865014721204</v>
      </c>
      <c r="Y44" s="111">
        <v>0</v>
      </c>
      <c r="Z44" s="111">
        <v>0</v>
      </c>
      <c r="AA44" s="111">
        <v>630.49423836921301</v>
      </c>
      <c r="AB44" s="111">
        <v>-141.66699030010199</v>
      </c>
      <c r="AC44" s="111">
        <v>0</v>
      </c>
      <c r="AD44" s="111">
        <v>18.913114700663598</v>
      </c>
      <c r="AE44" s="111">
        <v>0.60822014155514204</v>
      </c>
      <c r="AF44" s="111">
        <v>1.9993404138402799</v>
      </c>
      <c r="AG44" s="111">
        <v>0.35594188478283301</v>
      </c>
      <c r="AH44" s="111">
        <v>2.3960597620650601</v>
      </c>
      <c r="AI44" s="111">
        <v>-16.116674696650598</v>
      </c>
      <c r="AJ44" s="111">
        <v>2.4412324779949399</v>
      </c>
      <c r="AK44" s="111">
        <v>30.354391548386399</v>
      </c>
      <c r="AL44" s="111">
        <v>0</v>
      </c>
      <c r="AM44" s="111">
        <v>349.073252330738</v>
      </c>
      <c r="AN44" s="111">
        <v>7.3196722786819999</v>
      </c>
      <c r="AO44" s="111">
        <v>4.3062353207929904</v>
      </c>
      <c r="AP44" s="111">
        <v>0</v>
      </c>
      <c r="AQ44" s="111">
        <v>-38.007996573099803</v>
      </c>
      <c r="AR44" s="112">
        <v>6.2221680791317704</v>
      </c>
    </row>
    <row r="45" spans="2:44" ht="12" customHeight="1" x14ac:dyDescent="0.25">
      <c r="B45" s="110" t="s">
        <v>32</v>
      </c>
      <c r="C45" s="111" t="s">
        <v>49</v>
      </c>
      <c r="D45" s="111" t="s">
        <v>25</v>
      </c>
      <c r="E45" s="111" t="s">
        <v>25</v>
      </c>
      <c r="F45" s="111" t="s">
        <v>25</v>
      </c>
      <c r="G45" s="111" t="s">
        <v>50</v>
      </c>
      <c r="H45" s="111" t="s">
        <v>70</v>
      </c>
      <c r="I45" s="111" t="s">
        <v>25</v>
      </c>
      <c r="J45" s="111">
        <v>551.09</v>
      </c>
      <c r="K45" s="111">
        <v>216.6</v>
      </c>
      <c r="L45" s="111">
        <v>2.7777964681865299</v>
      </c>
      <c r="M45" s="111">
        <v>0.74341751902097497</v>
      </c>
      <c r="N45" s="111">
        <v>5.1445124175939698</v>
      </c>
      <c r="O45" s="111">
        <v>0</v>
      </c>
      <c r="P45" s="111">
        <v>0</v>
      </c>
      <c r="Q45" s="111">
        <v>109.58621999463401</v>
      </c>
      <c r="R45" s="111">
        <v>18.305587130386002</v>
      </c>
      <c r="S45" s="111">
        <v>0</v>
      </c>
      <c r="T45" s="111">
        <v>0</v>
      </c>
      <c r="U45" s="111">
        <v>0</v>
      </c>
      <c r="V45" s="111">
        <v>0</v>
      </c>
      <c r="W45" s="111">
        <v>0</v>
      </c>
      <c r="X45" s="111">
        <v>218.118288252669</v>
      </c>
      <c r="Y45" s="111">
        <v>0</v>
      </c>
      <c r="Z45" s="111">
        <v>0</v>
      </c>
      <c r="AA45" s="111">
        <v>236.43531386477801</v>
      </c>
      <c r="AB45" s="111">
        <v>-61.902358959399301</v>
      </c>
      <c r="AC45" s="111">
        <v>0</v>
      </c>
      <c r="AD45" s="111">
        <v>18.913114700663598</v>
      </c>
      <c r="AE45" s="111">
        <v>0.60822014155514204</v>
      </c>
      <c r="AF45" s="111">
        <v>1.9993404138402799</v>
      </c>
      <c r="AG45" s="111">
        <v>0.35594188478283301</v>
      </c>
      <c r="AH45" s="111">
        <v>2.3960597620650601</v>
      </c>
      <c r="AI45" s="111">
        <v>-16.116674696650598</v>
      </c>
      <c r="AJ45" s="111">
        <v>2.4412324779949399</v>
      </c>
      <c r="AK45" s="111">
        <v>30.354391548386399</v>
      </c>
      <c r="AL45" s="111">
        <v>0</v>
      </c>
      <c r="AM45" s="111">
        <v>202.94956530856899</v>
      </c>
      <c r="AN45" s="111">
        <v>7.3196722786819999</v>
      </c>
      <c r="AO45" s="111">
        <v>4.3062353207929904</v>
      </c>
      <c r="AP45" s="111">
        <v>0</v>
      </c>
      <c r="AQ45" s="111">
        <v>-23.2709323735445</v>
      </c>
      <c r="AR45" s="112">
        <v>6.2221680791317704</v>
      </c>
    </row>
    <row r="46" spans="2:44" ht="12" customHeight="1" x14ac:dyDescent="0.25">
      <c r="B46" s="110" t="s">
        <v>32</v>
      </c>
      <c r="C46" s="111" t="s">
        <v>49</v>
      </c>
      <c r="D46" s="111" t="s">
        <v>25</v>
      </c>
      <c r="E46" s="111" t="s">
        <v>25</v>
      </c>
      <c r="F46" s="111" t="s">
        <v>25</v>
      </c>
      <c r="G46" s="111" t="s">
        <v>37</v>
      </c>
      <c r="H46" s="111" t="s">
        <v>70</v>
      </c>
      <c r="I46" s="111" t="s">
        <v>25</v>
      </c>
      <c r="J46" s="111">
        <v>276.83999999999997</v>
      </c>
      <c r="K46" s="111">
        <v>216.6</v>
      </c>
      <c r="L46" s="111">
        <v>2.7777964681865299</v>
      </c>
      <c r="M46" s="111">
        <v>0.74341751902097497</v>
      </c>
      <c r="N46" s="111">
        <v>2.0253797059623699</v>
      </c>
      <c r="O46" s="111">
        <v>0</v>
      </c>
      <c r="P46" s="111">
        <v>0</v>
      </c>
      <c r="Q46" s="111">
        <v>109.58621999463401</v>
      </c>
      <c r="R46" s="111">
        <v>18.305587130386002</v>
      </c>
      <c r="S46" s="111">
        <v>0</v>
      </c>
      <c r="T46" s="111">
        <v>0</v>
      </c>
      <c r="U46" s="111">
        <v>0</v>
      </c>
      <c r="V46" s="111">
        <v>0</v>
      </c>
      <c r="W46" s="111">
        <v>0</v>
      </c>
      <c r="X46" s="111">
        <v>72.706096084223006</v>
      </c>
      <c r="Y46" s="111">
        <v>0</v>
      </c>
      <c r="Z46" s="111">
        <v>0</v>
      </c>
      <c r="AA46" s="111">
        <v>78.811805319828593</v>
      </c>
      <c r="AB46" s="111">
        <v>-29.996508234571401</v>
      </c>
      <c r="AC46" s="111">
        <v>0</v>
      </c>
      <c r="AD46" s="111">
        <v>18.913114700663598</v>
      </c>
      <c r="AE46" s="111">
        <v>0.60822014155514204</v>
      </c>
      <c r="AF46" s="111">
        <v>1.9993404138402799</v>
      </c>
      <c r="AG46" s="111">
        <v>0.35594188478283301</v>
      </c>
      <c r="AH46" s="111">
        <v>2.3960597620650601</v>
      </c>
      <c r="AI46" s="111">
        <v>-16.116674696650598</v>
      </c>
      <c r="AJ46" s="111">
        <v>2.4412324779949399</v>
      </c>
      <c r="AK46" s="111">
        <v>30.354391548386399</v>
      </c>
      <c r="AL46" s="111">
        <v>0</v>
      </c>
      <c r="AM46" s="111">
        <v>202.94956530856899</v>
      </c>
      <c r="AN46" s="111">
        <v>7.3196722786819999</v>
      </c>
      <c r="AO46" s="111">
        <v>4.3062353207929904</v>
      </c>
      <c r="AP46" s="111">
        <v>0</v>
      </c>
      <c r="AQ46" s="111">
        <v>-23.2709323735445</v>
      </c>
      <c r="AR46" s="112">
        <v>6.2221680791317704</v>
      </c>
    </row>
    <row r="47" spans="2:44" ht="12" customHeight="1" x14ac:dyDescent="0.25">
      <c r="B47" s="110" t="s">
        <v>32</v>
      </c>
      <c r="C47" s="111" t="s">
        <v>23</v>
      </c>
      <c r="D47" s="111" t="s">
        <v>25</v>
      </c>
      <c r="E47" s="111" t="s">
        <v>25</v>
      </c>
      <c r="F47" s="111" t="s">
        <v>25</v>
      </c>
      <c r="G47" s="111" t="s">
        <v>25</v>
      </c>
      <c r="H47" s="111" t="s">
        <v>70</v>
      </c>
      <c r="I47" s="111" t="s">
        <v>25</v>
      </c>
      <c r="J47" s="111">
        <v>376.13</v>
      </c>
      <c r="K47" s="111">
        <v>227.55</v>
      </c>
      <c r="L47" s="111">
        <v>2.7777964681865299</v>
      </c>
      <c r="M47" s="111">
        <v>0.74341751902097497</v>
      </c>
      <c r="N47" s="111">
        <v>3.1547205690328002</v>
      </c>
      <c r="O47" s="111">
        <v>0</v>
      </c>
      <c r="P47" s="111">
        <v>0</v>
      </c>
      <c r="Q47" s="111">
        <v>109.58621999463401</v>
      </c>
      <c r="R47" s="111">
        <v>18.305587130386002</v>
      </c>
      <c r="S47" s="111">
        <v>0</v>
      </c>
      <c r="T47" s="111">
        <v>0</v>
      </c>
      <c r="U47" s="111">
        <v>0</v>
      </c>
      <c r="V47" s="111">
        <v>0</v>
      </c>
      <c r="W47" s="111">
        <v>0</v>
      </c>
      <c r="X47" s="111">
        <v>125.35536259898601</v>
      </c>
      <c r="Y47" s="111">
        <v>0</v>
      </c>
      <c r="Z47" s="111">
        <v>0</v>
      </c>
      <c r="AA47" s="111">
        <v>135.88233847305</v>
      </c>
      <c r="AB47" s="111">
        <v>-41.548623945774203</v>
      </c>
      <c r="AC47" s="111">
        <v>0</v>
      </c>
      <c r="AD47" s="111">
        <v>18.913114700663598</v>
      </c>
      <c r="AE47" s="111">
        <v>0.60822014155514204</v>
      </c>
      <c r="AF47" s="111">
        <v>1.9993404138402799</v>
      </c>
      <c r="AG47" s="111">
        <v>0.35594188478283301</v>
      </c>
      <c r="AH47" s="111">
        <v>2.3960597620650601</v>
      </c>
      <c r="AI47" s="111">
        <v>-16.116674696650598</v>
      </c>
      <c r="AJ47" s="111">
        <v>2.4412324779949399</v>
      </c>
      <c r="AK47" s="111">
        <v>30.354391548386399</v>
      </c>
      <c r="AL47" s="111">
        <v>0</v>
      </c>
      <c r="AM47" s="111">
        <v>215.12653922708299</v>
      </c>
      <c r="AN47" s="111">
        <v>7.3196722786819999</v>
      </c>
      <c r="AO47" s="111">
        <v>4.3062353207929904</v>
      </c>
      <c r="AP47" s="111">
        <v>0</v>
      </c>
      <c r="AQ47" s="111">
        <v>-24.4990210568408</v>
      </c>
      <c r="AR47" s="112">
        <v>6.2221680791317704</v>
      </c>
    </row>
    <row r="48" spans="2:44" ht="12" customHeight="1" x14ac:dyDescent="0.25">
      <c r="B48" s="110" t="s">
        <v>32</v>
      </c>
      <c r="C48" s="111" t="s">
        <v>85</v>
      </c>
      <c r="D48" s="111" t="s">
        <v>25</v>
      </c>
      <c r="E48" s="111" t="s">
        <v>25</v>
      </c>
      <c r="F48" s="111" t="s">
        <v>25</v>
      </c>
      <c r="G48" s="111" t="s">
        <v>25</v>
      </c>
      <c r="H48" s="111" t="s">
        <v>70</v>
      </c>
      <c r="I48" s="111" t="s">
        <v>25</v>
      </c>
      <c r="J48" s="111">
        <v>376.13</v>
      </c>
      <c r="K48" s="111">
        <v>227.55</v>
      </c>
      <c r="L48" s="111">
        <v>2.7777964681865299</v>
      </c>
      <c r="M48" s="111">
        <v>0.74341751902097497</v>
      </c>
      <c r="N48" s="111">
        <v>3.1547205690328002</v>
      </c>
      <c r="O48" s="111">
        <v>0</v>
      </c>
      <c r="P48" s="111">
        <v>0</v>
      </c>
      <c r="Q48" s="111">
        <v>109.58621999463401</v>
      </c>
      <c r="R48" s="111">
        <v>18.305587130386002</v>
      </c>
      <c r="S48" s="111">
        <v>0</v>
      </c>
      <c r="T48" s="111">
        <v>0</v>
      </c>
      <c r="U48" s="111">
        <v>0</v>
      </c>
      <c r="V48" s="111">
        <v>0</v>
      </c>
      <c r="W48" s="111">
        <v>0</v>
      </c>
      <c r="X48" s="111">
        <v>125.35536259898601</v>
      </c>
      <c r="Y48" s="111">
        <v>0</v>
      </c>
      <c r="Z48" s="111">
        <v>0</v>
      </c>
      <c r="AA48" s="111">
        <v>135.88233847305</v>
      </c>
      <c r="AB48" s="111">
        <v>-41.548623945774203</v>
      </c>
      <c r="AC48" s="111">
        <v>0</v>
      </c>
      <c r="AD48" s="111">
        <v>18.913114700663598</v>
      </c>
      <c r="AE48" s="111">
        <v>0.60822014155514204</v>
      </c>
      <c r="AF48" s="111">
        <v>1.9993404138402799</v>
      </c>
      <c r="AG48" s="111">
        <v>0.35594188478283301</v>
      </c>
      <c r="AH48" s="111">
        <v>2.3960597620650601</v>
      </c>
      <c r="AI48" s="111">
        <v>-16.116674696650598</v>
      </c>
      <c r="AJ48" s="111">
        <v>2.4412324779949399</v>
      </c>
      <c r="AK48" s="111">
        <v>30.354391548386399</v>
      </c>
      <c r="AL48" s="111">
        <v>0</v>
      </c>
      <c r="AM48" s="111">
        <v>215.12653922708299</v>
      </c>
      <c r="AN48" s="111">
        <v>7.3196722786819999</v>
      </c>
      <c r="AO48" s="111">
        <v>4.3062353207929904</v>
      </c>
      <c r="AP48" s="111">
        <v>0</v>
      </c>
      <c r="AQ48" s="111">
        <v>-24.4990210568408</v>
      </c>
      <c r="AR48" s="112">
        <v>6.2221680791317704</v>
      </c>
    </row>
    <row r="49" spans="2:44" ht="12" customHeight="1" x14ac:dyDescent="0.25">
      <c r="B49" s="110" t="s">
        <v>42</v>
      </c>
      <c r="C49" s="111" t="s">
        <v>23</v>
      </c>
      <c r="D49" s="111" t="s">
        <v>43</v>
      </c>
      <c r="E49" s="111" t="s">
        <v>44</v>
      </c>
      <c r="F49" s="111" t="s">
        <v>25</v>
      </c>
      <c r="G49" s="111" t="s">
        <v>25</v>
      </c>
      <c r="H49" s="111" t="s">
        <v>70</v>
      </c>
      <c r="I49" s="111" t="s">
        <v>25</v>
      </c>
      <c r="J49" s="111">
        <v>206.87</v>
      </c>
      <c r="K49" s="111">
        <v>125.15</v>
      </c>
      <c r="L49" s="111">
        <v>1.5277880575025899</v>
      </c>
      <c r="M49" s="111">
        <v>0.408879635461536</v>
      </c>
      <c r="N49" s="111">
        <v>1.7350963129680399</v>
      </c>
      <c r="O49" s="111">
        <v>0</v>
      </c>
      <c r="P49" s="111">
        <v>0</v>
      </c>
      <c r="Q49" s="111">
        <v>60.272420997048897</v>
      </c>
      <c r="R49" s="111">
        <v>10.0680729217123</v>
      </c>
      <c r="S49" s="111">
        <v>0</v>
      </c>
      <c r="T49" s="111">
        <v>0</v>
      </c>
      <c r="U49" s="111">
        <v>0</v>
      </c>
      <c r="V49" s="111">
        <v>0</v>
      </c>
      <c r="W49" s="111">
        <v>0</v>
      </c>
      <c r="X49" s="111">
        <v>68.945449429442206</v>
      </c>
      <c r="Y49" s="111">
        <v>0</v>
      </c>
      <c r="Z49" s="111">
        <v>0</v>
      </c>
      <c r="AA49" s="111">
        <v>74.735286160177495</v>
      </c>
      <c r="AB49" s="111">
        <v>-22.851743170175801</v>
      </c>
      <c r="AC49" s="111">
        <v>0</v>
      </c>
      <c r="AD49" s="111">
        <v>10.402213085365</v>
      </c>
      <c r="AE49" s="111">
        <v>0.33452107785532798</v>
      </c>
      <c r="AF49" s="111">
        <v>1.09963722761215</v>
      </c>
      <c r="AG49" s="111">
        <v>0.195768036630558</v>
      </c>
      <c r="AH49" s="111">
        <v>1.3178328691357799</v>
      </c>
      <c r="AI49" s="111">
        <v>-8.8641710831578298</v>
      </c>
      <c r="AJ49" s="111">
        <v>1.34267786289722</v>
      </c>
      <c r="AK49" s="111">
        <v>16.694915351612501</v>
      </c>
      <c r="AL49" s="111">
        <v>0</v>
      </c>
      <c r="AM49" s="111">
        <v>118.319596574896</v>
      </c>
      <c r="AN49" s="111">
        <v>4.0258197532751003</v>
      </c>
      <c r="AO49" s="111">
        <v>2.3684294264361498</v>
      </c>
      <c r="AP49" s="111">
        <v>0</v>
      </c>
      <c r="AQ49" s="111">
        <v>-13.4744615812624</v>
      </c>
      <c r="AR49" s="112">
        <v>3.42219244352248</v>
      </c>
    </row>
    <row r="50" spans="2:44" ht="12" customHeight="1" x14ac:dyDescent="0.25">
      <c r="B50" s="113" t="s">
        <v>42</v>
      </c>
      <c r="C50" s="114" t="s">
        <v>23</v>
      </c>
      <c r="D50" s="114" t="s">
        <v>43</v>
      </c>
      <c r="E50" s="114" t="s">
        <v>88</v>
      </c>
      <c r="F50" s="114" t="s">
        <v>25</v>
      </c>
      <c r="G50" s="114" t="s">
        <v>25</v>
      </c>
      <c r="H50" s="114" t="s">
        <v>70</v>
      </c>
      <c r="I50" s="114" t="s">
        <v>25</v>
      </c>
      <c r="J50" s="114">
        <v>225.68</v>
      </c>
      <c r="K50" s="114">
        <v>136.53</v>
      </c>
      <c r="L50" s="114">
        <v>1.66667788091192</v>
      </c>
      <c r="M50" s="114">
        <v>0.446050511412585</v>
      </c>
      <c r="N50" s="114">
        <v>1.8928323414196799</v>
      </c>
      <c r="O50" s="114">
        <v>0</v>
      </c>
      <c r="P50" s="114">
        <v>0</v>
      </c>
      <c r="Q50" s="114">
        <v>65.751731996780606</v>
      </c>
      <c r="R50" s="114">
        <v>10.9833522782316</v>
      </c>
      <c r="S50" s="114">
        <v>0</v>
      </c>
      <c r="T50" s="114">
        <v>0</v>
      </c>
      <c r="U50" s="114">
        <v>0</v>
      </c>
      <c r="V50" s="114">
        <v>0</v>
      </c>
      <c r="W50" s="114">
        <v>0</v>
      </c>
      <c r="X50" s="114">
        <v>75.213217559391495</v>
      </c>
      <c r="Y50" s="114">
        <v>0</v>
      </c>
      <c r="Z50" s="114">
        <v>0</v>
      </c>
      <c r="AA50" s="114">
        <v>81.529403083829905</v>
      </c>
      <c r="AB50" s="114">
        <v>-24.929174367464501</v>
      </c>
      <c r="AC50" s="114">
        <v>0</v>
      </c>
      <c r="AD50" s="114">
        <v>11.347868820398199</v>
      </c>
      <c r="AE50" s="114">
        <v>0.36493208493308499</v>
      </c>
      <c r="AF50" s="114">
        <v>1.19960424830417</v>
      </c>
      <c r="AG50" s="114">
        <v>0.2135651308697</v>
      </c>
      <c r="AH50" s="114">
        <v>1.43763585723903</v>
      </c>
      <c r="AI50" s="114">
        <v>-9.6700048179903604</v>
      </c>
      <c r="AJ50" s="114">
        <v>1.4647394867969701</v>
      </c>
      <c r="AK50" s="114">
        <v>18.2126349290318</v>
      </c>
      <c r="AL50" s="114">
        <v>0</v>
      </c>
      <c r="AM50" s="114">
        <v>129.07592353625</v>
      </c>
      <c r="AN50" s="114">
        <v>4.3918033672092003</v>
      </c>
      <c r="AO50" s="114">
        <v>2.5837411924758</v>
      </c>
      <c r="AP50" s="114">
        <v>0</v>
      </c>
      <c r="AQ50" s="114">
        <v>-14.699412634104499</v>
      </c>
      <c r="AR50" s="115">
        <v>3.7333008474790601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88FFC-8EDB-430E-BDCF-39CA4CC181AA}">
  <dimension ref="B1:AR50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2" bestFit="1" customWidth="1"/>
    <col min="34" max="34" width="16.5703125" bestFit="1" customWidth="1"/>
    <col min="35" max="35" width="14.5703125" bestFit="1" customWidth="1"/>
    <col min="36" max="36" width="12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56" t="s">
        <v>1168</v>
      </c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7"/>
      <c r="AH1" s="156" t="s">
        <v>1169</v>
      </c>
      <c r="AI1" s="156"/>
      <c r="AJ1" s="156"/>
      <c r="AK1" s="156"/>
      <c r="AL1" s="156"/>
      <c r="AM1" s="156"/>
      <c r="AN1" s="156"/>
      <c r="AO1" s="156"/>
      <c r="AP1" s="156"/>
      <c r="AQ1" s="156"/>
      <c r="AR1" s="156"/>
    </row>
    <row r="2" spans="2:44" ht="12" customHeight="1" x14ac:dyDescent="0.25">
      <c r="L2" s="158" t="s">
        <v>409</v>
      </c>
      <c r="M2" s="158"/>
      <c r="N2" s="158"/>
      <c r="O2" s="158"/>
      <c r="P2" s="158"/>
      <c r="Q2" s="158"/>
      <c r="R2" s="158"/>
      <c r="S2" s="159"/>
      <c r="T2" s="158" t="s">
        <v>418</v>
      </c>
      <c r="U2" s="158"/>
      <c r="V2" s="158"/>
      <c r="W2" s="158"/>
      <c r="X2" s="158"/>
      <c r="Y2" s="158"/>
      <c r="Z2" s="159"/>
      <c r="AA2" s="117" t="s">
        <v>426</v>
      </c>
      <c r="AB2" s="158" t="s">
        <v>25</v>
      </c>
      <c r="AC2" s="159"/>
      <c r="AD2" s="158" t="s">
        <v>1167</v>
      </c>
      <c r="AE2" s="158"/>
      <c r="AF2" s="158"/>
      <c r="AG2" s="159"/>
      <c r="AH2" s="158" t="s">
        <v>409</v>
      </c>
      <c r="AI2" s="158"/>
      <c r="AJ2" s="158"/>
      <c r="AK2" s="158"/>
      <c r="AL2" s="159"/>
      <c r="AM2" s="117" t="s">
        <v>440</v>
      </c>
      <c r="AN2" s="158" t="s">
        <v>418</v>
      </c>
      <c r="AO2" s="158"/>
      <c r="AP2" s="158"/>
      <c r="AQ2" s="159"/>
      <c r="AR2" s="116" t="s">
        <v>1167</v>
      </c>
    </row>
    <row r="3" spans="2:44" ht="12" customHeight="1" x14ac:dyDescent="0.25">
      <c r="B3" s="107" t="s">
        <v>60</v>
      </c>
      <c r="C3" s="108" t="s">
        <v>61</v>
      </c>
      <c r="D3" s="108" t="s">
        <v>62</v>
      </c>
      <c r="E3" s="108" t="s">
        <v>63</v>
      </c>
      <c r="F3" s="108" t="s">
        <v>64</v>
      </c>
      <c r="G3" s="108" t="s">
        <v>66</v>
      </c>
      <c r="H3" s="108" t="s">
        <v>67</v>
      </c>
      <c r="I3" s="108" t="s">
        <v>680</v>
      </c>
      <c r="J3" s="108" t="s">
        <v>1131</v>
      </c>
      <c r="K3" s="108" t="s">
        <v>1132</v>
      </c>
      <c r="L3" s="108" t="s">
        <v>1133</v>
      </c>
      <c r="M3" s="108" t="s">
        <v>1134</v>
      </c>
      <c r="N3" s="108" t="s">
        <v>1135</v>
      </c>
      <c r="O3" s="108" t="s">
        <v>1136</v>
      </c>
      <c r="P3" s="108" t="s">
        <v>1137</v>
      </c>
      <c r="Q3" s="108" t="s">
        <v>1138</v>
      </c>
      <c r="R3" s="108" t="s">
        <v>1139</v>
      </c>
      <c r="S3" s="108" t="s">
        <v>1140</v>
      </c>
      <c r="T3" s="108" t="s">
        <v>1141</v>
      </c>
      <c r="U3" s="108" t="s">
        <v>1142</v>
      </c>
      <c r="V3" s="108" t="s">
        <v>1143</v>
      </c>
      <c r="W3" s="108" t="s">
        <v>1144</v>
      </c>
      <c r="X3" s="108" t="s">
        <v>1145</v>
      </c>
      <c r="Y3" s="108" t="s">
        <v>1146</v>
      </c>
      <c r="Z3" s="108" t="s">
        <v>1147</v>
      </c>
      <c r="AA3" s="108" t="s">
        <v>1148</v>
      </c>
      <c r="AB3" s="108" t="s">
        <v>1149</v>
      </c>
      <c r="AC3" s="108" t="s">
        <v>1150</v>
      </c>
      <c r="AD3" s="108" t="s">
        <v>1151</v>
      </c>
      <c r="AE3" s="108" t="s">
        <v>1152</v>
      </c>
      <c r="AF3" s="108" t="s">
        <v>1153</v>
      </c>
      <c r="AG3" s="108" t="s">
        <v>1154</v>
      </c>
      <c r="AH3" s="108" t="s">
        <v>1155</v>
      </c>
      <c r="AI3" s="108" t="s">
        <v>1156</v>
      </c>
      <c r="AJ3" s="108" t="s">
        <v>1157</v>
      </c>
      <c r="AK3" s="108" t="s">
        <v>1158</v>
      </c>
      <c r="AL3" s="108" t="s">
        <v>1159</v>
      </c>
      <c r="AM3" s="108" t="s">
        <v>1160</v>
      </c>
      <c r="AN3" s="108" t="s">
        <v>1161</v>
      </c>
      <c r="AO3" s="108" t="s">
        <v>1162</v>
      </c>
      <c r="AP3" s="108" t="s">
        <v>1163</v>
      </c>
      <c r="AQ3" s="108" t="s">
        <v>1164</v>
      </c>
      <c r="AR3" s="109" t="s">
        <v>1165</v>
      </c>
    </row>
    <row r="4" spans="2:44" ht="12" customHeight="1" x14ac:dyDescent="0.25">
      <c r="B4" s="110" t="s">
        <v>34</v>
      </c>
      <c r="C4" s="111" t="s">
        <v>51</v>
      </c>
      <c r="D4" s="111" t="s">
        <v>25</v>
      </c>
      <c r="E4" s="111" t="s">
        <v>25</v>
      </c>
      <c r="F4" s="111" t="s">
        <v>78</v>
      </c>
      <c r="G4" s="111" t="s">
        <v>36</v>
      </c>
      <c r="H4" s="111" t="s">
        <v>70</v>
      </c>
      <c r="I4" s="111" t="s">
        <v>25</v>
      </c>
      <c r="J4" s="111">
        <v>12.62</v>
      </c>
      <c r="K4" s="111">
        <v>0</v>
      </c>
      <c r="L4" s="111">
        <v>0</v>
      </c>
      <c r="M4" s="111">
        <v>0.127948716332458</v>
      </c>
      <c r="N4" s="111">
        <v>0.26684283649675</v>
      </c>
      <c r="O4" s="111">
        <v>0</v>
      </c>
      <c r="P4" s="111">
        <v>0</v>
      </c>
      <c r="Q4" s="111">
        <v>0</v>
      </c>
      <c r="R4" s="111">
        <v>0</v>
      </c>
      <c r="S4" s="111">
        <v>0</v>
      </c>
      <c r="T4" s="111">
        <v>0</v>
      </c>
      <c r="U4" s="111">
        <v>0</v>
      </c>
      <c r="V4" s="111">
        <v>0</v>
      </c>
      <c r="W4" s="111">
        <v>0</v>
      </c>
      <c r="X4" s="111">
        <v>0</v>
      </c>
      <c r="Y4" s="111">
        <v>0</v>
      </c>
      <c r="Z4" s="111">
        <v>0</v>
      </c>
      <c r="AA4" s="111">
        <v>0</v>
      </c>
      <c r="AB4" s="111">
        <v>0</v>
      </c>
      <c r="AC4" s="111">
        <v>0</v>
      </c>
      <c r="AD4" s="111">
        <v>10.3996203326779</v>
      </c>
      <c r="AE4" s="111">
        <v>0.33443769844208399</v>
      </c>
      <c r="AF4" s="111">
        <v>1.2796416218268101</v>
      </c>
      <c r="AG4" s="111">
        <v>0.21031495147197499</v>
      </c>
      <c r="AH4" s="111">
        <v>0</v>
      </c>
      <c r="AI4" s="111">
        <v>0</v>
      </c>
      <c r="AJ4" s="111">
        <v>0</v>
      </c>
      <c r="AK4" s="111">
        <v>0</v>
      </c>
      <c r="AL4" s="111">
        <v>0</v>
      </c>
      <c r="AM4" s="111">
        <v>0</v>
      </c>
      <c r="AN4" s="111">
        <v>0</v>
      </c>
      <c r="AO4" s="111">
        <v>0</v>
      </c>
      <c r="AP4" s="111">
        <v>0</v>
      </c>
      <c r="AQ4" s="111">
        <v>0</v>
      </c>
      <c r="AR4" s="112">
        <v>0</v>
      </c>
    </row>
    <row r="5" spans="2:44" ht="12" customHeight="1" x14ac:dyDescent="0.25">
      <c r="B5" s="110" t="s">
        <v>34</v>
      </c>
      <c r="C5" s="111" t="s">
        <v>51</v>
      </c>
      <c r="D5" s="111" t="s">
        <v>25</v>
      </c>
      <c r="E5" s="111" t="s">
        <v>25</v>
      </c>
      <c r="F5" s="111" t="s">
        <v>78</v>
      </c>
      <c r="G5" s="111" t="s">
        <v>36</v>
      </c>
      <c r="H5" s="111" t="s">
        <v>75</v>
      </c>
      <c r="I5" s="111" t="s">
        <v>25</v>
      </c>
      <c r="J5" s="111">
        <v>37.770000000000003</v>
      </c>
      <c r="K5" s="111">
        <v>0</v>
      </c>
      <c r="L5" s="111">
        <v>0</v>
      </c>
      <c r="M5" s="111">
        <v>0</v>
      </c>
      <c r="N5" s="111">
        <v>0</v>
      </c>
      <c r="O5" s="111">
        <v>0</v>
      </c>
      <c r="P5" s="111">
        <v>0</v>
      </c>
      <c r="Q5" s="111">
        <v>0</v>
      </c>
      <c r="R5" s="111">
        <v>0</v>
      </c>
      <c r="S5" s="111">
        <v>0</v>
      </c>
      <c r="T5" s="111">
        <v>0</v>
      </c>
      <c r="U5" s="111">
        <v>0</v>
      </c>
      <c r="V5" s="111">
        <v>0</v>
      </c>
      <c r="W5" s="111">
        <v>0</v>
      </c>
      <c r="X5" s="111">
        <v>30.937756223534699</v>
      </c>
      <c r="Y5" s="111">
        <v>0</v>
      </c>
      <c r="Z5" s="111">
        <v>0</v>
      </c>
      <c r="AA5" s="111">
        <v>6.8288252423844202</v>
      </c>
      <c r="AB5" s="111">
        <v>0</v>
      </c>
      <c r="AC5" s="111">
        <v>0</v>
      </c>
      <c r="AD5" s="111">
        <v>0</v>
      </c>
      <c r="AE5" s="111">
        <v>0</v>
      </c>
      <c r="AF5" s="111">
        <v>0</v>
      </c>
      <c r="AG5" s="111">
        <v>0</v>
      </c>
      <c r="AH5" s="111">
        <v>0</v>
      </c>
      <c r="AI5" s="111">
        <v>0</v>
      </c>
      <c r="AJ5" s="111">
        <v>0</v>
      </c>
      <c r="AK5" s="111">
        <v>0</v>
      </c>
      <c r="AL5" s="111">
        <v>0</v>
      </c>
      <c r="AM5" s="111">
        <v>0</v>
      </c>
      <c r="AN5" s="111">
        <v>0</v>
      </c>
      <c r="AO5" s="111">
        <v>0</v>
      </c>
      <c r="AP5" s="111">
        <v>0</v>
      </c>
      <c r="AQ5" s="111">
        <v>0</v>
      </c>
      <c r="AR5" s="112">
        <v>0</v>
      </c>
    </row>
    <row r="6" spans="2:44" ht="12" customHeight="1" x14ac:dyDescent="0.25">
      <c r="B6" s="110" t="s">
        <v>34</v>
      </c>
      <c r="C6" s="111" t="s">
        <v>51</v>
      </c>
      <c r="D6" s="111" t="s">
        <v>25</v>
      </c>
      <c r="E6" s="111" t="s">
        <v>25</v>
      </c>
      <c r="F6" s="111" t="s">
        <v>78</v>
      </c>
      <c r="G6" s="111" t="s">
        <v>37</v>
      </c>
      <c r="H6" s="111" t="s">
        <v>70</v>
      </c>
      <c r="I6" s="111" t="s">
        <v>25</v>
      </c>
      <c r="J6" s="111">
        <v>12.62</v>
      </c>
      <c r="K6" s="111">
        <v>0</v>
      </c>
      <c r="L6" s="111">
        <v>0</v>
      </c>
      <c r="M6" s="111">
        <v>0.127948716332458</v>
      </c>
      <c r="N6" s="111">
        <v>0.26684283649675</v>
      </c>
      <c r="O6" s="111">
        <v>0</v>
      </c>
      <c r="P6" s="111">
        <v>0</v>
      </c>
      <c r="Q6" s="111">
        <v>0</v>
      </c>
      <c r="R6" s="111">
        <v>0</v>
      </c>
      <c r="S6" s="111">
        <v>0</v>
      </c>
      <c r="T6" s="111">
        <v>0</v>
      </c>
      <c r="U6" s="111">
        <v>0</v>
      </c>
      <c r="V6" s="111">
        <v>0</v>
      </c>
      <c r="W6" s="111">
        <v>0</v>
      </c>
      <c r="X6" s="111">
        <v>0</v>
      </c>
      <c r="Y6" s="111">
        <v>0</v>
      </c>
      <c r="Z6" s="111">
        <v>0</v>
      </c>
      <c r="AA6" s="111">
        <v>0</v>
      </c>
      <c r="AB6" s="111">
        <v>0</v>
      </c>
      <c r="AC6" s="111">
        <v>0</v>
      </c>
      <c r="AD6" s="111">
        <v>10.3996203326779</v>
      </c>
      <c r="AE6" s="111">
        <v>0.33443769844208399</v>
      </c>
      <c r="AF6" s="111">
        <v>1.2796416218268101</v>
      </c>
      <c r="AG6" s="111">
        <v>0.21031495147197499</v>
      </c>
      <c r="AH6" s="111">
        <v>0</v>
      </c>
      <c r="AI6" s="111">
        <v>0</v>
      </c>
      <c r="AJ6" s="111">
        <v>0</v>
      </c>
      <c r="AK6" s="111">
        <v>0</v>
      </c>
      <c r="AL6" s="111">
        <v>0</v>
      </c>
      <c r="AM6" s="111">
        <v>0</v>
      </c>
      <c r="AN6" s="111">
        <v>0</v>
      </c>
      <c r="AO6" s="111">
        <v>0</v>
      </c>
      <c r="AP6" s="111">
        <v>0</v>
      </c>
      <c r="AQ6" s="111">
        <v>0</v>
      </c>
      <c r="AR6" s="112">
        <v>0</v>
      </c>
    </row>
    <row r="7" spans="2:44" ht="12" customHeight="1" x14ac:dyDescent="0.25">
      <c r="B7" s="110" t="s">
        <v>34</v>
      </c>
      <c r="C7" s="111" t="s">
        <v>51</v>
      </c>
      <c r="D7" s="111" t="s">
        <v>25</v>
      </c>
      <c r="E7" s="111" t="s">
        <v>25</v>
      </c>
      <c r="F7" s="111" t="s">
        <v>78</v>
      </c>
      <c r="G7" s="111" t="s">
        <v>37</v>
      </c>
      <c r="H7" s="111" t="s">
        <v>75</v>
      </c>
      <c r="I7" s="111" t="s">
        <v>25</v>
      </c>
      <c r="J7" s="111">
        <v>21.08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18.108756111967299</v>
      </c>
      <c r="Y7" s="111">
        <v>0</v>
      </c>
      <c r="Z7" s="111">
        <v>0</v>
      </c>
      <c r="AA7" s="111">
        <v>2.9691086099769501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  <c r="AG7" s="111">
        <v>0</v>
      </c>
      <c r="AH7" s="111">
        <v>0</v>
      </c>
      <c r="AI7" s="111">
        <v>0</v>
      </c>
      <c r="AJ7" s="111">
        <v>0</v>
      </c>
      <c r="AK7" s="111">
        <v>0</v>
      </c>
      <c r="AL7" s="111">
        <v>0</v>
      </c>
      <c r="AM7" s="111">
        <v>0</v>
      </c>
      <c r="AN7" s="111">
        <v>0</v>
      </c>
      <c r="AO7" s="111">
        <v>0</v>
      </c>
      <c r="AP7" s="111">
        <v>0</v>
      </c>
      <c r="AQ7" s="111">
        <v>0</v>
      </c>
      <c r="AR7" s="112">
        <v>0</v>
      </c>
    </row>
    <row r="8" spans="2:44" ht="12" customHeight="1" x14ac:dyDescent="0.25">
      <c r="B8" s="110" t="s">
        <v>34</v>
      </c>
      <c r="C8" s="111" t="s">
        <v>51</v>
      </c>
      <c r="D8" s="111" t="s">
        <v>25</v>
      </c>
      <c r="E8" s="111" t="s">
        <v>25</v>
      </c>
      <c r="F8" s="111" t="s">
        <v>25</v>
      </c>
      <c r="G8" s="111" t="s">
        <v>36</v>
      </c>
      <c r="H8" s="111" t="s">
        <v>70</v>
      </c>
      <c r="I8" s="111" t="s">
        <v>25</v>
      </c>
      <c r="J8" s="111">
        <v>108.24</v>
      </c>
      <c r="K8" s="111">
        <v>360.26</v>
      </c>
      <c r="L8" s="111">
        <v>2.1505949676814402</v>
      </c>
      <c r="M8" s="111">
        <v>0.127948716332458</v>
      </c>
      <c r="N8" s="111">
        <v>0.27810028670896297</v>
      </c>
      <c r="O8" s="111">
        <v>0</v>
      </c>
      <c r="P8" s="111">
        <v>0</v>
      </c>
      <c r="Q8" s="111">
        <v>78.631723708222594</v>
      </c>
      <c r="R8" s="111">
        <v>14.831414602076601</v>
      </c>
      <c r="S8" s="111">
        <v>0</v>
      </c>
      <c r="T8" s="111">
        <v>0</v>
      </c>
      <c r="U8" s="111">
        <v>0</v>
      </c>
      <c r="V8" s="111">
        <v>0</v>
      </c>
      <c r="W8" s="111">
        <v>0</v>
      </c>
      <c r="X8" s="111">
        <v>0</v>
      </c>
      <c r="Y8" s="111">
        <v>0</v>
      </c>
      <c r="Z8" s="111">
        <v>0</v>
      </c>
      <c r="AA8" s="111">
        <v>0</v>
      </c>
      <c r="AB8" s="111">
        <v>0</v>
      </c>
      <c r="AC8" s="111">
        <v>0</v>
      </c>
      <c r="AD8" s="111">
        <v>10.3996203326779</v>
      </c>
      <c r="AE8" s="111">
        <v>0.33443769844208399</v>
      </c>
      <c r="AF8" s="111">
        <v>1.2796416218268101</v>
      </c>
      <c r="AG8" s="111">
        <v>0.21031495147197499</v>
      </c>
      <c r="AH8" s="111">
        <v>2.2803104648027102</v>
      </c>
      <c r="AI8" s="111">
        <v>-16.116674696650598</v>
      </c>
      <c r="AJ8" s="111">
        <v>2.4412320191830701</v>
      </c>
      <c r="AK8" s="111">
        <v>22.354660185373</v>
      </c>
      <c r="AL8" s="111">
        <v>0</v>
      </c>
      <c r="AM8" s="111">
        <v>333.696684189856</v>
      </c>
      <c r="AN8" s="111">
        <v>5.6816363142987303</v>
      </c>
      <c r="AO8" s="111">
        <v>3.9773022832365998</v>
      </c>
      <c r="AP8" s="111">
        <v>0</v>
      </c>
      <c r="AQ8" s="111">
        <v>0</v>
      </c>
      <c r="AR8" s="112">
        <v>5.9480835114544401</v>
      </c>
    </row>
    <row r="9" spans="2:44" ht="12" customHeight="1" x14ac:dyDescent="0.25">
      <c r="B9" s="110" t="s">
        <v>34</v>
      </c>
      <c r="C9" s="111" t="s">
        <v>51</v>
      </c>
      <c r="D9" s="111" t="s">
        <v>25</v>
      </c>
      <c r="E9" s="111" t="s">
        <v>25</v>
      </c>
      <c r="F9" s="111" t="s">
        <v>25</v>
      </c>
      <c r="G9" s="111" t="s">
        <v>36</v>
      </c>
      <c r="H9" s="111" t="s">
        <v>75</v>
      </c>
      <c r="I9" s="111" t="s">
        <v>25</v>
      </c>
      <c r="J9" s="111">
        <v>37.770000000000003</v>
      </c>
      <c r="K9" s="111">
        <v>0</v>
      </c>
      <c r="L9" s="111">
        <v>0</v>
      </c>
      <c r="M9" s="111">
        <v>0</v>
      </c>
      <c r="N9" s="111">
        <v>0</v>
      </c>
      <c r="O9" s="111">
        <v>0</v>
      </c>
      <c r="P9" s="111">
        <v>0</v>
      </c>
      <c r="Q9" s="111">
        <v>0</v>
      </c>
      <c r="R9" s="111">
        <v>0</v>
      </c>
      <c r="S9" s="111">
        <v>0</v>
      </c>
      <c r="T9" s="111">
        <v>0</v>
      </c>
      <c r="U9" s="111">
        <v>0</v>
      </c>
      <c r="V9" s="111">
        <v>0</v>
      </c>
      <c r="W9" s="111">
        <v>0</v>
      </c>
      <c r="X9" s="111">
        <v>30.937756223534699</v>
      </c>
      <c r="Y9" s="111">
        <v>0</v>
      </c>
      <c r="Z9" s="111">
        <v>0</v>
      </c>
      <c r="AA9" s="111">
        <v>6.8288252423844202</v>
      </c>
      <c r="AB9" s="111">
        <v>0</v>
      </c>
      <c r="AC9" s="111">
        <v>0</v>
      </c>
      <c r="AD9" s="111">
        <v>0</v>
      </c>
      <c r="AE9" s="111">
        <v>0</v>
      </c>
      <c r="AF9" s="111">
        <v>0</v>
      </c>
      <c r="AG9" s="111">
        <v>0</v>
      </c>
      <c r="AH9" s="111">
        <v>0</v>
      </c>
      <c r="AI9" s="111">
        <v>0</v>
      </c>
      <c r="AJ9" s="111">
        <v>0</v>
      </c>
      <c r="AK9" s="111">
        <v>0</v>
      </c>
      <c r="AL9" s="111">
        <v>0</v>
      </c>
      <c r="AM9" s="111">
        <v>0</v>
      </c>
      <c r="AN9" s="111">
        <v>0</v>
      </c>
      <c r="AO9" s="111">
        <v>0</v>
      </c>
      <c r="AP9" s="111">
        <v>0</v>
      </c>
      <c r="AQ9" s="111">
        <v>0</v>
      </c>
      <c r="AR9" s="112">
        <v>0</v>
      </c>
    </row>
    <row r="10" spans="2:44" ht="12" customHeight="1" x14ac:dyDescent="0.25">
      <c r="B10" s="110" t="s">
        <v>34</v>
      </c>
      <c r="C10" s="111" t="s">
        <v>51</v>
      </c>
      <c r="D10" s="111" t="s">
        <v>25</v>
      </c>
      <c r="E10" s="111" t="s">
        <v>25</v>
      </c>
      <c r="F10" s="111" t="s">
        <v>25</v>
      </c>
      <c r="G10" s="111" t="s">
        <v>37</v>
      </c>
      <c r="H10" s="111" t="s">
        <v>70</v>
      </c>
      <c r="I10" s="111" t="s">
        <v>25</v>
      </c>
      <c r="J10" s="111">
        <v>108.24</v>
      </c>
      <c r="K10" s="111">
        <v>220.58</v>
      </c>
      <c r="L10" s="111">
        <v>2.1505949676814402</v>
      </c>
      <c r="M10" s="111">
        <v>0.127948716332458</v>
      </c>
      <c r="N10" s="111">
        <v>0.27810028670896297</v>
      </c>
      <c r="O10" s="111">
        <v>0</v>
      </c>
      <c r="P10" s="111">
        <v>0</v>
      </c>
      <c r="Q10" s="111">
        <v>78.631723708222594</v>
      </c>
      <c r="R10" s="111">
        <v>14.831414602076601</v>
      </c>
      <c r="S10" s="111">
        <v>0</v>
      </c>
      <c r="T10" s="111">
        <v>0</v>
      </c>
      <c r="U10" s="111">
        <v>0</v>
      </c>
      <c r="V10" s="111">
        <v>0</v>
      </c>
      <c r="W10" s="111">
        <v>0</v>
      </c>
      <c r="X10" s="111">
        <v>0</v>
      </c>
      <c r="Y10" s="111">
        <v>0</v>
      </c>
      <c r="Z10" s="111">
        <v>0</v>
      </c>
      <c r="AA10" s="111">
        <v>0</v>
      </c>
      <c r="AB10" s="111">
        <v>0</v>
      </c>
      <c r="AC10" s="111">
        <v>0</v>
      </c>
      <c r="AD10" s="111">
        <v>10.3996203326779</v>
      </c>
      <c r="AE10" s="111">
        <v>0.33443769844208399</v>
      </c>
      <c r="AF10" s="111">
        <v>1.2796416218268101</v>
      </c>
      <c r="AG10" s="111">
        <v>0.21031495147197499</v>
      </c>
      <c r="AH10" s="111">
        <v>2.2803104648027102</v>
      </c>
      <c r="AI10" s="111">
        <v>-16.116674696650598</v>
      </c>
      <c r="AJ10" s="111">
        <v>2.4412320191830701</v>
      </c>
      <c r="AK10" s="111">
        <v>22.354660185373</v>
      </c>
      <c r="AL10" s="111">
        <v>0</v>
      </c>
      <c r="AM10" s="111">
        <v>194.009700110382</v>
      </c>
      <c r="AN10" s="111">
        <v>5.6816363142987303</v>
      </c>
      <c r="AO10" s="111">
        <v>3.9773022832365998</v>
      </c>
      <c r="AP10" s="111">
        <v>0</v>
      </c>
      <c r="AQ10" s="111">
        <v>0</v>
      </c>
      <c r="AR10" s="112">
        <v>5.9480835114544401</v>
      </c>
    </row>
    <row r="11" spans="2:44" ht="12" customHeight="1" x14ac:dyDescent="0.25">
      <c r="B11" s="110" t="s">
        <v>34</v>
      </c>
      <c r="C11" s="111" t="s">
        <v>51</v>
      </c>
      <c r="D11" s="111" t="s">
        <v>25</v>
      </c>
      <c r="E11" s="111" t="s">
        <v>25</v>
      </c>
      <c r="F11" s="111" t="s">
        <v>25</v>
      </c>
      <c r="G11" s="111" t="s">
        <v>37</v>
      </c>
      <c r="H11" s="111" t="s">
        <v>75</v>
      </c>
      <c r="I11" s="111" t="s">
        <v>25</v>
      </c>
      <c r="J11" s="111">
        <v>21.08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18.108756111967299</v>
      </c>
      <c r="Y11" s="111">
        <v>0</v>
      </c>
      <c r="Z11" s="111">
        <v>0</v>
      </c>
      <c r="AA11" s="111">
        <v>2.9691086099769501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  <c r="AG11" s="111">
        <v>0</v>
      </c>
      <c r="AH11" s="111">
        <v>0</v>
      </c>
      <c r="AI11" s="111">
        <v>0</v>
      </c>
      <c r="AJ11" s="111">
        <v>0</v>
      </c>
      <c r="AK11" s="111">
        <v>0</v>
      </c>
      <c r="AL11" s="111">
        <v>0</v>
      </c>
      <c r="AM11" s="111">
        <v>0</v>
      </c>
      <c r="AN11" s="111">
        <v>0</v>
      </c>
      <c r="AO11" s="111">
        <v>0</v>
      </c>
      <c r="AP11" s="111">
        <v>0</v>
      </c>
      <c r="AQ11" s="111">
        <v>0</v>
      </c>
      <c r="AR11" s="112">
        <v>0</v>
      </c>
    </row>
    <row r="12" spans="2:44" ht="12" customHeight="1" x14ac:dyDescent="0.25">
      <c r="B12" s="110" t="s">
        <v>34</v>
      </c>
      <c r="C12" s="111" t="s">
        <v>23</v>
      </c>
      <c r="D12" s="111" t="s">
        <v>25</v>
      </c>
      <c r="E12" s="111" t="s">
        <v>25</v>
      </c>
      <c r="F12" s="111" t="s">
        <v>25</v>
      </c>
      <c r="G12" s="111" t="s">
        <v>25</v>
      </c>
      <c r="H12" s="111" t="s">
        <v>70</v>
      </c>
      <c r="I12" s="111" t="s">
        <v>25</v>
      </c>
      <c r="J12" s="111">
        <v>0</v>
      </c>
      <c r="K12" s="111">
        <v>232.22</v>
      </c>
      <c r="L12" s="111">
        <v>0</v>
      </c>
      <c r="M12" s="111">
        <v>0</v>
      </c>
      <c r="N12" s="111">
        <v>0</v>
      </c>
      <c r="O12" s="111">
        <v>0</v>
      </c>
      <c r="P12" s="111">
        <v>0</v>
      </c>
      <c r="Q12" s="111">
        <v>0</v>
      </c>
      <c r="R12" s="111">
        <v>0</v>
      </c>
      <c r="S12" s="111">
        <v>0</v>
      </c>
      <c r="T12" s="111">
        <v>0</v>
      </c>
      <c r="U12" s="111">
        <v>0</v>
      </c>
      <c r="V12" s="111">
        <v>0</v>
      </c>
      <c r="W12" s="111">
        <v>0</v>
      </c>
      <c r="X12" s="111">
        <v>0</v>
      </c>
      <c r="Y12" s="111">
        <v>0</v>
      </c>
      <c r="Z12" s="111">
        <v>0</v>
      </c>
      <c r="AA12" s="111">
        <v>0</v>
      </c>
      <c r="AB12" s="111">
        <v>0</v>
      </c>
      <c r="AC12" s="111">
        <v>0</v>
      </c>
      <c r="AD12" s="111">
        <v>0</v>
      </c>
      <c r="AE12" s="111">
        <v>0</v>
      </c>
      <c r="AF12" s="111">
        <v>0</v>
      </c>
      <c r="AG12" s="111">
        <v>0</v>
      </c>
      <c r="AH12" s="111">
        <v>2.2803104648027102</v>
      </c>
      <c r="AI12" s="111">
        <v>-16.116674696650598</v>
      </c>
      <c r="AJ12" s="111">
        <v>2.4412320191830701</v>
      </c>
      <c r="AK12" s="111">
        <v>22.354660185373</v>
      </c>
      <c r="AL12" s="111">
        <v>0</v>
      </c>
      <c r="AM12" s="111">
        <v>205.650282117004</v>
      </c>
      <c r="AN12" s="111">
        <v>5.6816363142987303</v>
      </c>
      <c r="AO12" s="111">
        <v>3.9773022832365998</v>
      </c>
      <c r="AP12" s="111">
        <v>0</v>
      </c>
      <c r="AQ12" s="111">
        <v>0</v>
      </c>
      <c r="AR12" s="112">
        <v>5.9480835114544401</v>
      </c>
    </row>
    <row r="13" spans="2:44" ht="12" customHeight="1" x14ac:dyDescent="0.25">
      <c r="B13" s="110" t="s">
        <v>34</v>
      </c>
      <c r="C13" s="111" t="s">
        <v>79</v>
      </c>
      <c r="D13" s="111" t="s">
        <v>25</v>
      </c>
      <c r="E13" s="111" t="s">
        <v>25</v>
      </c>
      <c r="F13" s="111" t="s">
        <v>25</v>
      </c>
      <c r="G13" s="111" t="s">
        <v>25</v>
      </c>
      <c r="H13" s="111" t="s">
        <v>75</v>
      </c>
      <c r="I13" s="111" t="s">
        <v>25</v>
      </c>
      <c r="J13" s="111">
        <v>3.4</v>
      </c>
      <c r="K13" s="111">
        <v>0</v>
      </c>
      <c r="L13" s="111">
        <v>0</v>
      </c>
      <c r="M13" s="111">
        <v>1.33913554663365E-2</v>
      </c>
      <c r="N13" s="111">
        <v>3.64741386875687E-2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3.3548311520925398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  <c r="AG13" s="111">
        <v>0</v>
      </c>
      <c r="AH13" s="111">
        <v>0</v>
      </c>
      <c r="AI13" s="111">
        <v>0</v>
      </c>
      <c r="AJ13" s="111">
        <v>0</v>
      </c>
      <c r="AK13" s="111">
        <v>0</v>
      </c>
      <c r="AL13" s="111">
        <v>0</v>
      </c>
      <c r="AM13" s="111">
        <v>0</v>
      </c>
      <c r="AN13" s="111">
        <v>0</v>
      </c>
      <c r="AO13" s="111">
        <v>0</v>
      </c>
      <c r="AP13" s="111">
        <v>0</v>
      </c>
      <c r="AQ13" s="111">
        <v>0</v>
      </c>
      <c r="AR13" s="112">
        <v>0</v>
      </c>
    </row>
    <row r="14" spans="2:44" ht="12" customHeight="1" x14ac:dyDescent="0.25">
      <c r="B14" s="110" t="s">
        <v>34</v>
      </c>
      <c r="C14" s="111" t="s">
        <v>35</v>
      </c>
      <c r="D14" s="111" t="s">
        <v>25</v>
      </c>
      <c r="E14" s="111" t="s">
        <v>25</v>
      </c>
      <c r="F14" s="111" t="s">
        <v>78</v>
      </c>
      <c r="G14" s="111" t="s">
        <v>36</v>
      </c>
      <c r="H14" s="111" t="s">
        <v>70</v>
      </c>
      <c r="I14" s="111" t="s">
        <v>25</v>
      </c>
      <c r="J14" s="111">
        <v>930.08</v>
      </c>
      <c r="K14" s="111">
        <v>0</v>
      </c>
      <c r="L14" s="111">
        <v>0</v>
      </c>
      <c r="M14" s="111">
        <v>0.127948716332458</v>
      </c>
      <c r="N14" s="111">
        <v>9.4383955959083607</v>
      </c>
      <c r="O14" s="111">
        <v>0</v>
      </c>
      <c r="P14" s="111">
        <v>0</v>
      </c>
      <c r="Q14" s="111">
        <v>0</v>
      </c>
      <c r="R14" s="111">
        <v>0</v>
      </c>
      <c r="S14" s="111">
        <v>0</v>
      </c>
      <c r="T14" s="111">
        <v>0</v>
      </c>
      <c r="U14" s="111">
        <v>0</v>
      </c>
      <c r="V14" s="111">
        <v>0</v>
      </c>
      <c r="W14" s="111">
        <v>0</v>
      </c>
      <c r="X14" s="111">
        <v>744.05401188624603</v>
      </c>
      <c r="Y14" s="111">
        <v>0</v>
      </c>
      <c r="Z14" s="111">
        <v>0</v>
      </c>
      <c r="AA14" s="111">
        <v>164.23382836197101</v>
      </c>
      <c r="AB14" s="111">
        <v>0</v>
      </c>
      <c r="AC14" s="111">
        <v>0</v>
      </c>
      <c r="AD14" s="111">
        <v>10.3996203326779</v>
      </c>
      <c r="AE14" s="111">
        <v>0.33443769844208399</v>
      </c>
      <c r="AF14" s="111">
        <v>1.2796416218268101</v>
      </c>
      <c r="AG14" s="111">
        <v>0.21031495147197499</v>
      </c>
      <c r="AH14" s="111">
        <v>0</v>
      </c>
      <c r="AI14" s="111">
        <v>0</v>
      </c>
      <c r="AJ14" s="111">
        <v>0</v>
      </c>
      <c r="AK14" s="111">
        <v>0</v>
      </c>
      <c r="AL14" s="111">
        <v>0</v>
      </c>
      <c r="AM14" s="111">
        <v>0</v>
      </c>
      <c r="AN14" s="111">
        <v>0</v>
      </c>
      <c r="AO14" s="111">
        <v>0</v>
      </c>
      <c r="AP14" s="111">
        <v>0</v>
      </c>
      <c r="AQ14" s="111">
        <v>0</v>
      </c>
      <c r="AR14" s="112">
        <v>0</v>
      </c>
    </row>
    <row r="15" spans="2:44" ht="12" customHeight="1" x14ac:dyDescent="0.25">
      <c r="B15" s="110" t="s">
        <v>34</v>
      </c>
      <c r="C15" s="111" t="s">
        <v>35</v>
      </c>
      <c r="D15" s="111" t="s">
        <v>25</v>
      </c>
      <c r="E15" s="111" t="s">
        <v>25</v>
      </c>
      <c r="F15" s="111" t="s">
        <v>78</v>
      </c>
      <c r="G15" s="111" t="s">
        <v>25</v>
      </c>
      <c r="H15" s="111" t="s">
        <v>75</v>
      </c>
      <c r="I15" s="111" t="s">
        <v>25</v>
      </c>
      <c r="J15" s="111">
        <v>21.08</v>
      </c>
      <c r="K15" s="111">
        <v>0</v>
      </c>
      <c r="L15" s="111">
        <v>0</v>
      </c>
      <c r="M15" s="111">
        <v>0</v>
      </c>
      <c r="N15" s="111">
        <v>0</v>
      </c>
      <c r="O15" s="111">
        <v>0</v>
      </c>
      <c r="P15" s="111">
        <v>0</v>
      </c>
      <c r="Q15" s="111">
        <v>0</v>
      </c>
      <c r="R15" s="111">
        <v>0</v>
      </c>
      <c r="S15" s="111">
        <v>0</v>
      </c>
      <c r="T15" s="111">
        <v>0</v>
      </c>
      <c r="U15" s="111">
        <v>0</v>
      </c>
      <c r="V15" s="111">
        <v>0</v>
      </c>
      <c r="W15" s="111">
        <v>0</v>
      </c>
      <c r="X15" s="111">
        <v>18.108756111967299</v>
      </c>
      <c r="Y15" s="111">
        <v>0</v>
      </c>
      <c r="Z15" s="111">
        <v>0</v>
      </c>
      <c r="AA15" s="111">
        <v>2.9691086099769501</v>
      </c>
      <c r="AB15" s="111">
        <v>0</v>
      </c>
      <c r="AC15" s="111">
        <v>0</v>
      </c>
      <c r="AD15" s="111">
        <v>0</v>
      </c>
      <c r="AE15" s="111">
        <v>0</v>
      </c>
      <c r="AF15" s="111">
        <v>0</v>
      </c>
      <c r="AG15" s="111">
        <v>0</v>
      </c>
      <c r="AH15" s="111">
        <v>0</v>
      </c>
      <c r="AI15" s="111">
        <v>0</v>
      </c>
      <c r="AJ15" s="111">
        <v>0</v>
      </c>
      <c r="AK15" s="111">
        <v>0</v>
      </c>
      <c r="AL15" s="111">
        <v>0</v>
      </c>
      <c r="AM15" s="111">
        <v>0</v>
      </c>
      <c r="AN15" s="111">
        <v>0</v>
      </c>
      <c r="AO15" s="111">
        <v>0</v>
      </c>
      <c r="AP15" s="111">
        <v>0</v>
      </c>
      <c r="AQ15" s="111">
        <v>0</v>
      </c>
      <c r="AR15" s="112">
        <v>0</v>
      </c>
    </row>
    <row r="16" spans="2:44" ht="12" customHeight="1" x14ac:dyDescent="0.25">
      <c r="B16" s="110" t="s">
        <v>34</v>
      </c>
      <c r="C16" s="111" t="s">
        <v>35</v>
      </c>
      <c r="D16" s="111" t="s">
        <v>25</v>
      </c>
      <c r="E16" s="111" t="s">
        <v>25</v>
      </c>
      <c r="F16" s="111" t="s">
        <v>78</v>
      </c>
      <c r="G16" s="111" t="s">
        <v>37</v>
      </c>
      <c r="H16" s="111" t="s">
        <v>70</v>
      </c>
      <c r="I16" s="111" t="s">
        <v>25</v>
      </c>
      <c r="J16" s="111">
        <v>12.62</v>
      </c>
      <c r="K16" s="111">
        <v>0</v>
      </c>
      <c r="L16" s="111">
        <v>0</v>
      </c>
      <c r="M16" s="111">
        <v>0.127948716332458</v>
      </c>
      <c r="N16" s="111">
        <v>0.26684283649675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10.3996203326779</v>
      </c>
      <c r="AE16" s="111">
        <v>0.33443769844208399</v>
      </c>
      <c r="AF16" s="111">
        <v>1.2796416218268101</v>
      </c>
      <c r="AG16" s="111">
        <v>0.21031495147197499</v>
      </c>
      <c r="AH16" s="111">
        <v>0</v>
      </c>
      <c r="AI16" s="111">
        <v>0</v>
      </c>
      <c r="AJ16" s="111">
        <v>0</v>
      </c>
      <c r="AK16" s="111">
        <v>0</v>
      </c>
      <c r="AL16" s="111">
        <v>0</v>
      </c>
      <c r="AM16" s="111">
        <v>0</v>
      </c>
      <c r="AN16" s="111">
        <v>0</v>
      </c>
      <c r="AO16" s="111">
        <v>0</v>
      </c>
      <c r="AP16" s="111">
        <v>0</v>
      </c>
      <c r="AQ16" s="111">
        <v>0</v>
      </c>
      <c r="AR16" s="112">
        <v>0</v>
      </c>
    </row>
    <row r="17" spans="2:44" ht="12" customHeight="1" x14ac:dyDescent="0.25">
      <c r="B17" s="110" t="s">
        <v>34</v>
      </c>
      <c r="C17" s="111" t="s">
        <v>35</v>
      </c>
      <c r="D17" s="111" t="s">
        <v>25</v>
      </c>
      <c r="E17" s="111" t="s">
        <v>25</v>
      </c>
      <c r="F17" s="111" t="s">
        <v>25</v>
      </c>
      <c r="G17" s="111" t="s">
        <v>36</v>
      </c>
      <c r="H17" s="111" t="s">
        <v>70</v>
      </c>
      <c r="I17" s="111" t="s">
        <v>25</v>
      </c>
      <c r="J17" s="111">
        <v>1025.7</v>
      </c>
      <c r="K17" s="111">
        <v>360.26</v>
      </c>
      <c r="L17" s="111">
        <v>2.1505949676814402</v>
      </c>
      <c r="M17" s="111">
        <v>0.127948716332458</v>
      </c>
      <c r="N17" s="111">
        <v>9.4496530461205808</v>
      </c>
      <c r="O17" s="111">
        <v>0</v>
      </c>
      <c r="P17" s="111">
        <v>0</v>
      </c>
      <c r="Q17" s="111">
        <v>78.631723708222594</v>
      </c>
      <c r="R17" s="111">
        <v>14.831414602076601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744.05401188624603</v>
      </c>
      <c r="Y17" s="111">
        <v>0</v>
      </c>
      <c r="Z17" s="111">
        <v>0</v>
      </c>
      <c r="AA17" s="111">
        <v>164.23382836197101</v>
      </c>
      <c r="AB17" s="111">
        <v>0</v>
      </c>
      <c r="AC17" s="111">
        <v>0</v>
      </c>
      <c r="AD17" s="111">
        <v>10.3996203326779</v>
      </c>
      <c r="AE17" s="111">
        <v>0.33443769844208399</v>
      </c>
      <c r="AF17" s="111">
        <v>1.2796416218268101</v>
      </c>
      <c r="AG17" s="111">
        <v>0.21031495147197499</v>
      </c>
      <c r="AH17" s="111">
        <v>2.2803104648027102</v>
      </c>
      <c r="AI17" s="111">
        <v>-16.116674696650598</v>
      </c>
      <c r="AJ17" s="111">
        <v>2.4412320191830701</v>
      </c>
      <c r="AK17" s="111">
        <v>22.354660185373</v>
      </c>
      <c r="AL17" s="111">
        <v>0</v>
      </c>
      <c r="AM17" s="111">
        <v>333.696684189856</v>
      </c>
      <c r="AN17" s="111">
        <v>5.6816363142987303</v>
      </c>
      <c r="AO17" s="111">
        <v>3.9773022832365998</v>
      </c>
      <c r="AP17" s="111">
        <v>0</v>
      </c>
      <c r="AQ17" s="111">
        <v>0</v>
      </c>
      <c r="AR17" s="112">
        <v>5.9480835114544401</v>
      </c>
    </row>
    <row r="18" spans="2:44" ht="12" customHeight="1" x14ac:dyDescent="0.25">
      <c r="B18" s="110" t="s">
        <v>34</v>
      </c>
      <c r="C18" s="111" t="s">
        <v>35</v>
      </c>
      <c r="D18" s="111" t="s">
        <v>25</v>
      </c>
      <c r="E18" s="111" t="s">
        <v>25</v>
      </c>
      <c r="F18" s="111" t="s">
        <v>25</v>
      </c>
      <c r="G18" s="111" t="s">
        <v>25</v>
      </c>
      <c r="H18" s="111" t="s">
        <v>75</v>
      </c>
      <c r="I18" s="111" t="s">
        <v>25</v>
      </c>
      <c r="J18" s="111">
        <v>21.08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18.108756111967299</v>
      </c>
      <c r="Y18" s="111">
        <v>0</v>
      </c>
      <c r="Z18" s="111">
        <v>0</v>
      </c>
      <c r="AA18" s="111">
        <v>2.9691086099769501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  <c r="AG18" s="111">
        <v>0</v>
      </c>
      <c r="AH18" s="111">
        <v>0</v>
      </c>
      <c r="AI18" s="111">
        <v>0</v>
      </c>
      <c r="AJ18" s="111">
        <v>0</v>
      </c>
      <c r="AK18" s="111">
        <v>0</v>
      </c>
      <c r="AL18" s="111">
        <v>0</v>
      </c>
      <c r="AM18" s="111">
        <v>0</v>
      </c>
      <c r="AN18" s="111">
        <v>0</v>
      </c>
      <c r="AO18" s="111">
        <v>0</v>
      </c>
      <c r="AP18" s="111">
        <v>0</v>
      </c>
      <c r="AQ18" s="111">
        <v>0</v>
      </c>
      <c r="AR18" s="112">
        <v>0</v>
      </c>
    </row>
    <row r="19" spans="2:44" ht="12" customHeight="1" x14ac:dyDescent="0.25">
      <c r="B19" s="110" t="s">
        <v>34</v>
      </c>
      <c r="C19" s="111" t="s">
        <v>35</v>
      </c>
      <c r="D19" s="111" t="s">
        <v>25</v>
      </c>
      <c r="E19" s="111" t="s">
        <v>25</v>
      </c>
      <c r="F19" s="111" t="s">
        <v>25</v>
      </c>
      <c r="G19" s="111" t="s">
        <v>37</v>
      </c>
      <c r="H19" s="111" t="s">
        <v>70</v>
      </c>
      <c r="I19" s="111" t="s">
        <v>25</v>
      </c>
      <c r="J19" s="111">
        <v>108.24</v>
      </c>
      <c r="K19" s="111">
        <v>220.58</v>
      </c>
      <c r="L19" s="111">
        <v>2.1505949676814402</v>
      </c>
      <c r="M19" s="111">
        <v>0.127948716332458</v>
      </c>
      <c r="N19" s="111">
        <v>0.27810028670896297</v>
      </c>
      <c r="O19" s="111">
        <v>0</v>
      </c>
      <c r="P19" s="111">
        <v>0</v>
      </c>
      <c r="Q19" s="111">
        <v>78.631723708222594</v>
      </c>
      <c r="R19" s="111">
        <v>14.831414602076601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10.3996203326779</v>
      </c>
      <c r="AE19" s="111">
        <v>0.33443769844208399</v>
      </c>
      <c r="AF19" s="111">
        <v>1.2796416218268101</v>
      </c>
      <c r="AG19" s="111">
        <v>0.21031495147197499</v>
      </c>
      <c r="AH19" s="111">
        <v>2.2803104648027102</v>
      </c>
      <c r="AI19" s="111">
        <v>-16.116674696650598</v>
      </c>
      <c r="AJ19" s="111">
        <v>2.4412320191830701</v>
      </c>
      <c r="AK19" s="111">
        <v>22.354660185373</v>
      </c>
      <c r="AL19" s="111">
        <v>0</v>
      </c>
      <c r="AM19" s="111">
        <v>194.009700110382</v>
      </c>
      <c r="AN19" s="111">
        <v>5.6816363142987303</v>
      </c>
      <c r="AO19" s="111">
        <v>3.9773022832365998</v>
      </c>
      <c r="AP19" s="111">
        <v>0</v>
      </c>
      <c r="AQ19" s="111">
        <v>0</v>
      </c>
      <c r="AR19" s="112">
        <v>5.9480835114544401</v>
      </c>
    </row>
    <row r="20" spans="2:44" ht="12" customHeight="1" x14ac:dyDescent="0.25">
      <c r="B20" s="110" t="s">
        <v>80</v>
      </c>
      <c r="C20" s="111" t="s">
        <v>79</v>
      </c>
      <c r="D20" s="111" t="s">
        <v>25</v>
      </c>
      <c r="E20" s="111" t="s">
        <v>25</v>
      </c>
      <c r="F20" s="111" t="s">
        <v>81</v>
      </c>
      <c r="G20" s="111" t="s">
        <v>25</v>
      </c>
      <c r="H20" s="111" t="s">
        <v>75</v>
      </c>
      <c r="I20" s="111" t="s">
        <v>25</v>
      </c>
      <c r="J20" s="111">
        <v>5.25</v>
      </c>
      <c r="K20" s="111">
        <v>0</v>
      </c>
      <c r="L20" s="111">
        <v>0</v>
      </c>
      <c r="M20" s="111">
        <v>2.06579824635734E-2</v>
      </c>
      <c r="N20" s="111">
        <v>5.6287251061062797E-2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5.1696785488495403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  <c r="AG20" s="111">
        <v>0</v>
      </c>
      <c r="AH20" s="111">
        <v>0</v>
      </c>
      <c r="AI20" s="111">
        <v>0</v>
      </c>
      <c r="AJ20" s="111">
        <v>0</v>
      </c>
      <c r="AK20" s="111">
        <v>0</v>
      </c>
      <c r="AL20" s="111">
        <v>0</v>
      </c>
      <c r="AM20" s="111">
        <v>0</v>
      </c>
      <c r="AN20" s="111">
        <v>0</v>
      </c>
      <c r="AO20" s="111">
        <v>0</v>
      </c>
      <c r="AP20" s="111">
        <v>0</v>
      </c>
      <c r="AQ20" s="111">
        <v>0</v>
      </c>
      <c r="AR20" s="112">
        <v>0</v>
      </c>
    </row>
    <row r="21" spans="2:44" ht="12" customHeight="1" x14ac:dyDescent="0.25">
      <c r="B21" s="110" t="s">
        <v>80</v>
      </c>
      <c r="C21" s="111" t="s">
        <v>79</v>
      </c>
      <c r="D21" s="111" t="s">
        <v>25</v>
      </c>
      <c r="E21" s="111" t="s">
        <v>25</v>
      </c>
      <c r="F21" s="111" t="s">
        <v>82</v>
      </c>
      <c r="G21" s="111" t="s">
        <v>25</v>
      </c>
      <c r="H21" s="111" t="s">
        <v>75</v>
      </c>
      <c r="I21" s="111" t="s">
        <v>25</v>
      </c>
      <c r="J21" s="111">
        <v>8.9700000000000006</v>
      </c>
      <c r="K21" s="111">
        <v>0</v>
      </c>
      <c r="L21" s="111">
        <v>0</v>
      </c>
      <c r="M21" s="111">
        <v>2.06579824635734E-2</v>
      </c>
      <c r="N21" s="111">
        <v>5.6287251061062797E-2</v>
      </c>
      <c r="O21" s="111">
        <v>0</v>
      </c>
      <c r="P21" s="111">
        <v>0</v>
      </c>
      <c r="Q21" s="111">
        <v>0</v>
      </c>
      <c r="R21" s="111">
        <v>0</v>
      </c>
      <c r="S21" s="111">
        <v>0</v>
      </c>
      <c r="T21" s="111">
        <v>0</v>
      </c>
      <c r="U21" s="111">
        <v>0</v>
      </c>
      <c r="V21" s="111">
        <v>0</v>
      </c>
      <c r="W21" s="111">
        <v>0</v>
      </c>
      <c r="X21" s="111">
        <v>0</v>
      </c>
      <c r="Y21" s="111">
        <v>0</v>
      </c>
      <c r="Z21" s="111">
        <v>0</v>
      </c>
      <c r="AA21" s="111">
        <v>8.8951811750795393</v>
      </c>
      <c r="AB21" s="111">
        <v>0</v>
      </c>
      <c r="AC21" s="111">
        <v>0</v>
      </c>
      <c r="AD21" s="111">
        <v>0</v>
      </c>
      <c r="AE21" s="111">
        <v>0</v>
      </c>
      <c r="AF21" s="111">
        <v>0</v>
      </c>
      <c r="AG21" s="111">
        <v>0</v>
      </c>
      <c r="AH21" s="111">
        <v>0</v>
      </c>
      <c r="AI21" s="111">
        <v>0</v>
      </c>
      <c r="AJ21" s="111">
        <v>0</v>
      </c>
      <c r="AK21" s="111">
        <v>0</v>
      </c>
      <c r="AL21" s="111">
        <v>0</v>
      </c>
      <c r="AM21" s="111">
        <v>0</v>
      </c>
      <c r="AN21" s="111">
        <v>0</v>
      </c>
      <c r="AO21" s="111">
        <v>0</v>
      </c>
      <c r="AP21" s="111">
        <v>0</v>
      </c>
      <c r="AQ21" s="111">
        <v>0</v>
      </c>
      <c r="AR21" s="112">
        <v>0</v>
      </c>
    </row>
    <row r="22" spans="2:44" ht="12" customHeight="1" x14ac:dyDescent="0.25">
      <c r="B22" s="110" t="s">
        <v>22</v>
      </c>
      <c r="C22" s="111" t="s">
        <v>49</v>
      </c>
      <c r="D22" s="111" t="s">
        <v>24</v>
      </c>
      <c r="E22" s="111" t="s">
        <v>24</v>
      </c>
      <c r="F22" s="111" t="s">
        <v>25</v>
      </c>
      <c r="G22" s="111" t="s">
        <v>36</v>
      </c>
      <c r="H22" s="111" t="s">
        <v>70</v>
      </c>
      <c r="I22" s="111" t="s">
        <v>25</v>
      </c>
      <c r="J22" s="111">
        <v>1045.5999999999999</v>
      </c>
      <c r="K22" s="111">
        <v>360.26</v>
      </c>
      <c r="L22" s="111">
        <v>2.5602321043826701</v>
      </c>
      <c r="M22" s="111">
        <v>0.76021138351363904</v>
      </c>
      <c r="N22" s="111">
        <v>9.8769870413765304</v>
      </c>
      <c r="O22" s="111">
        <v>0</v>
      </c>
      <c r="P22" s="111">
        <v>0</v>
      </c>
      <c r="Q22" s="111">
        <v>93.609194890741193</v>
      </c>
      <c r="R22" s="111">
        <v>14.831414602076601</v>
      </c>
      <c r="S22" s="111">
        <v>0</v>
      </c>
      <c r="T22" s="111">
        <v>0</v>
      </c>
      <c r="U22" s="111">
        <v>0</v>
      </c>
      <c r="V22" s="111">
        <v>0</v>
      </c>
      <c r="W22" s="111">
        <v>0</v>
      </c>
      <c r="X22" s="111">
        <v>419.53874634235001</v>
      </c>
      <c r="Y22" s="111">
        <v>0</v>
      </c>
      <c r="Z22" s="111">
        <v>0</v>
      </c>
      <c r="AA22" s="111">
        <v>483.53424288206901</v>
      </c>
      <c r="AB22" s="111">
        <v>0</v>
      </c>
      <c r="AC22" s="111">
        <v>0</v>
      </c>
      <c r="AD22" s="111">
        <v>18.079997883464699</v>
      </c>
      <c r="AE22" s="111">
        <v>0.58142823358501095</v>
      </c>
      <c r="AF22" s="111">
        <v>1.9112700907634901</v>
      </c>
      <c r="AG22" s="111">
        <v>0.314125978346117</v>
      </c>
      <c r="AH22" s="111">
        <v>2.2803104648027102</v>
      </c>
      <c r="AI22" s="111">
        <v>-16.116674696650598</v>
      </c>
      <c r="AJ22" s="111">
        <v>2.4412320191830701</v>
      </c>
      <c r="AK22" s="111">
        <v>22.354660185373</v>
      </c>
      <c r="AL22" s="111">
        <v>0</v>
      </c>
      <c r="AM22" s="111">
        <v>333.696684189856</v>
      </c>
      <c r="AN22" s="111">
        <v>5.6816363142987303</v>
      </c>
      <c r="AO22" s="111">
        <v>3.9773022832365998</v>
      </c>
      <c r="AP22" s="111">
        <v>0</v>
      </c>
      <c r="AQ22" s="111">
        <v>0</v>
      </c>
      <c r="AR22" s="112">
        <v>5.9480835114544401</v>
      </c>
    </row>
    <row r="23" spans="2:44" ht="12" customHeight="1" x14ac:dyDescent="0.25">
      <c r="B23" s="110" t="s">
        <v>22</v>
      </c>
      <c r="C23" s="111" t="s">
        <v>49</v>
      </c>
      <c r="D23" s="111" t="s">
        <v>24</v>
      </c>
      <c r="E23" s="111" t="s">
        <v>24</v>
      </c>
      <c r="F23" s="111" t="s">
        <v>25</v>
      </c>
      <c r="G23" s="111" t="s">
        <v>50</v>
      </c>
      <c r="H23" s="111" t="s">
        <v>70</v>
      </c>
      <c r="I23" s="111" t="s">
        <v>25</v>
      </c>
      <c r="J23" s="111">
        <v>589.36</v>
      </c>
      <c r="K23" s="111">
        <v>220.58</v>
      </c>
      <c r="L23" s="111">
        <v>2.5602321043826701</v>
      </c>
      <c r="M23" s="111">
        <v>0.76021138351363904</v>
      </c>
      <c r="N23" s="111">
        <v>5.1714009962972103</v>
      </c>
      <c r="O23" s="111">
        <v>0</v>
      </c>
      <c r="P23" s="111">
        <v>0</v>
      </c>
      <c r="Q23" s="111">
        <v>93.609194890741193</v>
      </c>
      <c r="R23" s="111">
        <v>14.831414602076601</v>
      </c>
      <c r="S23" s="111">
        <v>0</v>
      </c>
      <c r="T23" s="111">
        <v>0</v>
      </c>
      <c r="U23" s="111">
        <v>0</v>
      </c>
      <c r="V23" s="111">
        <v>0</v>
      </c>
      <c r="W23" s="111">
        <v>0</v>
      </c>
      <c r="X23" s="111">
        <v>209.76942984037501</v>
      </c>
      <c r="Y23" s="111">
        <v>0</v>
      </c>
      <c r="Z23" s="111">
        <v>0</v>
      </c>
      <c r="AA23" s="111">
        <v>241.767173341269</v>
      </c>
      <c r="AB23" s="111">
        <v>0</v>
      </c>
      <c r="AC23" s="111">
        <v>0</v>
      </c>
      <c r="AD23" s="111">
        <v>18.079997883464699</v>
      </c>
      <c r="AE23" s="111">
        <v>0.58142823358501095</v>
      </c>
      <c r="AF23" s="111">
        <v>1.9112700907634901</v>
      </c>
      <c r="AG23" s="111">
        <v>0.314125978346117</v>
      </c>
      <c r="AH23" s="111">
        <v>2.2803104648027102</v>
      </c>
      <c r="AI23" s="111">
        <v>-16.116674696650598</v>
      </c>
      <c r="AJ23" s="111">
        <v>2.4412320191830701</v>
      </c>
      <c r="AK23" s="111">
        <v>22.354660185373</v>
      </c>
      <c r="AL23" s="111">
        <v>0</v>
      </c>
      <c r="AM23" s="111">
        <v>194.009700110382</v>
      </c>
      <c r="AN23" s="111">
        <v>5.6816363142987303</v>
      </c>
      <c r="AO23" s="111">
        <v>3.9773022832365998</v>
      </c>
      <c r="AP23" s="111">
        <v>0</v>
      </c>
      <c r="AQ23" s="111">
        <v>0</v>
      </c>
      <c r="AR23" s="112">
        <v>5.9480835114544401</v>
      </c>
    </row>
    <row r="24" spans="2:44" ht="12" customHeight="1" x14ac:dyDescent="0.25">
      <c r="B24" s="110" t="s">
        <v>22</v>
      </c>
      <c r="C24" s="111" t="s">
        <v>49</v>
      </c>
      <c r="D24" s="111" t="s">
        <v>24</v>
      </c>
      <c r="E24" s="111" t="s">
        <v>24</v>
      </c>
      <c r="F24" s="111" t="s">
        <v>25</v>
      </c>
      <c r="G24" s="111" t="s">
        <v>37</v>
      </c>
      <c r="H24" s="111" t="s">
        <v>70</v>
      </c>
      <c r="I24" s="111" t="s">
        <v>25</v>
      </c>
      <c r="J24" s="111">
        <v>224.36</v>
      </c>
      <c r="K24" s="111">
        <v>220.58</v>
      </c>
      <c r="L24" s="111">
        <v>2.5602321043826701</v>
      </c>
      <c r="M24" s="111">
        <v>0.76021138351363904</v>
      </c>
      <c r="N24" s="111">
        <v>1.40693103448873</v>
      </c>
      <c r="O24" s="111">
        <v>0</v>
      </c>
      <c r="P24" s="111">
        <v>0</v>
      </c>
      <c r="Q24" s="111">
        <v>93.609194890741193</v>
      </c>
      <c r="R24" s="111">
        <v>14.831414602076601</v>
      </c>
      <c r="S24" s="111">
        <v>0</v>
      </c>
      <c r="T24" s="111">
        <v>0</v>
      </c>
      <c r="U24" s="111">
        <v>0</v>
      </c>
      <c r="V24" s="111">
        <v>0</v>
      </c>
      <c r="W24" s="111">
        <v>0</v>
      </c>
      <c r="X24" s="111">
        <v>41.9539086357549</v>
      </c>
      <c r="Y24" s="111">
        <v>0</v>
      </c>
      <c r="Z24" s="111">
        <v>0</v>
      </c>
      <c r="AA24" s="111">
        <v>48.353476188441299</v>
      </c>
      <c r="AB24" s="111">
        <v>0</v>
      </c>
      <c r="AC24" s="111">
        <v>0</v>
      </c>
      <c r="AD24" s="111">
        <v>18.079997883464699</v>
      </c>
      <c r="AE24" s="111">
        <v>0.58142823358501095</v>
      </c>
      <c r="AF24" s="111">
        <v>1.9112700907634901</v>
      </c>
      <c r="AG24" s="111">
        <v>0.314125978346117</v>
      </c>
      <c r="AH24" s="111">
        <v>2.2803104648027102</v>
      </c>
      <c r="AI24" s="111">
        <v>-16.116674696650598</v>
      </c>
      <c r="AJ24" s="111">
        <v>2.4412320191830701</v>
      </c>
      <c r="AK24" s="111">
        <v>22.354660185373</v>
      </c>
      <c r="AL24" s="111">
        <v>0</v>
      </c>
      <c r="AM24" s="111">
        <v>194.009700110382</v>
      </c>
      <c r="AN24" s="111">
        <v>5.6816363142987303</v>
      </c>
      <c r="AO24" s="111">
        <v>3.9773022832365998</v>
      </c>
      <c r="AP24" s="111">
        <v>0</v>
      </c>
      <c r="AQ24" s="111">
        <v>0</v>
      </c>
      <c r="AR24" s="112">
        <v>5.9480835114544401</v>
      </c>
    </row>
    <row r="25" spans="2:44" ht="12" customHeight="1" x14ac:dyDescent="0.25">
      <c r="B25" s="110" t="s">
        <v>22</v>
      </c>
      <c r="C25" s="111" t="s">
        <v>23</v>
      </c>
      <c r="D25" s="111" t="s">
        <v>24</v>
      </c>
      <c r="E25" s="111" t="s">
        <v>1166</v>
      </c>
      <c r="F25" s="111" t="s">
        <v>25</v>
      </c>
      <c r="G25" s="111" t="s">
        <v>25</v>
      </c>
      <c r="H25" s="111" t="s">
        <v>70</v>
      </c>
      <c r="I25" s="111" t="s">
        <v>25</v>
      </c>
      <c r="J25" s="111">
        <v>282.81</v>
      </c>
      <c r="K25" s="111">
        <v>232.22</v>
      </c>
      <c r="L25" s="111">
        <v>0</v>
      </c>
      <c r="M25" s="111">
        <v>0.76021138351363904</v>
      </c>
      <c r="N25" s="111">
        <v>3.1434625259138298</v>
      </c>
      <c r="O25" s="111">
        <v>0</v>
      </c>
      <c r="P25" s="111">
        <v>0</v>
      </c>
      <c r="Q25" s="111">
        <v>0</v>
      </c>
      <c r="R25" s="111">
        <v>0</v>
      </c>
      <c r="S25" s="111">
        <v>0</v>
      </c>
      <c r="T25" s="111">
        <v>0</v>
      </c>
      <c r="U25" s="111">
        <v>0</v>
      </c>
      <c r="V25" s="111">
        <v>0</v>
      </c>
      <c r="W25" s="111">
        <v>0</v>
      </c>
      <c r="X25" s="111">
        <v>119.868278005471</v>
      </c>
      <c r="Y25" s="111">
        <v>0</v>
      </c>
      <c r="Z25" s="111">
        <v>0</v>
      </c>
      <c r="AA25" s="111">
        <v>138.152611166171</v>
      </c>
      <c r="AB25" s="111">
        <v>0</v>
      </c>
      <c r="AC25" s="111">
        <v>0</v>
      </c>
      <c r="AD25" s="111">
        <v>18.079997883464699</v>
      </c>
      <c r="AE25" s="111">
        <v>0.58142823358501095</v>
      </c>
      <c r="AF25" s="111">
        <v>1.9112700907634901</v>
      </c>
      <c r="AG25" s="111">
        <v>0.314125978346117</v>
      </c>
      <c r="AH25" s="111">
        <v>2.2803104648027102</v>
      </c>
      <c r="AI25" s="111">
        <v>-16.116674696650598</v>
      </c>
      <c r="AJ25" s="111">
        <v>2.4412320191830701</v>
      </c>
      <c r="AK25" s="111">
        <v>22.354660185373</v>
      </c>
      <c r="AL25" s="111">
        <v>0</v>
      </c>
      <c r="AM25" s="111">
        <v>205.650282117004</v>
      </c>
      <c r="AN25" s="111">
        <v>5.6816363142987303</v>
      </c>
      <c r="AO25" s="111">
        <v>3.9773022832365998</v>
      </c>
      <c r="AP25" s="111">
        <v>0</v>
      </c>
      <c r="AQ25" s="111">
        <v>0</v>
      </c>
      <c r="AR25" s="112">
        <v>5.9480835114544401</v>
      </c>
    </row>
    <row r="26" spans="2:44" ht="12" customHeight="1" x14ac:dyDescent="0.25">
      <c r="B26" s="110" t="s">
        <v>22</v>
      </c>
      <c r="C26" s="111" t="s">
        <v>23</v>
      </c>
      <c r="D26" s="111" t="s">
        <v>24</v>
      </c>
      <c r="E26" s="111" t="s">
        <v>24</v>
      </c>
      <c r="F26" s="111" t="s">
        <v>25</v>
      </c>
      <c r="G26" s="111" t="s">
        <v>25</v>
      </c>
      <c r="H26" s="111" t="s">
        <v>70</v>
      </c>
      <c r="I26" s="111" t="s">
        <v>25</v>
      </c>
      <c r="J26" s="111">
        <v>393.82</v>
      </c>
      <c r="K26" s="111">
        <v>232.22</v>
      </c>
      <c r="L26" s="111">
        <v>2.5602321043826701</v>
      </c>
      <c r="M26" s="111">
        <v>0.76021138351363904</v>
      </c>
      <c r="N26" s="111">
        <v>3.15471997612604</v>
      </c>
      <c r="O26" s="111">
        <v>0</v>
      </c>
      <c r="P26" s="111">
        <v>0</v>
      </c>
      <c r="Q26" s="111">
        <v>93.609194890741193</v>
      </c>
      <c r="R26" s="111">
        <v>14.831414602076601</v>
      </c>
      <c r="S26" s="111">
        <v>0</v>
      </c>
      <c r="T26" s="111">
        <v>0</v>
      </c>
      <c r="U26" s="111">
        <v>0</v>
      </c>
      <c r="V26" s="111">
        <v>0</v>
      </c>
      <c r="W26" s="111">
        <v>0</v>
      </c>
      <c r="X26" s="111">
        <v>119.868278005471</v>
      </c>
      <c r="Y26" s="111">
        <v>0</v>
      </c>
      <c r="Z26" s="111">
        <v>0</v>
      </c>
      <c r="AA26" s="111">
        <v>138.152611166171</v>
      </c>
      <c r="AB26" s="111">
        <v>0</v>
      </c>
      <c r="AC26" s="111">
        <v>0</v>
      </c>
      <c r="AD26" s="111">
        <v>18.079997883464699</v>
      </c>
      <c r="AE26" s="111">
        <v>0.58142823358501095</v>
      </c>
      <c r="AF26" s="111">
        <v>1.9112700907634901</v>
      </c>
      <c r="AG26" s="111">
        <v>0.314125978346117</v>
      </c>
      <c r="AH26" s="111">
        <v>2.2803104648027102</v>
      </c>
      <c r="AI26" s="111">
        <v>-16.116674696650598</v>
      </c>
      <c r="AJ26" s="111">
        <v>2.4412320191830701</v>
      </c>
      <c r="AK26" s="111">
        <v>22.354660185373</v>
      </c>
      <c r="AL26" s="111">
        <v>0</v>
      </c>
      <c r="AM26" s="111">
        <v>205.650282117004</v>
      </c>
      <c r="AN26" s="111">
        <v>5.6816363142987303</v>
      </c>
      <c r="AO26" s="111">
        <v>3.9773022832365998</v>
      </c>
      <c r="AP26" s="111">
        <v>0</v>
      </c>
      <c r="AQ26" s="111">
        <v>0</v>
      </c>
      <c r="AR26" s="112">
        <v>5.9480835114544401</v>
      </c>
    </row>
    <row r="27" spans="2:44" ht="12" customHeight="1" x14ac:dyDescent="0.25">
      <c r="B27" s="110" t="s">
        <v>22</v>
      </c>
      <c r="C27" s="111" t="s">
        <v>85</v>
      </c>
      <c r="D27" s="111" t="s">
        <v>24</v>
      </c>
      <c r="E27" s="111" t="s">
        <v>1166</v>
      </c>
      <c r="F27" s="111" t="s">
        <v>25</v>
      </c>
      <c r="G27" s="111" t="s">
        <v>25</v>
      </c>
      <c r="H27" s="111" t="s">
        <v>70</v>
      </c>
      <c r="I27" s="111" t="s">
        <v>25</v>
      </c>
      <c r="J27" s="111">
        <v>282.81</v>
      </c>
      <c r="K27" s="111">
        <v>232.22</v>
      </c>
      <c r="L27" s="111">
        <v>0</v>
      </c>
      <c r="M27" s="111">
        <v>0.76021138351363904</v>
      </c>
      <c r="N27" s="111">
        <v>3.1434625259138298</v>
      </c>
      <c r="O27" s="111">
        <v>0</v>
      </c>
      <c r="P27" s="111">
        <v>0</v>
      </c>
      <c r="Q27" s="111">
        <v>0</v>
      </c>
      <c r="R27" s="111">
        <v>0</v>
      </c>
      <c r="S27" s="111">
        <v>0</v>
      </c>
      <c r="T27" s="111">
        <v>0</v>
      </c>
      <c r="U27" s="111">
        <v>0</v>
      </c>
      <c r="V27" s="111">
        <v>0</v>
      </c>
      <c r="W27" s="111">
        <v>0</v>
      </c>
      <c r="X27" s="111">
        <v>119.868278005471</v>
      </c>
      <c r="Y27" s="111">
        <v>0</v>
      </c>
      <c r="Z27" s="111">
        <v>0</v>
      </c>
      <c r="AA27" s="111">
        <v>138.152611166171</v>
      </c>
      <c r="AB27" s="111">
        <v>0</v>
      </c>
      <c r="AC27" s="111">
        <v>0</v>
      </c>
      <c r="AD27" s="111">
        <v>18.079997883464699</v>
      </c>
      <c r="AE27" s="111">
        <v>0.58142823358501095</v>
      </c>
      <c r="AF27" s="111">
        <v>1.9112700907634901</v>
      </c>
      <c r="AG27" s="111">
        <v>0.314125978346117</v>
      </c>
      <c r="AH27" s="111">
        <v>2.2803104648027102</v>
      </c>
      <c r="AI27" s="111">
        <v>-16.116674696650598</v>
      </c>
      <c r="AJ27" s="111">
        <v>2.4412320191830701</v>
      </c>
      <c r="AK27" s="111">
        <v>22.354660185373</v>
      </c>
      <c r="AL27" s="111">
        <v>0</v>
      </c>
      <c r="AM27" s="111">
        <v>205.650282117004</v>
      </c>
      <c r="AN27" s="111">
        <v>5.6816363142987303</v>
      </c>
      <c r="AO27" s="111">
        <v>3.9773022832365998</v>
      </c>
      <c r="AP27" s="111">
        <v>0</v>
      </c>
      <c r="AQ27" s="111">
        <v>0</v>
      </c>
      <c r="AR27" s="112">
        <v>5.9480835114544401</v>
      </c>
    </row>
    <row r="28" spans="2:44" ht="12" customHeight="1" x14ac:dyDescent="0.25">
      <c r="B28" s="110" t="s">
        <v>22</v>
      </c>
      <c r="C28" s="111" t="s">
        <v>85</v>
      </c>
      <c r="D28" s="111" t="s">
        <v>24</v>
      </c>
      <c r="E28" s="111" t="s">
        <v>24</v>
      </c>
      <c r="F28" s="111" t="s">
        <v>25</v>
      </c>
      <c r="G28" s="111" t="s">
        <v>25</v>
      </c>
      <c r="H28" s="111" t="s">
        <v>70</v>
      </c>
      <c r="I28" s="111" t="s">
        <v>25</v>
      </c>
      <c r="J28" s="111">
        <v>393.82</v>
      </c>
      <c r="K28" s="111">
        <v>232.22</v>
      </c>
      <c r="L28" s="111">
        <v>2.5602321043826701</v>
      </c>
      <c r="M28" s="111">
        <v>0.76021138351363904</v>
      </c>
      <c r="N28" s="111">
        <v>3.15471997612604</v>
      </c>
      <c r="O28" s="111">
        <v>0</v>
      </c>
      <c r="P28" s="111">
        <v>0</v>
      </c>
      <c r="Q28" s="111">
        <v>93.609194890741193</v>
      </c>
      <c r="R28" s="111">
        <v>14.831414602076601</v>
      </c>
      <c r="S28" s="111">
        <v>0</v>
      </c>
      <c r="T28" s="111">
        <v>0</v>
      </c>
      <c r="U28" s="111">
        <v>0</v>
      </c>
      <c r="V28" s="111">
        <v>0</v>
      </c>
      <c r="W28" s="111">
        <v>0</v>
      </c>
      <c r="X28" s="111">
        <v>119.868278005471</v>
      </c>
      <c r="Y28" s="111">
        <v>0</v>
      </c>
      <c r="Z28" s="111">
        <v>0</v>
      </c>
      <c r="AA28" s="111">
        <v>138.152611166171</v>
      </c>
      <c r="AB28" s="111">
        <v>0</v>
      </c>
      <c r="AC28" s="111">
        <v>0</v>
      </c>
      <c r="AD28" s="111">
        <v>18.079997883464699</v>
      </c>
      <c r="AE28" s="111">
        <v>0.58142823358501095</v>
      </c>
      <c r="AF28" s="111">
        <v>1.9112700907634901</v>
      </c>
      <c r="AG28" s="111">
        <v>0.314125978346117</v>
      </c>
      <c r="AH28" s="111">
        <v>2.2803104648027102</v>
      </c>
      <c r="AI28" s="111">
        <v>-16.116674696650598</v>
      </c>
      <c r="AJ28" s="111">
        <v>2.4412320191830701</v>
      </c>
      <c r="AK28" s="111">
        <v>22.354660185373</v>
      </c>
      <c r="AL28" s="111">
        <v>0</v>
      </c>
      <c r="AM28" s="111">
        <v>205.650282117004</v>
      </c>
      <c r="AN28" s="111">
        <v>5.6816363142987303</v>
      </c>
      <c r="AO28" s="111">
        <v>3.9773022832365998</v>
      </c>
      <c r="AP28" s="111">
        <v>0</v>
      </c>
      <c r="AQ28" s="111">
        <v>0</v>
      </c>
      <c r="AR28" s="112">
        <v>5.9480835114544401</v>
      </c>
    </row>
    <row r="29" spans="2:44" ht="12" customHeight="1" x14ac:dyDescent="0.25">
      <c r="B29" s="110" t="s">
        <v>39</v>
      </c>
      <c r="C29" s="111" t="s">
        <v>49</v>
      </c>
      <c r="D29" s="111" t="s">
        <v>40</v>
      </c>
      <c r="E29" s="111" t="s">
        <v>86</v>
      </c>
      <c r="F29" s="111" t="s">
        <v>25</v>
      </c>
      <c r="G29" s="111" t="s">
        <v>36</v>
      </c>
      <c r="H29" s="111" t="s">
        <v>70</v>
      </c>
      <c r="I29" s="111" t="s">
        <v>25</v>
      </c>
      <c r="J29" s="111">
        <v>774.55</v>
      </c>
      <c r="K29" s="111">
        <v>338.65</v>
      </c>
      <c r="L29" s="111">
        <v>2.40661817811971</v>
      </c>
      <c r="M29" s="111">
        <v>0.71459870050282104</v>
      </c>
      <c r="N29" s="111">
        <v>7.1359322807121899</v>
      </c>
      <c r="O29" s="111">
        <v>0</v>
      </c>
      <c r="P29" s="111">
        <v>0</v>
      </c>
      <c r="Q29" s="111">
        <v>87.992643197296701</v>
      </c>
      <c r="R29" s="111">
        <v>13.941529725952</v>
      </c>
      <c r="S29" s="111">
        <v>0</v>
      </c>
      <c r="T29" s="111">
        <v>0</v>
      </c>
      <c r="U29" s="111">
        <v>0</v>
      </c>
      <c r="V29" s="111">
        <v>0</v>
      </c>
      <c r="W29" s="111">
        <v>0</v>
      </c>
      <c r="X29" s="111">
        <v>298.59176331972401</v>
      </c>
      <c r="Y29" s="111">
        <v>0</v>
      </c>
      <c r="Z29" s="111">
        <v>0</v>
      </c>
      <c r="AA29" s="111">
        <v>344.13829101635002</v>
      </c>
      <c r="AB29" s="111">
        <v>0</v>
      </c>
      <c r="AC29" s="111">
        <v>0</v>
      </c>
      <c r="AD29" s="111">
        <v>16.9951980104568</v>
      </c>
      <c r="AE29" s="111">
        <v>0.54654253956990995</v>
      </c>
      <c r="AF29" s="111">
        <v>1.7965938853176799</v>
      </c>
      <c r="AG29" s="111">
        <v>0.29527841964535001</v>
      </c>
      <c r="AH29" s="111">
        <v>2.1434918369145501</v>
      </c>
      <c r="AI29" s="111">
        <v>-15.149674214851601</v>
      </c>
      <c r="AJ29" s="111">
        <v>2.2947580980320899</v>
      </c>
      <c r="AK29" s="111">
        <v>21.013380574250601</v>
      </c>
      <c r="AL29" s="111">
        <v>0</v>
      </c>
      <c r="AM29" s="111">
        <v>313.67488313846502</v>
      </c>
      <c r="AN29" s="111">
        <v>5.3407381354407999</v>
      </c>
      <c r="AO29" s="111">
        <v>3.7386641462424102</v>
      </c>
      <c r="AP29" s="111">
        <v>0</v>
      </c>
      <c r="AQ29" s="111">
        <v>0</v>
      </c>
      <c r="AR29" s="112">
        <v>5.5911985007671801</v>
      </c>
    </row>
    <row r="30" spans="2:44" ht="12" customHeight="1" x14ac:dyDescent="0.25">
      <c r="B30" s="110" t="s">
        <v>39</v>
      </c>
      <c r="C30" s="111" t="s">
        <v>49</v>
      </c>
      <c r="D30" s="111" t="s">
        <v>40</v>
      </c>
      <c r="E30" s="111" t="s">
        <v>86</v>
      </c>
      <c r="F30" s="111" t="s">
        <v>25</v>
      </c>
      <c r="G30" s="111" t="s">
        <v>50</v>
      </c>
      <c r="H30" s="111" t="s">
        <v>70</v>
      </c>
      <c r="I30" s="111" t="s">
        <v>25</v>
      </c>
      <c r="J30" s="111">
        <v>514.78</v>
      </c>
      <c r="K30" s="111">
        <v>207.34</v>
      </c>
      <c r="L30" s="111">
        <v>2.40661817811971</v>
      </c>
      <c r="M30" s="111">
        <v>0.71459870050282104</v>
      </c>
      <c r="N30" s="111">
        <v>4.4567055784451703</v>
      </c>
      <c r="O30" s="111">
        <v>0</v>
      </c>
      <c r="P30" s="111">
        <v>0</v>
      </c>
      <c r="Q30" s="111">
        <v>87.992643197296701</v>
      </c>
      <c r="R30" s="111">
        <v>13.941529725952</v>
      </c>
      <c r="S30" s="111">
        <v>0</v>
      </c>
      <c r="T30" s="111">
        <v>0</v>
      </c>
      <c r="U30" s="111">
        <v>0</v>
      </c>
      <c r="V30" s="111">
        <v>0</v>
      </c>
      <c r="W30" s="111">
        <v>0</v>
      </c>
      <c r="X30" s="111">
        <v>179.155100607072</v>
      </c>
      <c r="Y30" s="111">
        <v>0</v>
      </c>
      <c r="Z30" s="111">
        <v>0</v>
      </c>
      <c r="AA30" s="111">
        <v>206.48299412429799</v>
      </c>
      <c r="AB30" s="111">
        <v>0</v>
      </c>
      <c r="AC30" s="111">
        <v>0</v>
      </c>
      <c r="AD30" s="111">
        <v>16.9951980104568</v>
      </c>
      <c r="AE30" s="111">
        <v>0.54654253956990995</v>
      </c>
      <c r="AF30" s="111">
        <v>1.7965938853176799</v>
      </c>
      <c r="AG30" s="111">
        <v>0.29527841964535001</v>
      </c>
      <c r="AH30" s="111">
        <v>2.1434918369145501</v>
      </c>
      <c r="AI30" s="111">
        <v>-15.149674214851601</v>
      </c>
      <c r="AJ30" s="111">
        <v>2.2947580980320899</v>
      </c>
      <c r="AK30" s="111">
        <v>21.013380574250601</v>
      </c>
      <c r="AL30" s="111">
        <v>0</v>
      </c>
      <c r="AM30" s="111">
        <v>182.36911810375901</v>
      </c>
      <c r="AN30" s="111">
        <v>5.3407381354407999</v>
      </c>
      <c r="AO30" s="111">
        <v>3.7386641462424102</v>
      </c>
      <c r="AP30" s="111">
        <v>0</v>
      </c>
      <c r="AQ30" s="111">
        <v>0</v>
      </c>
      <c r="AR30" s="112">
        <v>5.5911985007671801</v>
      </c>
    </row>
    <row r="31" spans="2:44" ht="12" customHeight="1" x14ac:dyDescent="0.25">
      <c r="B31" s="110" t="s">
        <v>39</v>
      </c>
      <c r="C31" s="111" t="s">
        <v>49</v>
      </c>
      <c r="D31" s="111" t="s">
        <v>40</v>
      </c>
      <c r="E31" s="111" t="s">
        <v>86</v>
      </c>
      <c r="F31" s="111" t="s">
        <v>25</v>
      </c>
      <c r="G31" s="111" t="s">
        <v>37</v>
      </c>
      <c r="H31" s="111" t="s">
        <v>70</v>
      </c>
      <c r="I31" s="111" t="s">
        <v>25</v>
      </c>
      <c r="J31" s="111">
        <v>255.01</v>
      </c>
      <c r="K31" s="111">
        <v>207.34</v>
      </c>
      <c r="L31" s="111">
        <v>2.40661817811971</v>
      </c>
      <c r="M31" s="111">
        <v>0.71459870050282104</v>
      </c>
      <c r="N31" s="111">
        <v>1.7774778179778401</v>
      </c>
      <c r="O31" s="111">
        <v>0</v>
      </c>
      <c r="P31" s="111">
        <v>0</v>
      </c>
      <c r="Q31" s="111">
        <v>87.992643197296701</v>
      </c>
      <c r="R31" s="111">
        <v>13.941529725952</v>
      </c>
      <c r="S31" s="111">
        <v>0</v>
      </c>
      <c r="T31" s="111">
        <v>0</v>
      </c>
      <c r="U31" s="111">
        <v>0</v>
      </c>
      <c r="V31" s="111">
        <v>0</v>
      </c>
      <c r="W31" s="111">
        <v>0</v>
      </c>
      <c r="X31" s="111">
        <v>59.718331356325699</v>
      </c>
      <c r="Y31" s="111">
        <v>0</v>
      </c>
      <c r="Z31" s="111">
        <v>0</v>
      </c>
      <c r="AA31" s="111">
        <v>68.827697232246194</v>
      </c>
      <c r="AB31" s="111">
        <v>0</v>
      </c>
      <c r="AC31" s="111">
        <v>0</v>
      </c>
      <c r="AD31" s="111">
        <v>16.9951980104568</v>
      </c>
      <c r="AE31" s="111">
        <v>0.54654253956990995</v>
      </c>
      <c r="AF31" s="111">
        <v>1.7965938853176799</v>
      </c>
      <c r="AG31" s="111">
        <v>0.29527841964535001</v>
      </c>
      <c r="AH31" s="111">
        <v>2.1434918369145501</v>
      </c>
      <c r="AI31" s="111">
        <v>-15.149674214851601</v>
      </c>
      <c r="AJ31" s="111">
        <v>2.2947580980320899</v>
      </c>
      <c r="AK31" s="111">
        <v>21.013380574250601</v>
      </c>
      <c r="AL31" s="111">
        <v>0</v>
      </c>
      <c r="AM31" s="111">
        <v>182.36911810375901</v>
      </c>
      <c r="AN31" s="111">
        <v>5.3407381354407999</v>
      </c>
      <c r="AO31" s="111">
        <v>3.7386641462424102</v>
      </c>
      <c r="AP31" s="111">
        <v>0</v>
      </c>
      <c r="AQ31" s="111">
        <v>0</v>
      </c>
      <c r="AR31" s="112">
        <v>5.5911985007671801</v>
      </c>
    </row>
    <row r="32" spans="2:44" ht="12" customHeight="1" x14ac:dyDescent="0.25">
      <c r="B32" s="110" t="s">
        <v>39</v>
      </c>
      <c r="C32" s="111" t="s">
        <v>49</v>
      </c>
      <c r="D32" s="111" t="s">
        <v>40</v>
      </c>
      <c r="E32" s="111" t="s">
        <v>25</v>
      </c>
      <c r="F32" s="111" t="s">
        <v>25</v>
      </c>
      <c r="G32" s="111" t="s">
        <v>36</v>
      </c>
      <c r="H32" s="111" t="s">
        <v>70</v>
      </c>
      <c r="I32" s="111" t="s">
        <v>25</v>
      </c>
      <c r="J32" s="111">
        <v>774.55</v>
      </c>
      <c r="K32" s="111">
        <v>338.65</v>
      </c>
      <c r="L32" s="111">
        <v>2.40661817811971</v>
      </c>
      <c r="M32" s="111">
        <v>0.71459870050282104</v>
      </c>
      <c r="N32" s="111">
        <v>7.1359322807121899</v>
      </c>
      <c r="O32" s="111">
        <v>0</v>
      </c>
      <c r="P32" s="111">
        <v>0</v>
      </c>
      <c r="Q32" s="111">
        <v>87.992643197296701</v>
      </c>
      <c r="R32" s="111">
        <v>13.941529725952</v>
      </c>
      <c r="S32" s="111">
        <v>0</v>
      </c>
      <c r="T32" s="111">
        <v>0</v>
      </c>
      <c r="U32" s="111">
        <v>0</v>
      </c>
      <c r="V32" s="111">
        <v>0</v>
      </c>
      <c r="W32" s="111">
        <v>0</v>
      </c>
      <c r="X32" s="111">
        <v>298.59176331972401</v>
      </c>
      <c r="Y32" s="111">
        <v>0</v>
      </c>
      <c r="Z32" s="111">
        <v>0</v>
      </c>
      <c r="AA32" s="111">
        <v>344.13829101635002</v>
      </c>
      <c r="AB32" s="111">
        <v>0</v>
      </c>
      <c r="AC32" s="111">
        <v>0</v>
      </c>
      <c r="AD32" s="111">
        <v>16.9951980104568</v>
      </c>
      <c r="AE32" s="111">
        <v>0.54654253956990995</v>
      </c>
      <c r="AF32" s="111">
        <v>1.7965938853176799</v>
      </c>
      <c r="AG32" s="111">
        <v>0.29527841964535001</v>
      </c>
      <c r="AH32" s="111">
        <v>2.1434918369145501</v>
      </c>
      <c r="AI32" s="111">
        <v>-15.149674214851601</v>
      </c>
      <c r="AJ32" s="111">
        <v>2.2947580980320899</v>
      </c>
      <c r="AK32" s="111">
        <v>21.013380574250601</v>
      </c>
      <c r="AL32" s="111">
        <v>0</v>
      </c>
      <c r="AM32" s="111">
        <v>313.67488313846502</v>
      </c>
      <c r="AN32" s="111">
        <v>5.3407381354407999</v>
      </c>
      <c r="AO32" s="111">
        <v>3.7386641462424102</v>
      </c>
      <c r="AP32" s="111">
        <v>0</v>
      </c>
      <c r="AQ32" s="111">
        <v>0</v>
      </c>
      <c r="AR32" s="112">
        <v>5.5911985007671801</v>
      </c>
    </row>
    <row r="33" spans="2:44" ht="12" customHeight="1" x14ac:dyDescent="0.25">
      <c r="B33" s="110" t="s">
        <v>39</v>
      </c>
      <c r="C33" s="111" t="s">
        <v>49</v>
      </c>
      <c r="D33" s="111" t="s">
        <v>40</v>
      </c>
      <c r="E33" s="111" t="s">
        <v>25</v>
      </c>
      <c r="F33" s="111" t="s">
        <v>25</v>
      </c>
      <c r="G33" s="111" t="s">
        <v>50</v>
      </c>
      <c r="H33" s="111" t="s">
        <v>70</v>
      </c>
      <c r="I33" s="111" t="s">
        <v>25</v>
      </c>
      <c r="J33" s="111">
        <v>514.78</v>
      </c>
      <c r="K33" s="111">
        <v>207.34</v>
      </c>
      <c r="L33" s="111">
        <v>2.40661817811971</v>
      </c>
      <c r="M33" s="111">
        <v>0.71459870050282104</v>
      </c>
      <c r="N33" s="111">
        <v>4.4567055784451703</v>
      </c>
      <c r="O33" s="111">
        <v>0</v>
      </c>
      <c r="P33" s="111">
        <v>0</v>
      </c>
      <c r="Q33" s="111">
        <v>87.992643197296701</v>
      </c>
      <c r="R33" s="111">
        <v>13.941529725952</v>
      </c>
      <c r="S33" s="111">
        <v>0</v>
      </c>
      <c r="T33" s="111">
        <v>0</v>
      </c>
      <c r="U33" s="111">
        <v>0</v>
      </c>
      <c r="V33" s="111">
        <v>0</v>
      </c>
      <c r="W33" s="111">
        <v>0</v>
      </c>
      <c r="X33" s="111">
        <v>179.155100607072</v>
      </c>
      <c r="Y33" s="111">
        <v>0</v>
      </c>
      <c r="Z33" s="111">
        <v>0</v>
      </c>
      <c r="AA33" s="111">
        <v>206.48299412429799</v>
      </c>
      <c r="AB33" s="111">
        <v>0</v>
      </c>
      <c r="AC33" s="111">
        <v>0</v>
      </c>
      <c r="AD33" s="111">
        <v>16.9951980104568</v>
      </c>
      <c r="AE33" s="111">
        <v>0.54654253956990995</v>
      </c>
      <c r="AF33" s="111">
        <v>1.7965938853176799</v>
      </c>
      <c r="AG33" s="111">
        <v>0.29527841964535001</v>
      </c>
      <c r="AH33" s="111">
        <v>2.1434918369145501</v>
      </c>
      <c r="AI33" s="111">
        <v>-15.149674214851601</v>
      </c>
      <c r="AJ33" s="111">
        <v>2.2947580980320899</v>
      </c>
      <c r="AK33" s="111">
        <v>21.013380574250601</v>
      </c>
      <c r="AL33" s="111">
        <v>0</v>
      </c>
      <c r="AM33" s="111">
        <v>182.36911810375901</v>
      </c>
      <c r="AN33" s="111">
        <v>5.3407381354407999</v>
      </c>
      <c r="AO33" s="111">
        <v>3.7386641462424102</v>
      </c>
      <c r="AP33" s="111">
        <v>0</v>
      </c>
      <c r="AQ33" s="111">
        <v>0</v>
      </c>
      <c r="AR33" s="112">
        <v>5.5911985007671801</v>
      </c>
    </row>
    <row r="34" spans="2:44" ht="12" customHeight="1" x14ac:dyDescent="0.25">
      <c r="B34" s="110" t="s">
        <v>39</v>
      </c>
      <c r="C34" s="111" t="s">
        <v>49</v>
      </c>
      <c r="D34" s="111" t="s">
        <v>40</v>
      </c>
      <c r="E34" s="111" t="s">
        <v>25</v>
      </c>
      <c r="F34" s="111" t="s">
        <v>25</v>
      </c>
      <c r="G34" s="111" t="s">
        <v>37</v>
      </c>
      <c r="H34" s="111" t="s">
        <v>70</v>
      </c>
      <c r="I34" s="111" t="s">
        <v>25</v>
      </c>
      <c r="J34" s="111">
        <v>255.01</v>
      </c>
      <c r="K34" s="111">
        <v>207.34</v>
      </c>
      <c r="L34" s="111">
        <v>2.40661817811971</v>
      </c>
      <c r="M34" s="111">
        <v>0.71459870050282104</v>
      </c>
      <c r="N34" s="111">
        <v>1.7774778179778401</v>
      </c>
      <c r="O34" s="111">
        <v>0</v>
      </c>
      <c r="P34" s="111">
        <v>0</v>
      </c>
      <c r="Q34" s="111">
        <v>87.992643197296701</v>
      </c>
      <c r="R34" s="111">
        <v>13.941529725952</v>
      </c>
      <c r="S34" s="111">
        <v>0</v>
      </c>
      <c r="T34" s="111">
        <v>0</v>
      </c>
      <c r="U34" s="111">
        <v>0</v>
      </c>
      <c r="V34" s="111">
        <v>0</v>
      </c>
      <c r="W34" s="111">
        <v>0</v>
      </c>
      <c r="X34" s="111">
        <v>59.718331356325699</v>
      </c>
      <c r="Y34" s="111">
        <v>0</v>
      </c>
      <c r="Z34" s="111">
        <v>0</v>
      </c>
      <c r="AA34" s="111">
        <v>68.827697232246194</v>
      </c>
      <c r="AB34" s="111">
        <v>0</v>
      </c>
      <c r="AC34" s="111">
        <v>0</v>
      </c>
      <c r="AD34" s="111">
        <v>16.9951980104568</v>
      </c>
      <c r="AE34" s="111">
        <v>0.54654253956990995</v>
      </c>
      <c r="AF34" s="111">
        <v>1.7965938853176799</v>
      </c>
      <c r="AG34" s="111">
        <v>0.29527841964535001</v>
      </c>
      <c r="AH34" s="111">
        <v>2.1434918369145501</v>
      </c>
      <c r="AI34" s="111">
        <v>-15.149674214851601</v>
      </c>
      <c r="AJ34" s="111">
        <v>2.2947580980320899</v>
      </c>
      <c r="AK34" s="111">
        <v>21.013380574250601</v>
      </c>
      <c r="AL34" s="111">
        <v>0</v>
      </c>
      <c r="AM34" s="111">
        <v>182.36911810375901</v>
      </c>
      <c r="AN34" s="111">
        <v>5.3407381354407999</v>
      </c>
      <c r="AO34" s="111">
        <v>3.7386641462424102</v>
      </c>
      <c r="AP34" s="111">
        <v>0</v>
      </c>
      <c r="AQ34" s="111">
        <v>0</v>
      </c>
      <c r="AR34" s="112">
        <v>5.5911985007671801</v>
      </c>
    </row>
    <row r="35" spans="2:44" ht="12" customHeight="1" x14ac:dyDescent="0.25">
      <c r="B35" s="110" t="s">
        <v>39</v>
      </c>
      <c r="C35" s="111" t="s">
        <v>49</v>
      </c>
      <c r="D35" s="111" t="s">
        <v>40</v>
      </c>
      <c r="E35" s="111" t="s">
        <v>87</v>
      </c>
      <c r="F35" s="111" t="s">
        <v>25</v>
      </c>
      <c r="G35" s="111" t="s">
        <v>36</v>
      </c>
      <c r="H35" s="111" t="s">
        <v>70</v>
      </c>
      <c r="I35" s="111" t="s">
        <v>25</v>
      </c>
      <c r="J35" s="111">
        <v>758.08</v>
      </c>
      <c r="K35" s="111">
        <v>331.44</v>
      </c>
      <c r="L35" s="111">
        <v>2.3554135360320498</v>
      </c>
      <c r="M35" s="111">
        <v>0.69939447283254796</v>
      </c>
      <c r="N35" s="111">
        <v>6.9841039343140601</v>
      </c>
      <c r="O35" s="111">
        <v>0</v>
      </c>
      <c r="P35" s="111">
        <v>0</v>
      </c>
      <c r="Q35" s="111">
        <v>86.120459299481894</v>
      </c>
      <c r="R35" s="111">
        <v>13.644901433910499</v>
      </c>
      <c r="S35" s="111">
        <v>0</v>
      </c>
      <c r="T35" s="111">
        <v>0</v>
      </c>
      <c r="U35" s="111">
        <v>0</v>
      </c>
      <c r="V35" s="111">
        <v>0</v>
      </c>
      <c r="W35" s="111">
        <v>0</v>
      </c>
      <c r="X35" s="111">
        <v>292.23874707887899</v>
      </c>
      <c r="Y35" s="111">
        <v>0</v>
      </c>
      <c r="Z35" s="111">
        <v>0</v>
      </c>
      <c r="AA35" s="111">
        <v>336.81619971813001</v>
      </c>
      <c r="AB35" s="111">
        <v>0</v>
      </c>
      <c r="AC35" s="111">
        <v>0</v>
      </c>
      <c r="AD35" s="111">
        <v>16.633598052787502</v>
      </c>
      <c r="AE35" s="111">
        <v>0.53491397489821002</v>
      </c>
      <c r="AF35" s="111">
        <v>1.75836848350241</v>
      </c>
      <c r="AG35" s="111">
        <v>0.28899590007842701</v>
      </c>
      <c r="AH35" s="111">
        <v>2.0978856276185001</v>
      </c>
      <c r="AI35" s="111">
        <v>-14.827340720918601</v>
      </c>
      <c r="AJ35" s="111">
        <v>2.2459334576484302</v>
      </c>
      <c r="AK35" s="111">
        <v>20.566287370543201</v>
      </c>
      <c r="AL35" s="111">
        <v>0</v>
      </c>
      <c r="AM35" s="111">
        <v>307.00094945466799</v>
      </c>
      <c r="AN35" s="111">
        <v>5.2271054091548299</v>
      </c>
      <c r="AO35" s="111">
        <v>3.6591181005776701</v>
      </c>
      <c r="AP35" s="111">
        <v>0</v>
      </c>
      <c r="AQ35" s="111">
        <v>0</v>
      </c>
      <c r="AR35" s="112">
        <v>5.4722368305380904</v>
      </c>
    </row>
    <row r="36" spans="2:44" ht="12" customHeight="1" x14ac:dyDescent="0.25">
      <c r="B36" s="110" t="s">
        <v>39</v>
      </c>
      <c r="C36" s="111" t="s">
        <v>49</v>
      </c>
      <c r="D36" s="111" t="s">
        <v>40</v>
      </c>
      <c r="E36" s="111" t="s">
        <v>87</v>
      </c>
      <c r="F36" s="111" t="s">
        <v>25</v>
      </c>
      <c r="G36" s="111" t="s">
        <v>50</v>
      </c>
      <c r="H36" s="111" t="s">
        <v>70</v>
      </c>
      <c r="I36" s="111" t="s">
        <v>25</v>
      </c>
      <c r="J36" s="111">
        <v>503.83</v>
      </c>
      <c r="K36" s="111">
        <v>202.93</v>
      </c>
      <c r="L36" s="111">
        <v>2.3554135360320498</v>
      </c>
      <c r="M36" s="111">
        <v>0.69939447283254796</v>
      </c>
      <c r="N36" s="111">
        <v>4.3618820554995299</v>
      </c>
      <c r="O36" s="111">
        <v>0</v>
      </c>
      <c r="P36" s="111">
        <v>0</v>
      </c>
      <c r="Q36" s="111">
        <v>86.120459299481894</v>
      </c>
      <c r="R36" s="111">
        <v>13.644901433910499</v>
      </c>
      <c r="S36" s="111">
        <v>0</v>
      </c>
      <c r="T36" s="111">
        <v>0</v>
      </c>
      <c r="U36" s="111">
        <v>0</v>
      </c>
      <c r="V36" s="111">
        <v>0</v>
      </c>
      <c r="W36" s="111">
        <v>0</v>
      </c>
      <c r="X36" s="111">
        <v>175.34328995585801</v>
      </c>
      <c r="Y36" s="111">
        <v>0</v>
      </c>
      <c r="Z36" s="111">
        <v>0</v>
      </c>
      <c r="AA36" s="111">
        <v>202.089738930164</v>
      </c>
      <c r="AB36" s="111">
        <v>0</v>
      </c>
      <c r="AC36" s="111">
        <v>0</v>
      </c>
      <c r="AD36" s="111">
        <v>16.633598052787502</v>
      </c>
      <c r="AE36" s="111">
        <v>0.53491397489821002</v>
      </c>
      <c r="AF36" s="111">
        <v>1.75836848350241</v>
      </c>
      <c r="AG36" s="111">
        <v>0.28899590007842701</v>
      </c>
      <c r="AH36" s="111">
        <v>2.0978856276185001</v>
      </c>
      <c r="AI36" s="111">
        <v>-14.827340720918601</v>
      </c>
      <c r="AJ36" s="111">
        <v>2.2459334576484302</v>
      </c>
      <c r="AK36" s="111">
        <v>20.566287370543201</v>
      </c>
      <c r="AL36" s="111">
        <v>0</v>
      </c>
      <c r="AM36" s="111">
        <v>178.48892410155099</v>
      </c>
      <c r="AN36" s="111">
        <v>5.2271054091548299</v>
      </c>
      <c r="AO36" s="111">
        <v>3.6591181005776701</v>
      </c>
      <c r="AP36" s="111">
        <v>0</v>
      </c>
      <c r="AQ36" s="111">
        <v>0</v>
      </c>
      <c r="AR36" s="112">
        <v>5.4722368305380904</v>
      </c>
    </row>
    <row r="37" spans="2:44" ht="12" customHeight="1" x14ac:dyDescent="0.25">
      <c r="B37" s="110" t="s">
        <v>39</v>
      </c>
      <c r="C37" s="111" t="s">
        <v>49</v>
      </c>
      <c r="D37" s="111" t="s">
        <v>40</v>
      </c>
      <c r="E37" s="111" t="s">
        <v>87</v>
      </c>
      <c r="F37" s="111" t="s">
        <v>25</v>
      </c>
      <c r="G37" s="111" t="s">
        <v>37</v>
      </c>
      <c r="H37" s="111" t="s">
        <v>70</v>
      </c>
      <c r="I37" s="111" t="s">
        <v>25</v>
      </c>
      <c r="J37" s="111">
        <v>249.59</v>
      </c>
      <c r="K37" s="111">
        <v>202.93</v>
      </c>
      <c r="L37" s="111">
        <v>2.3554135360320498</v>
      </c>
      <c r="M37" s="111">
        <v>0.69939447283254796</v>
      </c>
      <c r="N37" s="111">
        <v>1.7396591409995901</v>
      </c>
      <c r="O37" s="111">
        <v>0</v>
      </c>
      <c r="P37" s="111">
        <v>0</v>
      </c>
      <c r="Q37" s="111">
        <v>86.120459299481894</v>
      </c>
      <c r="R37" s="111">
        <v>13.644901433910499</v>
      </c>
      <c r="S37" s="111">
        <v>0</v>
      </c>
      <c r="T37" s="111">
        <v>0</v>
      </c>
      <c r="U37" s="111">
        <v>0</v>
      </c>
      <c r="V37" s="111">
        <v>0</v>
      </c>
      <c r="W37" s="111">
        <v>0</v>
      </c>
      <c r="X37" s="111">
        <v>58.447728561510203</v>
      </c>
      <c r="Y37" s="111">
        <v>0</v>
      </c>
      <c r="Z37" s="111">
        <v>0</v>
      </c>
      <c r="AA37" s="111">
        <v>67.363278142198496</v>
      </c>
      <c r="AB37" s="111">
        <v>0</v>
      </c>
      <c r="AC37" s="111">
        <v>0</v>
      </c>
      <c r="AD37" s="111">
        <v>16.633598052787502</v>
      </c>
      <c r="AE37" s="111">
        <v>0.53491397489821002</v>
      </c>
      <c r="AF37" s="111">
        <v>1.75836848350241</v>
      </c>
      <c r="AG37" s="111">
        <v>0.28899590007842701</v>
      </c>
      <c r="AH37" s="111">
        <v>2.0978856276185001</v>
      </c>
      <c r="AI37" s="111">
        <v>-14.827340720918601</v>
      </c>
      <c r="AJ37" s="111">
        <v>2.2459334576484302</v>
      </c>
      <c r="AK37" s="111">
        <v>20.566287370543201</v>
      </c>
      <c r="AL37" s="111">
        <v>0</v>
      </c>
      <c r="AM37" s="111">
        <v>178.48892410155099</v>
      </c>
      <c r="AN37" s="111">
        <v>5.2271054091548299</v>
      </c>
      <c r="AO37" s="111">
        <v>3.6591181005776701</v>
      </c>
      <c r="AP37" s="111">
        <v>0</v>
      </c>
      <c r="AQ37" s="111">
        <v>0</v>
      </c>
      <c r="AR37" s="112">
        <v>5.4722368305380904</v>
      </c>
    </row>
    <row r="38" spans="2:44" ht="12" customHeight="1" x14ac:dyDescent="0.25">
      <c r="B38" s="110" t="s">
        <v>39</v>
      </c>
      <c r="C38" s="111" t="s">
        <v>23</v>
      </c>
      <c r="D38" s="111" t="s">
        <v>40</v>
      </c>
      <c r="E38" s="111" t="s">
        <v>86</v>
      </c>
      <c r="F38" s="111" t="s">
        <v>25</v>
      </c>
      <c r="G38" s="111" t="s">
        <v>25</v>
      </c>
      <c r="H38" s="111" t="s">
        <v>70</v>
      </c>
      <c r="I38" s="111" t="s">
        <v>25</v>
      </c>
      <c r="J38" s="111">
        <v>370.19</v>
      </c>
      <c r="K38" s="111">
        <v>218.28</v>
      </c>
      <c r="L38" s="111">
        <v>2.40661817811971</v>
      </c>
      <c r="M38" s="111">
        <v>0.71459870050282104</v>
      </c>
      <c r="N38" s="111">
        <v>2.9654367775584798</v>
      </c>
      <c r="O38" s="111">
        <v>0</v>
      </c>
      <c r="P38" s="111">
        <v>0</v>
      </c>
      <c r="Q38" s="111">
        <v>87.992643197296701</v>
      </c>
      <c r="R38" s="111">
        <v>13.941529725952</v>
      </c>
      <c r="S38" s="111">
        <v>0</v>
      </c>
      <c r="T38" s="111">
        <v>0</v>
      </c>
      <c r="U38" s="111">
        <v>0</v>
      </c>
      <c r="V38" s="111">
        <v>0</v>
      </c>
      <c r="W38" s="111">
        <v>0</v>
      </c>
      <c r="X38" s="111">
        <v>112.67618132514301</v>
      </c>
      <c r="Y38" s="111">
        <v>0</v>
      </c>
      <c r="Z38" s="111">
        <v>0</v>
      </c>
      <c r="AA38" s="111">
        <v>129.863454496201</v>
      </c>
      <c r="AB38" s="111">
        <v>0</v>
      </c>
      <c r="AC38" s="111">
        <v>0</v>
      </c>
      <c r="AD38" s="111">
        <v>16.9951980104568</v>
      </c>
      <c r="AE38" s="111">
        <v>0.54654253956990995</v>
      </c>
      <c r="AF38" s="111">
        <v>1.7965938853176799</v>
      </c>
      <c r="AG38" s="111">
        <v>0.29527841964535001</v>
      </c>
      <c r="AH38" s="111">
        <v>2.1434918369145501</v>
      </c>
      <c r="AI38" s="111">
        <v>-15.149674214851601</v>
      </c>
      <c r="AJ38" s="111">
        <v>2.2947580980320899</v>
      </c>
      <c r="AK38" s="111">
        <v>21.013380574250601</v>
      </c>
      <c r="AL38" s="111">
        <v>0</v>
      </c>
      <c r="AM38" s="111">
        <v>193.311265189984</v>
      </c>
      <c r="AN38" s="111">
        <v>5.3407381354407999</v>
      </c>
      <c r="AO38" s="111">
        <v>3.7386641462424102</v>
      </c>
      <c r="AP38" s="111">
        <v>0</v>
      </c>
      <c r="AQ38" s="111">
        <v>0</v>
      </c>
      <c r="AR38" s="112">
        <v>5.5911985007671801</v>
      </c>
    </row>
    <row r="39" spans="2:44" ht="12" customHeight="1" x14ac:dyDescent="0.25">
      <c r="B39" s="110" t="s">
        <v>39</v>
      </c>
      <c r="C39" s="111" t="s">
        <v>23</v>
      </c>
      <c r="D39" s="111" t="s">
        <v>40</v>
      </c>
      <c r="E39" s="111" t="s">
        <v>25</v>
      </c>
      <c r="F39" s="111" t="s">
        <v>25</v>
      </c>
      <c r="G39" s="111" t="s">
        <v>25</v>
      </c>
      <c r="H39" s="111" t="s">
        <v>70</v>
      </c>
      <c r="I39" s="111" t="s">
        <v>25</v>
      </c>
      <c r="J39" s="111">
        <v>370.19</v>
      </c>
      <c r="K39" s="111">
        <v>218.28</v>
      </c>
      <c r="L39" s="111">
        <v>2.40661817811971</v>
      </c>
      <c r="M39" s="111">
        <v>0.71459870050282104</v>
      </c>
      <c r="N39" s="111">
        <v>2.9654367775584798</v>
      </c>
      <c r="O39" s="111">
        <v>0</v>
      </c>
      <c r="P39" s="111">
        <v>0</v>
      </c>
      <c r="Q39" s="111">
        <v>87.992643197296701</v>
      </c>
      <c r="R39" s="111">
        <v>13.941529725952</v>
      </c>
      <c r="S39" s="111">
        <v>0</v>
      </c>
      <c r="T39" s="111">
        <v>0</v>
      </c>
      <c r="U39" s="111">
        <v>0</v>
      </c>
      <c r="V39" s="111">
        <v>0</v>
      </c>
      <c r="W39" s="111">
        <v>0</v>
      </c>
      <c r="X39" s="111">
        <v>112.67618132514301</v>
      </c>
      <c r="Y39" s="111">
        <v>0</v>
      </c>
      <c r="Z39" s="111">
        <v>0</v>
      </c>
      <c r="AA39" s="111">
        <v>129.863454496201</v>
      </c>
      <c r="AB39" s="111">
        <v>0</v>
      </c>
      <c r="AC39" s="111">
        <v>0</v>
      </c>
      <c r="AD39" s="111">
        <v>16.9951980104568</v>
      </c>
      <c r="AE39" s="111">
        <v>0.54654253956990995</v>
      </c>
      <c r="AF39" s="111">
        <v>1.7965938853176799</v>
      </c>
      <c r="AG39" s="111">
        <v>0.29527841964535001</v>
      </c>
      <c r="AH39" s="111">
        <v>2.1434918369145501</v>
      </c>
      <c r="AI39" s="111">
        <v>-15.149674214851601</v>
      </c>
      <c r="AJ39" s="111">
        <v>2.2947580980320899</v>
      </c>
      <c r="AK39" s="111">
        <v>21.013380574250601</v>
      </c>
      <c r="AL39" s="111">
        <v>0</v>
      </c>
      <c r="AM39" s="111">
        <v>193.311265189984</v>
      </c>
      <c r="AN39" s="111">
        <v>5.3407381354407999</v>
      </c>
      <c r="AO39" s="111">
        <v>3.7386641462424102</v>
      </c>
      <c r="AP39" s="111">
        <v>0</v>
      </c>
      <c r="AQ39" s="111">
        <v>0</v>
      </c>
      <c r="AR39" s="112">
        <v>5.5911985007671801</v>
      </c>
    </row>
    <row r="40" spans="2:44" ht="12" customHeight="1" x14ac:dyDescent="0.25">
      <c r="B40" s="110" t="s">
        <v>39</v>
      </c>
      <c r="C40" s="111" t="s">
        <v>23</v>
      </c>
      <c r="D40" s="111" t="s">
        <v>40</v>
      </c>
      <c r="E40" s="111" t="s">
        <v>87</v>
      </c>
      <c r="F40" s="111" t="s">
        <v>25</v>
      </c>
      <c r="G40" s="111" t="s">
        <v>25</v>
      </c>
      <c r="H40" s="111" t="s">
        <v>70</v>
      </c>
      <c r="I40" s="111" t="s">
        <v>25</v>
      </c>
      <c r="J40" s="111">
        <v>362.32</v>
      </c>
      <c r="K40" s="111">
        <v>213.64</v>
      </c>
      <c r="L40" s="111">
        <v>2.3554135360320498</v>
      </c>
      <c r="M40" s="111">
        <v>0.69939447283254796</v>
      </c>
      <c r="N40" s="111">
        <v>2.9023423780359598</v>
      </c>
      <c r="O40" s="111">
        <v>0</v>
      </c>
      <c r="P40" s="111">
        <v>0</v>
      </c>
      <c r="Q40" s="111">
        <v>86.120459299481894</v>
      </c>
      <c r="R40" s="111">
        <v>13.644901433910499</v>
      </c>
      <c r="S40" s="111">
        <v>0</v>
      </c>
      <c r="T40" s="111">
        <v>0</v>
      </c>
      <c r="U40" s="111">
        <v>0</v>
      </c>
      <c r="V40" s="111">
        <v>0</v>
      </c>
      <c r="W40" s="111">
        <v>0</v>
      </c>
      <c r="X40" s="111">
        <v>110.278815765034</v>
      </c>
      <c r="Y40" s="111">
        <v>0</v>
      </c>
      <c r="Z40" s="111">
        <v>0</v>
      </c>
      <c r="AA40" s="111">
        <v>127.100402272878</v>
      </c>
      <c r="AB40" s="111">
        <v>0</v>
      </c>
      <c r="AC40" s="111">
        <v>0</v>
      </c>
      <c r="AD40" s="111">
        <v>16.633598052787502</v>
      </c>
      <c r="AE40" s="111">
        <v>0.53491397489821002</v>
      </c>
      <c r="AF40" s="111">
        <v>1.75836848350241</v>
      </c>
      <c r="AG40" s="111">
        <v>0.28899590007842701</v>
      </c>
      <c r="AH40" s="111">
        <v>2.0978856276185001</v>
      </c>
      <c r="AI40" s="111">
        <v>-14.827340720918601</v>
      </c>
      <c r="AJ40" s="111">
        <v>2.2459334576484302</v>
      </c>
      <c r="AK40" s="111">
        <v>20.566287370543201</v>
      </c>
      <c r="AL40" s="111">
        <v>0</v>
      </c>
      <c r="AM40" s="111">
        <v>189.198259547644</v>
      </c>
      <c r="AN40" s="111">
        <v>5.2271054091548299</v>
      </c>
      <c r="AO40" s="111">
        <v>3.6591181005776701</v>
      </c>
      <c r="AP40" s="111">
        <v>0</v>
      </c>
      <c r="AQ40" s="111">
        <v>0</v>
      </c>
      <c r="AR40" s="112">
        <v>5.4722368305380904</v>
      </c>
    </row>
    <row r="41" spans="2:44" ht="12" customHeight="1" x14ac:dyDescent="0.25">
      <c r="B41" s="110" t="s">
        <v>39</v>
      </c>
      <c r="C41" s="111" t="s">
        <v>85</v>
      </c>
      <c r="D41" s="111" t="s">
        <v>40</v>
      </c>
      <c r="E41" s="111" t="s">
        <v>86</v>
      </c>
      <c r="F41" s="111" t="s">
        <v>25</v>
      </c>
      <c r="G41" s="111" t="s">
        <v>25</v>
      </c>
      <c r="H41" s="111" t="s">
        <v>70</v>
      </c>
      <c r="I41" s="111" t="s">
        <v>25</v>
      </c>
      <c r="J41" s="111">
        <v>370.19</v>
      </c>
      <c r="K41" s="111">
        <v>218.28</v>
      </c>
      <c r="L41" s="111">
        <v>2.40661817811971</v>
      </c>
      <c r="M41" s="111">
        <v>0.71459870050282104</v>
      </c>
      <c r="N41" s="111">
        <v>2.9654367775584798</v>
      </c>
      <c r="O41" s="111">
        <v>0</v>
      </c>
      <c r="P41" s="111">
        <v>0</v>
      </c>
      <c r="Q41" s="111">
        <v>87.992643197296701</v>
      </c>
      <c r="R41" s="111">
        <v>13.941529725952</v>
      </c>
      <c r="S41" s="111">
        <v>0</v>
      </c>
      <c r="T41" s="111">
        <v>0</v>
      </c>
      <c r="U41" s="111">
        <v>0</v>
      </c>
      <c r="V41" s="111">
        <v>0</v>
      </c>
      <c r="W41" s="111">
        <v>0</v>
      </c>
      <c r="X41" s="111">
        <v>112.67618132514301</v>
      </c>
      <c r="Y41" s="111">
        <v>0</v>
      </c>
      <c r="Z41" s="111">
        <v>0</v>
      </c>
      <c r="AA41" s="111">
        <v>129.863454496201</v>
      </c>
      <c r="AB41" s="111">
        <v>0</v>
      </c>
      <c r="AC41" s="111">
        <v>0</v>
      </c>
      <c r="AD41" s="111">
        <v>16.9951980104568</v>
      </c>
      <c r="AE41" s="111">
        <v>0.54654253956990995</v>
      </c>
      <c r="AF41" s="111">
        <v>1.7965938853176799</v>
      </c>
      <c r="AG41" s="111">
        <v>0.29527841964535001</v>
      </c>
      <c r="AH41" s="111">
        <v>2.1434918369145501</v>
      </c>
      <c r="AI41" s="111">
        <v>-15.149674214851601</v>
      </c>
      <c r="AJ41" s="111">
        <v>2.2947580980320899</v>
      </c>
      <c r="AK41" s="111">
        <v>21.013380574250601</v>
      </c>
      <c r="AL41" s="111">
        <v>0</v>
      </c>
      <c r="AM41" s="111">
        <v>193.311265189984</v>
      </c>
      <c r="AN41" s="111">
        <v>5.3407381354407999</v>
      </c>
      <c r="AO41" s="111">
        <v>3.7386641462424102</v>
      </c>
      <c r="AP41" s="111">
        <v>0</v>
      </c>
      <c r="AQ41" s="111">
        <v>0</v>
      </c>
      <c r="AR41" s="112">
        <v>5.5911985007671801</v>
      </c>
    </row>
    <row r="42" spans="2:44" ht="12" customHeight="1" x14ac:dyDescent="0.25">
      <c r="B42" s="110" t="s">
        <v>39</v>
      </c>
      <c r="C42" s="111" t="s">
        <v>85</v>
      </c>
      <c r="D42" s="111" t="s">
        <v>40</v>
      </c>
      <c r="E42" s="111" t="s">
        <v>25</v>
      </c>
      <c r="F42" s="111" t="s">
        <v>25</v>
      </c>
      <c r="G42" s="111" t="s">
        <v>25</v>
      </c>
      <c r="H42" s="111" t="s">
        <v>70</v>
      </c>
      <c r="I42" s="111" t="s">
        <v>25</v>
      </c>
      <c r="J42" s="111">
        <v>370.19</v>
      </c>
      <c r="K42" s="111">
        <v>218.28</v>
      </c>
      <c r="L42" s="111">
        <v>2.40661817811971</v>
      </c>
      <c r="M42" s="111">
        <v>0.71459870050282104</v>
      </c>
      <c r="N42" s="111">
        <v>2.9654367775584798</v>
      </c>
      <c r="O42" s="111">
        <v>0</v>
      </c>
      <c r="P42" s="111">
        <v>0</v>
      </c>
      <c r="Q42" s="111">
        <v>87.992643197296701</v>
      </c>
      <c r="R42" s="111">
        <v>13.941529725952</v>
      </c>
      <c r="S42" s="111">
        <v>0</v>
      </c>
      <c r="T42" s="111">
        <v>0</v>
      </c>
      <c r="U42" s="111">
        <v>0</v>
      </c>
      <c r="V42" s="111">
        <v>0</v>
      </c>
      <c r="W42" s="111">
        <v>0</v>
      </c>
      <c r="X42" s="111">
        <v>112.67618132514301</v>
      </c>
      <c r="Y42" s="111">
        <v>0</v>
      </c>
      <c r="Z42" s="111">
        <v>0</v>
      </c>
      <c r="AA42" s="111">
        <v>129.863454496201</v>
      </c>
      <c r="AB42" s="111">
        <v>0</v>
      </c>
      <c r="AC42" s="111">
        <v>0</v>
      </c>
      <c r="AD42" s="111">
        <v>16.9951980104568</v>
      </c>
      <c r="AE42" s="111">
        <v>0.54654253956990995</v>
      </c>
      <c r="AF42" s="111">
        <v>1.7965938853176799</v>
      </c>
      <c r="AG42" s="111">
        <v>0.29527841964535001</v>
      </c>
      <c r="AH42" s="111">
        <v>2.1434918369145501</v>
      </c>
      <c r="AI42" s="111">
        <v>-15.149674214851601</v>
      </c>
      <c r="AJ42" s="111">
        <v>2.2947580980320899</v>
      </c>
      <c r="AK42" s="111">
        <v>21.013380574250601</v>
      </c>
      <c r="AL42" s="111">
        <v>0</v>
      </c>
      <c r="AM42" s="111">
        <v>193.311265189984</v>
      </c>
      <c r="AN42" s="111">
        <v>5.3407381354407999</v>
      </c>
      <c r="AO42" s="111">
        <v>3.7386641462424102</v>
      </c>
      <c r="AP42" s="111">
        <v>0</v>
      </c>
      <c r="AQ42" s="111">
        <v>0</v>
      </c>
      <c r="AR42" s="112">
        <v>5.5911985007671801</v>
      </c>
    </row>
    <row r="43" spans="2:44" ht="12" customHeight="1" x14ac:dyDescent="0.25">
      <c r="B43" s="110" t="s">
        <v>39</v>
      </c>
      <c r="C43" s="111" t="s">
        <v>85</v>
      </c>
      <c r="D43" s="111" t="s">
        <v>40</v>
      </c>
      <c r="E43" s="111" t="s">
        <v>87</v>
      </c>
      <c r="F43" s="111" t="s">
        <v>25</v>
      </c>
      <c r="G43" s="111" t="s">
        <v>25</v>
      </c>
      <c r="H43" s="111" t="s">
        <v>70</v>
      </c>
      <c r="I43" s="111" t="s">
        <v>25</v>
      </c>
      <c r="J43" s="111">
        <v>362.32</v>
      </c>
      <c r="K43" s="111">
        <v>213.64</v>
      </c>
      <c r="L43" s="111">
        <v>2.3554135360320498</v>
      </c>
      <c r="M43" s="111">
        <v>0.69939447283254796</v>
      </c>
      <c r="N43" s="111">
        <v>2.9023423780359598</v>
      </c>
      <c r="O43" s="111">
        <v>0</v>
      </c>
      <c r="P43" s="111">
        <v>0</v>
      </c>
      <c r="Q43" s="111">
        <v>86.120459299481894</v>
      </c>
      <c r="R43" s="111">
        <v>13.644901433910499</v>
      </c>
      <c r="S43" s="111">
        <v>0</v>
      </c>
      <c r="T43" s="111">
        <v>0</v>
      </c>
      <c r="U43" s="111">
        <v>0</v>
      </c>
      <c r="V43" s="111">
        <v>0</v>
      </c>
      <c r="W43" s="111">
        <v>0</v>
      </c>
      <c r="X43" s="111">
        <v>110.278815765034</v>
      </c>
      <c r="Y43" s="111">
        <v>0</v>
      </c>
      <c r="Z43" s="111">
        <v>0</v>
      </c>
      <c r="AA43" s="111">
        <v>127.100402272878</v>
      </c>
      <c r="AB43" s="111">
        <v>0</v>
      </c>
      <c r="AC43" s="111">
        <v>0</v>
      </c>
      <c r="AD43" s="111">
        <v>16.633598052787502</v>
      </c>
      <c r="AE43" s="111">
        <v>0.53491397489821002</v>
      </c>
      <c r="AF43" s="111">
        <v>1.75836848350241</v>
      </c>
      <c r="AG43" s="111">
        <v>0.28899590007842701</v>
      </c>
      <c r="AH43" s="111">
        <v>2.0978856276185001</v>
      </c>
      <c r="AI43" s="111">
        <v>-14.827340720918601</v>
      </c>
      <c r="AJ43" s="111">
        <v>2.2459334576484302</v>
      </c>
      <c r="AK43" s="111">
        <v>20.566287370543201</v>
      </c>
      <c r="AL43" s="111">
        <v>0</v>
      </c>
      <c r="AM43" s="111">
        <v>189.198259547644</v>
      </c>
      <c r="AN43" s="111">
        <v>5.2271054091548299</v>
      </c>
      <c r="AO43" s="111">
        <v>3.6591181005776701</v>
      </c>
      <c r="AP43" s="111">
        <v>0</v>
      </c>
      <c r="AQ43" s="111">
        <v>0</v>
      </c>
      <c r="AR43" s="112">
        <v>5.4722368305380904</v>
      </c>
    </row>
    <row r="44" spans="2:44" ht="12" customHeight="1" x14ac:dyDescent="0.25">
      <c r="B44" s="110" t="s">
        <v>32</v>
      </c>
      <c r="C44" s="111" t="s">
        <v>49</v>
      </c>
      <c r="D44" s="111" t="s">
        <v>25</v>
      </c>
      <c r="E44" s="111" t="s">
        <v>25</v>
      </c>
      <c r="F44" s="111" t="s">
        <v>25</v>
      </c>
      <c r="G44" s="111" t="s">
        <v>36</v>
      </c>
      <c r="H44" s="111" t="s">
        <v>70</v>
      </c>
      <c r="I44" s="111" t="s">
        <v>25</v>
      </c>
      <c r="J44" s="111">
        <v>1342.81</v>
      </c>
      <c r="K44" s="111">
        <v>360.26</v>
      </c>
      <c r="L44" s="111">
        <v>2.5602321043826701</v>
      </c>
      <c r="M44" s="111">
        <v>0.76021138351363904</v>
      </c>
      <c r="N44" s="111">
        <v>12.9423423271261</v>
      </c>
      <c r="O44" s="111">
        <v>0</v>
      </c>
      <c r="P44" s="111">
        <v>0</v>
      </c>
      <c r="Q44" s="111">
        <v>93.609194890741193</v>
      </c>
      <c r="R44" s="111">
        <v>14.831414602076601</v>
      </c>
      <c r="S44" s="111">
        <v>0</v>
      </c>
      <c r="T44" s="111">
        <v>0</v>
      </c>
      <c r="U44" s="111">
        <v>0</v>
      </c>
      <c r="V44" s="111">
        <v>0</v>
      </c>
      <c r="W44" s="111">
        <v>0</v>
      </c>
      <c r="X44" s="111">
        <v>556.18858780212395</v>
      </c>
      <c r="Y44" s="111">
        <v>0</v>
      </c>
      <c r="Z44" s="111">
        <v>0</v>
      </c>
      <c r="AA44" s="111">
        <v>641.02830680389798</v>
      </c>
      <c r="AB44" s="111">
        <v>0</v>
      </c>
      <c r="AC44" s="111">
        <v>0</v>
      </c>
      <c r="AD44" s="111">
        <v>18.079997883464699</v>
      </c>
      <c r="AE44" s="111">
        <v>0.58142823358501095</v>
      </c>
      <c r="AF44" s="111">
        <v>1.9112700907634901</v>
      </c>
      <c r="AG44" s="111">
        <v>0.314125978346117</v>
      </c>
      <c r="AH44" s="111">
        <v>2.2803104648027102</v>
      </c>
      <c r="AI44" s="111">
        <v>-16.116674696650598</v>
      </c>
      <c r="AJ44" s="111">
        <v>2.4412320191830701</v>
      </c>
      <c r="AK44" s="111">
        <v>22.354660185373</v>
      </c>
      <c r="AL44" s="111">
        <v>0</v>
      </c>
      <c r="AM44" s="111">
        <v>333.696684189856</v>
      </c>
      <c r="AN44" s="111">
        <v>5.6816363142987303</v>
      </c>
      <c r="AO44" s="111">
        <v>3.9773022832365998</v>
      </c>
      <c r="AP44" s="111">
        <v>0</v>
      </c>
      <c r="AQ44" s="111">
        <v>0</v>
      </c>
      <c r="AR44" s="112">
        <v>5.9480835114544401</v>
      </c>
    </row>
    <row r="45" spans="2:44" ht="12" customHeight="1" x14ac:dyDescent="0.25">
      <c r="B45" s="110" t="s">
        <v>32</v>
      </c>
      <c r="C45" s="111" t="s">
        <v>49</v>
      </c>
      <c r="D45" s="111" t="s">
        <v>25</v>
      </c>
      <c r="E45" s="111" t="s">
        <v>25</v>
      </c>
      <c r="F45" s="111" t="s">
        <v>25</v>
      </c>
      <c r="G45" s="111" t="s">
        <v>50</v>
      </c>
      <c r="H45" s="111" t="s">
        <v>70</v>
      </c>
      <c r="I45" s="111" t="s">
        <v>25</v>
      </c>
      <c r="J45" s="111">
        <v>586.75</v>
      </c>
      <c r="K45" s="111">
        <v>220.58</v>
      </c>
      <c r="L45" s="111">
        <v>2.5602321043826701</v>
      </c>
      <c r="M45" s="111">
        <v>0.76021138351363904</v>
      </c>
      <c r="N45" s="111">
        <v>5.1445114507203096</v>
      </c>
      <c r="O45" s="111">
        <v>0</v>
      </c>
      <c r="P45" s="111">
        <v>0</v>
      </c>
      <c r="Q45" s="111">
        <v>93.609194890741193</v>
      </c>
      <c r="R45" s="111">
        <v>14.831414602076601</v>
      </c>
      <c r="S45" s="111">
        <v>0</v>
      </c>
      <c r="T45" s="111">
        <v>0</v>
      </c>
      <c r="U45" s="111">
        <v>0</v>
      </c>
      <c r="V45" s="111">
        <v>0</v>
      </c>
      <c r="W45" s="111">
        <v>0</v>
      </c>
      <c r="X45" s="111">
        <v>208.57076292769599</v>
      </c>
      <c r="Y45" s="111">
        <v>0</v>
      </c>
      <c r="Z45" s="111">
        <v>0</v>
      </c>
      <c r="AA45" s="111">
        <v>240.38558910134401</v>
      </c>
      <c r="AB45" s="111">
        <v>0</v>
      </c>
      <c r="AC45" s="111">
        <v>0</v>
      </c>
      <c r="AD45" s="111">
        <v>18.079997883464699</v>
      </c>
      <c r="AE45" s="111">
        <v>0.58142823358501095</v>
      </c>
      <c r="AF45" s="111">
        <v>1.9112700907634901</v>
      </c>
      <c r="AG45" s="111">
        <v>0.314125978346117</v>
      </c>
      <c r="AH45" s="111">
        <v>2.2803104648027102</v>
      </c>
      <c r="AI45" s="111">
        <v>-16.116674696650598</v>
      </c>
      <c r="AJ45" s="111">
        <v>2.4412320191830701</v>
      </c>
      <c r="AK45" s="111">
        <v>22.354660185373</v>
      </c>
      <c r="AL45" s="111">
        <v>0</v>
      </c>
      <c r="AM45" s="111">
        <v>194.009700110382</v>
      </c>
      <c r="AN45" s="111">
        <v>5.6816363142987303</v>
      </c>
      <c r="AO45" s="111">
        <v>3.9773022832365998</v>
      </c>
      <c r="AP45" s="111">
        <v>0</v>
      </c>
      <c r="AQ45" s="111">
        <v>0</v>
      </c>
      <c r="AR45" s="112">
        <v>5.9480835114544401</v>
      </c>
    </row>
    <row r="46" spans="2:44" ht="12" customHeight="1" x14ac:dyDescent="0.25">
      <c r="B46" s="110" t="s">
        <v>32</v>
      </c>
      <c r="C46" s="111" t="s">
        <v>49</v>
      </c>
      <c r="D46" s="111" t="s">
        <v>25</v>
      </c>
      <c r="E46" s="111" t="s">
        <v>25</v>
      </c>
      <c r="F46" s="111" t="s">
        <v>25</v>
      </c>
      <c r="G46" s="111" t="s">
        <v>37</v>
      </c>
      <c r="H46" s="111" t="s">
        <v>70</v>
      </c>
      <c r="I46" s="111" t="s">
        <v>25</v>
      </c>
      <c r="J46" s="111">
        <v>284.33</v>
      </c>
      <c r="K46" s="111">
        <v>220.58</v>
      </c>
      <c r="L46" s="111">
        <v>2.5602321043826701</v>
      </c>
      <c r="M46" s="111">
        <v>0.76021138351363904</v>
      </c>
      <c r="N46" s="111">
        <v>2.025379325307</v>
      </c>
      <c r="O46" s="111">
        <v>0</v>
      </c>
      <c r="P46" s="111">
        <v>0</v>
      </c>
      <c r="Q46" s="111">
        <v>93.609194890741193</v>
      </c>
      <c r="R46" s="111">
        <v>14.831414602076601</v>
      </c>
      <c r="S46" s="111">
        <v>0</v>
      </c>
      <c r="T46" s="111">
        <v>0</v>
      </c>
      <c r="U46" s="111">
        <v>0</v>
      </c>
      <c r="V46" s="111">
        <v>0</v>
      </c>
      <c r="W46" s="111">
        <v>0</v>
      </c>
      <c r="X46" s="111">
        <v>69.523587642565403</v>
      </c>
      <c r="Y46" s="111">
        <v>0</v>
      </c>
      <c r="Z46" s="111">
        <v>0</v>
      </c>
      <c r="AA46" s="111">
        <v>80.128564300604395</v>
      </c>
      <c r="AB46" s="111">
        <v>0</v>
      </c>
      <c r="AC46" s="111">
        <v>0</v>
      </c>
      <c r="AD46" s="111">
        <v>18.079997883464699</v>
      </c>
      <c r="AE46" s="111">
        <v>0.58142823358501095</v>
      </c>
      <c r="AF46" s="111">
        <v>1.9112700907634901</v>
      </c>
      <c r="AG46" s="111">
        <v>0.314125978346117</v>
      </c>
      <c r="AH46" s="111">
        <v>2.2803104648027102</v>
      </c>
      <c r="AI46" s="111">
        <v>-16.116674696650598</v>
      </c>
      <c r="AJ46" s="111">
        <v>2.4412320191830701</v>
      </c>
      <c r="AK46" s="111">
        <v>22.354660185373</v>
      </c>
      <c r="AL46" s="111">
        <v>0</v>
      </c>
      <c r="AM46" s="111">
        <v>194.009700110382</v>
      </c>
      <c r="AN46" s="111">
        <v>5.6816363142987303</v>
      </c>
      <c r="AO46" s="111">
        <v>3.9773022832365998</v>
      </c>
      <c r="AP46" s="111">
        <v>0</v>
      </c>
      <c r="AQ46" s="111">
        <v>0</v>
      </c>
      <c r="AR46" s="112">
        <v>5.9480835114544401</v>
      </c>
    </row>
    <row r="47" spans="2:44" ht="12" customHeight="1" x14ac:dyDescent="0.25">
      <c r="B47" s="110" t="s">
        <v>32</v>
      </c>
      <c r="C47" s="111" t="s">
        <v>23</v>
      </c>
      <c r="D47" s="111" t="s">
        <v>25</v>
      </c>
      <c r="E47" s="111" t="s">
        <v>25</v>
      </c>
      <c r="F47" s="111" t="s">
        <v>25</v>
      </c>
      <c r="G47" s="111" t="s">
        <v>25</v>
      </c>
      <c r="H47" s="111" t="s">
        <v>70</v>
      </c>
      <c r="I47" s="111" t="s">
        <v>25</v>
      </c>
      <c r="J47" s="111">
        <v>393.82</v>
      </c>
      <c r="K47" s="111">
        <v>232.22</v>
      </c>
      <c r="L47" s="111">
        <v>2.5602321043826701</v>
      </c>
      <c r="M47" s="111">
        <v>0.76021138351363904</v>
      </c>
      <c r="N47" s="111">
        <v>3.15471997612604</v>
      </c>
      <c r="O47" s="111">
        <v>0</v>
      </c>
      <c r="P47" s="111">
        <v>0</v>
      </c>
      <c r="Q47" s="111">
        <v>93.609194890741193</v>
      </c>
      <c r="R47" s="111">
        <v>14.831414602076601</v>
      </c>
      <c r="S47" s="111">
        <v>0</v>
      </c>
      <c r="T47" s="111">
        <v>0</v>
      </c>
      <c r="U47" s="111">
        <v>0</v>
      </c>
      <c r="V47" s="111">
        <v>0</v>
      </c>
      <c r="W47" s="111">
        <v>0</v>
      </c>
      <c r="X47" s="111">
        <v>119.868278005471</v>
      </c>
      <c r="Y47" s="111">
        <v>0</v>
      </c>
      <c r="Z47" s="111">
        <v>0</v>
      </c>
      <c r="AA47" s="111">
        <v>138.152611166171</v>
      </c>
      <c r="AB47" s="111">
        <v>0</v>
      </c>
      <c r="AC47" s="111">
        <v>0</v>
      </c>
      <c r="AD47" s="111">
        <v>18.079997883464699</v>
      </c>
      <c r="AE47" s="111">
        <v>0.58142823358501095</v>
      </c>
      <c r="AF47" s="111">
        <v>1.9112700907634901</v>
      </c>
      <c r="AG47" s="111">
        <v>0.314125978346117</v>
      </c>
      <c r="AH47" s="111">
        <v>2.2803104648027102</v>
      </c>
      <c r="AI47" s="111">
        <v>-16.116674696650598</v>
      </c>
      <c r="AJ47" s="111">
        <v>2.4412320191830701</v>
      </c>
      <c r="AK47" s="111">
        <v>22.354660185373</v>
      </c>
      <c r="AL47" s="111">
        <v>0</v>
      </c>
      <c r="AM47" s="111">
        <v>205.650282117004</v>
      </c>
      <c r="AN47" s="111">
        <v>5.6816363142987303</v>
      </c>
      <c r="AO47" s="111">
        <v>3.9773022832365998</v>
      </c>
      <c r="AP47" s="111">
        <v>0</v>
      </c>
      <c r="AQ47" s="111">
        <v>0</v>
      </c>
      <c r="AR47" s="112">
        <v>5.9480835114544401</v>
      </c>
    </row>
    <row r="48" spans="2:44" ht="12" customHeight="1" x14ac:dyDescent="0.25">
      <c r="B48" s="110" t="s">
        <v>32</v>
      </c>
      <c r="C48" s="111" t="s">
        <v>85</v>
      </c>
      <c r="D48" s="111" t="s">
        <v>25</v>
      </c>
      <c r="E48" s="111" t="s">
        <v>25</v>
      </c>
      <c r="F48" s="111" t="s">
        <v>25</v>
      </c>
      <c r="G48" s="111" t="s">
        <v>25</v>
      </c>
      <c r="H48" s="111" t="s">
        <v>70</v>
      </c>
      <c r="I48" s="111" t="s">
        <v>25</v>
      </c>
      <c r="J48" s="111">
        <v>393.82</v>
      </c>
      <c r="K48" s="111">
        <v>232.22</v>
      </c>
      <c r="L48" s="111">
        <v>2.5602321043826701</v>
      </c>
      <c r="M48" s="111">
        <v>0.76021138351363904</v>
      </c>
      <c r="N48" s="111">
        <v>3.15471997612604</v>
      </c>
      <c r="O48" s="111">
        <v>0</v>
      </c>
      <c r="P48" s="111">
        <v>0</v>
      </c>
      <c r="Q48" s="111">
        <v>93.609194890741193</v>
      </c>
      <c r="R48" s="111">
        <v>14.831414602076601</v>
      </c>
      <c r="S48" s="111">
        <v>0</v>
      </c>
      <c r="T48" s="111">
        <v>0</v>
      </c>
      <c r="U48" s="111">
        <v>0</v>
      </c>
      <c r="V48" s="111">
        <v>0</v>
      </c>
      <c r="W48" s="111">
        <v>0</v>
      </c>
      <c r="X48" s="111">
        <v>119.868278005471</v>
      </c>
      <c r="Y48" s="111">
        <v>0</v>
      </c>
      <c r="Z48" s="111">
        <v>0</v>
      </c>
      <c r="AA48" s="111">
        <v>138.152611166171</v>
      </c>
      <c r="AB48" s="111">
        <v>0</v>
      </c>
      <c r="AC48" s="111">
        <v>0</v>
      </c>
      <c r="AD48" s="111">
        <v>18.079997883464699</v>
      </c>
      <c r="AE48" s="111">
        <v>0.58142823358501095</v>
      </c>
      <c r="AF48" s="111">
        <v>1.9112700907634901</v>
      </c>
      <c r="AG48" s="111">
        <v>0.314125978346117</v>
      </c>
      <c r="AH48" s="111">
        <v>2.2803104648027102</v>
      </c>
      <c r="AI48" s="111">
        <v>-16.116674696650598</v>
      </c>
      <c r="AJ48" s="111">
        <v>2.4412320191830701</v>
      </c>
      <c r="AK48" s="111">
        <v>22.354660185373</v>
      </c>
      <c r="AL48" s="111">
        <v>0</v>
      </c>
      <c r="AM48" s="111">
        <v>205.650282117004</v>
      </c>
      <c r="AN48" s="111">
        <v>5.6816363142987303</v>
      </c>
      <c r="AO48" s="111">
        <v>3.9773022832365998</v>
      </c>
      <c r="AP48" s="111">
        <v>0</v>
      </c>
      <c r="AQ48" s="111">
        <v>0</v>
      </c>
      <c r="AR48" s="112">
        <v>5.9480835114544401</v>
      </c>
    </row>
    <row r="49" spans="2:44" ht="12" customHeight="1" x14ac:dyDescent="0.25">
      <c r="B49" s="110" t="s">
        <v>42</v>
      </c>
      <c r="C49" s="111" t="s">
        <v>23</v>
      </c>
      <c r="D49" s="111" t="s">
        <v>43</v>
      </c>
      <c r="E49" s="111" t="s">
        <v>44</v>
      </c>
      <c r="F49" s="111" t="s">
        <v>25</v>
      </c>
      <c r="G49" s="111" t="s">
        <v>25</v>
      </c>
      <c r="H49" s="111" t="s">
        <v>70</v>
      </c>
      <c r="I49" s="111" t="s">
        <v>25</v>
      </c>
      <c r="J49" s="111">
        <v>216.6</v>
      </c>
      <c r="K49" s="111">
        <v>127.72</v>
      </c>
      <c r="L49" s="111">
        <v>1.40812765741047</v>
      </c>
      <c r="M49" s="111">
        <v>0.41811626093250198</v>
      </c>
      <c r="N49" s="111">
        <v>1.7350959868693201</v>
      </c>
      <c r="O49" s="111">
        <v>0</v>
      </c>
      <c r="P49" s="111">
        <v>0</v>
      </c>
      <c r="Q49" s="111">
        <v>51.4850571899077</v>
      </c>
      <c r="R49" s="111">
        <v>8.1572780311421607</v>
      </c>
      <c r="S49" s="111">
        <v>0</v>
      </c>
      <c r="T49" s="111">
        <v>0</v>
      </c>
      <c r="U49" s="111">
        <v>0</v>
      </c>
      <c r="V49" s="111">
        <v>0</v>
      </c>
      <c r="W49" s="111">
        <v>0</v>
      </c>
      <c r="X49" s="111">
        <v>65.9275529030092</v>
      </c>
      <c r="Y49" s="111">
        <v>0</v>
      </c>
      <c r="Z49" s="111">
        <v>0</v>
      </c>
      <c r="AA49" s="111">
        <v>75.983936141394295</v>
      </c>
      <c r="AB49" s="111">
        <v>0</v>
      </c>
      <c r="AC49" s="111">
        <v>0</v>
      </c>
      <c r="AD49" s="111">
        <v>9.94399883590558</v>
      </c>
      <c r="AE49" s="111">
        <v>0.31978552847175601</v>
      </c>
      <c r="AF49" s="111">
        <v>1.0511985499199199</v>
      </c>
      <c r="AG49" s="111">
        <v>0.17276928809036399</v>
      </c>
      <c r="AH49" s="111">
        <v>1.2541707556414901</v>
      </c>
      <c r="AI49" s="111">
        <v>-8.8641710831578298</v>
      </c>
      <c r="AJ49" s="111">
        <v>1.3426776105506899</v>
      </c>
      <c r="AK49" s="111">
        <v>12.295063101955201</v>
      </c>
      <c r="AL49" s="111">
        <v>0</v>
      </c>
      <c r="AM49" s="111">
        <v>113.107655164352</v>
      </c>
      <c r="AN49" s="111">
        <v>3.1248999728642999</v>
      </c>
      <c r="AO49" s="111">
        <v>2.18751625578013</v>
      </c>
      <c r="AP49" s="111">
        <v>0</v>
      </c>
      <c r="AQ49" s="111">
        <v>0</v>
      </c>
      <c r="AR49" s="112">
        <v>3.2714459312999402</v>
      </c>
    </row>
    <row r="50" spans="2:44" ht="12" customHeight="1" x14ac:dyDescent="0.25">
      <c r="B50" s="113" t="s">
        <v>42</v>
      </c>
      <c r="C50" s="114" t="s">
        <v>23</v>
      </c>
      <c r="D50" s="114" t="s">
        <v>43</v>
      </c>
      <c r="E50" s="114" t="s">
        <v>88</v>
      </c>
      <c r="F50" s="114" t="s">
        <v>25</v>
      </c>
      <c r="G50" s="114" t="s">
        <v>25</v>
      </c>
      <c r="H50" s="114" t="s">
        <v>70</v>
      </c>
      <c r="I50" s="114" t="s">
        <v>25</v>
      </c>
      <c r="J50" s="114">
        <v>236.29</v>
      </c>
      <c r="K50" s="114">
        <v>139.33000000000001</v>
      </c>
      <c r="L50" s="114">
        <v>1.5361392626296</v>
      </c>
      <c r="M50" s="114">
        <v>0.456126830108184</v>
      </c>
      <c r="N50" s="114">
        <v>1.8928319856756299</v>
      </c>
      <c r="O50" s="114">
        <v>0</v>
      </c>
      <c r="P50" s="114">
        <v>0</v>
      </c>
      <c r="Q50" s="114">
        <v>56.165516934444703</v>
      </c>
      <c r="R50" s="114">
        <v>8.8988487612459899</v>
      </c>
      <c r="S50" s="114">
        <v>0</v>
      </c>
      <c r="T50" s="114">
        <v>0</v>
      </c>
      <c r="U50" s="114">
        <v>0</v>
      </c>
      <c r="V50" s="114">
        <v>0</v>
      </c>
      <c r="W50" s="114">
        <v>0</v>
      </c>
      <c r="X50" s="114">
        <v>71.920966803282695</v>
      </c>
      <c r="Y50" s="114">
        <v>0</v>
      </c>
      <c r="Z50" s="114">
        <v>0</v>
      </c>
      <c r="AA50" s="114">
        <v>82.891566699702807</v>
      </c>
      <c r="AB50" s="114">
        <v>0</v>
      </c>
      <c r="AC50" s="114">
        <v>0</v>
      </c>
      <c r="AD50" s="114">
        <v>10.8479987300788</v>
      </c>
      <c r="AE50" s="114">
        <v>0.34885694015100699</v>
      </c>
      <c r="AF50" s="114">
        <v>1.1467620544580901</v>
      </c>
      <c r="AG50" s="114">
        <v>0.18847558700767</v>
      </c>
      <c r="AH50" s="114">
        <v>1.3681862788816299</v>
      </c>
      <c r="AI50" s="114">
        <v>-9.6700048179903604</v>
      </c>
      <c r="AJ50" s="114">
        <v>1.4647392115098401</v>
      </c>
      <c r="AK50" s="114">
        <v>13.4127961112238</v>
      </c>
      <c r="AL50" s="114">
        <v>0</v>
      </c>
      <c r="AM50" s="114">
        <v>123.390169270203</v>
      </c>
      <c r="AN50" s="114">
        <v>3.4089817885792399</v>
      </c>
      <c r="AO50" s="114">
        <v>2.3863813699419598</v>
      </c>
      <c r="AP50" s="114">
        <v>0</v>
      </c>
      <c r="AQ50" s="114">
        <v>0</v>
      </c>
      <c r="AR50" s="115">
        <v>3.5688501068726701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ABC57-DAC5-4265-8AEF-C00302A4BA55}">
  <dimension ref="B1:AR50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14.5703125" bestFit="1" customWidth="1"/>
    <col min="36" max="36" width="9.85546875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56" t="s">
        <v>1168</v>
      </c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7"/>
      <c r="AH1" s="156" t="s">
        <v>1169</v>
      </c>
      <c r="AI1" s="156"/>
      <c r="AJ1" s="156"/>
      <c r="AK1" s="156"/>
      <c r="AL1" s="156"/>
      <c r="AM1" s="156"/>
      <c r="AN1" s="156"/>
      <c r="AO1" s="156"/>
      <c r="AP1" s="156"/>
      <c r="AQ1" s="156"/>
      <c r="AR1" s="156"/>
    </row>
    <row r="2" spans="2:44" ht="12" customHeight="1" x14ac:dyDescent="0.25">
      <c r="L2" s="158" t="s">
        <v>409</v>
      </c>
      <c r="M2" s="158"/>
      <c r="N2" s="158"/>
      <c r="O2" s="158"/>
      <c r="P2" s="158"/>
      <c r="Q2" s="158"/>
      <c r="R2" s="158"/>
      <c r="S2" s="159"/>
      <c r="T2" s="158" t="s">
        <v>418</v>
      </c>
      <c r="U2" s="158"/>
      <c r="V2" s="158"/>
      <c r="W2" s="158"/>
      <c r="X2" s="158"/>
      <c r="Y2" s="158"/>
      <c r="Z2" s="159"/>
      <c r="AA2" s="117" t="s">
        <v>426</v>
      </c>
      <c r="AB2" s="158" t="s">
        <v>25</v>
      </c>
      <c r="AC2" s="159"/>
      <c r="AD2" s="158" t="s">
        <v>1167</v>
      </c>
      <c r="AE2" s="158"/>
      <c r="AF2" s="158"/>
      <c r="AG2" s="159"/>
      <c r="AH2" s="158" t="s">
        <v>409</v>
      </c>
      <c r="AI2" s="158"/>
      <c r="AJ2" s="158"/>
      <c r="AK2" s="158"/>
      <c r="AL2" s="159"/>
      <c r="AM2" s="117" t="s">
        <v>440</v>
      </c>
      <c r="AN2" s="158" t="s">
        <v>418</v>
      </c>
      <c r="AO2" s="158"/>
      <c r="AP2" s="158"/>
      <c r="AQ2" s="159"/>
      <c r="AR2" s="116" t="s">
        <v>1167</v>
      </c>
    </row>
    <row r="3" spans="2:44" ht="12" customHeight="1" x14ac:dyDescent="0.25">
      <c r="B3" s="107" t="s">
        <v>60</v>
      </c>
      <c r="C3" s="108" t="s">
        <v>61</v>
      </c>
      <c r="D3" s="108" t="s">
        <v>62</v>
      </c>
      <c r="E3" s="108" t="s">
        <v>63</v>
      </c>
      <c r="F3" s="108" t="s">
        <v>64</v>
      </c>
      <c r="G3" s="108" t="s">
        <v>66</v>
      </c>
      <c r="H3" s="108" t="s">
        <v>67</v>
      </c>
      <c r="I3" s="108" t="s">
        <v>680</v>
      </c>
      <c r="J3" s="108" t="s">
        <v>1131</v>
      </c>
      <c r="K3" s="108" t="s">
        <v>1132</v>
      </c>
      <c r="L3" s="108" t="s">
        <v>1133</v>
      </c>
      <c r="M3" s="108" t="s">
        <v>1134</v>
      </c>
      <c r="N3" s="108" t="s">
        <v>1135</v>
      </c>
      <c r="O3" s="108" t="s">
        <v>1136</v>
      </c>
      <c r="P3" s="108" t="s">
        <v>1137</v>
      </c>
      <c r="Q3" s="108" t="s">
        <v>1138</v>
      </c>
      <c r="R3" s="108" t="s">
        <v>1139</v>
      </c>
      <c r="S3" s="108" t="s">
        <v>1140</v>
      </c>
      <c r="T3" s="108" t="s">
        <v>1141</v>
      </c>
      <c r="U3" s="108" t="s">
        <v>1142</v>
      </c>
      <c r="V3" s="108" t="s">
        <v>1143</v>
      </c>
      <c r="W3" s="108" t="s">
        <v>1144</v>
      </c>
      <c r="X3" s="108" t="s">
        <v>1145</v>
      </c>
      <c r="Y3" s="108" t="s">
        <v>1146</v>
      </c>
      <c r="Z3" s="108" t="s">
        <v>1147</v>
      </c>
      <c r="AA3" s="108" t="s">
        <v>1148</v>
      </c>
      <c r="AB3" s="108" t="s">
        <v>1149</v>
      </c>
      <c r="AC3" s="108" t="s">
        <v>1150</v>
      </c>
      <c r="AD3" s="108" t="s">
        <v>1151</v>
      </c>
      <c r="AE3" s="108" t="s">
        <v>1152</v>
      </c>
      <c r="AF3" s="108" t="s">
        <v>1153</v>
      </c>
      <c r="AG3" s="108" t="s">
        <v>1154</v>
      </c>
      <c r="AH3" s="108" t="s">
        <v>1155</v>
      </c>
      <c r="AI3" s="108" t="s">
        <v>1156</v>
      </c>
      <c r="AJ3" s="108" t="s">
        <v>1157</v>
      </c>
      <c r="AK3" s="108" t="s">
        <v>1158</v>
      </c>
      <c r="AL3" s="108" t="s">
        <v>1159</v>
      </c>
      <c r="AM3" s="108" t="s">
        <v>1160</v>
      </c>
      <c r="AN3" s="108" t="s">
        <v>1161</v>
      </c>
      <c r="AO3" s="108" t="s">
        <v>1162</v>
      </c>
      <c r="AP3" s="108" t="s">
        <v>1163</v>
      </c>
      <c r="AQ3" s="108" t="s">
        <v>1164</v>
      </c>
      <c r="AR3" s="109" t="s">
        <v>1165</v>
      </c>
    </row>
    <row r="4" spans="2:44" ht="12" customHeight="1" x14ac:dyDescent="0.25">
      <c r="B4" s="110" t="s">
        <v>34</v>
      </c>
      <c r="C4" s="111" t="s">
        <v>51</v>
      </c>
      <c r="D4" s="111" t="s">
        <v>25</v>
      </c>
      <c r="E4" s="111" t="s">
        <v>25</v>
      </c>
      <c r="F4" s="111" t="s">
        <v>78</v>
      </c>
      <c r="G4" s="111" t="s">
        <v>36</v>
      </c>
      <c r="H4" s="111" t="s">
        <v>70</v>
      </c>
      <c r="I4" s="111" t="s">
        <v>25</v>
      </c>
      <c r="J4" s="111">
        <v>1.3</v>
      </c>
      <c r="K4" s="111">
        <v>0</v>
      </c>
      <c r="L4" s="111">
        <v>0</v>
      </c>
      <c r="M4" s="111">
        <v>0</v>
      </c>
      <c r="N4" s="111">
        <v>0</v>
      </c>
      <c r="O4" s="111">
        <v>0</v>
      </c>
      <c r="P4" s="111">
        <v>0</v>
      </c>
      <c r="Q4" s="111">
        <v>0</v>
      </c>
      <c r="R4" s="111">
        <v>0</v>
      </c>
      <c r="S4" s="111">
        <v>0</v>
      </c>
      <c r="T4" s="111">
        <v>0</v>
      </c>
      <c r="U4" s="111">
        <v>0</v>
      </c>
      <c r="V4" s="111">
        <v>0</v>
      </c>
      <c r="W4" s="111">
        <v>0</v>
      </c>
      <c r="X4" s="111">
        <v>0</v>
      </c>
      <c r="Y4" s="111">
        <v>0</v>
      </c>
      <c r="Z4" s="111">
        <v>0</v>
      </c>
      <c r="AA4" s="111">
        <v>0</v>
      </c>
      <c r="AB4" s="111">
        <v>0</v>
      </c>
      <c r="AC4" s="111">
        <v>0</v>
      </c>
      <c r="AD4" s="111">
        <v>1.12265277445374</v>
      </c>
      <c r="AE4" s="111">
        <v>3.6102992035022402E-2</v>
      </c>
      <c r="AF4" s="111">
        <v>0.138139006145855</v>
      </c>
      <c r="AG4" s="111">
        <v>0</v>
      </c>
      <c r="AH4" s="111">
        <v>0</v>
      </c>
      <c r="AI4" s="111">
        <v>0</v>
      </c>
      <c r="AJ4" s="111">
        <v>0</v>
      </c>
      <c r="AK4" s="111">
        <v>0</v>
      </c>
      <c r="AL4" s="111">
        <v>0</v>
      </c>
      <c r="AM4" s="111">
        <v>0</v>
      </c>
      <c r="AN4" s="111">
        <v>0</v>
      </c>
      <c r="AO4" s="111">
        <v>0</v>
      </c>
      <c r="AP4" s="111">
        <v>0</v>
      </c>
      <c r="AQ4" s="111">
        <v>0</v>
      </c>
      <c r="AR4" s="112">
        <v>0</v>
      </c>
    </row>
    <row r="5" spans="2:44" ht="12" customHeight="1" x14ac:dyDescent="0.25">
      <c r="B5" s="110" t="s">
        <v>34</v>
      </c>
      <c r="C5" s="111" t="s">
        <v>51</v>
      </c>
      <c r="D5" s="111" t="s">
        <v>25</v>
      </c>
      <c r="E5" s="111" t="s">
        <v>25</v>
      </c>
      <c r="F5" s="111" t="s">
        <v>78</v>
      </c>
      <c r="G5" s="111" t="s">
        <v>36</v>
      </c>
      <c r="H5" s="111" t="s">
        <v>75</v>
      </c>
      <c r="I5" s="111" t="s">
        <v>25</v>
      </c>
      <c r="J5" s="111">
        <v>0</v>
      </c>
      <c r="K5" s="111">
        <v>0</v>
      </c>
      <c r="L5" s="111">
        <v>0</v>
      </c>
      <c r="M5" s="111">
        <v>0</v>
      </c>
      <c r="N5" s="111">
        <v>0</v>
      </c>
      <c r="O5" s="111">
        <v>0</v>
      </c>
      <c r="P5" s="111">
        <v>0</v>
      </c>
      <c r="Q5" s="111">
        <v>0</v>
      </c>
      <c r="R5" s="111">
        <v>0</v>
      </c>
      <c r="S5" s="111">
        <v>0</v>
      </c>
      <c r="T5" s="111">
        <v>0</v>
      </c>
      <c r="U5" s="111">
        <v>0</v>
      </c>
      <c r="V5" s="111">
        <v>0</v>
      </c>
      <c r="W5" s="111">
        <v>0</v>
      </c>
      <c r="X5" s="111">
        <v>0</v>
      </c>
      <c r="Y5" s="111">
        <v>0</v>
      </c>
      <c r="Z5" s="111">
        <v>0</v>
      </c>
      <c r="AA5" s="111">
        <v>0</v>
      </c>
      <c r="AB5" s="111">
        <v>0</v>
      </c>
      <c r="AC5" s="111">
        <v>0</v>
      </c>
      <c r="AD5" s="111">
        <v>0</v>
      </c>
      <c r="AE5" s="111">
        <v>0</v>
      </c>
      <c r="AF5" s="111">
        <v>0</v>
      </c>
      <c r="AG5" s="111">
        <v>0</v>
      </c>
      <c r="AH5" s="111">
        <v>0</v>
      </c>
      <c r="AI5" s="111">
        <v>0</v>
      </c>
      <c r="AJ5" s="111">
        <v>0</v>
      </c>
      <c r="AK5" s="111">
        <v>0</v>
      </c>
      <c r="AL5" s="111">
        <v>0</v>
      </c>
      <c r="AM5" s="111">
        <v>0</v>
      </c>
      <c r="AN5" s="111">
        <v>0</v>
      </c>
      <c r="AO5" s="111">
        <v>0</v>
      </c>
      <c r="AP5" s="111">
        <v>0</v>
      </c>
      <c r="AQ5" s="111">
        <v>0</v>
      </c>
      <c r="AR5" s="112">
        <v>0</v>
      </c>
    </row>
    <row r="6" spans="2:44" ht="12" customHeight="1" x14ac:dyDescent="0.25">
      <c r="B6" s="110" t="s">
        <v>34</v>
      </c>
      <c r="C6" s="111" t="s">
        <v>51</v>
      </c>
      <c r="D6" s="111" t="s">
        <v>25</v>
      </c>
      <c r="E6" s="111" t="s">
        <v>25</v>
      </c>
      <c r="F6" s="111" t="s">
        <v>78</v>
      </c>
      <c r="G6" s="111" t="s">
        <v>37</v>
      </c>
      <c r="H6" s="111" t="s">
        <v>70</v>
      </c>
      <c r="I6" s="111" t="s">
        <v>25</v>
      </c>
      <c r="J6" s="111">
        <v>1.3</v>
      </c>
      <c r="K6" s="111">
        <v>0</v>
      </c>
      <c r="L6" s="111">
        <v>0</v>
      </c>
      <c r="M6" s="111">
        <v>0</v>
      </c>
      <c r="N6" s="111">
        <v>0</v>
      </c>
      <c r="O6" s="111">
        <v>0</v>
      </c>
      <c r="P6" s="111">
        <v>0</v>
      </c>
      <c r="Q6" s="111">
        <v>0</v>
      </c>
      <c r="R6" s="111">
        <v>0</v>
      </c>
      <c r="S6" s="111">
        <v>0</v>
      </c>
      <c r="T6" s="111">
        <v>0</v>
      </c>
      <c r="U6" s="111">
        <v>0</v>
      </c>
      <c r="V6" s="111">
        <v>0</v>
      </c>
      <c r="W6" s="111">
        <v>0</v>
      </c>
      <c r="X6" s="111">
        <v>0</v>
      </c>
      <c r="Y6" s="111">
        <v>0</v>
      </c>
      <c r="Z6" s="111">
        <v>0</v>
      </c>
      <c r="AA6" s="111">
        <v>0</v>
      </c>
      <c r="AB6" s="111">
        <v>0</v>
      </c>
      <c r="AC6" s="111">
        <v>0</v>
      </c>
      <c r="AD6" s="111">
        <v>1.12265277445374</v>
      </c>
      <c r="AE6" s="111">
        <v>3.6102992035022402E-2</v>
      </c>
      <c r="AF6" s="111">
        <v>0.138139006145855</v>
      </c>
      <c r="AG6" s="111">
        <v>0</v>
      </c>
      <c r="AH6" s="111">
        <v>0</v>
      </c>
      <c r="AI6" s="111">
        <v>0</v>
      </c>
      <c r="AJ6" s="111">
        <v>0</v>
      </c>
      <c r="AK6" s="111">
        <v>0</v>
      </c>
      <c r="AL6" s="111">
        <v>0</v>
      </c>
      <c r="AM6" s="111">
        <v>0</v>
      </c>
      <c r="AN6" s="111">
        <v>0</v>
      </c>
      <c r="AO6" s="111">
        <v>0</v>
      </c>
      <c r="AP6" s="111">
        <v>0</v>
      </c>
      <c r="AQ6" s="111">
        <v>0</v>
      </c>
      <c r="AR6" s="112">
        <v>0</v>
      </c>
    </row>
    <row r="7" spans="2:44" ht="12" customHeight="1" x14ac:dyDescent="0.25">
      <c r="B7" s="110" t="s">
        <v>34</v>
      </c>
      <c r="C7" s="111" t="s">
        <v>51</v>
      </c>
      <c r="D7" s="111" t="s">
        <v>25</v>
      </c>
      <c r="E7" s="111" t="s">
        <v>25</v>
      </c>
      <c r="F7" s="111" t="s">
        <v>78</v>
      </c>
      <c r="G7" s="111" t="s">
        <v>37</v>
      </c>
      <c r="H7" s="111" t="s">
        <v>75</v>
      </c>
      <c r="I7" s="111" t="s">
        <v>25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  <c r="AG7" s="111">
        <v>0</v>
      </c>
      <c r="AH7" s="111">
        <v>0</v>
      </c>
      <c r="AI7" s="111">
        <v>0</v>
      </c>
      <c r="AJ7" s="111">
        <v>0</v>
      </c>
      <c r="AK7" s="111">
        <v>0</v>
      </c>
      <c r="AL7" s="111">
        <v>0</v>
      </c>
      <c r="AM7" s="111">
        <v>0</v>
      </c>
      <c r="AN7" s="111">
        <v>0</v>
      </c>
      <c r="AO7" s="111">
        <v>0</v>
      </c>
      <c r="AP7" s="111">
        <v>0</v>
      </c>
      <c r="AQ7" s="111">
        <v>0</v>
      </c>
      <c r="AR7" s="112">
        <v>0</v>
      </c>
    </row>
    <row r="8" spans="2:44" ht="12" customHeight="1" x14ac:dyDescent="0.25">
      <c r="B8" s="110" t="s">
        <v>34</v>
      </c>
      <c r="C8" s="111" t="s">
        <v>51</v>
      </c>
      <c r="D8" s="111" t="s">
        <v>25</v>
      </c>
      <c r="E8" s="111" t="s">
        <v>25</v>
      </c>
      <c r="F8" s="111" t="s">
        <v>25</v>
      </c>
      <c r="G8" s="111" t="s">
        <v>36</v>
      </c>
      <c r="H8" s="111" t="s">
        <v>70</v>
      </c>
      <c r="I8" s="111" t="s">
        <v>25</v>
      </c>
      <c r="J8" s="111">
        <v>16.89</v>
      </c>
      <c r="K8" s="111">
        <v>51.53</v>
      </c>
      <c r="L8" s="111">
        <v>0.14107834193795099</v>
      </c>
      <c r="M8" s="111">
        <v>0</v>
      </c>
      <c r="N8" s="111">
        <v>0</v>
      </c>
      <c r="O8" s="111">
        <v>0</v>
      </c>
      <c r="P8" s="111">
        <v>0</v>
      </c>
      <c r="Q8" s="111">
        <v>12.2431270491315</v>
      </c>
      <c r="R8" s="111">
        <v>3.2058630351298198</v>
      </c>
      <c r="S8" s="111">
        <v>0</v>
      </c>
      <c r="T8" s="111">
        <v>0</v>
      </c>
      <c r="U8" s="111">
        <v>0</v>
      </c>
      <c r="V8" s="111">
        <v>0</v>
      </c>
      <c r="W8" s="111">
        <v>0</v>
      </c>
      <c r="X8" s="111">
        <v>0</v>
      </c>
      <c r="Y8" s="111">
        <v>0</v>
      </c>
      <c r="Z8" s="111">
        <v>0</v>
      </c>
      <c r="AA8" s="111">
        <v>0</v>
      </c>
      <c r="AB8" s="111">
        <v>0</v>
      </c>
      <c r="AC8" s="111">
        <v>0</v>
      </c>
      <c r="AD8" s="111">
        <v>1.12265277445374</v>
      </c>
      <c r="AE8" s="111">
        <v>3.6102992035022402E-2</v>
      </c>
      <c r="AF8" s="111">
        <v>0.138139006145855</v>
      </c>
      <c r="AG8" s="111">
        <v>0</v>
      </c>
      <c r="AH8" s="111">
        <v>0.14958763705513201</v>
      </c>
      <c r="AI8" s="111">
        <v>0</v>
      </c>
      <c r="AJ8" s="111">
        <v>0</v>
      </c>
      <c r="AK8" s="111">
        <v>12.9713798641864</v>
      </c>
      <c r="AL8" s="111">
        <v>0</v>
      </c>
      <c r="AM8" s="111">
        <v>36.022998566072502</v>
      </c>
      <c r="AN8" s="111">
        <v>1.4425073485728299</v>
      </c>
      <c r="AO8" s="111">
        <v>0.298835002913659</v>
      </c>
      <c r="AP8" s="111">
        <v>0</v>
      </c>
      <c r="AQ8" s="111">
        <v>0</v>
      </c>
      <c r="AR8" s="112">
        <v>0.64210348485840896</v>
      </c>
    </row>
    <row r="9" spans="2:44" ht="12" customHeight="1" x14ac:dyDescent="0.25">
      <c r="B9" s="110" t="s">
        <v>34</v>
      </c>
      <c r="C9" s="111" t="s">
        <v>51</v>
      </c>
      <c r="D9" s="111" t="s">
        <v>25</v>
      </c>
      <c r="E9" s="111" t="s">
        <v>25</v>
      </c>
      <c r="F9" s="111" t="s">
        <v>25</v>
      </c>
      <c r="G9" s="111" t="s">
        <v>36</v>
      </c>
      <c r="H9" s="111" t="s">
        <v>75</v>
      </c>
      <c r="I9" s="111" t="s">
        <v>25</v>
      </c>
      <c r="J9" s="111">
        <v>0</v>
      </c>
      <c r="K9" s="111">
        <v>0</v>
      </c>
      <c r="L9" s="111">
        <v>0</v>
      </c>
      <c r="M9" s="111">
        <v>0</v>
      </c>
      <c r="N9" s="111">
        <v>0</v>
      </c>
      <c r="O9" s="111">
        <v>0</v>
      </c>
      <c r="P9" s="111">
        <v>0</v>
      </c>
      <c r="Q9" s="111">
        <v>0</v>
      </c>
      <c r="R9" s="111">
        <v>0</v>
      </c>
      <c r="S9" s="111">
        <v>0</v>
      </c>
      <c r="T9" s="111">
        <v>0</v>
      </c>
      <c r="U9" s="111">
        <v>0</v>
      </c>
      <c r="V9" s="111">
        <v>0</v>
      </c>
      <c r="W9" s="111">
        <v>0</v>
      </c>
      <c r="X9" s="111">
        <v>0</v>
      </c>
      <c r="Y9" s="111">
        <v>0</v>
      </c>
      <c r="Z9" s="111">
        <v>0</v>
      </c>
      <c r="AA9" s="111">
        <v>0</v>
      </c>
      <c r="AB9" s="111">
        <v>0</v>
      </c>
      <c r="AC9" s="111">
        <v>0</v>
      </c>
      <c r="AD9" s="111">
        <v>0</v>
      </c>
      <c r="AE9" s="111">
        <v>0</v>
      </c>
      <c r="AF9" s="111">
        <v>0</v>
      </c>
      <c r="AG9" s="111">
        <v>0</v>
      </c>
      <c r="AH9" s="111">
        <v>0</v>
      </c>
      <c r="AI9" s="111">
        <v>0</v>
      </c>
      <c r="AJ9" s="111">
        <v>0</v>
      </c>
      <c r="AK9" s="111">
        <v>0</v>
      </c>
      <c r="AL9" s="111">
        <v>0</v>
      </c>
      <c r="AM9" s="111">
        <v>0</v>
      </c>
      <c r="AN9" s="111">
        <v>0</v>
      </c>
      <c r="AO9" s="111">
        <v>0</v>
      </c>
      <c r="AP9" s="111">
        <v>0</v>
      </c>
      <c r="AQ9" s="111">
        <v>0</v>
      </c>
      <c r="AR9" s="112">
        <v>0</v>
      </c>
    </row>
    <row r="10" spans="2:44" ht="12" customHeight="1" x14ac:dyDescent="0.25">
      <c r="B10" s="110" t="s">
        <v>34</v>
      </c>
      <c r="C10" s="111" t="s">
        <v>51</v>
      </c>
      <c r="D10" s="111" t="s">
        <v>25</v>
      </c>
      <c r="E10" s="111" t="s">
        <v>25</v>
      </c>
      <c r="F10" s="111" t="s">
        <v>25</v>
      </c>
      <c r="G10" s="111" t="s">
        <v>37</v>
      </c>
      <c r="H10" s="111" t="s">
        <v>70</v>
      </c>
      <c r="I10" s="111" t="s">
        <v>25</v>
      </c>
      <c r="J10" s="111">
        <v>16.89</v>
      </c>
      <c r="K10" s="111">
        <v>36.450000000000003</v>
      </c>
      <c r="L10" s="111">
        <v>0.14107834193795099</v>
      </c>
      <c r="M10" s="111">
        <v>0</v>
      </c>
      <c r="N10" s="111">
        <v>0</v>
      </c>
      <c r="O10" s="111">
        <v>0</v>
      </c>
      <c r="P10" s="111">
        <v>0</v>
      </c>
      <c r="Q10" s="111">
        <v>12.2431270491315</v>
      </c>
      <c r="R10" s="111">
        <v>3.2058630351298198</v>
      </c>
      <c r="S10" s="111">
        <v>0</v>
      </c>
      <c r="T10" s="111">
        <v>0</v>
      </c>
      <c r="U10" s="111">
        <v>0</v>
      </c>
      <c r="V10" s="111">
        <v>0</v>
      </c>
      <c r="W10" s="111">
        <v>0</v>
      </c>
      <c r="X10" s="111">
        <v>0</v>
      </c>
      <c r="Y10" s="111">
        <v>0</v>
      </c>
      <c r="Z10" s="111">
        <v>0</v>
      </c>
      <c r="AA10" s="111">
        <v>0</v>
      </c>
      <c r="AB10" s="111">
        <v>0</v>
      </c>
      <c r="AC10" s="111">
        <v>0</v>
      </c>
      <c r="AD10" s="111">
        <v>1.12265277445374</v>
      </c>
      <c r="AE10" s="111">
        <v>3.6102992035022402E-2</v>
      </c>
      <c r="AF10" s="111">
        <v>0.138139006145855</v>
      </c>
      <c r="AG10" s="111">
        <v>0</v>
      </c>
      <c r="AH10" s="111">
        <v>0.14958763705513201</v>
      </c>
      <c r="AI10" s="111">
        <v>0</v>
      </c>
      <c r="AJ10" s="111">
        <v>0</v>
      </c>
      <c r="AK10" s="111">
        <v>12.9713798641864</v>
      </c>
      <c r="AL10" s="111">
        <v>0</v>
      </c>
      <c r="AM10" s="111">
        <v>20.943603817484</v>
      </c>
      <c r="AN10" s="111">
        <v>1.4425073485728299</v>
      </c>
      <c r="AO10" s="111">
        <v>0.298835002913659</v>
      </c>
      <c r="AP10" s="111">
        <v>0</v>
      </c>
      <c r="AQ10" s="111">
        <v>0</v>
      </c>
      <c r="AR10" s="112">
        <v>0.64210348485840896</v>
      </c>
    </row>
    <row r="11" spans="2:44" ht="12" customHeight="1" x14ac:dyDescent="0.25">
      <c r="B11" s="110" t="s">
        <v>34</v>
      </c>
      <c r="C11" s="111" t="s">
        <v>51</v>
      </c>
      <c r="D11" s="111" t="s">
        <v>25</v>
      </c>
      <c r="E11" s="111" t="s">
        <v>25</v>
      </c>
      <c r="F11" s="111" t="s">
        <v>25</v>
      </c>
      <c r="G11" s="111" t="s">
        <v>37</v>
      </c>
      <c r="H11" s="111" t="s">
        <v>75</v>
      </c>
      <c r="I11" s="111" t="s">
        <v>25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  <c r="AG11" s="111">
        <v>0</v>
      </c>
      <c r="AH11" s="111">
        <v>0</v>
      </c>
      <c r="AI11" s="111">
        <v>0</v>
      </c>
      <c r="AJ11" s="111">
        <v>0</v>
      </c>
      <c r="AK11" s="111">
        <v>0</v>
      </c>
      <c r="AL11" s="111">
        <v>0</v>
      </c>
      <c r="AM11" s="111">
        <v>0</v>
      </c>
      <c r="AN11" s="111">
        <v>0</v>
      </c>
      <c r="AO11" s="111">
        <v>0</v>
      </c>
      <c r="AP11" s="111">
        <v>0</v>
      </c>
      <c r="AQ11" s="111">
        <v>0</v>
      </c>
      <c r="AR11" s="112">
        <v>0</v>
      </c>
    </row>
    <row r="12" spans="2:44" ht="12" customHeight="1" x14ac:dyDescent="0.25">
      <c r="B12" s="110" t="s">
        <v>34</v>
      </c>
      <c r="C12" s="111" t="s">
        <v>23</v>
      </c>
      <c r="D12" s="111" t="s">
        <v>25</v>
      </c>
      <c r="E12" s="111" t="s">
        <v>25</v>
      </c>
      <c r="F12" s="111" t="s">
        <v>25</v>
      </c>
      <c r="G12" s="111" t="s">
        <v>25</v>
      </c>
      <c r="H12" s="111" t="s">
        <v>70</v>
      </c>
      <c r="I12" s="111" t="s">
        <v>25</v>
      </c>
      <c r="J12" s="111">
        <v>0</v>
      </c>
      <c r="K12" s="111">
        <v>37.700000000000003</v>
      </c>
      <c r="L12" s="111">
        <v>0</v>
      </c>
      <c r="M12" s="111">
        <v>0</v>
      </c>
      <c r="N12" s="111">
        <v>0</v>
      </c>
      <c r="O12" s="111">
        <v>0</v>
      </c>
      <c r="P12" s="111">
        <v>0</v>
      </c>
      <c r="Q12" s="111">
        <v>0</v>
      </c>
      <c r="R12" s="111">
        <v>0</v>
      </c>
      <c r="S12" s="111">
        <v>0</v>
      </c>
      <c r="T12" s="111">
        <v>0</v>
      </c>
      <c r="U12" s="111">
        <v>0</v>
      </c>
      <c r="V12" s="111">
        <v>0</v>
      </c>
      <c r="W12" s="111">
        <v>0</v>
      </c>
      <c r="X12" s="111">
        <v>0</v>
      </c>
      <c r="Y12" s="111">
        <v>0</v>
      </c>
      <c r="Z12" s="111">
        <v>0</v>
      </c>
      <c r="AA12" s="111">
        <v>0</v>
      </c>
      <c r="AB12" s="111">
        <v>0</v>
      </c>
      <c r="AC12" s="111">
        <v>0</v>
      </c>
      <c r="AD12" s="111">
        <v>0</v>
      </c>
      <c r="AE12" s="111">
        <v>0</v>
      </c>
      <c r="AF12" s="111">
        <v>0</v>
      </c>
      <c r="AG12" s="111">
        <v>0</v>
      </c>
      <c r="AH12" s="111">
        <v>0.14958763705513201</v>
      </c>
      <c r="AI12" s="111">
        <v>0</v>
      </c>
      <c r="AJ12" s="111">
        <v>0</v>
      </c>
      <c r="AK12" s="111">
        <v>12.9713798641864</v>
      </c>
      <c r="AL12" s="111">
        <v>0</v>
      </c>
      <c r="AM12" s="111">
        <v>22.200220046533001</v>
      </c>
      <c r="AN12" s="111">
        <v>1.4425073485728299</v>
      </c>
      <c r="AO12" s="111">
        <v>0.298835002913659</v>
      </c>
      <c r="AP12" s="111">
        <v>0</v>
      </c>
      <c r="AQ12" s="111">
        <v>0</v>
      </c>
      <c r="AR12" s="112">
        <v>0.64210348485840896</v>
      </c>
    </row>
    <row r="13" spans="2:44" ht="12" customHeight="1" x14ac:dyDescent="0.25">
      <c r="B13" s="110" t="s">
        <v>34</v>
      </c>
      <c r="C13" s="111" t="s">
        <v>79</v>
      </c>
      <c r="D13" s="111" t="s">
        <v>25</v>
      </c>
      <c r="E13" s="111" t="s">
        <v>25</v>
      </c>
      <c r="F13" s="111" t="s">
        <v>25</v>
      </c>
      <c r="G13" s="111" t="s">
        <v>25</v>
      </c>
      <c r="H13" s="111" t="s">
        <v>75</v>
      </c>
      <c r="I13" s="111" t="s">
        <v>25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  <c r="AG13" s="111">
        <v>0</v>
      </c>
      <c r="AH13" s="111">
        <v>0</v>
      </c>
      <c r="AI13" s="111">
        <v>0</v>
      </c>
      <c r="AJ13" s="111">
        <v>0</v>
      </c>
      <c r="AK13" s="111">
        <v>0</v>
      </c>
      <c r="AL13" s="111">
        <v>0</v>
      </c>
      <c r="AM13" s="111">
        <v>0</v>
      </c>
      <c r="AN13" s="111">
        <v>0</v>
      </c>
      <c r="AO13" s="111">
        <v>0</v>
      </c>
      <c r="AP13" s="111">
        <v>0</v>
      </c>
      <c r="AQ13" s="111">
        <v>0</v>
      </c>
      <c r="AR13" s="112">
        <v>0</v>
      </c>
    </row>
    <row r="14" spans="2:44" ht="12" customHeight="1" x14ac:dyDescent="0.25">
      <c r="B14" s="110" t="s">
        <v>34</v>
      </c>
      <c r="C14" s="111" t="s">
        <v>35</v>
      </c>
      <c r="D14" s="111" t="s">
        <v>25</v>
      </c>
      <c r="E14" s="111" t="s">
        <v>25</v>
      </c>
      <c r="F14" s="111" t="s">
        <v>78</v>
      </c>
      <c r="G14" s="111" t="s">
        <v>36</v>
      </c>
      <c r="H14" s="111" t="s">
        <v>70</v>
      </c>
      <c r="I14" s="111" t="s">
        <v>25</v>
      </c>
      <c r="J14" s="111">
        <v>1.3</v>
      </c>
      <c r="K14" s="111">
        <v>0</v>
      </c>
      <c r="L14" s="111">
        <v>0</v>
      </c>
      <c r="M14" s="111">
        <v>0</v>
      </c>
      <c r="N14" s="111">
        <v>0</v>
      </c>
      <c r="O14" s="111">
        <v>0</v>
      </c>
      <c r="P14" s="111">
        <v>0</v>
      </c>
      <c r="Q14" s="111">
        <v>0</v>
      </c>
      <c r="R14" s="111">
        <v>0</v>
      </c>
      <c r="S14" s="111">
        <v>0</v>
      </c>
      <c r="T14" s="111">
        <v>0</v>
      </c>
      <c r="U14" s="111">
        <v>0</v>
      </c>
      <c r="V14" s="111">
        <v>0</v>
      </c>
      <c r="W14" s="111">
        <v>0</v>
      </c>
      <c r="X14" s="111">
        <v>0</v>
      </c>
      <c r="Y14" s="111">
        <v>0</v>
      </c>
      <c r="Z14" s="111">
        <v>0</v>
      </c>
      <c r="AA14" s="111">
        <v>0</v>
      </c>
      <c r="AB14" s="111">
        <v>0</v>
      </c>
      <c r="AC14" s="111">
        <v>0</v>
      </c>
      <c r="AD14" s="111">
        <v>1.12265277445374</v>
      </c>
      <c r="AE14" s="111">
        <v>3.6102992035022402E-2</v>
      </c>
      <c r="AF14" s="111">
        <v>0.138139006145855</v>
      </c>
      <c r="AG14" s="111">
        <v>0</v>
      </c>
      <c r="AH14" s="111">
        <v>0</v>
      </c>
      <c r="AI14" s="111">
        <v>0</v>
      </c>
      <c r="AJ14" s="111">
        <v>0</v>
      </c>
      <c r="AK14" s="111">
        <v>0</v>
      </c>
      <c r="AL14" s="111">
        <v>0</v>
      </c>
      <c r="AM14" s="111">
        <v>0</v>
      </c>
      <c r="AN14" s="111">
        <v>0</v>
      </c>
      <c r="AO14" s="111">
        <v>0</v>
      </c>
      <c r="AP14" s="111">
        <v>0</v>
      </c>
      <c r="AQ14" s="111">
        <v>0</v>
      </c>
      <c r="AR14" s="112">
        <v>0</v>
      </c>
    </row>
    <row r="15" spans="2:44" ht="12" customHeight="1" x14ac:dyDescent="0.25">
      <c r="B15" s="110" t="s">
        <v>34</v>
      </c>
      <c r="C15" s="111" t="s">
        <v>35</v>
      </c>
      <c r="D15" s="111" t="s">
        <v>25</v>
      </c>
      <c r="E15" s="111" t="s">
        <v>25</v>
      </c>
      <c r="F15" s="111" t="s">
        <v>78</v>
      </c>
      <c r="G15" s="111" t="s">
        <v>25</v>
      </c>
      <c r="H15" s="111" t="s">
        <v>75</v>
      </c>
      <c r="I15" s="111" t="s">
        <v>25</v>
      </c>
      <c r="J15" s="111">
        <v>0</v>
      </c>
      <c r="K15" s="111">
        <v>0</v>
      </c>
      <c r="L15" s="111">
        <v>0</v>
      </c>
      <c r="M15" s="111">
        <v>0</v>
      </c>
      <c r="N15" s="111">
        <v>0</v>
      </c>
      <c r="O15" s="111">
        <v>0</v>
      </c>
      <c r="P15" s="111">
        <v>0</v>
      </c>
      <c r="Q15" s="111">
        <v>0</v>
      </c>
      <c r="R15" s="111">
        <v>0</v>
      </c>
      <c r="S15" s="111">
        <v>0</v>
      </c>
      <c r="T15" s="111">
        <v>0</v>
      </c>
      <c r="U15" s="111">
        <v>0</v>
      </c>
      <c r="V15" s="111">
        <v>0</v>
      </c>
      <c r="W15" s="111">
        <v>0</v>
      </c>
      <c r="X15" s="111">
        <v>0</v>
      </c>
      <c r="Y15" s="111">
        <v>0</v>
      </c>
      <c r="Z15" s="111">
        <v>0</v>
      </c>
      <c r="AA15" s="111">
        <v>0</v>
      </c>
      <c r="AB15" s="111">
        <v>0</v>
      </c>
      <c r="AC15" s="111">
        <v>0</v>
      </c>
      <c r="AD15" s="111">
        <v>0</v>
      </c>
      <c r="AE15" s="111">
        <v>0</v>
      </c>
      <c r="AF15" s="111">
        <v>0</v>
      </c>
      <c r="AG15" s="111">
        <v>0</v>
      </c>
      <c r="AH15" s="111">
        <v>0</v>
      </c>
      <c r="AI15" s="111">
        <v>0</v>
      </c>
      <c r="AJ15" s="111">
        <v>0</v>
      </c>
      <c r="AK15" s="111">
        <v>0</v>
      </c>
      <c r="AL15" s="111">
        <v>0</v>
      </c>
      <c r="AM15" s="111">
        <v>0</v>
      </c>
      <c r="AN15" s="111">
        <v>0</v>
      </c>
      <c r="AO15" s="111">
        <v>0</v>
      </c>
      <c r="AP15" s="111">
        <v>0</v>
      </c>
      <c r="AQ15" s="111">
        <v>0</v>
      </c>
      <c r="AR15" s="112">
        <v>0</v>
      </c>
    </row>
    <row r="16" spans="2:44" ht="12" customHeight="1" x14ac:dyDescent="0.25">
      <c r="B16" s="110" t="s">
        <v>34</v>
      </c>
      <c r="C16" s="111" t="s">
        <v>35</v>
      </c>
      <c r="D16" s="111" t="s">
        <v>25</v>
      </c>
      <c r="E16" s="111" t="s">
        <v>25</v>
      </c>
      <c r="F16" s="111" t="s">
        <v>78</v>
      </c>
      <c r="G16" s="111" t="s">
        <v>37</v>
      </c>
      <c r="H16" s="111" t="s">
        <v>70</v>
      </c>
      <c r="I16" s="111" t="s">
        <v>25</v>
      </c>
      <c r="J16" s="111">
        <v>1.3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1.12265277445374</v>
      </c>
      <c r="AE16" s="111">
        <v>3.6102992035022402E-2</v>
      </c>
      <c r="AF16" s="111">
        <v>0.138139006145855</v>
      </c>
      <c r="AG16" s="111">
        <v>0</v>
      </c>
      <c r="AH16" s="111">
        <v>0</v>
      </c>
      <c r="AI16" s="111">
        <v>0</v>
      </c>
      <c r="AJ16" s="111">
        <v>0</v>
      </c>
      <c r="AK16" s="111">
        <v>0</v>
      </c>
      <c r="AL16" s="111">
        <v>0</v>
      </c>
      <c r="AM16" s="111">
        <v>0</v>
      </c>
      <c r="AN16" s="111">
        <v>0</v>
      </c>
      <c r="AO16" s="111">
        <v>0</v>
      </c>
      <c r="AP16" s="111">
        <v>0</v>
      </c>
      <c r="AQ16" s="111">
        <v>0</v>
      </c>
      <c r="AR16" s="112">
        <v>0</v>
      </c>
    </row>
    <row r="17" spans="2:44" ht="12" customHeight="1" x14ac:dyDescent="0.25">
      <c r="B17" s="110" t="s">
        <v>34</v>
      </c>
      <c r="C17" s="111" t="s">
        <v>35</v>
      </c>
      <c r="D17" s="111" t="s">
        <v>25</v>
      </c>
      <c r="E17" s="111" t="s">
        <v>25</v>
      </c>
      <c r="F17" s="111" t="s">
        <v>25</v>
      </c>
      <c r="G17" s="111" t="s">
        <v>36</v>
      </c>
      <c r="H17" s="111" t="s">
        <v>70</v>
      </c>
      <c r="I17" s="111" t="s">
        <v>25</v>
      </c>
      <c r="J17" s="111">
        <v>16.89</v>
      </c>
      <c r="K17" s="111">
        <v>51.53</v>
      </c>
      <c r="L17" s="111">
        <v>0.14107834193795099</v>
      </c>
      <c r="M17" s="111">
        <v>0</v>
      </c>
      <c r="N17" s="111">
        <v>0</v>
      </c>
      <c r="O17" s="111">
        <v>0</v>
      </c>
      <c r="P17" s="111">
        <v>0</v>
      </c>
      <c r="Q17" s="111">
        <v>12.2431270491315</v>
      </c>
      <c r="R17" s="111">
        <v>3.2058630351298198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1.12265277445374</v>
      </c>
      <c r="AE17" s="111">
        <v>3.6102992035022402E-2</v>
      </c>
      <c r="AF17" s="111">
        <v>0.138139006145855</v>
      </c>
      <c r="AG17" s="111">
        <v>0</v>
      </c>
      <c r="AH17" s="111">
        <v>0.14958763705513201</v>
      </c>
      <c r="AI17" s="111">
        <v>0</v>
      </c>
      <c r="AJ17" s="111">
        <v>0</v>
      </c>
      <c r="AK17" s="111">
        <v>12.9713798641864</v>
      </c>
      <c r="AL17" s="111">
        <v>0</v>
      </c>
      <c r="AM17" s="111">
        <v>36.022998566072502</v>
      </c>
      <c r="AN17" s="111">
        <v>1.4425073485728299</v>
      </c>
      <c r="AO17" s="111">
        <v>0.298835002913659</v>
      </c>
      <c r="AP17" s="111">
        <v>0</v>
      </c>
      <c r="AQ17" s="111">
        <v>0</v>
      </c>
      <c r="AR17" s="112">
        <v>0.64210348485840896</v>
      </c>
    </row>
    <row r="18" spans="2:44" ht="12" customHeight="1" x14ac:dyDescent="0.25">
      <c r="B18" s="110" t="s">
        <v>34</v>
      </c>
      <c r="C18" s="111" t="s">
        <v>35</v>
      </c>
      <c r="D18" s="111" t="s">
        <v>25</v>
      </c>
      <c r="E18" s="111" t="s">
        <v>25</v>
      </c>
      <c r="F18" s="111" t="s">
        <v>25</v>
      </c>
      <c r="G18" s="111" t="s">
        <v>25</v>
      </c>
      <c r="H18" s="111" t="s">
        <v>75</v>
      </c>
      <c r="I18" s="111" t="s">
        <v>25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  <c r="AG18" s="111">
        <v>0</v>
      </c>
      <c r="AH18" s="111">
        <v>0</v>
      </c>
      <c r="AI18" s="111">
        <v>0</v>
      </c>
      <c r="AJ18" s="111">
        <v>0</v>
      </c>
      <c r="AK18" s="111">
        <v>0</v>
      </c>
      <c r="AL18" s="111">
        <v>0</v>
      </c>
      <c r="AM18" s="111">
        <v>0</v>
      </c>
      <c r="AN18" s="111">
        <v>0</v>
      </c>
      <c r="AO18" s="111">
        <v>0</v>
      </c>
      <c r="AP18" s="111">
        <v>0</v>
      </c>
      <c r="AQ18" s="111">
        <v>0</v>
      </c>
      <c r="AR18" s="112">
        <v>0</v>
      </c>
    </row>
    <row r="19" spans="2:44" ht="12" customHeight="1" x14ac:dyDescent="0.25">
      <c r="B19" s="110" t="s">
        <v>34</v>
      </c>
      <c r="C19" s="111" t="s">
        <v>35</v>
      </c>
      <c r="D19" s="111" t="s">
        <v>25</v>
      </c>
      <c r="E19" s="111" t="s">
        <v>25</v>
      </c>
      <c r="F19" s="111" t="s">
        <v>25</v>
      </c>
      <c r="G19" s="111" t="s">
        <v>37</v>
      </c>
      <c r="H19" s="111" t="s">
        <v>70</v>
      </c>
      <c r="I19" s="111" t="s">
        <v>25</v>
      </c>
      <c r="J19" s="111">
        <v>16.89</v>
      </c>
      <c r="K19" s="111">
        <v>36.450000000000003</v>
      </c>
      <c r="L19" s="111">
        <v>0.14107834193795099</v>
      </c>
      <c r="M19" s="111">
        <v>0</v>
      </c>
      <c r="N19" s="111">
        <v>0</v>
      </c>
      <c r="O19" s="111">
        <v>0</v>
      </c>
      <c r="P19" s="111">
        <v>0</v>
      </c>
      <c r="Q19" s="111">
        <v>12.2431270491315</v>
      </c>
      <c r="R19" s="111">
        <v>3.2058630351298198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1.12265277445374</v>
      </c>
      <c r="AE19" s="111">
        <v>3.6102992035022402E-2</v>
      </c>
      <c r="AF19" s="111">
        <v>0.138139006145855</v>
      </c>
      <c r="AG19" s="111">
        <v>0</v>
      </c>
      <c r="AH19" s="111">
        <v>0.14958763705513201</v>
      </c>
      <c r="AI19" s="111">
        <v>0</v>
      </c>
      <c r="AJ19" s="111">
        <v>0</v>
      </c>
      <c r="AK19" s="111">
        <v>12.9713798641864</v>
      </c>
      <c r="AL19" s="111">
        <v>0</v>
      </c>
      <c r="AM19" s="111">
        <v>20.943603817484</v>
      </c>
      <c r="AN19" s="111">
        <v>1.4425073485728299</v>
      </c>
      <c r="AO19" s="111">
        <v>0.298835002913659</v>
      </c>
      <c r="AP19" s="111">
        <v>0</v>
      </c>
      <c r="AQ19" s="111">
        <v>0</v>
      </c>
      <c r="AR19" s="112">
        <v>0.64210348485840896</v>
      </c>
    </row>
    <row r="20" spans="2:44" ht="12" customHeight="1" x14ac:dyDescent="0.25">
      <c r="B20" s="110" t="s">
        <v>80</v>
      </c>
      <c r="C20" s="111" t="s">
        <v>79</v>
      </c>
      <c r="D20" s="111" t="s">
        <v>25</v>
      </c>
      <c r="E20" s="111" t="s">
        <v>25</v>
      </c>
      <c r="F20" s="111" t="s">
        <v>81</v>
      </c>
      <c r="G20" s="111" t="s">
        <v>25</v>
      </c>
      <c r="H20" s="111" t="s">
        <v>75</v>
      </c>
      <c r="I20" s="111" t="s">
        <v>25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  <c r="AG20" s="111">
        <v>0</v>
      </c>
      <c r="AH20" s="111">
        <v>0</v>
      </c>
      <c r="AI20" s="111">
        <v>0</v>
      </c>
      <c r="AJ20" s="111">
        <v>0</v>
      </c>
      <c r="AK20" s="111">
        <v>0</v>
      </c>
      <c r="AL20" s="111">
        <v>0</v>
      </c>
      <c r="AM20" s="111">
        <v>0</v>
      </c>
      <c r="AN20" s="111">
        <v>0</v>
      </c>
      <c r="AO20" s="111">
        <v>0</v>
      </c>
      <c r="AP20" s="111">
        <v>0</v>
      </c>
      <c r="AQ20" s="111">
        <v>0</v>
      </c>
      <c r="AR20" s="112">
        <v>0</v>
      </c>
    </row>
    <row r="21" spans="2:44" ht="12" customHeight="1" x14ac:dyDescent="0.25">
      <c r="B21" s="110" t="s">
        <v>80</v>
      </c>
      <c r="C21" s="111" t="s">
        <v>79</v>
      </c>
      <c r="D21" s="111" t="s">
        <v>25</v>
      </c>
      <c r="E21" s="111" t="s">
        <v>25</v>
      </c>
      <c r="F21" s="111" t="s">
        <v>82</v>
      </c>
      <c r="G21" s="111" t="s">
        <v>25</v>
      </c>
      <c r="H21" s="111" t="s">
        <v>75</v>
      </c>
      <c r="I21" s="111" t="s">
        <v>25</v>
      </c>
      <c r="J21" s="111">
        <v>0</v>
      </c>
      <c r="K21" s="111">
        <v>0</v>
      </c>
      <c r="L21" s="111">
        <v>0</v>
      </c>
      <c r="M21" s="111">
        <v>0</v>
      </c>
      <c r="N21" s="111">
        <v>0</v>
      </c>
      <c r="O21" s="111">
        <v>0</v>
      </c>
      <c r="P21" s="111">
        <v>0</v>
      </c>
      <c r="Q21" s="111">
        <v>0</v>
      </c>
      <c r="R21" s="111">
        <v>0</v>
      </c>
      <c r="S21" s="111">
        <v>0</v>
      </c>
      <c r="T21" s="111">
        <v>0</v>
      </c>
      <c r="U21" s="111">
        <v>0</v>
      </c>
      <c r="V21" s="111">
        <v>0</v>
      </c>
      <c r="W21" s="111">
        <v>0</v>
      </c>
      <c r="X21" s="111">
        <v>0</v>
      </c>
      <c r="Y21" s="111">
        <v>0</v>
      </c>
      <c r="Z21" s="111">
        <v>0</v>
      </c>
      <c r="AA21" s="111">
        <v>0</v>
      </c>
      <c r="AB21" s="111">
        <v>0</v>
      </c>
      <c r="AC21" s="111">
        <v>0</v>
      </c>
      <c r="AD21" s="111">
        <v>0</v>
      </c>
      <c r="AE21" s="111">
        <v>0</v>
      </c>
      <c r="AF21" s="111">
        <v>0</v>
      </c>
      <c r="AG21" s="111">
        <v>0</v>
      </c>
      <c r="AH21" s="111">
        <v>0</v>
      </c>
      <c r="AI21" s="111">
        <v>0</v>
      </c>
      <c r="AJ21" s="111">
        <v>0</v>
      </c>
      <c r="AK21" s="111">
        <v>0</v>
      </c>
      <c r="AL21" s="111">
        <v>0</v>
      </c>
      <c r="AM21" s="111">
        <v>0</v>
      </c>
      <c r="AN21" s="111">
        <v>0</v>
      </c>
      <c r="AO21" s="111">
        <v>0</v>
      </c>
      <c r="AP21" s="111">
        <v>0</v>
      </c>
      <c r="AQ21" s="111">
        <v>0</v>
      </c>
      <c r="AR21" s="112">
        <v>0</v>
      </c>
    </row>
    <row r="22" spans="2:44" ht="12" customHeight="1" x14ac:dyDescent="0.25">
      <c r="B22" s="110" t="s">
        <v>22</v>
      </c>
      <c r="C22" s="111" t="s">
        <v>49</v>
      </c>
      <c r="D22" s="111" t="s">
        <v>24</v>
      </c>
      <c r="E22" s="111" t="s">
        <v>24</v>
      </c>
      <c r="F22" s="111" t="s">
        <v>25</v>
      </c>
      <c r="G22" s="111" t="s">
        <v>36</v>
      </c>
      <c r="H22" s="111" t="s">
        <v>70</v>
      </c>
      <c r="I22" s="111" t="s">
        <v>25</v>
      </c>
      <c r="J22" s="111">
        <v>20.170000000000002</v>
      </c>
      <c r="K22" s="111">
        <v>51.53</v>
      </c>
      <c r="L22" s="111">
        <v>0.167950407068989</v>
      </c>
      <c r="M22" s="111">
        <v>0</v>
      </c>
      <c r="N22" s="111">
        <v>0</v>
      </c>
      <c r="O22" s="111">
        <v>0</v>
      </c>
      <c r="P22" s="111">
        <v>0</v>
      </c>
      <c r="Q22" s="111">
        <v>14.575151248966099</v>
      </c>
      <c r="R22" s="111">
        <v>3.2058630351298198</v>
      </c>
      <c r="S22" s="111">
        <v>0</v>
      </c>
      <c r="T22" s="111">
        <v>0</v>
      </c>
      <c r="U22" s="111">
        <v>0</v>
      </c>
      <c r="V22" s="111">
        <v>0</v>
      </c>
      <c r="W22" s="111">
        <v>0</v>
      </c>
      <c r="X22" s="111">
        <v>0</v>
      </c>
      <c r="Y22" s="111">
        <v>0</v>
      </c>
      <c r="Z22" s="111">
        <v>0</v>
      </c>
      <c r="AA22" s="111">
        <v>0</v>
      </c>
      <c r="AB22" s="111">
        <v>0</v>
      </c>
      <c r="AC22" s="111">
        <v>0</v>
      </c>
      <c r="AD22" s="111">
        <v>1.9517596928235801</v>
      </c>
      <c r="AE22" s="111">
        <v>6.2765947092211394E-2</v>
      </c>
      <c r="AF22" s="111">
        <v>0.206324135063261</v>
      </c>
      <c r="AG22" s="111">
        <v>0</v>
      </c>
      <c r="AH22" s="111">
        <v>0.14958763705513201</v>
      </c>
      <c r="AI22" s="111">
        <v>0</v>
      </c>
      <c r="AJ22" s="111">
        <v>0</v>
      </c>
      <c r="AK22" s="111">
        <v>12.9713798641864</v>
      </c>
      <c r="AL22" s="111">
        <v>0</v>
      </c>
      <c r="AM22" s="111">
        <v>36.022998566072502</v>
      </c>
      <c r="AN22" s="111">
        <v>1.4425073485728299</v>
      </c>
      <c r="AO22" s="111">
        <v>0.298835002913659</v>
      </c>
      <c r="AP22" s="111">
        <v>0</v>
      </c>
      <c r="AQ22" s="111">
        <v>0</v>
      </c>
      <c r="AR22" s="112">
        <v>0.64210348485840896</v>
      </c>
    </row>
    <row r="23" spans="2:44" ht="12" customHeight="1" x14ac:dyDescent="0.25">
      <c r="B23" s="110" t="s">
        <v>22</v>
      </c>
      <c r="C23" s="111" t="s">
        <v>49</v>
      </c>
      <c r="D23" s="111" t="s">
        <v>24</v>
      </c>
      <c r="E23" s="111" t="s">
        <v>24</v>
      </c>
      <c r="F23" s="111" t="s">
        <v>25</v>
      </c>
      <c r="G23" s="111" t="s">
        <v>50</v>
      </c>
      <c r="H23" s="111" t="s">
        <v>70</v>
      </c>
      <c r="I23" s="111" t="s">
        <v>25</v>
      </c>
      <c r="J23" s="111">
        <v>20.170000000000002</v>
      </c>
      <c r="K23" s="111">
        <v>36.450000000000003</v>
      </c>
      <c r="L23" s="111">
        <v>0.167950407068989</v>
      </c>
      <c r="M23" s="111">
        <v>0</v>
      </c>
      <c r="N23" s="111">
        <v>0</v>
      </c>
      <c r="O23" s="111">
        <v>0</v>
      </c>
      <c r="P23" s="111">
        <v>0</v>
      </c>
      <c r="Q23" s="111">
        <v>14.575151248966099</v>
      </c>
      <c r="R23" s="111">
        <v>3.2058630351298198</v>
      </c>
      <c r="S23" s="111">
        <v>0</v>
      </c>
      <c r="T23" s="111">
        <v>0</v>
      </c>
      <c r="U23" s="111">
        <v>0</v>
      </c>
      <c r="V23" s="111">
        <v>0</v>
      </c>
      <c r="W23" s="111">
        <v>0</v>
      </c>
      <c r="X23" s="111">
        <v>0</v>
      </c>
      <c r="Y23" s="111">
        <v>0</v>
      </c>
      <c r="Z23" s="111">
        <v>0</v>
      </c>
      <c r="AA23" s="111">
        <v>0</v>
      </c>
      <c r="AB23" s="111">
        <v>0</v>
      </c>
      <c r="AC23" s="111">
        <v>0</v>
      </c>
      <c r="AD23" s="111">
        <v>1.9517596928235801</v>
      </c>
      <c r="AE23" s="111">
        <v>6.2765947092211394E-2</v>
      </c>
      <c r="AF23" s="111">
        <v>0.206324135063261</v>
      </c>
      <c r="AG23" s="111">
        <v>0</v>
      </c>
      <c r="AH23" s="111">
        <v>0.14958763705513201</v>
      </c>
      <c r="AI23" s="111">
        <v>0</v>
      </c>
      <c r="AJ23" s="111">
        <v>0</v>
      </c>
      <c r="AK23" s="111">
        <v>12.9713798641864</v>
      </c>
      <c r="AL23" s="111">
        <v>0</v>
      </c>
      <c r="AM23" s="111">
        <v>20.943603817484</v>
      </c>
      <c r="AN23" s="111">
        <v>1.4425073485728299</v>
      </c>
      <c r="AO23" s="111">
        <v>0.298835002913659</v>
      </c>
      <c r="AP23" s="111">
        <v>0</v>
      </c>
      <c r="AQ23" s="111">
        <v>0</v>
      </c>
      <c r="AR23" s="112">
        <v>0.64210348485840896</v>
      </c>
    </row>
    <row r="24" spans="2:44" ht="12" customHeight="1" x14ac:dyDescent="0.25">
      <c r="B24" s="110" t="s">
        <v>22</v>
      </c>
      <c r="C24" s="111" t="s">
        <v>49</v>
      </c>
      <c r="D24" s="111" t="s">
        <v>24</v>
      </c>
      <c r="E24" s="111" t="s">
        <v>24</v>
      </c>
      <c r="F24" s="111" t="s">
        <v>25</v>
      </c>
      <c r="G24" s="111" t="s">
        <v>37</v>
      </c>
      <c r="H24" s="111" t="s">
        <v>70</v>
      </c>
      <c r="I24" s="111" t="s">
        <v>25</v>
      </c>
      <c r="J24" s="111">
        <v>20.170000000000002</v>
      </c>
      <c r="K24" s="111">
        <v>36.450000000000003</v>
      </c>
      <c r="L24" s="111">
        <v>0.167950407068989</v>
      </c>
      <c r="M24" s="111">
        <v>0</v>
      </c>
      <c r="N24" s="111">
        <v>0</v>
      </c>
      <c r="O24" s="111">
        <v>0</v>
      </c>
      <c r="P24" s="111">
        <v>0</v>
      </c>
      <c r="Q24" s="111">
        <v>14.575151248966099</v>
      </c>
      <c r="R24" s="111">
        <v>3.2058630351298198</v>
      </c>
      <c r="S24" s="111">
        <v>0</v>
      </c>
      <c r="T24" s="111">
        <v>0</v>
      </c>
      <c r="U24" s="111">
        <v>0</v>
      </c>
      <c r="V24" s="111">
        <v>0</v>
      </c>
      <c r="W24" s="111">
        <v>0</v>
      </c>
      <c r="X24" s="111">
        <v>0</v>
      </c>
      <c r="Y24" s="111">
        <v>0</v>
      </c>
      <c r="Z24" s="111">
        <v>0</v>
      </c>
      <c r="AA24" s="111">
        <v>0</v>
      </c>
      <c r="AB24" s="111">
        <v>0</v>
      </c>
      <c r="AC24" s="111">
        <v>0</v>
      </c>
      <c r="AD24" s="111">
        <v>1.9517596928235801</v>
      </c>
      <c r="AE24" s="111">
        <v>6.2765947092211394E-2</v>
      </c>
      <c r="AF24" s="111">
        <v>0.206324135063261</v>
      </c>
      <c r="AG24" s="111">
        <v>0</v>
      </c>
      <c r="AH24" s="111">
        <v>0.14958763705513201</v>
      </c>
      <c r="AI24" s="111">
        <v>0</v>
      </c>
      <c r="AJ24" s="111">
        <v>0</v>
      </c>
      <c r="AK24" s="111">
        <v>12.9713798641864</v>
      </c>
      <c r="AL24" s="111">
        <v>0</v>
      </c>
      <c r="AM24" s="111">
        <v>20.943603817484</v>
      </c>
      <c r="AN24" s="111">
        <v>1.4425073485728299</v>
      </c>
      <c r="AO24" s="111">
        <v>0.298835002913659</v>
      </c>
      <c r="AP24" s="111">
        <v>0</v>
      </c>
      <c r="AQ24" s="111">
        <v>0</v>
      </c>
      <c r="AR24" s="112">
        <v>0.64210348485840896</v>
      </c>
    </row>
    <row r="25" spans="2:44" ht="12" customHeight="1" x14ac:dyDescent="0.25">
      <c r="B25" s="110" t="s">
        <v>22</v>
      </c>
      <c r="C25" s="111" t="s">
        <v>23</v>
      </c>
      <c r="D25" s="111" t="s">
        <v>24</v>
      </c>
      <c r="E25" s="111" t="s">
        <v>1166</v>
      </c>
      <c r="F25" s="111" t="s">
        <v>25</v>
      </c>
      <c r="G25" s="111" t="s">
        <v>25</v>
      </c>
      <c r="H25" s="111" t="s">
        <v>70</v>
      </c>
      <c r="I25" s="111" t="s">
        <v>25</v>
      </c>
      <c r="J25" s="111">
        <v>2.2200000000000002</v>
      </c>
      <c r="K25" s="111">
        <v>37.700000000000003</v>
      </c>
      <c r="L25" s="111">
        <v>0</v>
      </c>
      <c r="M25" s="111">
        <v>0</v>
      </c>
      <c r="N25" s="111">
        <v>0</v>
      </c>
      <c r="O25" s="111">
        <v>0</v>
      </c>
      <c r="P25" s="111">
        <v>0</v>
      </c>
      <c r="Q25" s="111">
        <v>0</v>
      </c>
      <c r="R25" s="111">
        <v>0</v>
      </c>
      <c r="S25" s="111">
        <v>0</v>
      </c>
      <c r="T25" s="111">
        <v>0</v>
      </c>
      <c r="U25" s="111">
        <v>0</v>
      </c>
      <c r="V25" s="111">
        <v>0</v>
      </c>
      <c r="W25" s="111">
        <v>0</v>
      </c>
      <c r="X25" s="111">
        <v>0</v>
      </c>
      <c r="Y25" s="111">
        <v>0</v>
      </c>
      <c r="Z25" s="111">
        <v>0</v>
      </c>
      <c r="AA25" s="111">
        <v>0</v>
      </c>
      <c r="AB25" s="111">
        <v>0</v>
      </c>
      <c r="AC25" s="111">
        <v>0</v>
      </c>
      <c r="AD25" s="111">
        <v>1.9517596928235801</v>
      </c>
      <c r="AE25" s="111">
        <v>6.2765947092211394E-2</v>
      </c>
      <c r="AF25" s="111">
        <v>0.206324135063261</v>
      </c>
      <c r="AG25" s="111">
        <v>0</v>
      </c>
      <c r="AH25" s="111">
        <v>0.14958763705513201</v>
      </c>
      <c r="AI25" s="111">
        <v>0</v>
      </c>
      <c r="AJ25" s="111">
        <v>0</v>
      </c>
      <c r="AK25" s="111">
        <v>12.9713798641864</v>
      </c>
      <c r="AL25" s="111">
        <v>0</v>
      </c>
      <c r="AM25" s="111">
        <v>22.200220046533001</v>
      </c>
      <c r="AN25" s="111">
        <v>1.4425073485728299</v>
      </c>
      <c r="AO25" s="111">
        <v>0.298835002913659</v>
      </c>
      <c r="AP25" s="111">
        <v>0</v>
      </c>
      <c r="AQ25" s="111">
        <v>0</v>
      </c>
      <c r="AR25" s="112">
        <v>0.64210348485840896</v>
      </c>
    </row>
    <row r="26" spans="2:44" ht="12" customHeight="1" x14ac:dyDescent="0.25">
      <c r="B26" s="110" t="s">
        <v>22</v>
      </c>
      <c r="C26" s="111" t="s">
        <v>23</v>
      </c>
      <c r="D26" s="111" t="s">
        <v>24</v>
      </c>
      <c r="E26" s="111" t="s">
        <v>24</v>
      </c>
      <c r="F26" s="111" t="s">
        <v>25</v>
      </c>
      <c r="G26" s="111" t="s">
        <v>25</v>
      </c>
      <c r="H26" s="111" t="s">
        <v>70</v>
      </c>
      <c r="I26" s="111" t="s">
        <v>25</v>
      </c>
      <c r="J26" s="111">
        <v>20.170000000000002</v>
      </c>
      <c r="K26" s="111">
        <v>37.700000000000003</v>
      </c>
      <c r="L26" s="111">
        <v>0.167950407068989</v>
      </c>
      <c r="M26" s="111">
        <v>0</v>
      </c>
      <c r="N26" s="111">
        <v>0</v>
      </c>
      <c r="O26" s="111">
        <v>0</v>
      </c>
      <c r="P26" s="111">
        <v>0</v>
      </c>
      <c r="Q26" s="111">
        <v>14.575151248966099</v>
      </c>
      <c r="R26" s="111">
        <v>3.2058630351298198</v>
      </c>
      <c r="S26" s="111">
        <v>0</v>
      </c>
      <c r="T26" s="111">
        <v>0</v>
      </c>
      <c r="U26" s="111">
        <v>0</v>
      </c>
      <c r="V26" s="111">
        <v>0</v>
      </c>
      <c r="W26" s="111">
        <v>0</v>
      </c>
      <c r="X26" s="111">
        <v>0</v>
      </c>
      <c r="Y26" s="111">
        <v>0</v>
      </c>
      <c r="Z26" s="111">
        <v>0</v>
      </c>
      <c r="AA26" s="111">
        <v>0</v>
      </c>
      <c r="AB26" s="111">
        <v>0</v>
      </c>
      <c r="AC26" s="111">
        <v>0</v>
      </c>
      <c r="AD26" s="111">
        <v>1.9517596928235801</v>
      </c>
      <c r="AE26" s="111">
        <v>6.2765947092211394E-2</v>
      </c>
      <c r="AF26" s="111">
        <v>0.206324135063261</v>
      </c>
      <c r="AG26" s="111">
        <v>0</v>
      </c>
      <c r="AH26" s="111">
        <v>0.14958763705513201</v>
      </c>
      <c r="AI26" s="111">
        <v>0</v>
      </c>
      <c r="AJ26" s="111">
        <v>0</v>
      </c>
      <c r="AK26" s="111">
        <v>12.9713798641864</v>
      </c>
      <c r="AL26" s="111">
        <v>0</v>
      </c>
      <c r="AM26" s="111">
        <v>22.200220046533001</v>
      </c>
      <c r="AN26" s="111">
        <v>1.4425073485728299</v>
      </c>
      <c r="AO26" s="111">
        <v>0.298835002913659</v>
      </c>
      <c r="AP26" s="111">
        <v>0</v>
      </c>
      <c r="AQ26" s="111">
        <v>0</v>
      </c>
      <c r="AR26" s="112">
        <v>0.64210348485840896</v>
      </c>
    </row>
    <row r="27" spans="2:44" ht="12" customHeight="1" x14ac:dyDescent="0.25">
      <c r="B27" s="110" t="s">
        <v>22</v>
      </c>
      <c r="C27" s="111" t="s">
        <v>85</v>
      </c>
      <c r="D27" s="111" t="s">
        <v>24</v>
      </c>
      <c r="E27" s="111" t="s">
        <v>1166</v>
      </c>
      <c r="F27" s="111" t="s">
        <v>25</v>
      </c>
      <c r="G27" s="111" t="s">
        <v>25</v>
      </c>
      <c r="H27" s="111" t="s">
        <v>70</v>
      </c>
      <c r="I27" s="111" t="s">
        <v>25</v>
      </c>
      <c r="J27" s="111">
        <v>2.2200000000000002</v>
      </c>
      <c r="K27" s="111">
        <v>37.700000000000003</v>
      </c>
      <c r="L27" s="111">
        <v>0</v>
      </c>
      <c r="M27" s="111">
        <v>0</v>
      </c>
      <c r="N27" s="111">
        <v>0</v>
      </c>
      <c r="O27" s="111">
        <v>0</v>
      </c>
      <c r="P27" s="111">
        <v>0</v>
      </c>
      <c r="Q27" s="111">
        <v>0</v>
      </c>
      <c r="R27" s="111">
        <v>0</v>
      </c>
      <c r="S27" s="111">
        <v>0</v>
      </c>
      <c r="T27" s="111">
        <v>0</v>
      </c>
      <c r="U27" s="111">
        <v>0</v>
      </c>
      <c r="V27" s="111">
        <v>0</v>
      </c>
      <c r="W27" s="111">
        <v>0</v>
      </c>
      <c r="X27" s="111">
        <v>0</v>
      </c>
      <c r="Y27" s="111">
        <v>0</v>
      </c>
      <c r="Z27" s="111">
        <v>0</v>
      </c>
      <c r="AA27" s="111">
        <v>0</v>
      </c>
      <c r="AB27" s="111">
        <v>0</v>
      </c>
      <c r="AC27" s="111">
        <v>0</v>
      </c>
      <c r="AD27" s="111">
        <v>1.9517596928235801</v>
      </c>
      <c r="AE27" s="111">
        <v>6.2765947092211394E-2</v>
      </c>
      <c r="AF27" s="111">
        <v>0.206324135063261</v>
      </c>
      <c r="AG27" s="111">
        <v>0</v>
      </c>
      <c r="AH27" s="111">
        <v>0.14958763705513201</v>
      </c>
      <c r="AI27" s="111">
        <v>0</v>
      </c>
      <c r="AJ27" s="111">
        <v>0</v>
      </c>
      <c r="AK27" s="111">
        <v>12.9713798641864</v>
      </c>
      <c r="AL27" s="111">
        <v>0</v>
      </c>
      <c r="AM27" s="111">
        <v>22.200220046533001</v>
      </c>
      <c r="AN27" s="111">
        <v>1.4425073485728299</v>
      </c>
      <c r="AO27" s="111">
        <v>0.298835002913659</v>
      </c>
      <c r="AP27" s="111">
        <v>0</v>
      </c>
      <c r="AQ27" s="111">
        <v>0</v>
      </c>
      <c r="AR27" s="112">
        <v>0.64210348485840896</v>
      </c>
    </row>
    <row r="28" spans="2:44" ht="12" customHeight="1" x14ac:dyDescent="0.25">
      <c r="B28" s="110" t="s">
        <v>22</v>
      </c>
      <c r="C28" s="111" t="s">
        <v>85</v>
      </c>
      <c r="D28" s="111" t="s">
        <v>24</v>
      </c>
      <c r="E28" s="111" t="s">
        <v>24</v>
      </c>
      <c r="F28" s="111" t="s">
        <v>25</v>
      </c>
      <c r="G28" s="111" t="s">
        <v>25</v>
      </c>
      <c r="H28" s="111" t="s">
        <v>70</v>
      </c>
      <c r="I28" s="111" t="s">
        <v>25</v>
      </c>
      <c r="J28" s="111">
        <v>20.170000000000002</v>
      </c>
      <c r="K28" s="111">
        <v>37.700000000000003</v>
      </c>
      <c r="L28" s="111">
        <v>0.167950407068989</v>
      </c>
      <c r="M28" s="111">
        <v>0</v>
      </c>
      <c r="N28" s="111">
        <v>0</v>
      </c>
      <c r="O28" s="111">
        <v>0</v>
      </c>
      <c r="P28" s="111">
        <v>0</v>
      </c>
      <c r="Q28" s="111">
        <v>14.575151248966099</v>
      </c>
      <c r="R28" s="111">
        <v>3.2058630351298198</v>
      </c>
      <c r="S28" s="111">
        <v>0</v>
      </c>
      <c r="T28" s="111">
        <v>0</v>
      </c>
      <c r="U28" s="111">
        <v>0</v>
      </c>
      <c r="V28" s="111">
        <v>0</v>
      </c>
      <c r="W28" s="111">
        <v>0</v>
      </c>
      <c r="X28" s="111">
        <v>0</v>
      </c>
      <c r="Y28" s="111">
        <v>0</v>
      </c>
      <c r="Z28" s="111">
        <v>0</v>
      </c>
      <c r="AA28" s="111">
        <v>0</v>
      </c>
      <c r="AB28" s="111">
        <v>0</v>
      </c>
      <c r="AC28" s="111">
        <v>0</v>
      </c>
      <c r="AD28" s="111">
        <v>1.9517596928235801</v>
      </c>
      <c r="AE28" s="111">
        <v>6.2765947092211394E-2</v>
      </c>
      <c r="AF28" s="111">
        <v>0.206324135063261</v>
      </c>
      <c r="AG28" s="111">
        <v>0</v>
      </c>
      <c r="AH28" s="111">
        <v>0.14958763705513201</v>
      </c>
      <c r="AI28" s="111">
        <v>0</v>
      </c>
      <c r="AJ28" s="111">
        <v>0</v>
      </c>
      <c r="AK28" s="111">
        <v>12.9713798641864</v>
      </c>
      <c r="AL28" s="111">
        <v>0</v>
      </c>
      <c r="AM28" s="111">
        <v>22.200220046533001</v>
      </c>
      <c r="AN28" s="111">
        <v>1.4425073485728299</v>
      </c>
      <c r="AO28" s="111">
        <v>0.298835002913659</v>
      </c>
      <c r="AP28" s="111">
        <v>0</v>
      </c>
      <c r="AQ28" s="111">
        <v>0</v>
      </c>
      <c r="AR28" s="112">
        <v>0.64210348485840896</v>
      </c>
    </row>
    <row r="29" spans="2:44" ht="12" customHeight="1" x14ac:dyDescent="0.25">
      <c r="B29" s="110" t="s">
        <v>39</v>
      </c>
      <c r="C29" s="111" t="s">
        <v>49</v>
      </c>
      <c r="D29" s="111" t="s">
        <v>40</v>
      </c>
      <c r="E29" s="111" t="s">
        <v>86</v>
      </c>
      <c r="F29" s="111" t="s">
        <v>25</v>
      </c>
      <c r="G29" s="111" t="s">
        <v>36</v>
      </c>
      <c r="H29" s="111" t="s">
        <v>70</v>
      </c>
      <c r="I29" s="111" t="s">
        <v>25</v>
      </c>
      <c r="J29" s="111">
        <v>18.96</v>
      </c>
      <c r="K29" s="111">
        <v>48.44</v>
      </c>
      <c r="L29" s="111">
        <v>0.15787338264485001</v>
      </c>
      <c r="M29" s="111">
        <v>0</v>
      </c>
      <c r="N29" s="111">
        <v>0</v>
      </c>
      <c r="O29" s="111">
        <v>0</v>
      </c>
      <c r="P29" s="111">
        <v>0</v>
      </c>
      <c r="Q29" s="111">
        <v>13.700642174028101</v>
      </c>
      <c r="R29" s="111">
        <v>3.0135112530220298</v>
      </c>
      <c r="S29" s="111">
        <v>0</v>
      </c>
      <c r="T29" s="111">
        <v>0</v>
      </c>
      <c r="U29" s="111">
        <v>0</v>
      </c>
      <c r="V29" s="111">
        <v>0</v>
      </c>
      <c r="W29" s="111">
        <v>0</v>
      </c>
      <c r="X29" s="111">
        <v>0</v>
      </c>
      <c r="Y29" s="111">
        <v>0</v>
      </c>
      <c r="Z29" s="111">
        <v>0</v>
      </c>
      <c r="AA29" s="111">
        <v>0</v>
      </c>
      <c r="AB29" s="111">
        <v>0</v>
      </c>
      <c r="AC29" s="111">
        <v>0</v>
      </c>
      <c r="AD29" s="111">
        <v>1.8346541112541701</v>
      </c>
      <c r="AE29" s="111">
        <v>5.8999990266678702E-2</v>
      </c>
      <c r="AF29" s="111">
        <v>0.19394468695946501</v>
      </c>
      <c r="AG29" s="111">
        <v>0</v>
      </c>
      <c r="AH29" s="111">
        <v>0.14061237883182401</v>
      </c>
      <c r="AI29" s="111">
        <v>0</v>
      </c>
      <c r="AJ29" s="111">
        <v>0</v>
      </c>
      <c r="AK29" s="111">
        <v>12.193097072335201</v>
      </c>
      <c r="AL29" s="111">
        <v>0</v>
      </c>
      <c r="AM29" s="111">
        <v>33.861618652108099</v>
      </c>
      <c r="AN29" s="111">
        <v>1.3559569076584601</v>
      </c>
      <c r="AO29" s="111">
        <v>0.280904902738839</v>
      </c>
      <c r="AP29" s="111">
        <v>0</v>
      </c>
      <c r="AQ29" s="111">
        <v>0</v>
      </c>
      <c r="AR29" s="112">
        <v>0.60357727576690401</v>
      </c>
    </row>
    <row r="30" spans="2:44" ht="12" customHeight="1" x14ac:dyDescent="0.25">
      <c r="B30" s="110" t="s">
        <v>39</v>
      </c>
      <c r="C30" s="111" t="s">
        <v>49</v>
      </c>
      <c r="D30" s="111" t="s">
        <v>40</v>
      </c>
      <c r="E30" s="111" t="s">
        <v>86</v>
      </c>
      <c r="F30" s="111" t="s">
        <v>25</v>
      </c>
      <c r="G30" s="111" t="s">
        <v>50</v>
      </c>
      <c r="H30" s="111" t="s">
        <v>70</v>
      </c>
      <c r="I30" s="111" t="s">
        <v>25</v>
      </c>
      <c r="J30" s="111">
        <v>18.96</v>
      </c>
      <c r="K30" s="111">
        <v>34.26</v>
      </c>
      <c r="L30" s="111">
        <v>0.15787338264485001</v>
      </c>
      <c r="M30" s="111">
        <v>0</v>
      </c>
      <c r="N30" s="111">
        <v>0</v>
      </c>
      <c r="O30" s="111">
        <v>0</v>
      </c>
      <c r="P30" s="111">
        <v>0</v>
      </c>
      <c r="Q30" s="111">
        <v>13.700642174028101</v>
      </c>
      <c r="R30" s="111">
        <v>3.0135112530220298</v>
      </c>
      <c r="S30" s="111">
        <v>0</v>
      </c>
      <c r="T30" s="111">
        <v>0</v>
      </c>
      <c r="U30" s="111">
        <v>0</v>
      </c>
      <c r="V30" s="111">
        <v>0</v>
      </c>
      <c r="W30" s="111">
        <v>0</v>
      </c>
      <c r="X30" s="111">
        <v>0</v>
      </c>
      <c r="Y30" s="111">
        <v>0</v>
      </c>
      <c r="Z30" s="111">
        <v>0</v>
      </c>
      <c r="AA30" s="111">
        <v>0</v>
      </c>
      <c r="AB30" s="111">
        <v>0</v>
      </c>
      <c r="AC30" s="111">
        <v>0</v>
      </c>
      <c r="AD30" s="111">
        <v>1.8346541112541701</v>
      </c>
      <c r="AE30" s="111">
        <v>5.8999990266678702E-2</v>
      </c>
      <c r="AF30" s="111">
        <v>0.19394468695946501</v>
      </c>
      <c r="AG30" s="111">
        <v>0</v>
      </c>
      <c r="AH30" s="111">
        <v>0.14061237883182401</v>
      </c>
      <c r="AI30" s="111">
        <v>0</v>
      </c>
      <c r="AJ30" s="111">
        <v>0</v>
      </c>
      <c r="AK30" s="111">
        <v>12.193097072335201</v>
      </c>
      <c r="AL30" s="111">
        <v>0</v>
      </c>
      <c r="AM30" s="111">
        <v>19.686987588434999</v>
      </c>
      <c r="AN30" s="111">
        <v>1.3559569076584601</v>
      </c>
      <c r="AO30" s="111">
        <v>0.280904902738839</v>
      </c>
      <c r="AP30" s="111">
        <v>0</v>
      </c>
      <c r="AQ30" s="111">
        <v>0</v>
      </c>
      <c r="AR30" s="112">
        <v>0.60357727576690401</v>
      </c>
    </row>
    <row r="31" spans="2:44" ht="12" customHeight="1" x14ac:dyDescent="0.25">
      <c r="B31" s="110" t="s">
        <v>39</v>
      </c>
      <c r="C31" s="111" t="s">
        <v>49</v>
      </c>
      <c r="D31" s="111" t="s">
        <v>40</v>
      </c>
      <c r="E31" s="111" t="s">
        <v>86</v>
      </c>
      <c r="F31" s="111" t="s">
        <v>25</v>
      </c>
      <c r="G31" s="111" t="s">
        <v>37</v>
      </c>
      <c r="H31" s="111" t="s">
        <v>70</v>
      </c>
      <c r="I31" s="111" t="s">
        <v>25</v>
      </c>
      <c r="J31" s="111">
        <v>18.96</v>
      </c>
      <c r="K31" s="111">
        <v>34.26</v>
      </c>
      <c r="L31" s="111">
        <v>0.15787338264485001</v>
      </c>
      <c r="M31" s="111">
        <v>0</v>
      </c>
      <c r="N31" s="111">
        <v>0</v>
      </c>
      <c r="O31" s="111">
        <v>0</v>
      </c>
      <c r="P31" s="111">
        <v>0</v>
      </c>
      <c r="Q31" s="111">
        <v>13.700642174028101</v>
      </c>
      <c r="R31" s="111">
        <v>3.0135112530220298</v>
      </c>
      <c r="S31" s="111">
        <v>0</v>
      </c>
      <c r="T31" s="111">
        <v>0</v>
      </c>
      <c r="U31" s="111">
        <v>0</v>
      </c>
      <c r="V31" s="111">
        <v>0</v>
      </c>
      <c r="W31" s="111">
        <v>0</v>
      </c>
      <c r="X31" s="111">
        <v>0</v>
      </c>
      <c r="Y31" s="111">
        <v>0</v>
      </c>
      <c r="Z31" s="111">
        <v>0</v>
      </c>
      <c r="AA31" s="111">
        <v>0</v>
      </c>
      <c r="AB31" s="111">
        <v>0</v>
      </c>
      <c r="AC31" s="111">
        <v>0</v>
      </c>
      <c r="AD31" s="111">
        <v>1.8346541112541701</v>
      </c>
      <c r="AE31" s="111">
        <v>5.8999990266678702E-2</v>
      </c>
      <c r="AF31" s="111">
        <v>0.19394468695946501</v>
      </c>
      <c r="AG31" s="111">
        <v>0</v>
      </c>
      <c r="AH31" s="111">
        <v>0.14061237883182401</v>
      </c>
      <c r="AI31" s="111">
        <v>0</v>
      </c>
      <c r="AJ31" s="111">
        <v>0</v>
      </c>
      <c r="AK31" s="111">
        <v>12.193097072335201</v>
      </c>
      <c r="AL31" s="111">
        <v>0</v>
      </c>
      <c r="AM31" s="111">
        <v>19.686987588434999</v>
      </c>
      <c r="AN31" s="111">
        <v>1.3559569076584601</v>
      </c>
      <c r="AO31" s="111">
        <v>0.280904902738839</v>
      </c>
      <c r="AP31" s="111">
        <v>0</v>
      </c>
      <c r="AQ31" s="111">
        <v>0</v>
      </c>
      <c r="AR31" s="112">
        <v>0.60357727576690401</v>
      </c>
    </row>
    <row r="32" spans="2:44" ht="12" customHeight="1" x14ac:dyDescent="0.25">
      <c r="B32" s="110" t="s">
        <v>39</v>
      </c>
      <c r="C32" s="111" t="s">
        <v>49</v>
      </c>
      <c r="D32" s="111" t="s">
        <v>40</v>
      </c>
      <c r="E32" s="111" t="s">
        <v>25</v>
      </c>
      <c r="F32" s="111" t="s">
        <v>25</v>
      </c>
      <c r="G32" s="111" t="s">
        <v>36</v>
      </c>
      <c r="H32" s="111" t="s">
        <v>70</v>
      </c>
      <c r="I32" s="111" t="s">
        <v>25</v>
      </c>
      <c r="J32" s="111">
        <v>18.96</v>
      </c>
      <c r="K32" s="111">
        <v>48.44</v>
      </c>
      <c r="L32" s="111">
        <v>0.15787338264485001</v>
      </c>
      <c r="M32" s="111">
        <v>0</v>
      </c>
      <c r="N32" s="111">
        <v>0</v>
      </c>
      <c r="O32" s="111">
        <v>0</v>
      </c>
      <c r="P32" s="111">
        <v>0</v>
      </c>
      <c r="Q32" s="111">
        <v>13.700642174028101</v>
      </c>
      <c r="R32" s="111">
        <v>3.0135112530220298</v>
      </c>
      <c r="S32" s="111">
        <v>0</v>
      </c>
      <c r="T32" s="111">
        <v>0</v>
      </c>
      <c r="U32" s="111">
        <v>0</v>
      </c>
      <c r="V32" s="111">
        <v>0</v>
      </c>
      <c r="W32" s="111">
        <v>0</v>
      </c>
      <c r="X32" s="111">
        <v>0</v>
      </c>
      <c r="Y32" s="111">
        <v>0</v>
      </c>
      <c r="Z32" s="111">
        <v>0</v>
      </c>
      <c r="AA32" s="111">
        <v>0</v>
      </c>
      <c r="AB32" s="111">
        <v>0</v>
      </c>
      <c r="AC32" s="111">
        <v>0</v>
      </c>
      <c r="AD32" s="111">
        <v>1.8346541112541701</v>
      </c>
      <c r="AE32" s="111">
        <v>5.8999990266678702E-2</v>
      </c>
      <c r="AF32" s="111">
        <v>0.19394468695946501</v>
      </c>
      <c r="AG32" s="111">
        <v>0</v>
      </c>
      <c r="AH32" s="111">
        <v>0.14061237883182401</v>
      </c>
      <c r="AI32" s="111">
        <v>0</v>
      </c>
      <c r="AJ32" s="111">
        <v>0</v>
      </c>
      <c r="AK32" s="111">
        <v>12.193097072335201</v>
      </c>
      <c r="AL32" s="111">
        <v>0</v>
      </c>
      <c r="AM32" s="111">
        <v>33.861618652108099</v>
      </c>
      <c r="AN32" s="111">
        <v>1.3559569076584601</v>
      </c>
      <c r="AO32" s="111">
        <v>0.280904902738839</v>
      </c>
      <c r="AP32" s="111">
        <v>0</v>
      </c>
      <c r="AQ32" s="111">
        <v>0</v>
      </c>
      <c r="AR32" s="112">
        <v>0.60357727576690401</v>
      </c>
    </row>
    <row r="33" spans="2:44" ht="12" customHeight="1" x14ac:dyDescent="0.25">
      <c r="B33" s="110" t="s">
        <v>39</v>
      </c>
      <c r="C33" s="111" t="s">
        <v>49</v>
      </c>
      <c r="D33" s="111" t="s">
        <v>40</v>
      </c>
      <c r="E33" s="111" t="s">
        <v>25</v>
      </c>
      <c r="F33" s="111" t="s">
        <v>25</v>
      </c>
      <c r="G33" s="111" t="s">
        <v>50</v>
      </c>
      <c r="H33" s="111" t="s">
        <v>70</v>
      </c>
      <c r="I33" s="111" t="s">
        <v>25</v>
      </c>
      <c r="J33" s="111">
        <v>18.96</v>
      </c>
      <c r="K33" s="111">
        <v>34.26</v>
      </c>
      <c r="L33" s="111">
        <v>0.15787338264485001</v>
      </c>
      <c r="M33" s="111">
        <v>0</v>
      </c>
      <c r="N33" s="111">
        <v>0</v>
      </c>
      <c r="O33" s="111">
        <v>0</v>
      </c>
      <c r="P33" s="111">
        <v>0</v>
      </c>
      <c r="Q33" s="111">
        <v>13.700642174028101</v>
      </c>
      <c r="R33" s="111">
        <v>3.0135112530220298</v>
      </c>
      <c r="S33" s="111">
        <v>0</v>
      </c>
      <c r="T33" s="111">
        <v>0</v>
      </c>
      <c r="U33" s="111">
        <v>0</v>
      </c>
      <c r="V33" s="111">
        <v>0</v>
      </c>
      <c r="W33" s="111">
        <v>0</v>
      </c>
      <c r="X33" s="111">
        <v>0</v>
      </c>
      <c r="Y33" s="111">
        <v>0</v>
      </c>
      <c r="Z33" s="111">
        <v>0</v>
      </c>
      <c r="AA33" s="111">
        <v>0</v>
      </c>
      <c r="AB33" s="111">
        <v>0</v>
      </c>
      <c r="AC33" s="111">
        <v>0</v>
      </c>
      <c r="AD33" s="111">
        <v>1.8346541112541701</v>
      </c>
      <c r="AE33" s="111">
        <v>5.8999990266678702E-2</v>
      </c>
      <c r="AF33" s="111">
        <v>0.19394468695946501</v>
      </c>
      <c r="AG33" s="111">
        <v>0</v>
      </c>
      <c r="AH33" s="111">
        <v>0.14061237883182401</v>
      </c>
      <c r="AI33" s="111">
        <v>0</v>
      </c>
      <c r="AJ33" s="111">
        <v>0</v>
      </c>
      <c r="AK33" s="111">
        <v>12.193097072335201</v>
      </c>
      <c r="AL33" s="111">
        <v>0</v>
      </c>
      <c r="AM33" s="111">
        <v>19.686987588434999</v>
      </c>
      <c r="AN33" s="111">
        <v>1.3559569076584601</v>
      </c>
      <c r="AO33" s="111">
        <v>0.280904902738839</v>
      </c>
      <c r="AP33" s="111">
        <v>0</v>
      </c>
      <c r="AQ33" s="111">
        <v>0</v>
      </c>
      <c r="AR33" s="112">
        <v>0.60357727576690401</v>
      </c>
    </row>
    <row r="34" spans="2:44" ht="12" customHeight="1" x14ac:dyDescent="0.25">
      <c r="B34" s="110" t="s">
        <v>39</v>
      </c>
      <c r="C34" s="111" t="s">
        <v>49</v>
      </c>
      <c r="D34" s="111" t="s">
        <v>40</v>
      </c>
      <c r="E34" s="111" t="s">
        <v>25</v>
      </c>
      <c r="F34" s="111" t="s">
        <v>25</v>
      </c>
      <c r="G34" s="111" t="s">
        <v>37</v>
      </c>
      <c r="H34" s="111" t="s">
        <v>70</v>
      </c>
      <c r="I34" s="111" t="s">
        <v>25</v>
      </c>
      <c r="J34" s="111">
        <v>18.96</v>
      </c>
      <c r="K34" s="111">
        <v>34.26</v>
      </c>
      <c r="L34" s="111">
        <v>0.15787338264485001</v>
      </c>
      <c r="M34" s="111">
        <v>0</v>
      </c>
      <c r="N34" s="111">
        <v>0</v>
      </c>
      <c r="O34" s="111">
        <v>0</v>
      </c>
      <c r="P34" s="111">
        <v>0</v>
      </c>
      <c r="Q34" s="111">
        <v>13.700642174028101</v>
      </c>
      <c r="R34" s="111">
        <v>3.0135112530220298</v>
      </c>
      <c r="S34" s="111">
        <v>0</v>
      </c>
      <c r="T34" s="111">
        <v>0</v>
      </c>
      <c r="U34" s="111">
        <v>0</v>
      </c>
      <c r="V34" s="111">
        <v>0</v>
      </c>
      <c r="W34" s="111">
        <v>0</v>
      </c>
      <c r="X34" s="111">
        <v>0</v>
      </c>
      <c r="Y34" s="111">
        <v>0</v>
      </c>
      <c r="Z34" s="111">
        <v>0</v>
      </c>
      <c r="AA34" s="111">
        <v>0</v>
      </c>
      <c r="AB34" s="111">
        <v>0</v>
      </c>
      <c r="AC34" s="111">
        <v>0</v>
      </c>
      <c r="AD34" s="111">
        <v>1.8346541112541701</v>
      </c>
      <c r="AE34" s="111">
        <v>5.8999990266678702E-2</v>
      </c>
      <c r="AF34" s="111">
        <v>0.19394468695946501</v>
      </c>
      <c r="AG34" s="111">
        <v>0</v>
      </c>
      <c r="AH34" s="111">
        <v>0.14061237883182401</v>
      </c>
      <c r="AI34" s="111">
        <v>0</v>
      </c>
      <c r="AJ34" s="111">
        <v>0</v>
      </c>
      <c r="AK34" s="111">
        <v>12.193097072335201</v>
      </c>
      <c r="AL34" s="111">
        <v>0</v>
      </c>
      <c r="AM34" s="111">
        <v>19.686987588434999</v>
      </c>
      <c r="AN34" s="111">
        <v>1.3559569076584601</v>
      </c>
      <c r="AO34" s="111">
        <v>0.280904902738839</v>
      </c>
      <c r="AP34" s="111">
        <v>0</v>
      </c>
      <c r="AQ34" s="111">
        <v>0</v>
      </c>
      <c r="AR34" s="112">
        <v>0.60357727576690401</v>
      </c>
    </row>
    <row r="35" spans="2:44" ht="12" customHeight="1" x14ac:dyDescent="0.25">
      <c r="B35" s="110" t="s">
        <v>39</v>
      </c>
      <c r="C35" s="111" t="s">
        <v>49</v>
      </c>
      <c r="D35" s="111" t="s">
        <v>40</v>
      </c>
      <c r="E35" s="111" t="s">
        <v>87</v>
      </c>
      <c r="F35" s="111" t="s">
        <v>25</v>
      </c>
      <c r="G35" s="111" t="s">
        <v>36</v>
      </c>
      <c r="H35" s="111" t="s">
        <v>70</v>
      </c>
      <c r="I35" s="111" t="s">
        <v>25</v>
      </c>
      <c r="J35" s="111">
        <v>18.559999999999999</v>
      </c>
      <c r="K35" s="111">
        <v>47.41</v>
      </c>
      <c r="L35" s="111">
        <v>0.15451437450347</v>
      </c>
      <c r="M35" s="111">
        <v>0</v>
      </c>
      <c r="N35" s="111">
        <v>0</v>
      </c>
      <c r="O35" s="111">
        <v>0</v>
      </c>
      <c r="P35" s="111">
        <v>0</v>
      </c>
      <c r="Q35" s="111">
        <v>13.4091391490488</v>
      </c>
      <c r="R35" s="111">
        <v>2.9493939923194401</v>
      </c>
      <c r="S35" s="111">
        <v>0</v>
      </c>
      <c r="T35" s="111">
        <v>0</v>
      </c>
      <c r="U35" s="111">
        <v>0</v>
      </c>
      <c r="V35" s="111">
        <v>0</v>
      </c>
      <c r="W35" s="111">
        <v>0</v>
      </c>
      <c r="X35" s="111">
        <v>0</v>
      </c>
      <c r="Y35" s="111">
        <v>0</v>
      </c>
      <c r="Z35" s="111">
        <v>0</v>
      </c>
      <c r="AA35" s="111">
        <v>0</v>
      </c>
      <c r="AB35" s="111">
        <v>0</v>
      </c>
      <c r="AC35" s="111">
        <v>0</v>
      </c>
      <c r="AD35" s="111">
        <v>1.79561891739769</v>
      </c>
      <c r="AE35" s="111">
        <v>5.7744671324834497E-2</v>
      </c>
      <c r="AF35" s="111">
        <v>0.18981820425820001</v>
      </c>
      <c r="AG35" s="111">
        <v>0</v>
      </c>
      <c r="AH35" s="111">
        <v>0.13762062609072201</v>
      </c>
      <c r="AI35" s="111">
        <v>0</v>
      </c>
      <c r="AJ35" s="111">
        <v>0</v>
      </c>
      <c r="AK35" s="111">
        <v>11.9336694750515</v>
      </c>
      <c r="AL35" s="111">
        <v>0</v>
      </c>
      <c r="AM35" s="111">
        <v>33.141158680786702</v>
      </c>
      <c r="AN35" s="111">
        <v>1.3271067606870099</v>
      </c>
      <c r="AO35" s="111">
        <v>0.274928202680566</v>
      </c>
      <c r="AP35" s="111">
        <v>0</v>
      </c>
      <c r="AQ35" s="111">
        <v>0</v>
      </c>
      <c r="AR35" s="112">
        <v>0.59073520606973595</v>
      </c>
    </row>
    <row r="36" spans="2:44" ht="12" customHeight="1" x14ac:dyDescent="0.25">
      <c r="B36" s="110" t="s">
        <v>39</v>
      </c>
      <c r="C36" s="111" t="s">
        <v>49</v>
      </c>
      <c r="D36" s="111" t="s">
        <v>40</v>
      </c>
      <c r="E36" s="111" t="s">
        <v>87</v>
      </c>
      <c r="F36" s="111" t="s">
        <v>25</v>
      </c>
      <c r="G36" s="111" t="s">
        <v>50</v>
      </c>
      <c r="H36" s="111" t="s">
        <v>70</v>
      </c>
      <c r="I36" s="111" t="s">
        <v>25</v>
      </c>
      <c r="J36" s="111">
        <v>18.559999999999999</v>
      </c>
      <c r="K36" s="111">
        <v>33.53</v>
      </c>
      <c r="L36" s="111">
        <v>0.15451437450347</v>
      </c>
      <c r="M36" s="111">
        <v>0</v>
      </c>
      <c r="N36" s="111">
        <v>0</v>
      </c>
      <c r="O36" s="111">
        <v>0</v>
      </c>
      <c r="P36" s="111">
        <v>0</v>
      </c>
      <c r="Q36" s="111">
        <v>13.4091391490488</v>
      </c>
      <c r="R36" s="111">
        <v>2.9493939923194401</v>
      </c>
      <c r="S36" s="111">
        <v>0</v>
      </c>
      <c r="T36" s="111">
        <v>0</v>
      </c>
      <c r="U36" s="111">
        <v>0</v>
      </c>
      <c r="V36" s="111">
        <v>0</v>
      </c>
      <c r="W36" s="111">
        <v>0</v>
      </c>
      <c r="X36" s="111">
        <v>0</v>
      </c>
      <c r="Y36" s="111">
        <v>0</v>
      </c>
      <c r="Z36" s="111">
        <v>0</v>
      </c>
      <c r="AA36" s="111">
        <v>0</v>
      </c>
      <c r="AB36" s="111">
        <v>0</v>
      </c>
      <c r="AC36" s="111">
        <v>0</v>
      </c>
      <c r="AD36" s="111">
        <v>1.79561891739769</v>
      </c>
      <c r="AE36" s="111">
        <v>5.7744671324834497E-2</v>
      </c>
      <c r="AF36" s="111">
        <v>0.18981820425820001</v>
      </c>
      <c r="AG36" s="111">
        <v>0</v>
      </c>
      <c r="AH36" s="111">
        <v>0.13762062609072201</v>
      </c>
      <c r="AI36" s="111">
        <v>0</v>
      </c>
      <c r="AJ36" s="111">
        <v>0</v>
      </c>
      <c r="AK36" s="111">
        <v>11.9336694750515</v>
      </c>
      <c r="AL36" s="111">
        <v>0</v>
      </c>
      <c r="AM36" s="111">
        <v>19.268115512085298</v>
      </c>
      <c r="AN36" s="111">
        <v>1.3271067606870099</v>
      </c>
      <c r="AO36" s="111">
        <v>0.274928202680566</v>
      </c>
      <c r="AP36" s="111">
        <v>0</v>
      </c>
      <c r="AQ36" s="111">
        <v>0</v>
      </c>
      <c r="AR36" s="112">
        <v>0.59073520606973595</v>
      </c>
    </row>
    <row r="37" spans="2:44" ht="12" customHeight="1" x14ac:dyDescent="0.25">
      <c r="B37" s="110" t="s">
        <v>39</v>
      </c>
      <c r="C37" s="111" t="s">
        <v>49</v>
      </c>
      <c r="D37" s="111" t="s">
        <v>40</v>
      </c>
      <c r="E37" s="111" t="s">
        <v>87</v>
      </c>
      <c r="F37" s="111" t="s">
        <v>25</v>
      </c>
      <c r="G37" s="111" t="s">
        <v>37</v>
      </c>
      <c r="H37" s="111" t="s">
        <v>70</v>
      </c>
      <c r="I37" s="111" t="s">
        <v>25</v>
      </c>
      <c r="J37" s="111">
        <v>18.559999999999999</v>
      </c>
      <c r="K37" s="111">
        <v>33.53</v>
      </c>
      <c r="L37" s="111">
        <v>0.15451437450347</v>
      </c>
      <c r="M37" s="111">
        <v>0</v>
      </c>
      <c r="N37" s="111">
        <v>0</v>
      </c>
      <c r="O37" s="111">
        <v>0</v>
      </c>
      <c r="P37" s="111">
        <v>0</v>
      </c>
      <c r="Q37" s="111">
        <v>13.4091391490488</v>
      </c>
      <c r="R37" s="111">
        <v>2.9493939923194401</v>
      </c>
      <c r="S37" s="111">
        <v>0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1.79561891739769</v>
      </c>
      <c r="AE37" s="111">
        <v>5.7744671324834497E-2</v>
      </c>
      <c r="AF37" s="111">
        <v>0.18981820425820001</v>
      </c>
      <c r="AG37" s="111">
        <v>0</v>
      </c>
      <c r="AH37" s="111">
        <v>0.13762062609072201</v>
      </c>
      <c r="AI37" s="111">
        <v>0</v>
      </c>
      <c r="AJ37" s="111">
        <v>0</v>
      </c>
      <c r="AK37" s="111">
        <v>11.9336694750515</v>
      </c>
      <c r="AL37" s="111">
        <v>0</v>
      </c>
      <c r="AM37" s="111">
        <v>19.268115512085298</v>
      </c>
      <c r="AN37" s="111">
        <v>1.3271067606870099</v>
      </c>
      <c r="AO37" s="111">
        <v>0.274928202680566</v>
      </c>
      <c r="AP37" s="111">
        <v>0</v>
      </c>
      <c r="AQ37" s="111">
        <v>0</v>
      </c>
      <c r="AR37" s="112">
        <v>0.59073520606973595</v>
      </c>
    </row>
    <row r="38" spans="2:44" ht="12" customHeight="1" x14ac:dyDescent="0.25">
      <c r="B38" s="110" t="s">
        <v>39</v>
      </c>
      <c r="C38" s="111" t="s">
        <v>23</v>
      </c>
      <c r="D38" s="111" t="s">
        <v>40</v>
      </c>
      <c r="E38" s="111" t="s">
        <v>86</v>
      </c>
      <c r="F38" s="111" t="s">
        <v>25</v>
      </c>
      <c r="G38" s="111" t="s">
        <v>25</v>
      </c>
      <c r="H38" s="111" t="s">
        <v>70</v>
      </c>
      <c r="I38" s="111" t="s">
        <v>25</v>
      </c>
      <c r="J38" s="111">
        <v>18.96</v>
      </c>
      <c r="K38" s="111">
        <v>35.44</v>
      </c>
      <c r="L38" s="111">
        <v>0.15787338264485001</v>
      </c>
      <c r="M38" s="111">
        <v>0</v>
      </c>
      <c r="N38" s="111">
        <v>0</v>
      </c>
      <c r="O38" s="111">
        <v>0</v>
      </c>
      <c r="P38" s="111">
        <v>0</v>
      </c>
      <c r="Q38" s="111">
        <v>13.700642174028101</v>
      </c>
      <c r="R38" s="111">
        <v>3.0135112530220298</v>
      </c>
      <c r="S38" s="111">
        <v>0</v>
      </c>
      <c r="T38" s="111">
        <v>0</v>
      </c>
      <c r="U38" s="111">
        <v>0</v>
      </c>
      <c r="V38" s="111">
        <v>0</v>
      </c>
      <c r="W38" s="111">
        <v>0</v>
      </c>
      <c r="X38" s="111">
        <v>0</v>
      </c>
      <c r="Y38" s="111">
        <v>0</v>
      </c>
      <c r="Z38" s="111">
        <v>0</v>
      </c>
      <c r="AA38" s="111">
        <v>0</v>
      </c>
      <c r="AB38" s="111">
        <v>0</v>
      </c>
      <c r="AC38" s="111">
        <v>0</v>
      </c>
      <c r="AD38" s="111">
        <v>1.8346541112541701</v>
      </c>
      <c r="AE38" s="111">
        <v>5.8999990266678702E-2</v>
      </c>
      <c r="AF38" s="111">
        <v>0.19394468695946501</v>
      </c>
      <c r="AG38" s="111">
        <v>0</v>
      </c>
      <c r="AH38" s="111">
        <v>0.14061237883182401</v>
      </c>
      <c r="AI38" s="111">
        <v>0</v>
      </c>
      <c r="AJ38" s="111">
        <v>0</v>
      </c>
      <c r="AK38" s="111">
        <v>12.193097072335201</v>
      </c>
      <c r="AL38" s="111">
        <v>0</v>
      </c>
      <c r="AM38" s="111">
        <v>20.868206843741</v>
      </c>
      <c r="AN38" s="111">
        <v>1.3559569076584601</v>
      </c>
      <c r="AO38" s="111">
        <v>0.280904902738839</v>
      </c>
      <c r="AP38" s="111">
        <v>0</v>
      </c>
      <c r="AQ38" s="111">
        <v>0</v>
      </c>
      <c r="AR38" s="112">
        <v>0.60357727576690401</v>
      </c>
    </row>
    <row r="39" spans="2:44" ht="12" customHeight="1" x14ac:dyDescent="0.25">
      <c r="B39" s="110" t="s">
        <v>39</v>
      </c>
      <c r="C39" s="111" t="s">
        <v>23</v>
      </c>
      <c r="D39" s="111" t="s">
        <v>40</v>
      </c>
      <c r="E39" s="111" t="s">
        <v>25</v>
      </c>
      <c r="F39" s="111" t="s">
        <v>25</v>
      </c>
      <c r="G39" s="111" t="s">
        <v>25</v>
      </c>
      <c r="H39" s="111" t="s">
        <v>70</v>
      </c>
      <c r="I39" s="111" t="s">
        <v>25</v>
      </c>
      <c r="J39" s="111">
        <v>18.96</v>
      </c>
      <c r="K39" s="111">
        <v>35.44</v>
      </c>
      <c r="L39" s="111">
        <v>0.15787338264485001</v>
      </c>
      <c r="M39" s="111">
        <v>0</v>
      </c>
      <c r="N39" s="111">
        <v>0</v>
      </c>
      <c r="O39" s="111">
        <v>0</v>
      </c>
      <c r="P39" s="111">
        <v>0</v>
      </c>
      <c r="Q39" s="111">
        <v>13.700642174028101</v>
      </c>
      <c r="R39" s="111">
        <v>3.0135112530220298</v>
      </c>
      <c r="S39" s="111">
        <v>0</v>
      </c>
      <c r="T39" s="111">
        <v>0</v>
      </c>
      <c r="U39" s="111">
        <v>0</v>
      </c>
      <c r="V39" s="111">
        <v>0</v>
      </c>
      <c r="W39" s="111">
        <v>0</v>
      </c>
      <c r="X39" s="111">
        <v>0</v>
      </c>
      <c r="Y39" s="111">
        <v>0</v>
      </c>
      <c r="Z39" s="111">
        <v>0</v>
      </c>
      <c r="AA39" s="111">
        <v>0</v>
      </c>
      <c r="AB39" s="111">
        <v>0</v>
      </c>
      <c r="AC39" s="111">
        <v>0</v>
      </c>
      <c r="AD39" s="111">
        <v>1.8346541112541701</v>
      </c>
      <c r="AE39" s="111">
        <v>5.8999990266678702E-2</v>
      </c>
      <c r="AF39" s="111">
        <v>0.19394468695946501</v>
      </c>
      <c r="AG39" s="111">
        <v>0</v>
      </c>
      <c r="AH39" s="111">
        <v>0.14061237883182401</v>
      </c>
      <c r="AI39" s="111">
        <v>0</v>
      </c>
      <c r="AJ39" s="111">
        <v>0</v>
      </c>
      <c r="AK39" s="111">
        <v>12.193097072335201</v>
      </c>
      <c r="AL39" s="111">
        <v>0</v>
      </c>
      <c r="AM39" s="111">
        <v>20.868206843741</v>
      </c>
      <c r="AN39" s="111">
        <v>1.3559569076584601</v>
      </c>
      <c r="AO39" s="111">
        <v>0.280904902738839</v>
      </c>
      <c r="AP39" s="111">
        <v>0</v>
      </c>
      <c r="AQ39" s="111">
        <v>0</v>
      </c>
      <c r="AR39" s="112">
        <v>0.60357727576690401</v>
      </c>
    </row>
    <row r="40" spans="2:44" ht="12" customHeight="1" x14ac:dyDescent="0.25">
      <c r="B40" s="110" t="s">
        <v>39</v>
      </c>
      <c r="C40" s="111" t="s">
        <v>23</v>
      </c>
      <c r="D40" s="111" t="s">
        <v>40</v>
      </c>
      <c r="E40" s="111" t="s">
        <v>87</v>
      </c>
      <c r="F40" s="111" t="s">
        <v>25</v>
      </c>
      <c r="G40" s="111" t="s">
        <v>25</v>
      </c>
      <c r="H40" s="111" t="s">
        <v>70</v>
      </c>
      <c r="I40" s="111" t="s">
        <v>25</v>
      </c>
      <c r="J40" s="111">
        <v>18.559999999999999</v>
      </c>
      <c r="K40" s="111">
        <v>34.69</v>
      </c>
      <c r="L40" s="111">
        <v>0.15451437450347</v>
      </c>
      <c r="M40" s="111">
        <v>0</v>
      </c>
      <c r="N40" s="111">
        <v>0</v>
      </c>
      <c r="O40" s="111">
        <v>0</v>
      </c>
      <c r="P40" s="111">
        <v>0</v>
      </c>
      <c r="Q40" s="111">
        <v>13.4091391490488</v>
      </c>
      <c r="R40" s="111">
        <v>2.9493939923194401</v>
      </c>
      <c r="S40" s="111">
        <v>0</v>
      </c>
      <c r="T40" s="111">
        <v>0</v>
      </c>
      <c r="U40" s="111">
        <v>0</v>
      </c>
      <c r="V40" s="111">
        <v>0</v>
      </c>
      <c r="W40" s="111">
        <v>0</v>
      </c>
      <c r="X40" s="111">
        <v>0</v>
      </c>
      <c r="Y40" s="111">
        <v>0</v>
      </c>
      <c r="Z40" s="111">
        <v>0</v>
      </c>
      <c r="AA40" s="111">
        <v>0</v>
      </c>
      <c r="AB40" s="111">
        <v>0</v>
      </c>
      <c r="AC40" s="111">
        <v>0</v>
      </c>
      <c r="AD40" s="111">
        <v>1.79561891739769</v>
      </c>
      <c r="AE40" s="111">
        <v>5.7744671324834497E-2</v>
      </c>
      <c r="AF40" s="111">
        <v>0.18981820425820001</v>
      </c>
      <c r="AG40" s="111">
        <v>0</v>
      </c>
      <c r="AH40" s="111">
        <v>0.13762062609072201</v>
      </c>
      <c r="AI40" s="111">
        <v>0</v>
      </c>
      <c r="AJ40" s="111">
        <v>0</v>
      </c>
      <c r="AK40" s="111">
        <v>11.9336694750515</v>
      </c>
      <c r="AL40" s="111">
        <v>0</v>
      </c>
      <c r="AM40" s="111">
        <v>20.424202442810401</v>
      </c>
      <c r="AN40" s="111">
        <v>1.3271067606870099</v>
      </c>
      <c r="AO40" s="111">
        <v>0.274928202680566</v>
      </c>
      <c r="AP40" s="111">
        <v>0</v>
      </c>
      <c r="AQ40" s="111">
        <v>0</v>
      </c>
      <c r="AR40" s="112">
        <v>0.59073520606973595</v>
      </c>
    </row>
    <row r="41" spans="2:44" ht="12" customHeight="1" x14ac:dyDescent="0.25">
      <c r="B41" s="110" t="s">
        <v>39</v>
      </c>
      <c r="C41" s="111" t="s">
        <v>85</v>
      </c>
      <c r="D41" s="111" t="s">
        <v>40</v>
      </c>
      <c r="E41" s="111" t="s">
        <v>86</v>
      </c>
      <c r="F41" s="111" t="s">
        <v>25</v>
      </c>
      <c r="G41" s="111" t="s">
        <v>25</v>
      </c>
      <c r="H41" s="111" t="s">
        <v>70</v>
      </c>
      <c r="I41" s="111" t="s">
        <v>25</v>
      </c>
      <c r="J41" s="111">
        <v>18.96</v>
      </c>
      <c r="K41" s="111">
        <v>35.44</v>
      </c>
      <c r="L41" s="111">
        <v>0.15787338264485001</v>
      </c>
      <c r="M41" s="111">
        <v>0</v>
      </c>
      <c r="N41" s="111">
        <v>0</v>
      </c>
      <c r="O41" s="111">
        <v>0</v>
      </c>
      <c r="P41" s="111">
        <v>0</v>
      </c>
      <c r="Q41" s="111">
        <v>13.700642174028101</v>
      </c>
      <c r="R41" s="111">
        <v>3.0135112530220298</v>
      </c>
      <c r="S41" s="111">
        <v>0</v>
      </c>
      <c r="T41" s="111">
        <v>0</v>
      </c>
      <c r="U41" s="111">
        <v>0</v>
      </c>
      <c r="V41" s="111">
        <v>0</v>
      </c>
      <c r="W41" s="111">
        <v>0</v>
      </c>
      <c r="X41" s="111">
        <v>0</v>
      </c>
      <c r="Y41" s="111">
        <v>0</v>
      </c>
      <c r="Z41" s="111">
        <v>0</v>
      </c>
      <c r="AA41" s="111">
        <v>0</v>
      </c>
      <c r="AB41" s="111">
        <v>0</v>
      </c>
      <c r="AC41" s="111">
        <v>0</v>
      </c>
      <c r="AD41" s="111">
        <v>1.8346541112541701</v>
      </c>
      <c r="AE41" s="111">
        <v>5.8999990266678702E-2</v>
      </c>
      <c r="AF41" s="111">
        <v>0.19394468695946501</v>
      </c>
      <c r="AG41" s="111">
        <v>0</v>
      </c>
      <c r="AH41" s="111">
        <v>0.14061237883182401</v>
      </c>
      <c r="AI41" s="111">
        <v>0</v>
      </c>
      <c r="AJ41" s="111">
        <v>0</v>
      </c>
      <c r="AK41" s="111">
        <v>12.193097072335201</v>
      </c>
      <c r="AL41" s="111">
        <v>0</v>
      </c>
      <c r="AM41" s="111">
        <v>20.868206843741</v>
      </c>
      <c r="AN41" s="111">
        <v>1.3559569076584601</v>
      </c>
      <c r="AO41" s="111">
        <v>0.280904902738839</v>
      </c>
      <c r="AP41" s="111">
        <v>0</v>
      </c>
      <c r="AQ41" s="111">
        <v>0</v>
      </c>
      <c r="AR41" s="112">
        <v>0.60357727576690401</v>
      </c>
    </row>
    <row r="42" spans="2:44" ht="12" customHeight="1" x14ac:dyDescent="0.25">
      <c r="B42" s="110" t="s">
        <v>39</v>
      </c>
      <c r="C42" s="111" t="s">
        <v>85</v>
      </c>
      <c r="D42" s="111" t="s">
        <v>40</v>
      </c>
      <c r="E42" s="111" t="s">
        <v>25</v>
      </c>
      <c r="F42" s="111" t="s">
        <v>25</v>
      </c>
      <c r="G42" s="111" t="s">
        <v>25</v>
      </c>
      <c r="H42" s="111" t="s">
        <v>70</v>
      </c>
      <c r="I42" s="111" t="s">
        <v>25</v>
      </c>
      <c r="J42" s="111">
        <v>18.96</v>
      </c>
      <c r="K42" s="111">
        <v>35.44</v>
      </c>
      <c r="L42" s="111">
        <v>0.15787338264485001</v>
      </c>
      <c r="M42" s="111">
        <v>0</v>
      </c>
      <c r="N42" s="111">
        <v>0</v>
      </c>
      <c r="O42" s="111">
        <v>0</v>
      </c>
      <c r="P42" s="111">
        <v>0</v>
      </c>
      <c r="Q42" s="111">
        <v>13.700642174028101</v>
      </c>
      <c r="R42" s="111">
        <v>3.0135112530220298</v>
      </c>
      <c r="S42" s="111">
        <v>0</v>
      </c>
      <c r="T42" s="111">
        <v>0</v>
      </c>
      <c r="U42" s="111">
        <v>0</v>
      </c>
      <c r="V42" s="111">
        <v>0</v>
      </c>
      <c r="W42" s="111">
        <v>0</v>
      </c>
      <c r="X42" s="111">
        <v>0</v>
      </c>
      <c r="Y42" s="111">
        <v>0</v>
      </c>
      <c r="Z42" s="111">
        <v>0</v>
      </c>
      <c r="AA42" s="111">
        <v>0</v>
      </c>
      <c r="AB42" s="111">
        <v>0</v>
      </c>
      <c r="AC42" s="111">
        <v>0</v>
      </c>
      <c r="AD42" s="111">
        <v>1.8346541112541701</v>
      </c>
      <c r="AE42" s="111">
        <v>5.8999990266678702E-2</v>
      </c>
      <c r="AF42" s="111">
        <v>0.19394468695946501</v>
      </c>
      <c r="AG42" s="111">
        <v>0</v>
      </c>
      <c r="AH42" s="111">
        <v>0.14061237883182401</v>
      </c>
      <c r="AI42" s="111">
        <v>0</v>
      </c>
      <c r="AJ42" s="111">
        <v>0</v>
      </c>
      <c r="AK42" s="111">
        <v>12.193097072335201</v>
      </c>
      <c r="AL42" s="111">
        <v>0</v>
      </c>
      <c r="AM42" s="111">
        <v>20.868206843741</v>
      </c>
      <c r="AN42" s="111">
        <v>1.3559569076584601</v>
      </c>
      <c r="AO42" s="111">
        <v>0.280904902738839</v>
      </c>
      <c r="AP42" s="111">
        <v>0</v>
      </c>
      <c r="AQ42" s="111">
        <v>0</v>
      </c>
      <c r="AR42" s="112">
        <v>0.60357727576690401</v>
      </c>
    </row>
    <row r="43" spans="2:44" ht="12" customHeight="1" x14ac:dyDescent="0.25">
      <c r="B43" s="110" t="s">
        <v>39</v>
      </c>
      <c r="C43" s="111" t="s">
        <v>85</v>
      </c>
      <c r="D43" s="111" t="s">
        <v>40</v>
      </c>
      <c r="E43" s="111" t="s">
        <v>87</v>
      </c>
      <c r="F43" s="111" t="s">
        <v>25</v>
      </c>
      <c r="G43" s="111" t="s">
        <v>25</v>
      </c>
      <c r="H43" s="111" t="s">
        <v>70</v>
      </c>
      <c r="I43" s="111" t="s">
        <v>25</v>
      </c>
      <c r="J43" s="111">
        <v>18.559999999999999</v>
      </c>
      <c r="K43" s="111">
        <v>34.69</v>
      </c>
      <c r="L43" s="111">
        <v>0.15451437450347</v>
      </c>
      <c r="M43" s="111">
        <v>0</v>
      </c>
      <c r="N43" s="111">
        <v>0</v>
      </c>
      <c r="O43" s="111">
        <v>0</v>
      </c>
      <c r="P43" s="111">
        <v>0</v>
      </c>
      <c r="Q43" s="111">
        <v>13.4091391490488</v>
      </c>
      <c r="R43" s="111">
        <v>2.9493939923194401</v>
      </c>
      <c r="S43" s="111">
        <v>0</v>
      </c>
      <c r="T43" s="111">
        <v>0</v>
      </c>
      <c r="U43" s="111">
        <v>0</v>
      </c>
      <c r="V43" s="111">
        <v>0</v>
      </c>
      <c r="W43" s="111">
        <v>0</v>
      </c>
      <c r="X43" s="111">
        <v>0</v>
      </c>
      <c r="Y43" s="111">
        <v>0</v>
      </c>
      <c r="Z43" s="111">
        <v>0</v>
      </c>
      <c r="AA43" s="111">
        <v>0</v>
      </c>
      <c r="AB43" s="111">
        <v>0</v>
      </c>
      <c r="AC43" s="111">
        <v>0</v>
      </c>
      <c r="AD43" s="111">
        <v>1.79561891739769</v>
      </c>
      <c r="AE43" s="111">
        <v>5.7744671324834497E-2</v>
      </c>
      <c r="AF43" s="111">
        <v>0.18981820425820001</v>
      </c>
      <c r="AG43" s="111">
        <v>0</v>
      </c>
      <c r="AH43" s="111">
        <v>0.13762062609072201</v>
      </c>
      <c r="AI43" s="111">
        <v>0</v>
      </c>
      <c r="AJ43" s="111">
        <v>0</v>
      </c>
      <c r="AK43" s="111">
        <v>11.9336694750515</v>
      </c>
      <c r="AL43" s="111">
        <v>0</v>
      </c>
      <c r="AM43" s="111">
        <v>20.424202442810401</v>
      </c>
      <c r="AN43" s="111">
        <v>1.3271067606870099</v>
      </c>
      <c r="AO43" s="111">
        <v>0.274928202680566</v>
      </c>
      <c r="AP43" s="111">
        <v>0</v>
      </c>
      <c r="AQ43" s="111">
        <v>0</v>
      </c>
      <c r="AR43" s="112">
        <v>0.59073520606973595</v>
      </c>
    </row>
    <row r="44" spans="2:44" ht="12" customHeight="1" x14ac:dyDescent="0.25">
      <c r="B44" s="110" t="s">
        <v>32</v>
      </c>
      <c r="C44" s="111" t="s">
        <v>49</v>
      </c>
      <c r="D44" s="111" t="s">
        <v>25</v>
      </c>
      <c r="E44" s="111" t="s">
        <v>25</v>
      </c>
      <c r="F44" s="111" t="s">
        <v>25</v>
      </c>
      <c r="G44" s="111" t="s">
        <v>36</v>
      </c>
      <c r="H44" s="111" t="s">
        <v>70</v>
      </c>
      <c r="I44" s="111" t="s">
        <v>25</v>
      </c>
      <c r="J44" s="111">
        <v>20.170000000000002</v>
      </c>
      <c r="K44" s="111">
        <v>51.53</v>
      </c>
      <c r="L44" s="111">
        <v>0.167950407068989</v>
      </c>
      <c r="M44" s="111">
        <v>0</v>
      </c>
      <c r="N44" s="111">
        <v>0</v>
      </c>
      <c r="O44" s="111">
        <v>0</v>
      </c>
      <c r="P44" s="111">
        <v>0</v>
      </c>
      <c r="Q44" s="111">
        <v>14.575151248966099</v>
      </c>
      <c r="R44" s="111">
        <v>3.2058630351298198</v>
      </c>
      <c r="S44" s="111">
        <v>0</v>
      </c>
      <c r="T44" s="111">
        <v>0</v>
      </c>
      <c r="U44" s="111">
        <v>0</v>
      </c>
      <c r="V44" s="111">
        <v>0</v>
      </c>
      <c r="W44" s="111">
        <v>0</v>
      </c>
      <c r="X44" s="111">
        <v>0</v>
      </c>
      <c r="Y44" s="111">
        <v>0</v>
      </c>
      <c r="Z44" s="111">
        <v>0</v>
      </c>
      <c r="AA44" s="111">
        <v>0</v>
      </c>
      <c r="AB44" s="111">
        <v>0</v>
      </c>
      <c r="AC44" s="111">
        <v>0</v>
      </c>
      <c r="AD44" s="111">
        <v>1.9517596928235801</v>
      </c>
      <c r="AE44" s="111">
        <v>6.2765947092211394E-2</v>
      </c>
      <c r="AF44" s="111">
        <v>0.206324135063261</v>
      </c>
      <c r="AG44" s="111">
        <v>0</v>
      </c>
      <c r="AH44" s="111">
        <v>0.14958763705513201</v>
      </c>
      <c r="AI44" s="111">
        <v>0</v>
      </c>
      <c r="AJ44" s="111">
        <v>0</v>
      </c>
      <c r="AK44" s="111">
        <v>12.9713798641864</v>
      </c>
      <c r="AL44" s="111">
        <v>0</v>
      </c>
      <c r="AM44" s="111">
        <v>36.022998566072502</v>
      </c>
      <c r="AN44" s="111">
        <v>1.4425073485728299</v>
      </c>
      <c r="AO44" s="111">
        <v>0.298835002913659</v>
      </c>
      <c r="AP44" s="111">
        <v>0</v>
      </c>
      <c r="AQ44" s="111">
        <v>0</v>
      </c>
      <c r="AR44" s="112">
        <v>0.64210348485840896</v>
      </c>
    </row>
    <row r="45" spans="2:44" ht="12" customHeight="1" x14ac:dyDescent="0.25">
      <c r="B45" s="110" t="s">
        <v>32</v>
      </c>
      <c r="C45" s="111" t="s">
        <v>49</v>
      </c>
      <c r="D45" s="111" t="s">
        <v>25</v>
      </c>
      <c r="E45" s="111" t="s">
        <v>25</v>
      </c>
      <c r="F45" s="111" t="s">
        <v>25</v>
      </c>
      <c r="G45" s="111" t="s">
        <v>50</v>
      </c>
      <c r="H45" s="111" t="s">
        <v>70</v>
      </c>
      <c r="I45" s="111" t="s">
        <v>25</v>
      </c>
      <c r="J45" s="111">
        <v>20.170000000000002</v>
      </c>
      <c r="K45" s="111">
        <v>36.450000000000003</v>
      </c>
      <c r="L45" s="111">
        <v>0.167950407068989</v>
      </c>
      <c r="M45" s="111">
        <v>0</v>
      </c>
      <c r="N45" s="111">
        <v>0</v>
      </c>
      <c r="O45" s="111">
        <v>0</v>
      </c>
      <c r="P45" s="111">
        <v>0</v>
      </c>
      <c r="Q45" s="111">
        <v>14.575151248966099</v>
      </c>
      <c r="R45" s="111">
        <v>3.2058630351298198</v>
      </c>
      <c r="S45" s="111">
        <v>0</v>
      </c>
      <c r="T45" s="111">
        <v>0</v>
      </c>
      <c r="U45" s="111">
        <v>0</v>
      </c>
      <c r="V45" s="111">
        <v>0</v>
      </c>
      <c r="W45" s="111">
        <v>0</v>
      </c>
      <c r="X45" s="111">
        <v>0</v>
      </c>
      <c r="Y45" s="111">
        <v>0</v>
      </c>
      <c r="Z45" s="111">
        <v>0</v>
      </c>
      <c r="AA45" s="111">
        <v>0</v>
      </c>
      <c r="AB45" s="111">
        <v>0</v>
      </c>
      <c r="AC45" s="111">
        <v>0</v>
      </c>
      <c r="AD45" s="111">
        <v>1.9517596928235801</v>
      </c>
      <c r="AE45" s="111">
        <v>6.2765947092211394E-2</v>
      </c>
      <c r="AF45" s="111">
        <v>0.206324135063261</v>
      </c>
      <c r="AG45" s="111">
        <v>0</v>
      </c>
      <c r="AH45" s="111">
        <v>0.14958763705513201</v>
      </c>
      <c r="AI45" s="111">
        <v>0</v>
      </c>
      <c r="AJ45" s="111">
        <v>0</v>
      </c>
      <c r="AK45" s="111">
        <v>12.9713798641864</v>
      </c>
      <c r="AL45" s="111">
        <v>0</v>
      </c>
      <c r="AM45" s="111">
        <v>20.943603817484</v>
      </c>
      <c r="AN45" s="111">
        <v>1.4425073485728299</v>
      </c>
      <c r="AO45" s="111">
        <v>0.298835002913659</v>
      </c>
      <c r="AP45" s="111">
        <v>0</v>
      </c>
      <c r="AQ45" s="111">
        <v>0</v>
      </c>
      <c r="AR45" s="112">
        <v>0.64210348485840896</v>
      </c>
    </row>
    <row r="46" spans="2:44" ht="12" customHeight="1" x14ac:dyDescent="0.25">
      <c r="B46" s="110" t="s">
        <v>32</v>
      </c>
      <c r="C46" s="111" t="s">
        <v>49</v>
      </c>
      <c r="D46" s="111" t="s">
        <v>25</v>
      </c>
      <c r="E46" s="111" t="s">
        <v>25</v>
      </c>
      <c r="F46" s="111" t="s">
        <v>25</v>
      </c>
      <c r="G46" s="111" t="s">
        <v>37</v>
      </c>
      <c r="H46" s="111" t="s">
        <v>70</v>
      </c>
      <c r="I46" s="111" t="s">
        <v>25</v>
      </c>
      <c r="J46" s="111">
        <v>20.170000000000002</v>
      </c>
      <c r="K46" s="111">
        <v>36.450000000000003</v>
      </c>
      <c r="L46" s="111">
        <v>0.167950407068989</v>
      </c>
      <c r="M46" s="111">
        <v>0</v>
      </c>
      <c r="N46" s="111">
        <v>0</v>
      </c>
      <c r="O46" s="111">
        <v>0</v>
      </c>
      <c r="P46" s="111">
        <v>0</v>
      </c>
      <c r="Q46" s="111">
        <v>14.575151248966099</v>
      </c>
      <c r="R46" s="111">
        <v>3.2058630351298198</v>
      </c>
      <c r="S46" s="111">
        <v>0</v>
      </c>
      <c r="T46" s="111">
        <v>0</v>
      </c>
      <c r="U46" s="111">
        <v>0</v>
      </c>
      <c r="V46" s="111">
        <v>0</v>
      </c>
      <c r="W46" s="111">
        <v>0</v>
      </c>
      <c r="X46" s="111">
        <v>0</v>
      </c>
      <c r="Y46" s="111">
        <v>0</v>
      </c>
      <c r="Z46" s="111">
        <v>0</v>
      </c>
      <c r="AA46" s="111">
        <v>0</v>
      </c>
      <c r="AB46" s="111">
        <v>0</v>
      </c>
      <c r="AC46" s="111">
        <v>0</v>
      </c>
      <c r="AD46" s="111">
        <v>1.9517596928235801</v>
      </c>
      <c r="AE46" s="111">
        <v>6.2765947092211394E-2</v>
      </c>
      <c r="AF46" s="111">
        <v>0.206324135063261</v>
      </c>
      <c r="AG46" s="111">
        <v>0</v>
      </c>
      <c r="AH46" s="111">
        <v>0.14958763705513201</v>
      </c>
      <c r="AI46" s="111">
        <v>0</v>
      </c>
      <c r="AJ46" s="111">
        <v>0</v>
      </c>
      <c r="AK46" s="111">
        <v>12.9713798641864</v>
      </c>
      <c r="AL46" s="111">
        <v>0</v>
      </c>
      <c r="AM46" s="111">
        <v>20.943603817484</v>
      </c>
      <c r="AN46" s="111">
        <v>1.4425073485728299</v>
      </c>
      <c r="AO46" s="111">
        <v>0.298835002913659</v>
      </c>
      <c r="AP46" s="111">
        <v>0</v>
      </c>
      <c r="AQ46" s="111">
        <v>0</v>
      </c>
      <c r="AR46" s="112">
        <v>0.64210348485840896</v>
      </c>
    </row>
    <row r="47" spans="2:44" ht="12" customHeight="1" x14ac:dyDescent="0.25">
      <c r="B47" s="110" t="s">
        <v>32</v>
      </c>
      <c r="C47" s="111" t="s">
        <v>23</v>
      </c>
      <c r="D47" s="111" t="s">
        <v>25</v>
      </c>
      <c r="E47" s="111" t="s">
        <v>25</v>
      </c>
      <c r="F47" s="111" t="s">
        <v>25</v>
      </c>
      <c r="G47" s="111" t="s">
        <v>25</v>
      </c>
      <c r="H47" s="111" t="s">
        <v>70</v>
      </c>
      <c r="I47" s="111" t="s">
        <v>25</v>
      </c>
      <c r="J47" s="111">
        <v>20.170000000000002</v>
      </c>
      <c r="K47" s="111">
        <v>37.700000000000003</v>
      </c>
      <c r="L47" s="111">
        <v>0.167950407068989</v>
      </c>
      <c r="M47" s="111">
        <v>0</v>
      </c>
      <c r="N47" s="111">
        <v>0</v>
      </c>
      <c r="O47" s="111">
        <v>0</v>
      </c>
      <c r="P47" s="111">
        <v>0</v>
      </c>
      <c r="Q47" s="111">
        <v>14.575151248966099</v>
      </c>
      <c r="R47" s="111">
        <v>3.2058630351298198</v>
      </c>
      <c r="S47" s="111">
        <v>0</v>
      </c>
      <c r="T47" s="111">
        <v>0</v>
      </c>
      <c r="U47" s="111">
        <v>0</v>
      </c>
      <c r="V47" s="111">
        <v>0</v>
      </c>
      <c r="W47" s="111">
        <v>0</v>
      </c>
      <c r="X47" s="111">
        <v>0</v>
      </c>
      <c r="Y47" s="111">
        <v>0</v>
      </c>
      <c r="Z47" s="111">
        <v>0</v>
      </c>
      <c r="AA47" s="111">
        <v>0</v>
      </c>
      <c r="AB47" s="111">
        <v>0</v>
      </c>
      <c r="AC47" s="111">
        <v>0</v>
      </c>
      <c r="AD47" s="111">
        <v>1.9517596928235801</v>
      </c>
      <c r="AE47" s="111">
        <v>6.2765947092211394E-2</v>
      </c>
      <c r="AF47" s="111">
        <v>0.206324135063261</v>
      </c>
      <c r="AG47" s="111">
        <v>0</v>
      </c>
      <c r="AH47" s="111">
        <v>0.14958763705513201</v>
      </c>
      <c r="AI47" s="111">
        <v>0</v>
      </c>
      <c r="AJ47" s="111">
        <v>0</v>
      </c>
      <c r="AK47" s="111">
        <v>12.9713798641864</v>
      </c>
      <c r="AL47" s="111">
        <v>0</v>
      </c>
      <c r="AM47" s="111">
        <v>22.200220046533001</v>
      </c>
      <c r="AN47" s="111">
        <v>1.4425073485728299</v>
      </c>
      <c r="AO47" s="111">
        <v>0.298835002913659</v>
      </c>
      <c r="AP47" s="111">
        <v>0</v>
      </c>
      <c r="AQ47" s="111">
        <v>0</v>
      </c>
      <c r="AR47" s="112">
        <v>0.64210348485840896</v>
      </c>
    </row>
    <row r="48" spans="2:44" ht="12" customHeight="1" x14ac:dyDescent="0.25">
      <c r="B48" s="110" t="s">
        <v>32</v>
      </c>
      <c r="C48" s="111" t="s">
        <v>85</v>
      </c>
      <c r="D48" s="111" t="s">
        <v>25</v>
      </c>
      <c r="E48" s="111" t="s">
        <v>25</v>
      </c>
      <c r="F48" s="111" t="s">
        <v>25</v>
      </c>
      <c r="G48" s="111" t="s">
        <v>25</v>
      </c>
      <c r="H48" s="111" t="s">
        <v>70</v>
      </c>
      <c r="I48" s="111" t="s">
        <v>25</v>
      </c>
      <c r="J48" s="111">
        <v>20.170000000000002</v>
      </c>
      <c r="K48" s="111">
        <v>37.700000000000003</v>
      </c>
      <c r="L48" s="111">
        <v>0.167950407068989</v>
      </c>
      <c r="M48" s="111">
        <v>0</v>
      </c>
      <c r="N48" s="111">
        <v>0</v>
      </c>
      <c r="O48" s="111">
        <v>0</v>
      </c>
      <c r="P48" s="111">
        <v>0</v>
      </c>
      <c r="Q48" s="111">
        <v>14.575151248966099</v>
      </c>
      <c r="R48" s="111">
        <v>3.2058630351298198</v>
      </c>
      <c r="S48" s="111">
        <v>0</v>
      </c>
      <c r="T48" s="111">
        <v>0</v>
      </c>
      <c r="U48" s="111">
        <v>0</v>
      </c>
      <c r="V48" s="111">
        <v>0</v>
      </c>
      <c r="W48" s="111">
        <v>0</v>
      </c>
      <c r="X48" s="111">
        <v>0</v>
      </c>
      <c r="Y48" s="111">
        <v>0</v>
      </c>
      <c r="Z48" s="111">
        <v>0</v>
      </c>
      <c r="AA48" s="111">
        <v>0</v>
      </c>
      <c r="AB48" s="111">
        <v>0</v>
      </c>
      <c r="AC48" s="111">
        <v>0</v>
      </c>
      <c r="AD48" s="111">
        <v>1.9517596928235801</v>
      </c>
      <c r="AE48" s="111">
        <v>6.2765947092211394E-2</v>
      </c>
      <c r="AF48" s="111">
        <v>0.206324135063261</v>
      </c>
      <c r="AG48" s="111">
        <v>0</v>
      </c>
      <c r="AH48" s="111">
        <v>0.14958763705513201</v>
      </c>
      <c r="AI48" s="111">
        <v>0</v>
      </c>
      <c r="AJ48" s="111">
        <v>0</v>
      </c>
      <c r="AK48" s="111">
        <v>12.9713798641864</v>
      </c>
      <c r="AL48" s="111">
        <v>0</v>
      </c>
      <c r="AM48" s="111">
        <v>22.200220046533001</v>
      </c>
      <c r="AN48" s="111">
        <v>1.4425073485728299</v>
      </c>
      <c r="AO48" s="111">
        <v>0.298835002913659</v>
      </c>
      <c r="AP48" s="111">
        <v>0</v>
      </c>
      <c r="AQ48" s="111">
        <v>0</v>
      </c>
      <c r="AR48" s="112">
        <v>0.64210348485840896</v>
      </c>
    </row>
    <row r="49" spans="2:44" ht="12" customHeight="1" x14ac:dyDescent="0.25">
      <c r="B49" s="110" t="s">
        <v>42</v>
      </c>
      <c r="C49" s="111" t="s">
        <v>23</v>
      </c>
      <c r="D49" s="111" t="s">
        <v>43</v>
      </c>
      <c r="E49" s="111" t="s">
        <v>44</v>
      </c>
      <c r="F49" s="111" t="s">
        <v>25</v>
      </c>
      <c r="G49" s="111" t="s">
        <v>25</v>
      </c>
      <c r="H49" s="111" t="s">
        <v>70</v>
      </c>
      <c r="I49" s="111" t="s">
        <v>25</v>
      </c>
      <c r="J49" s="111">
        <v>11.09</v>
      </c>
      <c r="K49" s="111">
        <v>20.74</v>
      </c>
      <c r="L49" s="111">
        <v>9.2372723887944097E-2</v>
      </c>
      <c r="M49" s="111">
        <v>0</v>
      </c>
      <c r="N49" s="111">
        <v>0</v>
      </c>
      <c r="O49" s="111">
        <v>0</v>
      </c>
      <c r="P49" s="111">
        <v>0</v>
      </c>
      <c r="Q49" s="111">
        <v>8.0163331869313605</v>
      </c>
      <c r="R49" s="111">
        <v>1.7632246693214</v>
      </c>
      <c r="S49" s="111">
        <v>0</v>
      </c>
      <c r="T49" s="111">
        <v>0</v>
      </c>
      <c r="U49" s="111">
        <v>0</v>
      </c>
      <c r="V49" s="111">
        <v>0</v>
      </c>
      <c r="W49" s="111">
        <v>0</v>
      </c>
      <c r="X49" s="111">
        <v>0</v>
      </c>
      <c r="Y49" s="111">
        <v>0</v>
      </c>
      <c r="Z49" s="111">
        <v>0</v>
      </c>
      <c r="AA49" s="111">
        <v>0</v>
      </c>
      <c r="AB49" s="111">
        <v>0</v>
      </c>
      <c r="AC49" s="111">
        <v>0</v>
      </c>
      <c r="AD49" s="111">
        <v>1.0734678310529699</v>
      </c>
      <c r="AE49" s="111">
        <v>3.45212709007163E-2</v>
      </c>
      <c r="AF49" s="111">
        <v>0.113478274284794</v>
      </c>
      <c r="AG49" s="111">
        <v>0</v>
      </c>
      <c r="AH49" s="111">
        <v>8.2273200380322695E-2</v>
      </c>
      <c r="AI49" s="111">
        <v>0</v>
      </c>
      <c r="AJ49" s="111">
        <v>0</v>
      </c>
      <c r="AK49" s="111">
        <v>7.1342589253025297</v>
      </c>
      <c r="AL49" s="111">
        <v>0</v>
      </c>
      <c r="AM49" s="111">
        <v>12.2101210255932</v>
      </c>
      <c r="AN49" s="111">
        <v>0.79337904171505802</v>
      </c>
      <c r="AO49" s="111">
        <v>0.164359251602512</v>
      </c>
      <c r="AP49" s="111">
        <v>0</v>
      </c>
      <c r="AQ49" s="111">
        <v>0</v>
      </c>
      <c r="AR49" s="112">
        <v>0.35315691667212501</v>
      </c>
    </row>
    <row r="50" spans="2:44" ht="12" customHeight="1" x14ac:dyDescent="0.25">
      <c r="B50" s="113" t="s">
        <v>42</v>
      </c>
      <c r="C50" s="114" t="s">
        <v>23</v>
      </c>
      <c r="D50" s="114" t="s">
        <v>43</v>
      </c>
      <c r="E50" s="114" t="s">
        <v>88</v>
      </c>
      <c r="F50" s="114" t="s">
        <v>25</v>
      </c>
      <c r="G50" s="114" t="s">
        <v>25</v>
      </c>
      <c r="H50" s="114" t="s">
        <v>70</v>
      </c>
      <c r="I50" s="114" t="s">
        <v>25</v>
      </c>
      <c r="J50" s="114">
        <v>12.1</v>
      </c>
      <c r="K50" s="114">
        <v>22.62</v>
      </c>
      <c r="L50" s="114">
        <v>0.100770244241394</v>
      </c>
      <c r="M50" s="114">
        <v>0</v>
      </c>
      <c r="N50" s="114">
        <v>0</v>
      </c>
      <c r="O50" s="114">
        <v>0</v>
      </c>
      <c r="P50" s="114">
        <v>0</v>
      </c>
      <c r="Q50" s="114">
        <v>8.7450907493796706</v>
      </c>
      <c r="R50" s="114">
        <v>1.92351782107789</v>
      </c>
      <c r="S50" s="114">
        <v>0</v>
      </c>
      <c r="T50" s="114">
        <v>0</v>
      </c>
      <c r="U50" s="114">
        <v>0</v>
      </c>
      <c r="V50" s="114">
        <v>0</v>
      </c>
      <c r="W50" s="114">
        <v>0</v>
      </c>
      <c r="X50" s="114">
        <v>0</v>
      </c>
      <c r="Y50" s="114">
        <v>0</v>
      </c>
      <c r="Z50" s="114">
        <v>0</v>
      </c>
      <c r="AA50" s="114">
        <v>0</v>
      </c>
      <c r="AB50" s="114">
        <v>0</v>
      </c>
      <c r="AC50" s="114">
        <v>0</v>
      </c>
      <c r="AD50" s="114">
        <v>1.17105581569415</v>
      </c>
      <c r="AE50" s="114">
        <v>3.7659568255326799E-2</v>
      </c>
      <c r="AF50" s="114">
        <v>0.123794481037957</v>
      </c>
      <c r="AG50" s="114">
        <v>0</v>
      </c>
      <c r="AH50" s="114">
        <v>8.9752582233079303E-2</v>
      </c>
      <c r="AI50" s="114">
        <v>0</v>
      </c>
      <c r="AJ50" s="114">
        <v>0</v>
      </c>
      <c r="AK50" s="114">
        <v>7.7828279185118499</v>
      </c>
      <c r="AL50" s="114">
        <v>0</v>
      </c>
      <c r="AM50" s="114">
        <v>13.320132027919801</v>
      </c>
      <c r="AN50" s="114">
        <v>0.86550440914369897</v>
      </c>
      <c r="AO50" s="114">
        <v>0.17930100174819499</v>
      </c>
      <c r="AP50" s="114">
        <v>0</v>
      </c>
      <c r="AQ50" s="114">
        <v>0</v>
      </c>
      <c r="AR50" s="115">
        <v>0.38526209091504499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34</vt:i4>
      </vt:variant>
    </vt:vector>
  </HeadingPairs>
  <TitlesOfParts>
    <vt:vector size="34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TUSD BF_350</vt:lpstr>
      <vt:lpstr>TE BF_350</vt:lpstr>
      <vt:lpstr>EFEITO_350</vt:lpstr>
      <vt:lpstr>TarifaMedia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2022-07-07T01:33:58Z</dcterms:created>
  <dcterms:modified xsi:type="dcterms:W3CDTF">2022-07-18T13:02:50Z</dcterms:modified>
</cp:coreProperties>
</file>